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16" windowWidth="16260" windowHeight="5508"/>
  </bookViews>
  <sheets>
    <sheet name="DISM REPORT" sheetId="23" r:id="rId1"/>
    <sheet name="Accrual - Realloc (Final Alloc)" sheetId="18" r:id="rId2"/>
    <sheet name="GI Factors" sheetId="5" r:id="rId3"/>
  </sheets>
  <externalReferences>
    <externalReference r:id="rId4"/>
    <externalReference r:id="rId5"/>
  </externalReferences>
  <definedNames>
    <definedName name="\0" localSheetId="1">'[1]Input 1'!#REF!</definedName>
    <definedName name="\0" localSheetId="0">'[1]Input 1'!#REF!</definedName>
    <definedName name="\0">'[1]Input 1'!#REF!</definedName>
    <definedName name="\d" localSheetId="1">'[1]Input 1'!#REF!</definedName>
    <definedName name="\d" localSheetId="0">'[1]Input 1'!#REF!</definedName>
    <definedName name="\d">'[1]Input 1'!#REF!</definedName>
    <definedName name="\h" localSheetId="1">'[1]Input 1'!#REF!</definedName>
    <definedName name="\h" localSheetId="0">'[1]Input 1'!#REF!</definedName>
    <definedName name="\h">'[1]Input 1'!#REF!</definedName>
    <definedName name="\l" localSheetId="1">'[1]Input 1'!#REF!</definedName>
    <definedName name="\l" localSheetId="0">'[1]Input 1'!#REF!</definedName>
    <definedName name="\l">'[1]Input 1'!#REF!</definedName>
    <definedName name="\p" localSheetId="1">'[1]Monthly Accrual'!#REF!</definedName>
    <definedName name="\p" localSheetId="0">'[1]Monthly Accrual'!#REF!</definedName>
    <definedName name="\p">'[1]Monthly Accrual'!#REF!</definedName>
    <definedName name="\s" localSheetId="1">'[1]Input 1'!#REF!</definedName>
    <definedName name="\s" localSheetId="0">'[1]Input 1'!#REF!</definedName>
    <definedName name="\s">'[1]Input 1'!#REF!</definedName>
    <definedName name="_xlnm._FilterDatabase" localSheetId="1" hidden="1">'Accrual - Realloc (Final Alloc)'!$A$8:$AJ$61</definedName>
    <definedName name="_xlnm._FilterDatabase" localSheetId="0" hidden="1">'DISM REPORT'!$A$5:$S$58</definedName>
    <definedName name="LOCATE" localSheetId="1">'[1]Input 1'!#REF!</definedName>
    <definedName name="LOCATE" localSheetId="0">'[1]Input 1'!#REF!</definedName>
    <definedName name="LOCATE">'[1]Input 1'!#REF!</definedName>
    <definedName name="_xlnm.Print_Area" localSheetId="1">'Accrual - Realloc (Final Alloc)'!$A$8:$AJ$63</definedName>
    <definedName name="_xlnm.Print_Area" localSheetId="0">'DISM REPORT'!$A$3:$T$64</definedName>
  </definedNames>
  <calcPr calcId="145621"/>
</workbook>
</file>

<file path=xl/calcChain.xml><?xml version="1.0" encoding="utf-8"?>
<calcChain xmlns="http://schemas.openxmlformats.org/spreadsheetml/2006/main">
  <c r="M62" i="23" l="1"/>
  <c r="P62" i="23" s="1"/>
  <c r="E58" i="23"/>
  <c r="F58" i="23" s="1"/>
  <c r="E57" i="23"/>
  <c r="F57" i="23" s="1"/>
  <c r="E56" i="23"/>
  <c r="E55" i="23"/>
  <c r="F55" i="23" s="1"/>
  <c r="E54" i="23"/>
  <c r="F54" i="23" s="1"/>
  <c r="E53" i="23"/>
  <c r="F53" i="23" s="1"/>
  <c r="E52" i="23"/>
  <c r="F52" i="23" s="1"/>
  <c r="E51" i="23"/>
  <c r="F51" i="23" s="1"/>
  <c r="E50" i="23"/>
  <c r="F50" i="23" s="1"/>
  <c r="E49" i="23"/>
  <c r="F49" i="23" s="1"/>
  <c r="E48" i="23"/>
  <c r="F48" i="23" s="1"/>
  <c r="E47" i="23"/>
  <c r="F47" i="23" s="1"/>
  <c r="E46" i="23"/>
  <c r="F46" i="23" s="1"/>
  <c r="E45" i="23"/>
  <c r="F45" i="23" s="1"/>
  <c r="E44" i="23"/>
  <c r="F44" i="23" s="1"/>
  <c r="E43" i="23"/>
  <c r="F43" i="23" s="1"/>
  <c r="E42" i="23"/>
  <c r="F42" i="23" s="1"/>
  <c r="E41" i="23"/>
  <c r="F41" i="23" s="1"/>
  <c r="E40" i="23"/>
  <c r="F40" i="23" s="1"/>
  <c r="E39" i="23"/>
  <c r="F39" i="23" s="1"/>
  <c r="E38" i="23"/>
  <c r="F38" i="23" s="1"/>
  <c r="E37" i="23"/>
  <c r="F37" i="23" s="1"/>
  <c r="E36" i="23"/>
  <c r="E35" i="23"/>
  <c r="F35" i="23" s="1"/>
  <c r="E32" i="23"/>
  <c r="F32" i="23" s="1"/>
  <c r="E31" i="23"/>
  <c r="F31" i="23" s="1"/>
  <c r="E30" i="23"/>
  <c r="F30" i="23" s="1"/>
  <c r="E29" i="23"/>
  <c r="F29" i="23" s="1"/>
  <c r="E28" i="23"/>
  <c r="F28" i="23" s="1"/>
  <c r="E27" i="23"/>
  <c r="F27" i="23" s="1"/>
  <c r="E26" i="23"/>
  <c r="F26" i="23" s="1"/>
  <c r="E25" i="23"/>
  <c r="F25" i="23" s="1"/>
  <c r="E24" i="23"/>
  <c r="F24" i="23" s="1"/>
  <c r="E23" i="23"/>
  <c r="F23" i="23" s="1"/>
  <c r="E21" i="23"/>
  <c r="F21" i="23" s="1"/>
  <c r="E20" i="23"/>
  <c r="F20" i="23" s="1"/>
  <c r="E19" i="23"/>
  <c r="F19" i="23" s="1"/>
  <c r="E18" i="23"/>
  <c r="F18" i="23" s="1"/>
  <c r="E17" i="23"/>
  <c r="E16" i="23"/>
  <c r="E15" i="23"/>
  <c r="F15" i="23" s="1"/>
  <c r="E14" i="23"/>
  <c r="F14" i="23" s="1"/>
  <c r="E13" i="23"/>
  <c r="F13" i="23" s="1"/>
  <c r="E12" i="23"/>
  <c r="E11" i="23"/>
  <c r="F11" i="23" s="1"/>
  <c r="E10" i="23"/>
  <c r="F10" i="23" s="1"/>
  <c r="E9" i="23"/>
  <c r="F9" i="23" s="1"/>
  <c r="E8" i="23"/>
  <c r="E7" i="23"/>
  <c r="F7" i="23" s="1"/>
  <c r="E6" i="23"/>
  <c r="F6" i="23" s="1"/>
  <c r="F56" i="23"/>
  <c r="F16" i="23"/>
  <c r="F8" i="23"/>
  <c r="R62" i="23" l="1"/>
  <c r="Q62" i="23"/>
  <c r="O62" i="23"/>
  <c r="S62" i="23" l="1"/>
  <c r="T62" i="23" s="1"/>
  <c r="AL65" i="18" l="1"/>
  <c r="V23" i="18" l="1"/>
  <c r="V18" i="18"/>
  <c r="L73" i="18"/>
  <c r="X39" i="18"/>
  <c r="W39" i="18"/>
  <c r="J71" i="18" l="1"/>
  <c r="I71" i="18"/>
  <c r="H71" i="18"/>
  <c r="K70" i="18"/>
  <c r="L70" i="18" s="1"/>
  <c r="K69" i="18"/>
  <c r="L69" i="18" s="1"/>
  <c r="K68" i="18"/>
  <c r="L68" i="18" s="1"/>
  <c r="K67" i="18"/>
  <c r="L67" i="18" s="1"/>
  <c r="K66" i="18"/>
  <c r="L66" i="18" s="1"/>
  <c r="K65" i="18"/>
  <c r="L65" i="18" s="1"/>
  <c r="M63" i="18"/>
  <c r="L63" i="18"/>
  <c r="J63" i="18"/>
  <c r="I63" i="18"/>
  <c r="H63" i="18"/>
  <c r="H73" i="18" s="1"/>
  <c r="F63" i="18"/>
  <c r="E63" i="18"/>
  <c r="D63" i="18"/>
  <c r="C63" i="18"/>
  <c r="B63" i="18"/>
  <c r="U37" i="18"/>
  <c r="K37" i="18"/>
  <c r="U36" i="18"/>
  <c r="K36" i="18"/>
  <c r="X40" i="18"/>
  <c r="W40" i="18"/>
  <c r="V40" i="18"/>
  <c r="R40" i="18"/>
  <c r="K40" i="18"/>
  <c r="S40" i="18" s="1"/>
  <c r="L37" i="23" s="1"/>
  <c r="X38" i="18"/>
  <c r="W38" i="18"/>
  <c r="V38" i="18"/>
  <c r="R38" i="18"/>
  <c r="K38" i="18"/>
  <c r="S38" i="18" s="1"/>
  <c r="L35" i="23" s="1"/>
  <c r="X23" i="18"/>
  <c r="W23" i="18"/>
  <c r="R23" i="18"/>
  <c r="K23" i="18"/>
  <c r="S23" i="18" s="1"/>
  <c r="L20" i="23" s="1"/>
  <c r="X18" i="18"/>
  <c r="W18" i="18"/>
  <c r="R18" i="18"/>
  <c r="K18" i="18"/>
  <c r="S18" i="18" s="1"/>
  <c r="L15" i="23" s="1"/>
  <c r="X42" i="18"/>
  <c r="W42" i="18"/>
  <c r="V42" i="18"/>
  <c r="R42" i="18"/>
  <c r="K42" i="18"/>
  <c r="S42" i="18" s="1"/>
  <c r="L39" i="23" s="1"/>
  <c r="X41" i="18"/>
  <c r="W41" i="18"/>
  <c r="V41" i="18"/>
  <c r="R41" i="18"/>
  <c r="K41" i="18"/>
  <c r="S41" i="18" s="1"/>
  <c r="L38" i="23" s="1"/>
  <c r="X10" i="18"/>
  <c r="W10" i="18"/>
  <c r="V10" i="18"/>
  <c r="R10" i="18"/>
  <c r="K10" i="18"/>
  <c r="S10" i="18" s="1"/>
  <c r="L7" i="23" s="1"/>
  <c r="X11" i="18"/>
  <c r="W11" i="18"/>
  <c r="V11" i="18"/>
  <c r="R11" i="18"/>
  <c r="K11" i="18"/>
  <c r="S11" i="18" s="1"/>
  <c r="L8" i="23" s="1"/>
  <c r="X61" i="18"/>
  <c r="W61" i="18"/>
  <c r="V61" i="18"/>
  <c r="R61" i="18"/>
  <c r="K61" i="18"/>
  <c r="S61" i="18" s="1"/>
  <c r="L58" i="23" s="1"/>
  <c r="X58" i="18"/>
  <c r="W58" i="18"/>
  <c r="V58" i="18"/>
  <c r="R58" i="18"/>
  <c r="K58" i="18"/>
  <c r="S58" i="18" s="1"/>
  <c r="L55" i="23" s="1"/>
  <c r="X60" i="18"/>
  <c r="W60" i="18"/>
  <c r="V60" i="18"/>
  <c r="R60" i="18"/>
  <c r="K60" i="18"/>
  <c r="S60" i="18" s="1"/>
  <c r="L57" i="23" s="1"/>
  <c r="X59" i="18"/>
  <c r="W59" i="18"/>
  <c r="V59" i="18"/>
  <c r="R59" i="18"/>
  <c r="K59" i="18"/>
  <c r="S59" i="18" s="1"/>
  <c r="L56" i="23" s="1"/>
  <c r="X57" i="18"/>
  <c r="W57" i="18"/>
  <c r="V57" i="18"/>
  <c r="R57" i="18"/>
  <c r="K57" i="18"/>
  <c r="S57" i="18" s="1"/>
  <c r="L54" i="23" s="1"/>
  <c r="X56" i="18"/>
  <c r="W56" i="18"/>
  <c r="V56" i="18"/>
  <c r="R56" i="18"/>
  <c r="K56" i="18"/>
  <c r="S56" i="18" s="1"/>
  <c r="L53" i="23" s="1"/>
  <c r="X55" i="18"/>
  <c r="W55" i="18"/>
  <c r="V55" i="18"/>
  <c r="R55" i="18"/>
  <c r="K55" i="18"/>
  <c r="S55" i="18" s="1"/>
  <c r="L52" i="23" s="1"/>
  <c r="X54" i="18"/>
  <c r="W54" i="18"/>
  <c r="V54" i="18"/>
  <c r="R54" i="18"/>
  <c r="K54" i="18"/>
  <c r="S54" i="18" s="1"/>
  <c r="L51" i="23" s="1"/>
  <c r="U25" i="18"/>
  <c r="K25" i="18"/>
  <c r="S25" i="18" s="1"/>
  <c r="L22" i="23" s="1"/>
  <c r="X12" i="18"/>
  <c r="W12" i="18"/>
  <c r="V12" i="18"/>
  <c r="R12" i="18"/>
  <c r="K12" i="18"/>
  <c r="S12" i="18" s="1"/>
  <c r="L9" i="23" s="1"/>
  <c r="X9" i="18"/>
  <c r="W9" i="18"/>
  <c r="V9" i="18"/>
  <c r="R9" i="18"/>
  <c r="K9" i="18"/>
  <c r="S9" i="18" s="1"/>
  <c r="L6" i="23" s="1"/>
  <c r="X30" i="18"/>
  <c r="W30" i="18"/>
  <c r="V30" i="18"/>
  <c r="R30" i="18"/>
  <c r="K30" i="18"/>
  <c r="S30" i="18" s="1"/>
  <c r="L27" i="23" s="1"/>
  <c r="X35" i="18"/>
  <c r="W35" i="18"/>
  <c r="V35" i="18"/>
  <c r="R35" i="18"/>
  <c r="K35" i="18"/>
  <c r="S35" i="18" s="1"/>
  <c r="L32" i="23" s="1"/>
  <c r="X28" i="18"/>
  <c r="W28" i="18"/>
  <c r="V28" i="18"/>
  <c r="R28" i="18"/>
  <c r="K28" i="18"/>
  <c r="S28" i="18" s="1"/>
  <c r="L25" i="23" s="1"/>
  <c r="X44" i="18"/>
  <c r="W44" i="18"/>
  <c r="V44" i="18"/>
  <c r="R44" i="18"/>
  <c r="K44" i="18"/>
  <c r="S44" i="18" s="1"/>
  <c r="L41" i="23" s="1"/>
  <c r="X43" i="18"/>
  <c r="W43" i="18"/>
  <c r="V43" i="18"/>
  <c r="R43" i="18"/>
  <c r="K43" i="18"/>
  <c r="S43" i="18" s="1"/>
  <c r="L40" i="23" s="1"/>
  <c r="X22" i="18"/>
  <c r="W22" i="18"/>
  <c r="V22" i="18"/>
  <c r="R22" i="18"/>
  <c r="K22" i="18"/>
  <c r="S22" i="18" s="1"/>
  <c r="L19" i="23" s="1"/>
  <c r="X21" i="18"/>
  <c r="W21" i="18"/>
  <c r="V21" i="18"/>
  <c r="R21" i="18"/>
  <c r="K21" i="18"/>
  <c r="S21" i="18" s="1"/>
  <c r="L18" i="23" s="1"/>
  <c r="X19" i="18"/>
  <c r="W19" i="18"/>
  <c r="V19" i="18"/>
  <c r="R19" i="18"/>
  <c r="K19" i="18"/>
  <c r="S19" i="18" s="1"/>
  <c r="L16" i="23" s="1"/>
  <c r="X45" i="18"/>
  <c r="W45" i="18"/>
  <c r="V45" i="18"/>
  <c r="R45" i="18"/>
  <c r="K45" i="18"/>
  <c r="S45" i="18" s="1"/>
  <c r="L42" i="23" s="1"/>
  <c r="X53" i="18"/>
  <c r="W53" i="18"/>
  <c r="V53" i="18"/>
  <c r="R53" i="18"/>
  <c r="K53" i="18"/>
  <c r="S53" i="18" s="1"/>
  <c r="L50" i="23" s="1"/>
  <c r="X47" i="18"/>
  <c r="W47" i="18"/>
  <c r="V47" i="18"/>
  <c r="R47" i="18"/>
  <c r="K47" i="18"/>
  <c r="S47" i="18" s="1"/>
  <c r="L44" i="23" s="1"/>
  <c r="X48" i="18"/>
  <c r="W48" i="18"/>
  <c r="V48" i="18"/>
  <c r="R48" i="18"/>
  <c r="K48" i="18"/>
  <c r="S48" i="18" s="1"/>
  <c r="L45" i="23" s="1"/>
  <c r="X46" i="18"/>
  <c r="W46" i="18"/>
  <c r="V46" i="18"/>
  <c r="R46" i="18"/>
  <c r="K46" i="18"/>
  <c r="S46" i="18" s="1"/>
  <c r="L43" i="23" s="1"/>
  <c r="X13" i="18"/>
  <c r="W13" i="18"/>
  <c r="V13" i="18"/>
  <c r="R13" i="18"/>
  <c r="K13" i="18"/>
  <c r="S13" i="18" s="1"/>
  <c r="L10" i="23" s="1"/>
  <c r="X50" i="18"/>
  <c r="W50" i="18"/>
  <c r="V50" i="18"/>
  <c r="R50" i="18"/>
  <c r="K50" i="18"/>
  <c r="S50" i="18" s="1"/>
  <c r="L47" i="23" s="1"/>
  <c r="X52" i="18"/>
  <c r="W52" i="18"/>
  <c r="V52" i="18"/>
  <c r="R52" i="18"/>
  <c r="K52" i="18"/>
  <c r="S52" i="18" s="1"/>
  <c r="L49" i="23" s="1"/>
  <c r="X51" i="18"/>
  <c r="W51" i="18"/>
  <c r="V51" i="18"/>
  <c r="R51" i="18"/>
  <c r="K51" i="18"/>
  <c r="S51" i="18" s="1"/>
  <c r="L48" i="23" s="1"/>
  <c r="X49" i="18"/>
  <c r="W49" i="18"/>
  <c r="V49" i="18"/>
  <c r="R49" i="18"/>
  <c r="K49" i="18"/>
  <c r="S49" i="18" s="1"/>
  <c r="L46" i="23" s="1"/>
  <c r="X34" i="18"/>
  <c r="W34" i="18"/>
  <c r="V34" i="18"/>
  <c r="R34" i="18"/>
  <c r="K34" i="18"/>
  <c r="S34" i="18" s="1"/>
  <c r="L31" i="23" s="1"/>
  <c r="X33" i="18"/>
  <c r="W33" i="18"/>
  <c r="V33" i="18"/>
  <c r="R33" i="18"/>
  <c r="K33" i="18"/>
  <c r="S33" i="18" s="1"/>
  <c r="L30" i="23" s="1"/>
  <c r="X17" i="18"/>
  <c r="W17" i="18"/>
  <c r="V17" i="18"/>
  <c r="R17" i="18"/>
  <c r="K17" i="18"/>
  <c r="S17" i="18" s="1"/>
  <c r="L14" i="23" s="1"/>
  <c r="X16" i="18"/>
  <c r="W16" i="18"/>
  <c r="V16" i="18"/>
  <c r="R16" i="18"/>
  <c r="K16" i="18"/>
  <c r="S16" i="18" s="1"/>
  <c r="L13" i="23" s="1"/>
  <c r="X14" i="18"/>
  <c r="W14" i="18"/>
  <c r="V14" i="18"/>
  <c r="R14" i="18"/>
  <c r="K14" i="18"/>
  <c r="S14" i="18" s="1"/>
  <c r="L11" i="23" s="1"/>
  <c r="X32" i="18"/>
  <c r="W32" i="18"/>
  <c r="V32" i="18"/>
  <c r="R32" i="18"/>
  <c r="K32" i="18"/>
  <c r="S32" i="18" s="1"/>
  <c r="L29" i="23" s="1"/>
  <c r="X31" i="18"/>
  <c r="W31" i="18"/>
  <c r="V31" i="18"/>
  <c r="R31" i="18"/>
  <c r="K31" i="18"/>
  <c r="S31" i="18" s="1"/>
  <c r="L28" i="23" s="1"/>
  <c r="X29" i="18"/>
  <c r="W29" i="18"/>
  <c r="V29" i="18"/>
  <c r="R29" i="18"/>
  <c r="K29" i="18"/>
  <c r="S29" i="18" s="1"/>
  <c r="L26" i="23" s="1"/>
  <c r="R39" i="18"/>
  <c r="K39" i="18"/>
  <c r="S39" i="18" s="1"/>
  <c r="L36" i="23" s="1"/>
  <c r="X27" i="18"/>
  <c r="W27" i="18"/>
  <c r="V27" i="18"/>
  <c r="R27" i="18"/>
  <c r="K27" i="18"/>
  <c r="S27" i="18" s="1"/>
  <c r="L24" i="23" s="1"/>
  <c r="X26" i="18"/>
  <c r="W26" i="18"/>
  <c r="V26" i="18"/>
  <c r="R26" i="18"/>
  <c r="K26" i="18"/>
  <c r="S26" i="18" s="1"/>
  <c r="L23" i="23" s="1"/>
  <c r="X24" i="18"/>
  <c r="W24" i="18"/>
  <c r="V24" i="18"/>
  <c r="R24" i="18"/>
  <c r="K24" i="18"/>
  <c r="S24" i="18" s="1"/>
  <c r="L21" i="23" s="1"/>
  <c r="X20" i="18"/>
  <c r="W20" i="18"/>
  <c r="R20" i="18"/>
  <c r="K20" i="18"/>
  <c r="S20" i="18" s="1"/>
  <c r="L17" i="23" s="1"/>
  <c r="X15" i="18"/>
  <c r="W15" i="18"/>
  <c r="R15" i="18"/>
  <c r="K15" i="18"/>
  <c r="S15" i="18" s="1"/>
  <c r="L12" i="23" s="1"/>
  <c r="S37" i="18" l="1"/>
  <c r="L34" i="23" s="1"/>
  <c r="L71" i="18"/>
  <c r="M73" i="18" s="1"/>
  <c r="V25" i="18"/>
  <c r="E22" i="23"/>
  <c r="F22" i="23" s="1"/>
  <c r="S36" i="18"/>
  <c r="L33" i="23" s="1"/>
  <c r="V37" i="18"/>
  <c r="E34" i="23"/>
  <c r="F34" i="23" s="1"/>
  <c r="X36" i="18"/>
  <c r="E33" i="23"/>
  <c r="F33" i="23" s="1"/>
  <c r="I73" i="18"/>
  <c r="I75" i="18" s="1"/>
  <c r="J73" i="18"/>
  <c r="K71" i="18"/>
  <c r="R37" i="18"/>
  <c r="W37" i="18"/>
  <c r="K63" i="18"/>
  <c r="W25" i="18"/>
  <c r="R25" i="18"/>
  <c r="X25" i="18"/>
  <c r="V36" i="18"/>
  <c r="X37" i="18"/>
  <c r="R36" i="18"/>
  <c r="W36" i="18"/>
  <c r="O36" i="18" l="1"/>
  <c r="L60" i="23"/>
  <c r="L64" i="23" s="1"/>
  <c r="S63" i="18"/>
  <c r="O37" i="18"/>
  <c r="K73" i="18"/>
  <c r="P36" i="18" l="1"/>
  <c r="Q36" i="18"/>
  <c r="P37" i="18"/>
  <c r="Q37" i="18"/>
  <c r="M53" i="5" l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L55" i="5"/>
  <c r="L56" i="5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44" i="5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I44" i="5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F44" i="5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C44" i="5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M14" i="5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J14" i="5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G14" i="5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D14" i="5"/>
  <c r="D15" i="5" l="1"/>
  <c r="G40" i="18"/>
  <c r="C37" i="23" s="1"/>
  <c r="G18" i="18"/>
  <c r="C15" i="23" s="1"/>
  <c r="G41" i="18"/>
  <c r="C38" i="23" s="1"/>
  <c r="G11" i="18"/>
  <c r="C8" i="23" s="1"/>
  <c r="G58" i="18"/>
  <c r="C55" i="23" s="1"/>
  <c r="G59" i="18"/>
  <c r="C56" i="23" s="1"/>
  <c r="G56" i="18"/>
  <c r="C53" i="23" s="1"/>
  <c r="G54" i="18"/>
  <c r="C51" i="23" s="1"/>
  <c r="G39" i="18"/>
  <c r="C36" i="23" s="1"/>
  <c r="G26" i="18"/>
  <c r="C23" i="23" s="1"/>
  <c r="G15" i="18"/>
  <c r="C12" i="23" s="1"/>
  <c r="G12" i="18"/>
  <c r="C9" i="23" s="1"/>
  <c r="G30" i="18"/>
  <c r="C27" i="23" s="1"/>
  <c r="G28" i="18"/>
  <c r="C25" i="23" s="1"/>
  <c r="G43" i="18"/>
  <c r="C40" i="23" s="1"/>
  <c r="G21" i="18"/>
  <c r="C18" i="23" s="1"/>
  <c r="G45" i="18"/>
  <c r="C42" i="23" s="1"/>
  <c r="G47" i="18"/>
  <c r="C44" i="23" s="1"/>
  <c r="G46" i="18"/>
  <c r="C43" i="23" s="1"/>
  <c r="G50" i="18"/>
  <c r="C47" i="23" s="1"/>
  <c r="G51" i="18"/>
  <c r="C48" i="23" s="1"/>
  <c r="G34" i="18"/>
  <c r="C31" i="23" s="1"/>
  <c r="G17" i="18"/>
  <c r="C14" i="23" s="1"/>
  <c r="G14" i="18"/>
  <c r="C11" i="23" s="1"/>
  <c r="G31" i="18"/>
  <c r="C28" i="23" s="1"/>
  <c r="G36" i="18"/>
  <c r="C33" i="23" s="1"/>
  <c r="G38" i="18"/>
  <c r="C35" i="23" s="1"/>
  <c r="G42" i="18"/>
  <c r="C39" i="23" s="1"/>
  <c r="G10" i="18"/>
  <c r="C7" i="23" s="1"/>
  <c r="G61" i="18"/>
  <c r="C58" i="23" s="1"/>
  <c r="G9" i="18"/>
  <c r="G19" i="18"/>
  <c r="C16" i="23" s="1"/>
  <c r="G52" i="18"/>
  <c r="C49" i="23" s="1"/>
  <c r="G32" i="18"/>
  <c r="C29" i="23" s="1"/>
  <c r="G37" i="18"/>
  <c r="C34" i="23" s="1"/>
  <c r="G55" i="18"/>
  <c r="C52" i="23" s="1"/>
  <c r="G25" i="18"/>
  <c r="C22" i="23" s="1"/>
  <c r="G22" i="18"/>
  <c r="C19" i="23" s="1"/>
  <c r="G13" i="18"/>
  <c r="C10" i="23" s="1"/>
  <c r="G16" i="18"/>
  <c r="C13" i="23" s="1"/>
  <c r="G23" i="18"/>
  <c r="C20" i="23" s="1"/>
  <c r="G57" i="18"/>
  <c r="C54" i="23" s="1"/>
  <c r="G44" i="18"/>
  <c r="C41" i="23" s="1"/>
  <c r="G48" i="18"/>
  <c r="C45" i="23" s="1"/>
  <c r="G33" i="18"/>
  <c r="C30" i="23" s="1"/>
  <c r="G24" i="18"/>
  <c r="C21" i="23" s="1"/>
  <c r="G60" i="18"/>
  <c r="C57" i="23" s="1"/>
  <c r="G35" i="18"/>
  <c r="C32" i="23" s="1"/>
  <c r="G53" i="18"/>
  <c r="C50" i="23" s="1"/>
  <c r="G49" i="18"/>
  <c r="C46" i="23" s="1"/>
  <c r="G29" i="18"/>
  <c r="C26" i="23" s="1"/>
  <c r="G27" i="18"/>
  <c r="C24" i="23" s="1"/>
  <c r="G20" i="18"/>
  <c r="C17" i="23" s="1"/>
  <c r="J55" i="5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C6" i="23" l="1"/>
  <c r="C60" i="23" s="1"/>
  <c r="C64" i="23" s="1"/>
  <c r="G63" i="18"/>
  <c r="D16" i="5"/>
  <c r="Y39" i="18"/>
  <c r="Y20" i="18"/>
  <c r="Y15" i="18"/>
  <c r="H36" i="23" l="1"/>
  <c r="D17" i="5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Z39" i="18"/>
  <c r="I36" i="23" s="1"/>
  <c r="Z20" i="18"/>
  <c r="I17" i="23" s="1"/>
  <c r="Z15" i="18"/>
  <c r="I12" i="23" s="1"/>
  <c r="H12" i="23"/>
  <c r="AA15" i="18"/>
  <c r="H17" i="23"/>
  <c r="J17" i="23" s="1"/>
  <c r="M17" i="23" s="1"/>
  <c r="AA20" i="18" l="1"/>
  <c r="J12" i="23"/>
  <c r="M12" i="23" s="1"/>
  <c r="D32" i="5"/>
  <c r="Y24" i="18"/>
  <c r="Y27" i="18"/>
  <c r="Y26" i="18"/>
  <c r="AC15" i="18"/>
  <c r="AB15" i="18"/>
  <c r="N15" i="18"/>
  <c r="O15" i="18" s="1"/>
  <c r="AC20" i="18"/>
  <c r="N20" i="18"/>
  <c r="O20" i="18" s="1"/>
  <c r="AB20" i="18"/>
  <c r="AA39" i="18"/>
  <c r="J36" i="23"/>
  <c r="M36" i="23" s="1"/>
  <c r="AB39" i="18" l="1"/>
  <c r="N39" i="18"/>
  <c r="O39" i="18" s="1"/>
  <c r="AC39" i="18"/>
  <c r="P15" i="18"/>
  <c r="Q15" i="18"/>
  <c r="H24" i="23"/>
  <c r="AD20" i="18"/>
  <c r="AF20" i="18" s="1"/>
  <c r="AD15" i="18"/>
  <c r="AF15" i="18" s="1"/>
  <c r="H21" i="23"/>
  <c r="P20" i="18"/>
  <c r="Q20" i="18"/>
  <c r="D33" i="5"/>
  <c r="D34" i="5" s="1"/>
  <c r="Z26" i="18"/>
  <c r="I23" i="23" s="1"/>
  <c r="Z24" i="18"/>
  <c r="I21" i="23" s="1"/>
  <c r="Z27" i="18"/>
  <c r="I24" i="23" s="1"/>
  <c r="H23" i="23"/>
  <c r="AA26" i="18"/>
  <c r="J23" i="23" l="1"/>
  <c r="M23" i="23" s="1"/>
  <c r="J21" i="23"/>
  <c r="M21" i="23" s="1"/>
  <c r="AD39" i="18"/>
  <c r="AF39" i="18" s="1"/>
  <c r="O36" i="23" s="1"/>
  <c r="D35" i="5"/>
  <c r="Y32" i="18"/>
  <c r="Y29" i="18"/>
  <c r="Y31" i="18"/>
  <c r="J24" i="23"/>
  <c r="M24" i="23" s="1"/>
  <c r="P39" i="18"/>
  <c r="Q39" i="18"/>
  <c r="O17" i="23"/>
  <c r="AG20" i="18"/>
  <c r="AC26" i="18"/>
  <c r="N26" i="18"/>
  <c r="O26" i="18" s="1"/>
  <c r="AB26" i="18"/>
  <c r="AA24" i="18"/>
  <c r="AA27" i="18"/>
  <c r="O12" i="23"/>
  <c r="AG15" i="18"/>
  <c r="AG39" i="18" l="1"/>
  <c r="Q26" i="18"/>
  <c r="P26" i="18"/>
  <c r="H28" i="23"/>
  <c r="AB27" i="18"/>
  <c r="AC27" i="18"/>
  <c r="AD27" i="18" s="1"/>
  <c r="AF27" i="18" s="1"/>
  <c r="N27" i="18"/>
  <c r="O27" i="18" s="1"/>
  <c r="H26" i="23"/>
  <c r="AH39" i="18"/>
  <c r="P36" i="23"/>
  <c r="AB24" i="18"/>
  <c r="AC24" i="18"/>
  <c r="N24" i="18"/>
  <c r="O24" i="18" s="1"/>
  <c r="H29" i="23"/>
  <c r="P12" i="23"/>
  <c r="AH15" i="18"/>
  <c r="AD26" i="18"/>
  <c r="AF26" i="18" s="1"/>
  <c r="AH20" i="18"/>
  <c r="P17" i="23"/>
  <c r="D36" i="5"/>
  <c r="Z29" i="18"/>
  <c r="I26" i="23" s="1"/>
  <c r="Z32" i="18"/>
  <c r="I29" i="23" s="1"/>
  <c r="Z31" i="18"/>
  <c r="I28" i="23" s="1"/>
  <c r="AA31" i="18" l="1"/>
  <c r="AA32" i="18"/>
  <c r="AB32" i="18" s="1"/>
  <c r="J28" i="23"/>
  <c r="M28" i="23" s="1"/>
  <c r="J29" i="23"/>
  <c r="M29" i="23" s="1"/>
  <c r="O24" i="23"/>
  <c r="AG27" i="18"/>
  <c r="O23" i="23"/>
  <c r="AG26" i="18"/>
  <c r="J26" i="23"/>
  <c r="M26" i="23" s="1"/>
  <c r="N31" i="18"/>
  <c r="O31" i="18" s="1"/>
  <c r="AC31" i="18"/>
  <c r="AB31" i="18"/>
  <c r="D37" i="5"/>
  <c r="Y16" i="18"/>
  <c r="Y17" i="18"/>
  <c r="Y14" i="18"/>
  <c r="Q12" i="23"/>
  <c r="AI15" i="18"/>
  <c r="R12" i="23" s="1"/>
  <c r="S12" i="23" s="1"/>
  <c r="T12" i="23" s="1"/>
  <c r="Q27" i="18"/>
  <c r="P27" i="18"/>
  <c r="Q24" i="18"/>
  <c r="P24" i="18"/>
  <c r="Q36" i="23"/>
  <c r="AI39" i="18"/>
  <c r="R36" i="23" s="1"/>
  <c r="S36" i="23" s="1"/>
  <c r="T36" i="23" s="1"/>
  <c r="Q17" i="23"/>
  <c r="AI20" i="18"/>
  <c r="R17" i="23" s="1"/>
  <c r="AD24" i="18"/>
  <c r="AF24" i="18" s="1"/>
  <c r="AA29" i="18"/>
  <c r="AC32" i="18" l="1"/>
  <c r="N32" i="18"/>
  <c r="O32" i="18" s="1"/>
  <c r="AJ39" i="18"/>
  <c r="O21" i="23"/>
  <c r="AG24" i="18"/>
  <c r="AB29" i="18"/>
  <c r="N29" i="18"/>
  <c r="O29" i="18" s="1"/>
  <c r="AC29" i="18"/>
  <c r="S17" i="23"/>
  <c r="T17" i="23" s="1"/>
  <c r="AJ15" i="18"/>
  <c r="H14" i="23"/>
  <c r="P32" i="18"/>
  <c r="Q32" i="18"/>
  <c r="H13" i="23"/>
  <c r="P31" i="18"/>
  <c r="Q31" i="18"/>
  <c r="D38" i="5"/>
  <c r="Z14" i="18"/>
  <c r="I11" i="23" s="1"/>
  <c r="Y34" i="18"/>
  <c r="Z17" i="18"/>
  <c r="I14" i="23" s="1"/>
  <c r="Y33" i="18"/>
  <c r="Z16" i="18"/>
  <c r="I13" i="23" s="1"/>
  <c r="AH27" i="18"/>
  <c r="P24" i="23"/>
  <c r="AJ20" i="18"/>
  <c r="H11" i="23"/>
  <c r="J11" i="23" s="1"/>
  <c r="M11" i="23" s="1"/>
  <c r="AD31" i="18"/>
  <c r="AF31" i="18" s="1"/>
  <c r="AD32" i="18"/>
  <c r="AF32" i="18" s="1"/>
  <c r="P23" i="23"/>
  <c r="AH26" i="18"/>
  <c r="O28" i="23" l="1"/>
  <c r="AG31" i="18"/>
  <c r="AI26" i="18"/>
  <c r="R23" i="23" s="1"/>
  <c r="Q23" i="23"/>
  <c r="AA14" i="18"/>
  <c r="Q24" i="23"/>
  <c r="AI27" i="18"/>
  <c r="R24" i="23" s="1"/>
  <c r="S24" i="23" s="1"/>
  <c r="T24" i="23" s="1"/>
  <c r="H31" i="23"/>
  <c r="AA16" i="18"/>
  <c r="AA17" i="18"/>
  <c r="AD29" i="18"/>
  <c r="AF29" i="18" s="1"/>
  <c r="AH24" i="18"/>
  <c r="P21" i="23"/>
  <c r="O29" i="23"/>
  <c r="AG32" i="18"/>
  <c r="H30" i="23"/>
  <c r="D39" i="5"/>
  <c r="D40" i="5" s="1"/>
  <c r="D41" i="5" s="1"/>
  <c r="Z33" i="18"/>
  <c r="I30" i="23" s="1"/>
  <c r="Z34" i="18"/>
  <c r="I31" i="23" s="1"/>
  <c r="J13" i="23"/>
  <c r="M13" i="23" s="1"/>
  <c r="J14" i="23"/>
  <c r="M14" i="23" s="1"/>
  <c r="P29" i="18"/>
  <c r="Q29" i="18"/>
  <c r="J30" i="23" l="1"/>
  <c r="M30" i="23" s="1"/>
  <c r="N16" i="18"/>
  <c r="O16" i="18" s="1"/>
  <c r="AB16" i="18"/>
  <c r="AC16" i="18"/>
  <c r="AI24" i="18"/>
  <c r="R21" i="23" s="1"/>
  <c r="Q21" i="23"/>
  <c r="AA34" i="18"/>
  <c r="S23" i="23"/>
  <c r="T23" i="23" s="1"/>
  <c r="AJ24" i="18"/>
  <c r="D42" i="5"/>
  <c r="Y49" i="18"/>
  <c r="Y51" i="18"/>
  <c r="Y50" i="18"/>
  <c r="Y52" i="18"/>
  <c r="AH32" i="18"/>
  <c r="P29" i="23"/>
  <c r="O26" i="23"/>
  <c r="AG29" i="18"/>
  <c r="J31" i="23"/>
  <c r="M31" i="23" s="1"/>
  <c r="N14" i="18"/>
  <c r="O14" i="18" s="1"/>
  <c r="AC14" i="18"/>
  <c r="AB14" i="18"/>
  <c r="AA33" i="18"/>
  <c r="AC17" i="18"/>
  <c r="AB17" i="18"/>
  <c r="N17" i="18"/>
  <c r="O17" i="18" s="1"/>
  <c r="AJ27" i="18"/>
  <c r="AJ26" i="18"/>
  <c r="AH31" i="18"/>
  <c r="P28" i="23"/>
  <c r="AD16" i="18" l="1"/>
  <c r="AF16" i="18" s="1"/>
  <c r="AD14" i="18"/>
  <c r="AF14" i="18" s="1"/>
  <c r="AG14" i="18" s="1"/>
  <c r="AD17" i="18"/>
  <c r="AF17" i="18" s="1"/>
  <c r="AG17" i="18" s="1"/>
  <c r="AI32" i="18"/>
  <c r="R29" i="23" s="1"/>
  <c r="Q29" i="23"/>
  <c r="O13" i="23"/>
  <c r="AG16" i="18"/>
  <c r="AH29" i="18"/>
  <c r="P26" i="23"/>
  <c r="Q14" i="18"/>
  <c r="P14" i="18"/>
  <c r="H47" i="23"/>
  <c r="S21" i="23"/>
  <c r="T21" i="23" s="1"/>
  <c r="Q17" i="18"/>
  <c r="P17" i="18"/>
  <c r="AB33" i="18"/>
  <c r="N33" i="18"/>
  <c r="O33" i="18" s="1"/>
  <c r="AC33" i="18"/>
  <c r="H48" i="23"/>
  <c r="AI31" i="18"/>
  <c r="R28" i="23" s="1"/>
  <c r="Q28" i="23"/>
  <c r="H46" i="23"/>
  <c r="AC34" i="18"/>
  <c r="AB34" i="18"/>
  <c r="N34" i="18"/>
  <c r="O34" i="18" s="1"/>
  <c r="H49" i="23"/>
  <c r="D43" i="5"/>
  <c r="Y48" i="18"/>
  <c r="Y46" i="18"/>
  <c r="Z50" i="18"/>
  <c r="I47" i="23" s="1"/>
  <c r="Z52" i="18"/>
  <c r="I49" i="23" s="1"/>
  <c r="Y47" i="18"/>
  <c r="Z49" i="18"/>
  <c r="I46" i="23" s="1"/>
  <c r="Z51" i="18"/>
  <c r="I48" i="23" s="1"/>
  <c r="Y13" i="18"/>
  <c r="Q16" i="18"/>
  <c r="P16" i="18"/>
  <c r="O11" i="23" l="1"/>
  <c r="AJ32" i="18"/>
  <c r="S29" i="23"/>
  <c r="T29" i="23" s="1"/>
  <c r="AD34" i="18"/>
  <c r="AF34" i="18" s="1"/>
  <c r="O14" i="23"/>
  <c r="J46" i="23"/>
  <c r="M46" i="23" s="1"/>
  <c r="AA51" i="18"/>
  <c r="AB51" i="18" s="1"/>
  <c r="AA50" i="18"/>
  <c r="N50" i="18" s="1"/>
  <c r="O50" i="18" s="1"/>
  <c r="AJ31" i="18"/>
  <c r="H44" i="23"/>
  <c r="N51" i="18"/>
  <c r="O51" i="18" s="1"/>
  <c r="AB50" i="18"/>
  <c r="AH17" i="18"/>
  <c r="P14" i="23"/>
  <c r="AA52" i="18"/>
  <c r="AD33" i="18"/>
  <c r="AF33" i="18" s="1"/>
  <c r="AH14" i="18"/>
  <c r="P11" i="23"/>
  <c r="H43" i="23"/>
  <c r="J49" i="23"/>
  <c r="M49" i="23" s="1"/>
  <c r="AA49" i="18"/>
  <c r="S28" i="23"/>
  <c r="T28" i="23" s="1"/>
  <c r="P33" i="18"/>
  <c r="Q33" i="18"/>
  <c r="AH16" i="18"/>
  <c r="P13" i="23"/>
  <c r="H45" i="23"/>
  <c r="Q34" i="18"/>
  <c r="P34" i="18"/>
  <c r="H10" i="23"/>
  <c r="D44" i="5"/>
  <c r="Z13" i="18"/>
  <c r="I10" i="23" s="1"/>
  <c r="Z46" i="18"/>
  <c r="I43" i="23" s="1"/>
  <c r="Y53" i="18"/>
  <c r="Z47" i="18"/>
  <c r="I44" i="23" s="1"/>
  <c r="Z48" i="18"/>
  <c r="I45" i="23" s="1"/>
  <c r="AG34" i="18"/>
  <c r="O31" i="23"/>
  <c r="J48" i="23"/>
  <c r="M48" i="23" s="1"/>
  <c r="J47" i="23"/>
  <c r="M47" i="23" s="1"/>
  <c r="AI29" i="18"/>
  <c r="R26" i="23" s="1"/>
  <c r="Q26" i="23"/>
  <c r="AC50" i="18" l="1"/>
  <c r="AC51" i="18"/>
  <c r="AD51" i="18" s="1"/>
  <c r="AF51" i="18" s="1"/>
  <c r="AJ29" i="18"/>
  <c r="S26" i="23"/>
  <c r="T26" i="23" s="1"/>
  <c r="J10" i="23"/>
  <c r="M10" i="23" s="1"/>
  <c r="AA47" i="18"/>
  <c r="N47" i="18" s="1"/>
  <c r="O47" i="18" s="1"/>
  <c r="J45" i="23"/>
  <c r="M45" i="23" s="1"/>
  <c r="AI14" i="18"/>
  <c r="R11" i="23" s="1"/>
  <c r="Q11" i="23"/>
  <c r="AI17" i="18"/>
  <c r="R14" i="23" s="1"/>
  <c r="Q14" i="23"/>
  <c r="D45" i="5"/>
  <c r="Z53" i="18"/>
  <c r="I50" i="23" s="1"/>
  <c r="J43" i="23"/>
  <c r="M43" i="23" s="1"/>
  <c r="AC52" i="18"/>
  <c r="AB52" i="18"/>
  <c r="N52" i="18"/>
  <c r="O52" i="18" s="1"/>
  <c r="Q50" i="18"/>
  <c r="P50" i="18"/>
  <c r="H50" i="23"/>
  <c r="AA13" i="18"/>
  <c r="AA48" i="18"/>
  <c r="Q13" i="23"/>
  <c r="AI16" i="18"/>
  <c r="R13" i="23" s="1"/>
  <c r="AC49" i="18"/>
  <c r="N49" i="18"/>
  <c r="O49" i="18" s="1"/>
  <c r="AB49" i="18"/>
  <c r="AD50" i="18"/>
  <c r="AF50" i="18" s="1"/>
  <c r="Q51" i="18"/>
  <c r="P51" i="18"/>
  <c r="AH34" i="18"/>
  <c r="P31" i="23"/>
  <c r="AA46" i="18"/>
  <c r="O30" i="23"/>
  <c r="AG33" i="18"/>
  <c r="J44" i="23"/>
  <c r="M44" i="23" s="1"/>
  <c r="AB47" i="18" l="1"/>
  <c r="AD49" i="18"/>
  <c r="AF49" i="18" s="1"/>
  <c r="AJ14" i="18"/>
  <c r="AJ17" i="18"/>
  <c r="AC47" i="18"/>
  <c r="AD47" i="18" s="1"/>
  <c r="AF47" i="18" s="1"/>
  <c r="AJ16" i="18"/>
  <c r="J50" i="23"/>
  <c r="M50" i="23" s="1"/>
  <c r="S13" i="23"/>
  <c r="T13" i="23" s="1"/>
  <c r="O47" i="23"/>
  <c r="AG50" i="18"/>
  <c r="P49" i="18"/>
  <c r="Q49" i="18"/>
  <c r="Q52" i="18"/>
  <c r="P52" i="18"/>
  <c r="P30" i="23"/>
  <c r="AH33" i="18"/>
  <c r="AB48" i="18"/>
  <c r="AC48" i="18"/>
  <c r="N48" i="18"/>
  <c r="O48" i="18" s="1"/>
  <c r="AG51" i="18"/>
  <c r="O48" i="23"/>
  <c r="AD52" i="18"/>
  <c r="AF52" i="18" s="1"/>
  <c r="D46" i="5"/>
  <c r="Y45" i="18"/>
  <c r="S14" i="23"/>
  <c r="T14" i="23" s="1"/>
  <c r="S11" i="23"/>
  <c r="T11" i="23" s="1"/>
  <c r="Q31" i="23"/>
  <c r="AI34" i="18"/>
  <c r="R31" i="23" s="1"/>
  <c r="S31" i="23" s="1"/>
  <c r="T31" i="23" s="1"/>
  <c r="AC13" i="18"/>
  <c r="AB13" i="18"/>
  <c r="N13" i="18"/>
  <c r="O13" i="18" s="1"/>
  <c r="Q47" i="18"/>
  <c r="P47" i="18"/>
  <c r="AB46" i="18"/>
  <c r="AC46" i="18"/>
  <c r="N46" i="18"/>
  <c r="O46" i="18" s="1"/>
  <c r="O46" i="23"/>
  <c r="AG49" i="18"/>
  <c r="AA53" i="18"/>
  <c r="AD13" i="18" l="1"/>
  <c r="AF13" i="18" s="1"/>
  <c r="O10" i="23" s="1"/>
  <c r="Q13" i="18"/>
  <c r="P13" i="18"/>
  <c r="D47" i="5"/>
  <c r="Y22" i="18"/>
  <c r="Y43" i="18"/>
  <c r="Y19" i="18"/>
  <c r="Y44" i="18"/>
  <c r="Y21" i="18"/>
  <c r="Z45" i="18"/>
  <c r="I42" i="23" s="1"/>
  <c r="P48" i="23"/>
  <c r="AH51" i="18"/>
  <c r="AI33" i="18"/>
  <c r="R30" i="23" s="1"/>
  <c r="Q30" i="23"/>
  <c r="AJ34" i="18"/>
  <c r="P46" i="23"/>
  <c r="AH49" i="18"/>
  <c r="AD46" i="18"/>
  <c r="AF46" i="18" s="1"/>
  <c r="AG13" i="18"/>
  <c r="O49" i="23"/>
  <c r="AG52" i="18"/>
  <c r="P48" i="18"/>
  <c r="Q48" i="18"/>
  <c r="O44" i="23"/>
  <c r="AG47" i="18"/>
  <c r="AD48" i="18"/>
  <c r="AF48" i="18" s="1"/>
  <c r="AC53" i="18"/>
  <c r="AB53" i="18"/>
  <c r="N53" i="18"/>
  <c r="O53" i="18" s="1"/>
  <c r="Q46" i="18"/>
  <c r="P46" i="18"/>
  <c r="H42" i="23"/>
  <c r="AH50" i="18"/>
  <c r="P47" i="23"/>
  <c r="S30" i="23" l="1"/>
  <c r="T30" i="23" s="1"/>
  <c r="J42" i="23"/>
  <c r="M42" i="23" s="1"/>
  <c r="AA45" i="18"/>
  <c r="AC45" i="18" s="1"/>
  <c r="AJ33" i="18"/>
  <c r="AD53" i="18"/>
  <c r="AF53" i="18" s="1"/>
  <c r="AG53" i="18" s="1"/>
  <c r="H41" i="23"/>
  <c r="Q46" i="23"/>
  <c r="AI49" i="18"/>
  <c r="R46" i="23" s="1"/>
  <c r="H16" i="23"/>
  <c r="Q47" i="23"/>
  <c r="AI50" i="18"/>
  <c r="R47" i="23" s="1"/>
  <c r="O45" i="23"/>
  <c r="AG48" i="18"/>
  <c r="AH47" i="18"/>
  <c r="P44" i="23"/>
  <c r="H40" i="23"/>
  <c r="O43" i="23"/>
  <c r="AG46" i="18"/>
  <c r="AI51" i="18"/>
  <c r="R48" i="23" s="1"/>
  <c r="Q48" i="23"/>
  <c r="D48" i="5"/>
  <c r="Z21" i="18"/>
  <c r="I18" i="23" s="1"/>
  <c r="Z44" i="18"/>
  <c r="I41" i="23" s="1"/>
  <c r="Z43" i="18"/>
  <c r="I40" i="23" s="1"/>
  <c r="Z22" i="18"/>
  <c r="I19" i="23" s="1"/>
  <c r="Z19" i="18"/>
  <c r="I16" i="23" s="1"/>
  <c r="AB45" i="18"/>
  <c r="N45" i="18"/>
  <c r="O45" i="18" s="1"/>
  <c r="P53" i="18"/>
  <c r="Q53" i="18"/>
  <c r="AH52" i="18"/>
  <c r="P49" i="23"/>
  <c r="AH13" i="18"/>
  <c r="P10" i="23"/>
  <c r="H18" i="23"/>
  <c r="H19" i="23"/>
  <c r="AA21" i="18" l="1"/>
  <c r="AJ50" i="18"/>
  <c r="AJ51" i="18"/>
  <c r="AJ49" i="18"/>
  <c r="J41" i="23"/>
  <c r="M41" i="23" s="1"/>
  <c r="O50" i="23"/>
  <c r="S46" i="23"/>
  <c r="T46" i="23" s="1"/>
  <c r="AA44" i="18"/>
  <c r="N21" i="18"/>
  <c r="O21" i="18" s="1"/>
  <c r="AC21" i="18"/>
  <c r="AB21" i="18"/>
  <c r="AH48" i="18"/>
  <c r="P45" i="23"/>
  <c r="J18" i="23"/>
  <c r="M18" i="23" s="1"/>
  <c r="AI52" i="18"/>
  <c r="R49" i="23" s="1"/>
  <c r="Q49" i="23"/>
  <c r="Q45" i="18"/>
  <c r="P45" i="18"/>
  <c r="D49" i="5"/>
  <c r="Y35" i="18"/>
  <c r="Y28" i="18"/>
  <c r="Y30" i="18"/>
  <c r="AH46" i="18"/>
  <c r="P43" i="23"/>
  <c r="AH53" i="18"/>
  <c r="P50" i="23"/>
  <c r="J16" i="23"/>
  <c r="M16" i="23" s="1"/>
  <c r="N44" i="18"/>
  <c r="O44" i="18" s="1"/>
  <c r="AC44" i="18"/>
  <c r="AB44" i="18"/>
  <c r="AA22" i="18"/>
  <c r="AA43" i="18"/>
  <c r="AI47" i="18"/>
  <c r="R44" i="23" s="1"/>
  <c r="Q44" i="23"/>
  <c r="J19" i="23"/>
  <c r="M19" i="23" s="1"/>
  <c r="AI13" i="18"/>
  <c r="R10" i="23" s="1"/>
  <c r="Q10" i="23"/>
  <c r="S10" i="23" s="1"/>
  <c r="T10" i="23" s="1"/>
  <c r="AD45" i="18"/>
  <c r="AF45" i="18" s="1"/>
  <c r="S48" i="23"/>
  <c r="T48" i="23" s="1"/>
  <c r="J40" i="23"/>
  <c r="M40" i="23" s="1"/>
  <c r="S47" i="23"/>
  <c r="T47" i="23" s="1"/>
  <c r="AA19" i="18"/>
  <c r="AJ52" i="18"/>
  <c r="AJ13" i="18" l="1"/>
  <c r="AJ47" i="18"/>
  <c r="AD21" i="18"/>
  <c r="AF21" i="18" s="1"/>
  <c r="AC43" i="18"/>
  <c r="AB43" i="18"/>
  <c r="N43" i="18"/>
  <c r="O43" i="18" s="1"/>
  <c r="N19" i="18"/>
  <c r="O19" i="18" s="1"/>
  <c r="AC19" i="18"/>
  <c r="AB19" i="18"/>
  <c r="O42" i="23"/>
  <c r="AG45" i="18"/>
  <c r="Q44" i="18"/>
  <c r="P44" i="18"/>
  <c r="H32" i="23"/>
  <c r="AI48" i="18"/>
  <c r="Q45" i="23"/>
  <c r="AC22" i="18"/>
  <c r="N22" i="18"/>
  <c r="O22" i="18" s="1"/>
  <c r="AB22" i="18"/>
  <c r="Q43" i="23"/>
  <c r="AI46" i="18"/>
  <c r="R43" i="23" s="1"/>
  <c r="D50" i="5"/>
  <c r="Z28" i="18"/>
  <c r="I25" i="23" s="1"/>
  <c r="Y9" i="18"/>
  <c r="Y12" i="18"/>
  <c r="Z30" i="18"/>
  <c r="I27" i="23" s="1"/>
  <c r="Z35" i="18"/>
  <c r="I32" i="23" s="1"/>
  <c r="Y25" i="18"/>
  <c r="S49" i="23"/>
  <c r="T49" i="23" s="1"/>
  <c r="O18" i="23"/>
  <c r="AG21" i="18"/>
  <c r="S44" i="23"/>
  <c r="T44" i="23" s="1"/>
  <c r="AD44" i="18"/>
  <c r="AF44" i="18" s="1"/>
  <c r="H27" i="23"/>
  <c r="J27" i="23" s="1"/>
  <c r="M27" i="23" s="1"/>
  <c r="AI53" i="18"/>
  <c r="R50" i="23" s="1"/>
  <c r="Q50" i="23"/>
  <c r="H25" i="23"/>
  <c r="AA28" i="18"/>
  <c r="Q21" i="18"/>
  <c r="P21" i="18"/>
  <c r="J25" i="23" l="1"/>
  <c r="M25" i="23" s="1"/>
  <c r="AJ46" i="18"/>
  <c r="AA35" i="18"/>
  <c r="AA30" i="18"/>
  <c r="S43" i="23"/>
  <c r="T43" i="23" s="1"/>
  <c r="P18" i="23"/>
  <c r="AH21" i="18"/>
  <c r="Q43" i="18"/>
  <c r="P43" i="18"/>
  <c r="S50" i="23"/>
  <c r="T50" i="23" s="1"/>
  <c r="O41" i="23"/>
  <c r="AG44" i="18"/>
  <c r="D51" i="5"/>
  <c r="Z12" i="18"/>
  <c r="I9" i="23" s="1"/>
  <c r="Z9" i="18"/>
  <c r="Y57" i="18"/>
  <c r="Y54" i="18"/>
  <c r="Y55" i="18"/>
  <c r="Y56" i="18"/>
  <c r="Z25" i="18"/>
  <c r="I22" i="23" s="1"/>
  <c r="AD22" i="18"/>
  <c r="AF22" i="18" s="1"/>
  <c r="R45" i="23"/>
  <c r="S45" i="23" s="1"/>
  <c r="T45" i="23" s="1"/>
  <c r="AJ48" i="18"/>
  <c r="AD19" i="18"/>
  <c r="AF19" i="18" s="1"/>
  <c r="AD43" i="18"/>
  <c r="AF43" i="18" s="1"/>
  <c r="H9" i="23"/>
  <c r="J9" i="23" s="1"/>
  <c r="M9" i="23" s="1"/>
  <c r="AA12" i="18"/>
  <c r="P22" i="18"/>
  <c r="Q22" i="18"/>
  <c r="N35" i="18"/>
  <c r="O35" i="18" s="1"/>
  <c r="AB35" i="18"/>
  <c r="AC35" i="18"/>
  <c r="AB28" i="18"/>
  <c r="AC28" i="18"/>
  <c r="N28" i="18"/>
  <c r="O28" i="18" s="1"/>
  <c r="AB30" i="18"/>
  <c r="AC30" i="18"/>
  <c r="N30" i="18"/>
  <c r="O30" i="18" s="1"/>
  <c r="H22" i="23"/>
  <c r="J22" i="23" s="1"/>
  <c r="M22" i="23" s="1"/>
  <c r="AA25" i="18"/>
  <c r="H6" i="23"/>
  <c r="AA9" i="18"/>
  <c r="J32" i="23"/>
  <c r="M32" i="23" s="1"/>
  <c r="AH45" i="18"/>
  <c r="P42" i="23"/>
  <c r="Q19" i="18"/>
  <c r="P19" i="18"/>
  <c r="AJ53" i="18"/>
  <c r="AD30" i="18" l="1"/>
  <c r="AF30" i="18" s="1"/>
  <c r="AB25" i="18"/>
  <c r="N25" i="18"/>
  <c r="O25" i="18" s="1"/>
  <c r="AC25" i="18"/>
  <c r="H51" i="23"/>
  <c r="AI21" i="18"/>
  <c r="R18" i="23" s="1"/>
  <c r="Q18" i="23"/>
  <c r="AC9" i="18"/>
  <c r="N9" i="18"/>
  <c r="AB9" i="18"/>
  <c r="AJ21" i="18"/>
  <c r="Q28" i="18"/>
  <c r="P28" i="18"/>
  <c r="AD35" i="18"/>
  <c r="AF35" i="18" s="1"/>
  <c r="N12" i="18"/>
  <c r="O12" i="18" s="1"/>
  <c r="AB12" i="18"/>
  <c r="AC12" i="18"/>
  <c r="H53" i="23"/>
  <c r="I6" i="23"/>
  <c r="AH44" i="18"/>
  <c r="P41" i="23"/>
  <c r="AI45" i="18"/>
  <c r="R42" i="23" s="1"/>
  <c r="Q42" i="23"/>
  <c r="P30" i="18"/>
  <c r="Q30" i="18"/>
  <c r="AD28" i="18"/>
  <c r="AF28" i="18" s="1"/>
  <c r="Q35" i="18"/>
  <c r="P35" i="18"/>
  <c r="H52" i="23"/>
  <c r="O27" i="23"/>
  <c r="AG30" i="18"/>
  <c r="O40" i="23"/>
  <c r="AG43" i="18"/>
  <c r="O19" i="23"/>
  <c r="AG22" i="18"/>
  <c r="D52" i="5"/>
  <c r="Z54" i="18"/>
  <c r="I51" i="23" s="1"/>
  <c r="Z55" i="18"/>
  <c r="I52" i="23" s="1"/>
  <c r="Z57" i="18"/>
  <c r="I54" i="23" s="1"/>
  <c r="Z56" i="18"/>
  <c r="I53" i="23" s="1"/>
  <c r="AG19" i="18"/>
  <c r="O16" i="23"/>
  <c r="H54" i="23"/>
  <c r="AD12" i="18" l="1"/>
  <c r="AF12" i="18" s="1"/>
  <c r="O9" i="23" s="1"/>
  <c r="S42" i="23"/>
  <c r="T42" i="23" s="1"/>
  <c r="AA56" i="18"/>
  <c r="AB56" i="18" s="1"/>
  <c r="J53" i="23"/>
  <c r="M53" i="23" s="1"/>
  <c r="AD25" i="18"/>
  <c r="AF25" i="18" s="1"/>
  <c r="O22" i="23" s="1"/>
  <c r="P40" i="23"/>
  <c r="AH43" i="18"/>
  <c r="AA57" i="18"/>
  <c r="AH19" i="18"/>
  <c r="P16" i="23"/>
  <c r="J52" i="23"/>
  <c r="M52" i="23" s="1"/>
  <c r="AJ45" i="18"/>
  <c r="Q41" i="23"/>
  <c r="AI44" i="18"/>
  <c r="R41" i="23" s="1"/>
  <c r="AG35" i="18"/>
  <c r="O32" i="23"/>
  <c r="J54" i="23"/>
  <c r="M54" i="23" s="1"/>
  <c r="D53" i="5"/>
  <c r="Y60" i="18"/>
  <c r="Y59" i="18"/>
  <c r="P27" i="23"/>
  <c r="AH30" i="18"/>
  <c r="AD9" i="18"/>
  <c r="S18" i="23"/>
  <c r="T18" i="23" s="1"/>
  <c r="Q25" i="18"/>
  <c r="P25" i="18"/>
  <c r="AG12" i="18"/>
  <c r="O9" i="18"/>
  <c r="AA54" i="18"/>
  <c r="AG25" i="18"/>
  <c r="AH22" i="18"/>
  <c r="P19" i="23"/>
  <c r="AA55" i="18"/>
  <c r="O25" i="23"/>
  <c r="AG28" i="18"/>
  <c r="J6" i="23"/>
  <c r="N56" i="18"/>
  <c r="O56" i="18" s="1"/>
  <c r="AC56" i="18"/>
  <c r="Q12" i="18"/>
  <c r="P12" i="18"/>
  <c r="J51" i="23"/>
  <c r="M51" i="23" s="1"/>
  <c r="AJ44" i="18" l="1"/>
  <c r="AD56" i="18"/>
  <c r="AF56" i="18" s="1"/>
  <c r="O53" i="23" s="1"/>
  <c r="AH25" i="18"/>
  <c r="P22" i="23"/>
  <c r="Q9" i="18"/>
  <c r="P9" i="18"/>
  <c r="Q56" i="18"/>
  <c r="P56" i="18"/>
  <c r="AH28" i="18"/>
  <c r="P25" i="23"/>
  <c r="AI22" i="18"/>
  <c r="R19" i="23" s="1"/>
  <c r="Q19" i="23"/>
  <c r="AF9" i="18"/>
  <c r="H56" i="23"/>
  <c r="S41" i="23"/>
  <c r="T41" i="23" s="1"/>
  <c r="AI43" i="18"/>
  <c r="Q40" i="23"/>
  <c r="M6" i="23"/>
  <c r="AC55" i="18"/>
  <c r="AB55" i="18"/>
  <c r="N55" i="18"/>
  <c r="O55" i="18" s="1"/>
  <c r="D54" i="5"/>
  <c r="Z59" i="18"/>
  <c r="I56" i="23" s="1"/>
  <c r="Z60" i="18"/>
  <c r="I57" i="23" s="1"/>
  <c r="AH35" i="18"/>
  <c r="P32" i="23"/>
  <c r="N57" i="18"/>
  <c r="O57" i="18" s="1"/>
  <c r="AC57" i="18"/>
  <c r="AB57" i="18"/>
  <c r="N54" i="18"/>
  <c r="O54" i="18" s="1"/>
  <c r="AB54" i="18"/>
  <c r="AC54" i="18"/>
  <c r="AH12" i="18"/>
  <c r="P9" i="23"/>
  <c r="AI30" i="18"/>
  <c r="R27" i="23" s="1"/>
  <c r="Q27" i="23"/>
  <c r="H57" i="23"/>
  <c r="AI19" i="18"/>
  <c r="R16" i="23" s="1"/>
  <c r="Q16" i="23"/>
  <c r="S27" i="23" l="1"/>
  <c r="T27" i="23" s="1"/>
  <c r="AG56" i="18"/>
  <c r="AA60" i="18"/>
  <c r="AC60" i="18" s="1"/>
  <c r="AJ19" i="18"/>
  <c r="J57" i="23"/>
  <c r="M57" i="23" s="1"/>
  <c r="AD57" i="18"/>
  <c r="AF57" i="18" s="1"/>
  <c r="AJ22" i="18"/>
  <c r="R40" i="23"/>
  <c r="S40" i="23" s="1"/>
  <c r="T40" i="23" s="1"/>
  <c r="AJ43" i="18"/>
  <c r="S19" i="23"/>
  <c r="T19" i="23" s="1"/>
  <c r="S16" i="23"/>
  <c r="T16" i="23" s="1"/>
  <c r="AJ30" i="18"/>
  <c r="AI12" i="18"/>
  <c r="Q9" i="23"/>
  <c r="Y58" i="18"/>
  <c r="Y61" i="18"/>
  <c r="D55" i="5"/>
  <c r="O6" i="23"/>
  <c r="AG9" i="18"/>
  <c r="AI25" i="18"/>
  <c r="Q22" i="23"/>
  <c r="Q54" i="18"/>
  <c r="P54" i="18"/>
  <c r="Q57" i="18"/>
  <c r="P57" i="18"/>
  <c r="AG57" i="18"/>
  <c r="O54" i="23"/>
  <c r="AI35" i="18"/>
  <c r="R32" i="23" s="1"/>
  <c r="Q32" i="23"/>
  <c r="P55" i="18"/>
  <c r="Q55" i="18"/>
  <c r="AA59" i="18"/>
  <c r="AI28" i="18"/>
  <c r="R25" i="23" s="1"/>
  <c r="Q25" i="23"/>
  <c r="S25" i="23" s="1"/>
  <c r="T25" i="23" s="1"/>
  <c r="AJ28" i="18"/>
  <c r="N60" i="18"/>
  <c r="O60" i="18" s="1"/>
  <c r="AD54" i="18"/>
  <c r="AF54" i="18" s="1"/>
  <c r="AD55" i="18"/>
  <c r="AF55" i="18" s="1"/>
  <c r="J56" i="23"/>
  <c r="M56" i="23" s="1"/>
  <c r="AH56" i="18"/>
  <c r="P53" i="23"/>
  <c r="AB60" i="18" l="1"/>
  <c r="H58" i="23"/>
  <c r="O52" i="23"/>
  <c r="AG55" i="18"/>
  <c r="P60" i="18"/>
  <c r="Q60" i="18"/>
  <c r="R22" i="23"/>
  <c r="S22" i="23" s="1"/>
  <c r="T22" i="23" s="1"/>
  <c r="AH9" i="18"/>
  <c r="P6" i="23"/>
  <c r="H55" i="23"/>
  <c r="AI56" i="18"/>
  <c r="R53" i="23" s="1"/>
  <c r="Q53" i="23"/>
  <c r="O51" i="23"/>
  <c r="AG54" i="18"/>
  <c r="AC59" i="18"/>
  <c r="AB59" i="18"/>
  <c r="N59" i="18"/>
  <c r="O59" i="18" s="1"/>
  <c r="AH57" i="18"/>
  <c r="P54" i="23"/>
  <c r="AD60" i="18"/>
  <c r="AF60" i="18" s="1"/>
  <c r="S32" i="23"/>
  <c r="T32" i="23" s="1"/>
  <c r="AJ25" i="18"/>
  <c r="D56" i="5"/>
  <c r="Z58" i="18"/>
  <c r="I55" i="23" s="1"/>
  <c r="Z61" i="18"/>
  <c r="I58" i="23" s="1"/>
  <c r="R9" i="23"/>
  <c r="S9" i="23" s="1"/>
  <c r="T9" i="23" s="1"/>
  <c r="AJ12" i="18"/>
  <c r="AJ35" i="18"/>
  <c r="S53" i="23" l="1"/>
  <c r="T53" i="23" s="1"/>
  <c r="AJ56" i="18"/>
  <c r="AA58" i="18"/>
  <c r="AI9" i="18"/>
  <c r="AJ9" i="18" s="1"/>
  <c r="Q6" i="23"/>
  <c r="D57" i="5"/>
  <c r="Y10" i="18"/>
  <c r="Y11" i="18"/>
  <c r="AG60" i="18"/>
  <c r="O57" i="23"/>
  <c r="AI57" i="18"/>
  <c r="R54" i="23" s="1"/>
  <c r="Q54" i="23"/>
  <c r="J55" i="23"/>
  <c r="M55" i="23" s="1"/>
  <c r="AA61" i="18"/>
  <c r="P59" i="18"/>
  <c r="Q59" i="18"/>
  <c r="AH54" i="18"/>
  <c r="P51" i="23"/>
  <c r="J58" i="23"/>
  <c r="M58" i="23" s="1"/>
  <c r="AD59" i="18"/>
  <c r="AF59" i="18" s="1"/>
  <c r="P52" i="23"/>
  <c r="AH55" i="18"/>
  <c r="S54" i="23" l="1"/>
  <c r="T54" i="23" s="1"/>
  <c r="AJ57" i="18"/>
  <c r="AI55" i="18"/>
  <c r="R52" i="23" s="1"/>
  <c r="Q52" i="23"/>
  <c r="Z10" i="18"/>
  <c r="AA10" i="18" s="1"/>
  <c r="Y42" i="18"/>
  <c r="Z11" i="18"/>
  <c r="I8" i="23" s="1"/>
  <c r="Y41" i="18"/>
  <c r="D58" i="5"/>
  <c r="AC58" i="18"/>
  <c r="AB58" i="18"/>
  <c r="N58" i="18"/>
  <c r="O58" i="18" s="1"/>
  <c r="AH60" i="18"/>
  <c r="P57" i="23"/>
  <c r="AJ55" i="18"/>
  <c r="O56" i="23"/>
  <c r="AG59" i="18"/>
  <c r="Q51" i="23"/>
  <c r="AI54" i="18"/>
  <c r="R51" i="23" s="1"/>
  <c r="AC61" i="18"/>
  <c r="AB61" i="18"/>
  <c r="N61" i="18"/>
  <c r="O61" i="18" s="1"/>
  <c r="H8" i="23"/>
  <c r="H7" i="23"/>
  <c r="R6" i="23"/>
  <c r="AD61" i="18" l="1"/>
  <c r="AF61" i="18" s="1"/>
  <c r="O58" i="23" s="1"/>
  <c r="S51" i="23"/>
  <c r="T51" i="23" s="1"/>
  <c r="H39" i="23"/>
  <c r="S52" i="23"/>
  <c r="T52" i="23" s="1"/>
  <c r="P61" i="18"/>
  <c r="Q61" i="18"/>
  <c r="Q58" i="18"/>
  <c r="P58" i="18"/>
  <c r="H38" i="23"/>
  <c r="S6" i="23"/>
  <c r="AD58" i="18"/>
  <c r="AF58" i="18" s="1"/>
  <c r="AA11" i="18"/>
  <c r="AC10" i="18"/>
  <c r="AB10" i="18"/>
  <c r="N10" i="18"/>
  <c r="J8" i="23"/>
  <c r="M8" i="23" s="1"/>
  <c r="AJ54" i="18"/>
  <c r="P56" i="23"/>
  <c r="AH59" i="18"/>
  <c r="AI60" i="18"/>
  <c r="R57" i="23" s="1"/>
  <c r="Q57" i="23"/>
  <c r="S57" i="23" s="1"/>
  <c r="T57" i="23" s="1"/>
  <c r="Z42" i="18"/>
  <c r="I39" i="23" s="1"/>
  <c r="Z41" i="18"/>
  <c r="I38" i="23" s="1"/>
  <c r="D59" i="5"/>
  <c r="I7" i="23"/>
  <c r="J7" i="23" s="1"/>
  <c r="AG61" i="18" l="1"/>
  <c r="AH61" i="18" s="1"/>
  <c r="J39" i="23"/>
  <c r="M39" i="23" s="1"/>
  <c r="AA41" i="18"/>
  <c r="AI59" i="18"/>
  <c r="R56" i="23" s="1"/>
  <c r="Q56" i="23"/>
  <c r="AC11" i="18"/>
  <c r="N11" i="18"/>
  <c r="O11" i="18" s="1"/>
  <c r="AB11" i="18"/>
  <c r="J38" i="23"/>
  <c r="M38" i="23" s="1"/>
  <c r="AA42" i="18"/>
  <c r="D60" i="5"/>
  <c r="Y23" i="18"/>
  <c r="Y40" i="18"/>
  <c r="Y38" i="18"/>
  <c r="Y18" i="18"/>
  <c r="AD10" i="18"/>
  <c r="M7" i="23"/>
  <c r="AJ60" i="18"/>
  <c r="O10" i="18"/>
  <c r="O55" i="23"/>
  <c r="AG58" i="18"/>
  <c r="T6" i="23"/>
  <c r="S56" i="23" l="1"/>
  <c r="T56" i="23" s="1"/>
  <c r="P58" i="23"/>
  <c r="AD11" i="18"/>
  <c r="AF11" i="18" s="1"/>
  <c r="AF10" i="18"/>
  <c r="H15" i="23"/>
  <c r="D61" i="5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Z23" i="18"/>
  <c r="I20" i="23" s="1"/>
  <c r="Z38" i="18"/>
  <c r="I35" i="23" s="1"/>
  <c r="Z18" i="18"/>
  <c r="AA18" i="18" s="1"/>
  <c r="Z40" i="18"/>
  <c r="I37" i="23" s="1"/>
  <c r="Q11" i="18"/>
  <c r="P11" i="18"/>
  <c r="Q10" i="18"/>
  <c r="P10" i="18"/>
  <c r="H35" i="23"/>
  <c r="AA38" i="18"/>
  <c r="AC42" i="18"/>
  <c r="AB42" i="18"/>
  <c r="N42" i="18"/>
  <c r="O42" i="18" s="1"/>
  <c r="AB41" i="18"/>
  <c r="AC41" i="18"/>
  <c r="N41" i="18"/>
  <c r="O41" i="18" s="1"/>
  <c r="AH58" i="18"/>
  <c r="P55" i="23"/>
  <c r="H37" i="23"/>
  <c r="AJ59" i="18"/>
  <c r="H20" i="23"/>
  <c r="O8" i="23"/>
  <c r="AG11" i="18"/>
  <c r="AI61" i="18"/>
  <c r="R58" i="23" s="1"/>
  <c r="Q58" i="23"/>
  <c r="J20" i="23" l="1"/>
  <c r="M20" i="23" s="1"/>
  <c r="S58" i="23"/>
  <c r="T58" i="23" s="1"/>
  <c r="J37" i="23"/>
  <c r="M37" i="23" s="1"/>
  <c r="AD41" i="18"/>
  <c r="AF41" i="18" s="1"/>
  <c r="O38" i="23" s="1"/>
  <c r="AJ61" i="18"/>
  <c r="AH11" i="18"/>
  <c r="P8" i="23"/>
  <c r="AC38" i="18"/>
  <c r="AB38" i="18"/>
  <c r="N38" i="18"/>
  <c r="O38" i="18" s="1"/>
  <c r="D73" i="5"/>
  <c r="Y36" i="18"/>
  <c r="Y37" i="18"/>
  <c r="AA40" i="18"/>
  <c r="Q55" i="23"/>
  <c r="AI58" i="18"/>
  <c r="R55" i="23" s="1"/>
  <c r="S55" i="23" s="1"/>
  <c r="T55" i="23" s="1"/>
  <c r="AJ58" i="18"/>
  <c r="Q42" i="18"/>
  <c r="P42" i="18"/>
  <c r="J35" i="23"/>
  <c r="M35" i="23" s="1"/>
  <c r="I15" i="23"/>
  <c r="AA23" i="18"/>
  <c r="Q41" i="18"/>
  <c r="P41" i="18"/>
  <c r="AD42" i="18"/>
  <c r="AF42" i="18" s="1"/>
  <c r="N18" i="18"/>
  <c r="AB18" i="18"/>
  <c r="AC18" i="18"/>
  <c r="O7" i="23"/>
  <c r="AG10" i="18"/>
  <c r="AG41" i="18" l="1"/>
  <c r="H34" i="23"/>
  <c r="Q38" i="18"/>
  <c r="P38" i="18"/>
  <c r="AI11" i="18"/>
  <c r="R8" i="23" s="1"/>
  <c r="Q8" i="23"/>
  <c r="AJ11" i="18"/>
  <c r="O18" i="18"/>
  <c r="AC23" i="18"/>
  <c r="AB23" i="18"/>
  <c r="N23" i="18"/>
  <c r="O23" i="18" s="1"/>
  <c r="H33" i="23"/>
  <c r="Y63" i="18"/>
  <c r="AD38" i="18"/>
  <c r="AF38" i="18" s="1"/>
  <c r="AH41" i="18"/>
  <c r="P38" i="23"/>
  <c r="AB40" i="18"/>
  <c r="AC40" i="18"/>
  <c r="N40" i="18"/>
  <c r="O40" i="18" s="1"/>
  <c r="J15" i="23"/>
  <c r="AH10" i="18"/>
  <c r="P7" i="23"/>
  <c r="AD18" i="18"/>
  <c r="O39" i="23"/>
  <c r="AG42" i="18"/>
  <c r="Z36" i="18"/>
  <c r="AA36" i="18" s="1"/>
  <c r="Z37" i="18"/>
  <c r="I34" i="23" s="1"/>
  <c r="S8" i="23" l="1"/>
  <c r="T8" i="23" s="1"/>
  <c r="AD23" i="18"/>
  <c r="AF23" i="18" s="1"/>
  <c r="O20" i="23" s="1"/>
  <c r="AB36" i="18"/>
  <c r="AC36" i="18"/>
  <c r="AD36" i="18" s="1"/>
  <c r="AF36" i="18" s="1"/>
  <c r="AH42" i="18"/>
  <c r="P39" i="23"/>
  <c r="P40" i="18"/>
  <c r="Q40" i="18"/>
  <c r="H60" i="23"/>
  <c r="H64" i="23" s="1"/>
  <c r="AD40" i="18"/>
  <c r="AF40" i="18" s="1"/>
  <c r="Q38" i="23"/>
  <c r="AI41" i="18"/>
  <c r="R38" i="23" s="1"/>
  <c r="N63" i="18"/>
  <c r="AA37" i="18"/>
  <c r="AF18" i="18"/>
  <c r="M15" i="23"/>
  <c r="I33" i="23"/>
  <c r="I60" i="23" s="1"/>
  <c r="I64" i="23" s="1"/>
  <c r="Z63" i="18"/>
  <c r="AI10" i="18"/>
  <c r="Q7" i="23"/>
  <c r="O35" i="23"/>
  <c r="AG38" i="18"/>
  <c r="Q23" i="18"/>
  <c r="P23" i="18"/>
  <c r="Q18" i="18"/>
  <c r="P18" i="18"/>
  <c r="O63" i="18"/>
  <c r="J34" i="23"/>
  <c r="M34" i="23" s="1"/>
  <c r="Q63" i="18" l="1"/>
  <c r="AG23" i="18"/>
  <c r="O33" i="23"/>
  <c r="AG36" i="18"/>
  <c r="AH38" i="18"/>
  <c r="P35" i="23"/>
  <c r="AG18" i="18"/>
  <c r="O15" i="23"/>
  <c r="R7" i="23"/>
  <c r="AB37" i="18"/>
  <c r="AB63" i="18" s="1"/>
  <c r="AC37" i="18"/>
  <c r="AD37" i="18" s="1"/>
  <c r="AF37" i="18" s="1"/>
  <c r="AF63" i="18" s="1"/>
  <c r="S38" i="23"/>
  <c r="T38" i="23" s="1"/>
  <c r="J33" i="23"/>
  <c r="AI42" i="18"/>
  <c r="R39" i="23" s="1"/>
  <c r="Q39" i="23"/>
  <c r="AA63" i="18"/>
  <c r="AJ10" i="18"/>
  <c r="O37" i="23"/>
  <c r="AG40" i="18"/>
  <c r="P63" i="18"/>
  <c r="AJ41" i="18"/>
  <c r="AH23" i="18"/>
  <c r="P20" i="23"/>
  <c r="AJ42" i="18" l="1"/>
  <c r="S7" i="23"/>
  <c r="P33" i="23"/>
  <c r="AH36" i="18"/>
  <c r="AH18" i="18"/>
  <c r="P15" i="23"/>
  <c r="AI23" i="18"/>
  <c r="R20" i="23" s="1"/>
  <c r="Q20" i="23"/>
  <c r="O34" i="23"/>
  <c r="AG37" i="18"/>
  <c r="AG63" i="18" s="1"/>
  <c r="S39" i="23"/>
  <c r="T39" i="23" s="1"/>
  <c r="AD63" i="18"/>
  <c r="P37" i="23"/>
  <c r="AH40" i="18"/>
  <c r="M33" i="23"/>
  <c r="M60" i="23" s="1"/>
  <c r="M64" i="23" s="1"/>
  <c r="J60" i="23"/>
  <c r="J64" i="23" s="1"/>
  <c r="O60" i="23"/>
  <c r="O64" i="23" s="1"/>
  <c r="AI38" i="18"/>
  <c r="Q35" i="23"/>
  <c r="AJ23" i="18" l="1"/>
  <c r="AI40" i="18"/>
  <c r="R37" i="23" s="1"/>
  <c r="Q37" i="23"/>
  <c r="S37" i="23" s="1"/>
  <c r="T37" i="23" s="1"/>
  <c r="Q15" i="23"/>
  <c r="AI18" i="18"/>
  <c r="AJ18" i="18" s="1"/>
  <c r="R35" i="23"/>
  <c r="S35" i="23" s="1"/>
  <c r="T35" i="23" s="1"/>
  <c r="AJ38" i="18"/>
  <c r="AH37" i="18"/>
  <c r="P34" i="23"/>
  <c r="P60" i="23" s="1"/>
  <c r="P64" i="23" s="1"/>
  <c r="S20" i="23"/>
  <c r="T20" i="23" s="1"/>
  <c r="T7" i="23"/>
  <c r="AI36" i="18"/>
  <c r="R33" i="23" s="1"/>
  <c r="Q33" i="23"/>
  <c r="AJ40" i="18" l="1"/>
  <c r="S33" i="23"/>
  <c r="T33" i="23" s="1"/>
  <c r="AI37" i="18"/>
  <c r="R34" i="23" s="1"/>
  <c r="Q34" i="23"/>
  <c r="AH63" i="18"/>
  <c r="AJ36" i="18"/>
  <c r="R15" i="23"/>
  <c r="Q60" i="23"/>
  <c r="Q64" i="23" s="1"/>
  <c r="AI63" i="18" l="1"/>
  <c r="AJ37" i="18"/>
  <c r="AJ63" i="18" s="1"/>
  <c r="R60" i="23"/>
  <c r="R64" i="23" s="1"/>
  <c r="S15" i="23"/>
  <c r="AI66" i="18"/>
  <c r="AI70" i="18" s="1"/>
  <c r="AJ70" i="18" s="1"/>
  <c r="S34" i="23"/>
  <c r="T34" i="23" s="1"/>
  <c r="T15" i="23" l="1"/>
  <c r="T60" i="23" s="1"/>
  <c r="T64" i="23" s="1"/>
  <c r="S60" i="23"/>
  <c r="S64" i="23" s="1"/>
</calcChain>
</file>

<file path=xl/sharedStrings.xml><?xml version="1.0" encoding="utf-8"?>
<sst xmlns="http://schemas.openxmlformats.org/spreadsheetml/2006/main" count="226" uniqueCount="138">
  <si>
    <t>Cost</t>
  </si>
  <si>
    <t>INFLATION FORECAST</t>
  </si>
  <si>
    <t>The U.S. Economy</t>
  </si>
  <si>
    <t>GLOBAL INSIGHT</t>
  </si>
  <si>
    <t>1st Yr</t>
  </si>
  <si>
    <t>Year</t>
  </si>
  <si>
    <t>2nd Yr</t>
  </si>
  <si>
    <t>YEAR</t>
  </si>
  <si>
    <t>Amount To Accrue</t>
  </si>
  <si>
    <t>Compounded Inflation</t>
  </si>
  <si>
    <t>PV of Amount to Accrue</t>
  </si>
  <si>
    <t>Prior Study</t>
  </si>
  <si>
    <t>Estimated 2017 Accrual</t>
  </si>
  <si>
    <t>Accrual Information</t>
  </si>
  <si>
    <t>Increase/decrease</t>
  </si>
  <si>
    <t>a</t>
  </si>
  <si>
    <t>Theoretical Reserve for Dismantlement</t>
  </si>
  <si>
    <t>Theoretical Reserve Surplus/(Deficiency)</t>
  </si>
  <si>
    <t>Surpluses</t>
  </si>
  <si>
    <t>Deficiencies</t>
  </si>
  <si>
    <t>Producer Price Index (Intermediate Materials)</t>
  </si>
  <si>
    <t>GDP Deflator (Implicit)</t>
  </si>
  <si>
    <t>METAL &amp; METAL PRODUCTS</t>
  </si>
  <si>
    <t xml:space="preserve"> </t>
  </si>
  <si>
    <t>ANNUAL</t>
  </si>
  <si>
    <t>COMPOUNDED</t>
  </si>
  <si>
    <t>RATE OF</t>
  </si>
  <si>
    <t>MULTIPLIER</t>
  </si>
  <si>
    <t>CHANGE</t>
  </si>
  <si>
    <t>Unit</t>
  </si>
  <si>
    <t>Babcock Solar **</t>
  </si>
  <si>
    <t>Cape Canaveral Unit 1 ***</t>
  </si>
  <si>
    <t>Cape Canaveral Common ***</t>
  </si>
  <si>
    <t>DeSoto Solar Energy Ctr</t>
  </si>
  <si>
    <t>DeSoto Solar **</t>
  </si>
  <si>
    <t>Ft. Lauderdale Common</t>
  </si>
  <si>
    <t>Ft. Lauderdale Gas Turbines</t>
  </si>
  <si>
    <t>Ft. Lauderdale Unit 4</t>
  </si>
  <si>
    <t>Ft. Lauderdale Unit 5</t>
  </si>
  <si>
    <t>Ft. Lauderdale Unit 6 **</t>
  </si>
  <si>
    <t>Ft. Myers Common</t>
  </si>
  <si>
    <t>Ft. Myers Unit 3</t>
  </si>
  <si>
    <t>Ft. Myers Unit 4 **</t>
  </si>
  <si>
    <t>Ft. Myers Gas Turbines</t>
  </si>
  <si>
    <t>Manatee Common</t>
  </si>
  <si>
    <t>Manatee Unit 1</t>
  </si>
  <si>
    <t>Manatee Unit 2</t>
  </si>
  <si>
    <t>Manatee Unit 3</t>
  </si>
  <si>
    <t>Manatee Solar **</t>
  </si>
  <si>
    <t>Martin Common</t>
  </si>
  <si>
    <t>Martin Unit 1</t>
  </si>
  <si>
    <t>Martin Unit 2</t>
  </si>
  <si>
    <t>Martin Unit 3</t>
  </si>
  <si>
    <t>Martin Unit 4</t>
  </si>
  <si>
    <t>Martin Unit 8</t>
  </si>
  <si>
    <t>Martin Solar</t>
  </si>
  <si>
    <t>Okeechobee Common **</t>
  </si>
  <si>
    <t>Okeechobee Unit 1 **</t>
  </si>
  <si>
    <t>Port Everglades Common ***</t>
  </si>
  <si>
    <t>Port Everglades Unit 5 ***</t>
  </si>
  <si>
    <t>Port Everglades GTs</t>
  </si>
  <si>
    <t>Riviera Beach Common ***</t>
  </si>
  <si>
    <t>Riviera Beach Unit 5 ***</t>
  </si>
  <si>
    <t>Sanford Common</t>
  </si>
  <si>
    <t>Sanford Unit 4</t>
  </si>
  <si>
    <t>Sanford Unit 5</t>
  </si>
  <si>
    <t>Space Coast Common</t>
  </si>
  <si>
    <t>Turkey Point Common</t>
  </si>
  <si>
    <t>Turkey Point Unit 1 *</t>
  </si>
  <si>
    <t>Turkey Point Unit 2 *</t>
  </si>
  <si>
    <t>Turkey Point Unit 5</t>
  </si>
  <si>
    <t>West County Common</t>
  </si>
  <si>
    <t>West County Unit 1</t>
  </si>
  <si>
    <t>West County Unit 2</t>
  </si>
  <si>
    <t>West County Unit 3</t>
  </si>
  <si>
    <t>LABOR</t>
  </si>
  <si>
    <t>MATERIAL &amp; EQ</t>
  </si>
  <si>
    <t>BURIAL</t>
  </si>
  <si>
    <t>SALVAGE</t>
  </si>
  <si>
    <t>$ 2015</t>
  </si>
  <si>
    <t>* Sync Conversion</t>
  </si>
  <si>
    <t>** New Units</t>
  </si>
  <si>
    <t>Net Cost @ Study</t>
  </si>
  <si>
    <t>Compensation per Hour (Non-Farm)</t>
  </si>
  <si>
    <t xml:space="preserve">  FROM 2015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</si>
  <si>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Net Of Ownership</t>
    </r>
  </si>
  <si>
    <r>
      <t>Scherer Common</t>
    </r>
    <r>
      <rPr>
        <vertAlign val="superscript"/>
        <sz val="8"/>
        <rFont val="Calibri"/>
        <family val="2"/>
        <scheme val="minor"/>
      </rPr>
      <t xml:space="preserve"> </t>
    </r>
    <r>
      <rPr>
        <b/>
        <vertAlign val="superscript"/>
        <sz val="8"/>
        <rFont val="Calibri"/>
        <family val="2"/>
        <scheme val="minor"/>
      </rPr>
      <t>1</t>
    </r>
  </si>
  <si>
    <r>
      <t xml:space="preserve">Scherer Unit 4 </t>
    </r>
    <r>
      <rPr>
        <b/>
        <vertAlign val="superscript"/>
        <sz val="8"/>
        <rFont val="Calibri"/>
        <family val="2"/>
        <scheme val="minor"/>
      </rPr>
      <t>1</t>
    </r>
  </si>
  <si>
    <r>
      <t xml:space="preserve">SJRPP Common </t>
    </r>
    <r>
      <rPr>
        <b/>
        <vertAlign val="superscript"/>
        <sz val="8"/>
        <rFont val="Calibri"/>
        <family val="2"/>
        <scheme val="minor"/>
      </rPr>
      <t>1</t>
    </r>
  </si>
  <si>
    <r>
      <t xml:space="preserve">SJRPP Unit 1 </t>
    </r>
    <r>
      <rPr>
        <b/>
        <vertAlign val="superscript"/>
        <sz val="8"/>
        <rFont val="Calibri"/>
        <family val="2"/>
        <scheme val="minor"/>
      </rPr>
      <t>1</t>
    </r>
  </si>
  <si>
    <r>
      <t xml:space="preserve">SJRPP Unit 2 </t>
    </r>
    <r>
      <rPr>
        <b/>
        <vertAlign val="superscript"/>
        <sz val="8"/>
        <rFont val="Calibri"/>
        <family val="2"/>
        <scheme val="minor"/>
      </rPr>
      <t>1</t>
    </r>
  </si>
  <si>
    <r>
      <t xml:space="preserve">SJRPP Handling </t>
    </r>
    <r>
      <rPr>
        <b/>
        <vertAlign val="superscript"/>
        <sz val="8"/>
        <rFont val="Calibri"/>
        <family val="2"/>
        <scheme val="minor"/>
      </rPr>
      <t>1</t>
    </r>
  </si>
  <si>
    <t>Adj Reserve as of 12/31/2016</t>
  </si>
  <si>
    <t>Reserve As of 11/2015</t>
  </si>
  <si>
    <t>Sanford U3</t>
  </si>
  <si>
    <t>Cape Canaveral</t>
  </si>
  <si>
    <t>Pt Everglades</t>
  </si>
  <si>
    <t>Cutler</t>
  </si>
  <si>
    <t>Putnam</t>
  </si>
  <si>
    <t>Riviera</t>
  </si>
  <si>
    <t>Est Future Dism</t>
  </si>
  <si>
    <t>Reserve As of 12/2016</t>
  </si>
  <si>
    <t>13 Month Est Accrual</t>
  </si>
  <si>
    <t>Total</t>
  </si>
  <si>
    <t>P.I.S</t>
  </si>
  <si>
    <t>Net Cost @ 2016</t>
  </si>
  <si>
    <t>Original Life</t>
  </si>
  <si>
    <t>Calculate Surplus/Deficit</t>
  </si>
  <si>
    <t>d = (a * 30%) * GI</t>
  </si>
  <si>
    <t>e = (a * 70%) * GI</t>
  </si>
  <si>
    <r>
      <t xml:space="preserve">Scherer Handling </t>
    </r>
    <r>
      <rPr>
        <b/>
        <vertAlign val="superscript"/>
        <sz val="8"/>
        <rFont val="Calibri"/>
        <family val="2"/>
        <scheme val="minor"/>
      </rPr>
      <t>1</t>
    </r>
  </si>
  <si>
    <t>*** Modernization</t>
  </si>
  <si>
    <t>Ft. Myers Unit 2</t>
  </si>
  <si>
    <t>Additional Flowback</t>
  </si>
  <si>
    <t>Cedar Bay Amort</t>
  </si>
  <si>
    <t>Cedar Bay</t>
  </si>
  <si>
    <t>Take from plants with Theoretical Surplus first</t>
  </si>
  <si>
    <t>Take reserve from newest plants second (zero out)</t>
  </si>
  <si>
    <t>30 Year Outlook  (May 2015)</t>
  </si>
  <si>
    <t>Future $ 1st Yr Exp</t>
  </si>
  <si>
    <t>Future $ 2nd Yr Exp</t>
  </si>
  <si>
    <t>Economic Recovery Year</t>
  </si>
  <si>
    <t>Total Future $ Cost</t>
  </si>
  <si>
    <t>Annual Accrual</t>
  </si>
  <si>
    <t>4 Year Average</t>
  </si>
  <si>
    <t>Recovery Period As of 1/1/2017</t>
  </si>
  <si>
    <t>1st Yr Expense (Future $)</t>
  </si>
  <si>
    <t>2nd Yr Expense (Future $)</t>
  </si>
  <si>
    <t>Difference</t>
  </si>
  <si>
    <t>Future Cost</t>
  </si>
  <si>
    <t>Monthly Accrual</t>
  </si>
  <si>
    <t>N/A</t>
  </si>
  <si>
    <t>Grand Total</t>
  </si>
  <si>
    <t>THEO FLOWBACK</t>
  </si>
  <si>
    <t>FPL RC-16</t>
  </si>
  <si>
    <t>OPC 010014</t>
  </si>
  <si>
    <t>OPC 010015</t>
  </si>
  <si>
    <t>OPC 010016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</si>
</sst>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€-2]* #,##0.00_);_([$€-2]* \(#,##0.00\);_([$€-2]* &quot;-&quot;??_)"/>
    <numFmt numFmtId="166" formatCode="0.000_)"/>
    <numFmt numFmtId="167" formatCode="0."/>
    <numFmt numFmtId="168" formatCode="m\o\n\th\ d\,\ yyyy"/>
    <numFmt numFmtId="169" formatCode="#.00"/>
    <numFmt numFmtId="170" formatCode="#."/>
    <numFmt numFmtId="171" formatCode="0.00_)"/>
    <numFmt numFmtId="172" formatCode="0.0_)"/>
    <numFmt numFmtId="173" formatCode="0.000000"/>
    <numFmt numFmtId="174" formatCode="0_)"/>
    <numFmt numFmtId="175" formatCode="0.0%"/>
    <numFmt numFmtId="176" formatCode="_(* #,##0.000_);_(* \(#,##0.000\);_(* &quot;-&quot;??_);_(@_)"/>
    <numFmt numFmtId="177" formatCode="_(* #,##0_);_(* \(#,##0\);_(* &quot;-&quot;??_);_(@_)"/>
    <numFmt numFmtId="178" formatCode="0.000000_)"/>
    <numFmt numFmtId="179" formatCode="General_)"/>
  </numFmts>
  <fonts count="7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9"/>
      <color theme="1"/>
      <name val="Calibri"/>
      <family val="2"/>
    </font>
    <font>
      <i/>
      <sz val="9"/>
      <color rgb="FFFF0000"/>
      <name val="Calibri"/>
      <family val="2"/>
    </font>
    <font>
      <sz val="8"/>
      <color rgb="FFFF0000"/>
      <name val="Calibri"/>
      <family val="2"/>
    </font>
    <font>
      <sz val="10"/>
      <name val="Courier"/>
      <family val="3"/>
    </font>
    <font>
      <sz val="10"/>
      <name val="Courier"/>
      <family val="3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vertAlign val="superscript"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8"/>
      <name val="Calibri"/>
      <family val="2"/>
    </font>
    <font>
      <sz val="9"/>
      <color theme="0"/>
      <name val="Calibri"/>
      <family val="2"/>
    </font>
    <font>
      <sz val="9"/>
      <name val="Calibri"/>
      <family val="2"/>
    </font>
    <font>
      <i/>
      <sz val="9"/>
      <color theme="0"/>
      <name val="Calibri"/>
      <family val="2"/>
    </font>
    <font>
      <sz val="8"/>
      <color theme="0"/>
      <name val="Calibri"/>
      <family val="2"/>
    </font>
    <font>
      <b/>
      <sz val="9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6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9" fillId="0" borderId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10" fillId="0" borderId="0"/>
    <xf numFmtId="165" fontId="9" fillId="0" borderId="0"/>
    <xf numFmtId="165" fontId="11" fillId="3" borderId="0" applyNumberFormat="0" applyBorder="0" applyAlignment="0" applyProtection="0"/>
    <xf numFmtId="165" fontId="8" fillId="6" borderId="2" applyNumberFormat="0" applyAlignment="0" applyProtection="0"/>
    <xf numFmtId="0" fontId="8" fillId="6" borderId="2" applyNumberFormat="0" applyAlignment="0" applyProtection="0"/>
    <xf numFmtId="0" fontId="8" fillId="6" borderId="2" applyNumberFormat="0" applyAlignment="0" applyProtection="0"/>
    <xf numFmtId="165" fontId="8" fillId="6" borderId="2" applyNumberFormat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4" fillId="0" borderId="0">
      <protection locked="0"/>
    </xf>
    <xf numFmtId="165" fontId="15" fillId="0" borderId="0" applyFont="0" applyFill="0" applyBorder="0" applyAlignment="0" applyProtection="0"/>
    <xf numFmtId="169" fontId="14" fillId="0" borderId="0">
      <protection locked="0"/>
    </xf>
    <xf numFmtId="165" fontId="5" fillId="2" borderId="0" applyNumberFormat="0" applyBorder="0" applyAlignment="0" applyProtection="0"/>
    <xf numFmtId="9" fontId="16" fillId="7" borderId="0" applyNumberFormat="0" applyFill="0" applyBorder="0" applyAlignment="0" applyProtection="0"/>
    <xf numFmtId="170" fontId="17" fillId="0" borderId="0">
      <protection locked="0"/>
    </xf>
    <xf numFmtId="170" fontId="17" fillId="0" borderId="0">
      <protection locked="0"/>
    </xf>
    <xf numFmtId="0" fontId="18" fillId="0" borderId="0" applyNumberFormat="0" applyFill="0" applyBorder="0" applyAlignment="0" applyProtection="0"/>
    <xf numFmtId="165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165" fontId="7" fillId="5" borderId="1" applyNumberFormat="0" applyAlignment="0" applyProtection="0"/>
    <xf numFmtId="165" fontId="19" fillId="0" borderId="0"/>
    <xf numFmtId="165" fontId="19" fillId="0" borderId="0"/>
    <xf numFmtId="165" fontId="19" fillId="0" borderId="0"/>
    <xf numFmtId="165" fontId="6" fillId="4" borderId="0" applyNumberFormat="0" applyBorder="0" applyAlignment="0" applyProtection="0"/>
    <xf numFmtId="37" fontId="20" fillId="0" borderId="0"/>
    <xf numFmtId="171" fontId="21" fillId="0" borderId="0"/>
    <xf numFmtId="171" fontId="22" fillId="0" borderId="3"/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65" fontId="24" fillId="0" borderId="0" applyNumberFormat="0" applyAlignment="0">
      <alignment horizontal="center"/>
    </xf>
    <xf numFmtId="165" fontId="24" fillId="0" borderId="0" applyNumberFormat="0" applyAlignment="0">
      <alignment horizontal="center"/>
    </xf>
    <xf numFmtId="172" fontId="25" fillId="0" borderId="0" applyNumberFormat="0" applyAlignment="0"/>
    <xf numFmtId="172" fontId="26" fillId="0" borderId="0" applyNumberFormat="0"/>
    <xf numFmtId="165" fontId="9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9" fillId="0" borderId="0"/>
    <xf numFmtId="165" fontId="9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0" fontId="9" fillId="0" borderId="0"/>
    <xf numFmtId="165" fontId="9" fillId="0" borderId="0"/>
    <xf numFmtId="165" fontId="9" fillId="0" borderId="0"/>
    <xf numFmtId="0" fontId="4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9" fillId="0" borderId="0"/>
    <xf numFmtId="165" fontId="27" fillId="0" borderId="0"/>
    <xf numFmtId="165" fontId="9" fillId="0" borderId="0"/>
    <xf numFmtId="165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9" fillId="0" borderId="0"/>
    <xf numFmtId="172" fontId="22" fillId="0" borderId="4"/>
    <xf numFmtId="172" fontId="22" fillId="0" borderId="4"/>
    <xf numFmtId="172" fontId="22" fillId="0" borderId="4"/>
    <xf numFmtId="172" fontId="22" fillId="0" borderId="4"/>
    <xf numFmtId="172" fontId="22" fillId="0" borderId="4"/>
    <xf numFmtId="172" fontId="19" fillId="0" borderId="0" applyNumberForma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65" fontId="29" fillId="0" borderId="0"/>
    <xf numFmtId="165" fontId="29" fillId="0" borderId="0"/>
    <xf numFmtId="165" fontId="29" fillId="0" borderId="0"/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165" fontId="3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5" fillId="0" borderId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" fontId="36" fillId="0" borderId="0" applyNumberFormat="0" applyProtection="0">
      <alignment horizontal="right" vertical="justify"/>
    </xf>
    <xf numFmtId="4" fontId="37" fillId="9" borderId="17" applyNumberFormat="0" applyProtection="0">
      <alignment vertical="center"/>
    </xf>
    <xf numFmtId="4" fontId="38" fillId="9" borderId="17" applyNumberFormat="0" applyProtection="0">
      <alignment horizontal="left" vertical="center" indent="1"/>
    </xf>
    <xf numFmtId="0" fontId="39" fillId="0" borderId="0" applyNumberFormat="0" applyProtection="0">
      <alignment horizontal="center"/>
    </xf>
    <xf numFmtId="4" fontId="38" fillId="0" borderId="0" applyNumberFormat="0" applyProtection="0">
      <alignment horizontal="left"/>
    </xf>
    <xf numFmtId="4" fontId="36" fillId="10" borderId="17" applyNumberFormat="0" applyProtection="0">
      <alignment horizontal="right" vertical="center"/>
    </xf>
    <xf numFmtId="4" fontId="36" fillId="11" borderId="17" applyNumberFormat="0" applyProtection="0">
      <alignment horizontal="right" vertical="center"/>
    </xf>
    <xf numFmtId="4" fontId="36" fillId="15" borderId="17" applyNumberFormat="0" applyProtection="0">
      <alignment horizontal="right" vertical="center"/>
    </xf>
    <xf numFmtId="4" fontId="36" fillId="13" borderId="17" applyNumberFormat="0" applyProtection="0">
      <alignment horizontal="right" vertical="center"/>
    </xf>
    <xf numFmtId="4" fontId="36" fillId="14" borderId="17" applyNumberFormat="0" applyProtection="0">
      <alignment horizontal="right" vertical="center"/>
    </xf>
    <xf numFmtId="4" fontId="36" fillId="17" borderId="17" applyNumberFormat="0" applyProtection="0">
      <alignment horizontal="right" vertical="center"/>
    </xf>
    <xf numFmtId="4" fontId="36" fillId="16" borderId="17" applyNumberFormat="0" applyProtection="0">
      <alignment horizontal="right" vertical="center"/>
    </xf>
    <xf numFmtId="4" fontId="36" fillId="18" borderId="17" applyNumberFormat="0" applyProtection="0">
      <alignment horizontal="right" vertical="center"/>
    </xf>
    <xf numFmtId="4" fontId="36" fillId="12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40" fillId="19" borderId="0" applyNumberFormat="0" applyProtection="0">
      <alignment horizontal="left" vertical="center" indent="1"/>
    </xf>
    <xf numFmtId="4" fontId="36" fillId="20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41" fillId="0" borderId="0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9" fillId="19" borderId="17" applyNumberFormat="0" applyProtection="0">
      <alignment horizontal="left" vertical="top" indent="1"/>
    </xf>
    <xf numFmtId="0" fontId="43" fillId="0" borderId="0" applyNumberFormat="0" applyProtection="0">
      <alignment horizontal="left" vertical="center" indent="1"/>
    </xf>
    <xf numFmtId="0" fontId="9" fillId="21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22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23" borderId="17" applyNumberFormat="0" applyProtection="0">
      <alignment horizontal="left" vertical="top" indent="1"/>
    </xf>
    <xf numFmtId="4" fontId="36" fillId="24" borderId="17" applyNumberFormat="0" applyProtection="0">
      <alignment vertical="center"/>
    </xf>
    <xf numFmtId="4" fontId="44" fillId="24" borderId="17" applyNumberFormat="0" applyProtection="0">
      <alignment vertical="center"/>
    </xf>
    <xf numFmtId="4" fontId="36" fillId="24" borderId="17" applyNumberFormat="0" applyProtection="0">
      <alignment horizontal="left" vertical="center" indent="1"/>
    </xf>
    <xf numFmtId="0" fontId="36" fillId="24" borderId="17" applyNumberFormat="0" applyProtection="0">
      <alignment horizontal="left" vertical="top" indent="1"/>
    </xf>
    <xf numFmtId="4" fontId="36" fillId="0" borderId="0" applyNumberFormat="0" applyProtection="0">
      <alignment horizontal="right" vertical="justify"/>
    </xf>
    <xf numFmtId="4" fontId="44" fillId="25" borderId="17" applyNumberFormat="0" applyProtection="0">
      <alignment horizontal="right" vertical="center"/>
    </xf>
    <xf numFmtId="4" fontId="38" fillId="0" borderId="0" applyNumberFormat="0" applyProtection="0">
      <alignment horizontal="left" vertical="center" wrapText="1" indent="1"/>
    </xf>
    <xf numFmtId="0" fontId="39" fillId="0" borderId="0" applyNumberFormat="0" applyProtection="0">
      <alignment horizontal="center" wrapText="1"/>
    </xf>
    <xf numFmtId="4" fontId="45" fillId="0" borderId="0" applyNumberFormat="0" applyProtection="0">
      <alignment horizontal="left"/>
    </xf>
    <xf numFmtId="4" fontId="46" fillId="0" borderId="0" applyNumberFormat="0" applyProtection="0">
      <alignment horizontal="right"/>
    </xf>
    <xf numFmtId="43" fontId="9" fillId="0" borderId="0" applyFont="0" applyFill="0" applyBorder="0" applyAlignment="0" applyProtection="0"/>
    <xf numFmtId="0" fontId="9" fillId="0" borderId="0"/>
    <xf numFmtId="40" fontId="35" fillId="0" borderId="0" applyFont="0" applyFill="0" applyBorder="0" applyAlignment="0" applyProtection="0"/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/>
    <xf numFmtId="0" fontId="9" fillId="0" borderId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5" fillId="0" borderId="0"/>
    <xf numFmtId="0" fontId="9" fillId="0" borderId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50" fillId="0" borderId="0"/>
    <xf numFmtId="1" fontId="51" fillId="0" borderId="0"/>
    <xf numFmtId="37" fontId="50" fillId="0" borderId="0"/>
    <xf numFmtId="1" fontId="50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20" fillId="0" borderId="0"/>
    <xf numFmtId="179" fontId="50" fillId="0" borderId="0"/>
    <xf numFmtId="0" fontId="3" fillId="0" borderId="0"/>
    <xf numFmtId="1" fontId="50" fillId="0" borderId="0"/>
    <xf numFmtId="0" fontId="9" fillId="0" borderId="0"/>
    <xf numFmtId="0" fontId="9" fillId="0" borderId="0"/>
    <xf numFmtId="0" fontId="35" fillId="0" borderId="0"/>
    <xf numFmtId="37" fontId="50" fillId="0" borderId="0"/>
    <xf numFmtId="0" fontId="9" fillId="0" borderId="0"/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50" fillId="0" borderId="0"/>
    <xf numFmtId="0" fontId="58" fillId="0" borderId="0"/>
    <xf numFmtId="43" fontId="58" fillId="0" borderId="0" applyFont="0" applyFill="0" applyBorder="0" applyAlignment="0" applyProtection="0"/>
    <xf numFmtId="0" fontId="3" fillId="0" borderId="0"/>
    <xf numFmtId="37" fontId="5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" fontId="50" fillId="0" borderId="0"/>
    <xf numFmtId="9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43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9" fontId="20" fillId="0" borderId="0"/>
    <xf numFmtId="37" fontId="20" fillId="0" borderId="0"/>
    <xf numFmtId="37" fontId="50" fillId="0" borderId="0"/>
    <xf numFmtId="0" fontId="35" fillId="0" borderId="0"/>
    <xf numFmtId="37" fontId="50" fillId="0" borderId="0"/>
    <xf numFmtId="174" fontId="50" fillId="0" borderId="0"/>
    <xf numFmtId="39" fontId="20" fillId="0" borderId="0"/>
    <xf numFmtId="39" fontId="20" fillId="0" borderId="0"/>
    <xf numFmtId="174" fontId="50" fillId="0" borderId="0"/>
    <xf numFmtId="1" fontId="50" fillId="0" borderId="0"/>
    <xf numFmtId="179" fontId="59" fillId="0" borderId="0"/>
    <xf numFmtId="174" fontId="50" fillId="0" borderId="0"/>
    <xf numFmtId="174" fontId="50" fillId="0" borderId="0"/>
    <xf numFmtId="179" fontId="50" fillId="0" borderId="0"/>
    <xf numFmtId="174" fontId="50" fillId="0" borderId="0"/>
    <xf numFmtId="179" fontId="50" fillId="0" borderId="0"/>
    <xf numFmtId="179" fontId="50" fillId="0" borderId="0"/>
    <xf numFmtId="39" fontId="20" fillId="0" borderId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50" fillId="0" borderId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0" fontId="55" fillId="0" borderId="0"/>
    <xf numFmtId="0" fontId="35" fillId="0" borderId="0"/>
    <xf numFmtId="43" fontId="5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/>
    <xf numFmtId="0" fontId="1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43" fontId="3" fillId="0" borderId="0" applyFont="0" applyFill="0" applyBorder="0" applyAlignment="0" applyProtection="0"/>
    <xf numFmtId="165" fontId="9" fillId="0" borderId="0"/>
    <xf numFmtId="165" fontId="9" fillId="0" borderId="0"/>
    <xf numFmtId="0" fontId="1" fillId="0" borderId="0"/>
    <xf numFmtId="0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9" fillId="0" borderId="0"/>
    <xf numFmtId="165" fontId="9" fillId="0" borderId="0"/>
    <xf numFmtId="165" fontId="9" fillId="0" borderId="0"/>
    <xf numFmtId="0" fontId="1" fillId="0" borderId="0"/>
    <xf numFmtId="0" fontId="1" fillId="0" borderId="0"/>
    <xf numFmtId="165" fontId="9" fillId="0" borderId="0"/>
    <xf numFmtId="165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174" fontId="50" fillId="0" borderId="0"/>
    <xf numFmtId="37" fontId="20" fillId="0" borderId="0"/>
    <xf numFmtId="43" fontId="9" fillId="0" borderId="0" applyFont="0" applyFill="0" applyBorder="0" applyAlignment="0" applyProtection="0"/>
    <xf numFmtId="0" fontId="35" fillId="0" borderId="0"/>
    <xf numFmtId="179" fontId="50" fillId="0" borderId="0"/>
    <xf numFmtId="179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0" fillId="0" borderId="0"/>
    <xf numFmtId="0" fontId="9" fillId="0" borderId="0"/>
  </cellStyleXfs>
  <cellXfs count="376">
    <xf numFmtId="0" fontId="0" fillId="0" borderId="0" xfId="0"/>
    <xf numFmtId="43" fontId="47" fillId="0" borderId="0" xfId="0" applyNumberFormat="1" applyFont="1"/>
    <xf numFmtId="9" fontId="48" fillId="0" borderId="0" xfId="2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0" xfId="0" applyFont="1"/>
    <xf numFmtId="0" fontId="49" fillId="0" borderId="0" xfId="0" applyFont="1" applyBorder="1" applyAlignment="1">
      <alignment horizontal="center"/>
    </xf>
    <xf numFmtId="9" fontId="49" fillId="0" borderId="0" xfId="2" quotePrefix="1" applyFont="1" applyBorder="1" applyAlignment="1">
      <alignment horizontal="center"/>
    </xf>
    <xf numFmtId="0" fontId="32" fillId="0" borderId="0" xfId="510" applyNumberFormat="1" applyFont="1"/>
    <xf numFmtId="0" fontId="52" fillId="0" borderId="0" xfId="510" applyNumberFormat="1" applyFont="1"/>
    <xf numFmtId="1" fontId="51" fillId="0" borderId="0" xfId="510"/>
    <xf numFmtId="0" fontId="32" fillId="0" borderId="0" xfId="510" applyNumberFormat="1" applyFont="1" applyAlignment="1">
      <alignment horizontal="center"/>
    </xf>
    <xf numFmtId="0" fontId="52" fillId="0" borderId="0" xfId="510" applyNumberFormat="1" applyFont="1" applyAlignment="1">
      <alignment horizontal="center"/>
    </xf>
    <xf numFmtId="0" fontId="52" fillId="0" borderId="0" xfId="510" applyNumberFormat="1" applyFont="1" applyFill="1"/>
    <xf numFmtId="1" fontId="51" fillId="0" borderId="0" xfId="510" applyFill="1"/>
    <xf numFmtId="1" fontId="51" fillId="0" borderId="0" xfId="510" applyBorder="1"/>
    <xf numFmtId="0" fontId="54" fillId="0" borderId="7" xfId="0" applyFont="1" applyBorder="1" applyAlignment="1">
      <alignment horizontal="center" vertical="center"/>
    </xf>
    <xf numFmtId="37" fontId="56" fillId="0" borderId="10" xfId="534" applyNumberFormat="1" applyFont="1" applyBorder="1" applyAlignment="1" applyProtection="1">
      <alignment horizontal="center" vertical="center"/>
    </xf>
    <xf numFmtId="177" fontId="52" fillId="0" borderId="0" xfId="418" applyNumberFormat="1" applyFont="1" applyFill="1" applyBorder="1"/>
    <xf numFmtId="0" fontId="52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Border="1"/>
    <xf numFmtId="0" fontId="34" fillId="0" borderId="0" xfId="0" applyFont="1" applyBorder="1"/>
    <xf numFmtId="176" fontId="61" fillId="0" borderId="12" xfId="221" applyNumberFormat="1" applyFont="1" applyFill="1" applyBorder="1"/>
    <xf numFmtId="0" fontId="32" fillId="0" borderId="0" xfId="602" applyNumberFormat="1" applyFont="1"/>
    <xf numFmtId="0" fontId="52" fillId="0" borderId="0" xfId="602" applyNumberFormat="1" applyFont="1"/>
    <xf numFmtId="0" fontId="52" fillId="0" borderId="0" xfId="602" applyNumberFormat="1" applyFont="1" applyAlignment="1">
      <alignment horizontal="center"/>
    </xf>
    <xf numFmtId="37" fontId="53" fillId="0" borderId="7" xfId="585" applyNumberFormat="1" applyFont="1" applyBorder="1" applyAlignment="1" applyProtection="1">
      <alignment horizontal="center"/>
    </xf>
    <xf numFmtId="178" fontId="53" fillId="0" borderId="11" xfId="585" applyNumberFormat="1" applyFont="1" applyBorder="1" applyAlignment="1" applyProtection="1">
      <alignment horizontal="center"/>
    </xf>
    <xf numFmtId="1" fontId="53" fillId="0" borderId="22" xfId="512" applyFont="1" applyBorder="1" applyAlignment="1">
      <alignment horizontal="center"/>
    </xf>
    <xf numFmtId="178" fontId="53" fillId="0" borderId="12" xfId="585" applyNumberFormat="1" applyFont="1" applyBorder="1" applyAlignment="1" applyProtection="1">
      <alignment horizontal="center"/>
    </xf>
    <xf numFmtId="37" fontId="53" fillId="0" borderId="8" xfId="585" applyNumberFormat="1" applyFont="1" applyBorder="1" applyAlignment="1" applyProtection="1">
      <alignment horizontal="center"/>
    </xf>
    <xf numFmtId="0" fontId="52" fillId="0" borderId="9" xfId="602" applyNumberFormat="1" applyFont="1" applyBorder="1"/>
    <xf numFmtId="178" fontId="62" fillId="0" borderId="13" xfId="585" quotePrefix="1" applyNumberFormat="1" applyFont="1" applyBorder="1" applyAlignment="1" applyProtection="1">
      <alignment horizontal="center"/>
      <protection locked="0"/>
    </xf>
    <xf numFmtId="174" fontId="53" fillId="0" borderId="22" xfId="585" applyNumberFormat="1" applyFont="1" applyBorder="1" applyAlignment="1" applyProtection="1">
      <alignment horizontal="center"/>
    </xf>
    <xf numFmtId="175" fontId="53" fillId="0" borderId="15" xfId="585" applyNumberFormat="1" applyFont="1" applyBorder="1" applyAlignment="1">
      <alignment horizontal="center"/>
    </xf>
    <xf numFmtId="174" fontId="53" fillId="0" borderId="22" xfId="585" applyNumberFormat="1" applyFont="1" applyFill="1" applyBorder="1" applyAlignment="1" applyProtection="1">
      <alignment horizontal="center"/>
    </xf>
    <xf numFmtId="0" fontId="52" fillId="0" borderId="0" xfId="602" applyNumberFormat="1" applyFont="1" applyFill="1"/>
    <xf numFmtId="175" fontId="53" fillId="0" borderId="15" xfId="585" applyNumberFormat="1" applyFont="1" applyFill="1" applyBorder="1" applyAlignment="1">
      <alignment horizontal="center"/>
    </xf>
    <xf numFmtId="174" fontId="53" fillId="0" borderId="8" xfId="585" applyNumberFormat="1" applyFont="1" applyBorder="1" applyAlignment="1" applyProtection="1">
      <alignment horizontal="center"/>
    </xf>
    <xf numFmtId="175" fontId="53" fillId="0" borderId="16" xfId="585" applyNumberFormat="1" applyFont="1" applyBorder="1" applyAlignment="1">
      <alignment horizontal="center"/>
    </xf>
    <xf numFmtId="176" fontId="53" fillId="0" borderId="12" xfId="221" applyNumberFormat="1" applyFont="1" applyFill="1" applyBorder="1"/>
    <xf numFmtId="37" fontId="53" fillId="26" borderId="14" xfId="585" applyNumberFormat="1" applyFont="1" applyFill="1" applyBorder="1" applyAlignment="1" applyProtection="1">
      <alignment horizontal="center"/>
    </xf>
    <xf numFmtId="37" fontId="53" fillId="26" borderId="15" xfId="585" applyNumberFormat="1" applyFont="1" applyFill="1" applyBorder="1" applyAlignment="1" applyProtection="1">
      <alignment horizontal="center"/>
    </xf>
    <xf numFmtId="37" fontId="53" fillId="26" borderId="16" xfId="585" applyNumberFormat="1" applyFont="1" applyFill="1" applyBorder="1" applyAlignment="1" applyProtection="1">
      <alignment horizontal="center"/>
    </xf>
    <xf numFmtId="176" fontId="53" fillId="0" borderId="13" xfId="221" applyNumberFormat="1" applyFont="1" applyFill="1" applyBorder="1"/>
    <xf numFmtId="174" fontId="56" fillId="0" borderId="22" xfId="585" applyNumberFormat="1" applyFont="1" applyBorder="1" applyAlignment="1" applyProtection="1">
      <alignment horizontal="center"/>
    </xf>
    <xf numFmtId="0" fontId="54" fillId="0" borderId="0" xfId="602" applyNumberFormat="1" applyFont="1"/>
    <xf numFmtId="175" fontId="56" fillId="0" borderId="15" xfId="585" applyNumberFormat="1" applyFont="1" applyBorder="1" applyAlignment="1">
      <alignment horizontal="center"/>
    </xf>
    <xf numFmtId="176" fontId="56" fillId="0" borderId="12" xfId="221" applyNumberFormat="1" applyFont="1" applyFill="1" applyBorder="1"/>
    <xf numFmtId="0" fontId="52" fillId="0" borderId="0" xfId="510" applyNumberFormat="1" applyFont="1" applyFill="1" applyBorder="1"/>
    <xf numFmtId="0" fontId="63" fillId="0" borderId="0" xfId="0" applyFont="1"/>
    <xf numFmtId="43" fontId="53" fillId="0" borderId="22" xfId="1012" applyNumberFormat="1" applyFont="1" applyFill="1" applyBorder="1"/>
    <xf numFmtId="43" fontId="53" fillId="0" borderId="8" xfId="1063" applyNumberFormat="1" applyFont="1" applyFill="1" applyBorder="1"/>
    <xf numFmtId="37" fontId="56" fillId="0" borderId="7" xfId="512" applyNumberFormat="1" applyFont="1" applyFill="1" applyBorder="1" applyAlignment="1" applyProtection="1">
      <alignment horizontal="center" vertical="center"/>
    </xf>
    <xf numFmtId="43" fontId="53" fillId="0" borderId="0" xfId="1070" applyNumberFormat="1" applyFont="1" applyFill="1"/>
    <xf numFmtId="43" fontId="53" fillId="0" borderId="0" xfId="1072" applyNumberFormat="1" applyFont="1" applyFill="1"/>
    <xf numFmtId="43" fontId="53" fillId="0" borderId="0" xfId="1078" applyNumberFormat="1" applyFont="1" applyFill="1"/>
    <xf numFmtId="43" fontId="53" fillId="0" borderId="0" xfId="1084" applyNumberFormat="1" applyFont="1" applyFill="1"/>
    <xf numFmtId="43" fontId="53" fillId="0" borderId="0" xfId="1088" applyNumberFormat="1" applyFont="1" applyFill="1"/>
    <xf numFmtId="43" fontId="53" fillId="0" borderId="0" xfId="1091" applyNumberFormat="1" applyFont="1" applyFill="1"/>
    <xf numFmtId="0" fontId="53" fillId="8" borderId="4" xfId="1066" applyFont="1" applyFill="1" applyBorder="1"/>
    <xf numFmtId="0" fontId="53" fillId="8" borderId="4" xfId="1068" applyFont="1" applyFill="1" applyBorder="1"/>
    <xf numFmtId="0" fontId="53" fillId="8" borderId="4" xfId="1074" applyFont="1" applyFill="1" applyBorder="1"/>
    <xf numFmtId="0" fontId="53" fillId="8" borderId="4" xfId="1080" applyFont="1" applyFill="1" applyBorder="1"/>
    <xf numFmtId="0" fontId="53" fillId="8" borderId="4" xfId="1082" applyFont="1" applyFill="1" applyBorder="1"/>
    <xf numFmtId="0" fontId="53" fillId="8" borderId="4" xfId="1086" applyFont="1" applyFill="1" applyBorder="1"/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177" fontId="53" fillId="0" borderId="7" xfId="0" applyNumberFormat="1" applyFont="1" applyFill="1" applyBorder="1"/>
    <xf numFmtId="177" fontId="53" fillId="0" borderId="11" xfId="0" applyNumberFormat="1" applyFont="1" applyBorder="1"/>
    <xf numFmtId="43" fontId="63" fillId="0" borderId="0" xfId="1" applyNumberFormat="1" applyFont="1" applyFill="1" applyAlignment="1">
      <alignment horizontal="center"/>
    </xf>
    <xf numFmtId="177" fontId="63" fillId="0" borderId="0" xfId="0" applyNumberFormat="1" applyFont="1" applyFill="1"/>
    <xf numFmtId="177" fontId="63" fillId="0" borderId="0" xfId="0" applyNumberFormat="1" applyFont="1"/>
    <xf numFmtId="43" fontId="63" fillId="0" borderId="0" xfId="1" applyFont="1"/>
    <xf numFmtId="177" fontId="53" fillId="0" borderId="22" xfId="0" applyNumberFormat="1" applyFont="1" applyFill="1" applyBorder="1"/>
    <xf numFmtId="0" fontId="63" fillId="8" borderId="0" xfId="0" applyFont="1" applyFill="1"/>
    <xf numFmtId="175" fontId="53" fillId="0" borderId="9" xfId="2" applyNumberFormat="1" applyFont="1" applyFill="1" applyBorder="1" applyAlignment="1">
      <alignment horizontal="center"/>
    </xf>
    <xf numFmtId="0" fontId="63" fillId="0" borderId="9" xfId="0" applyFont="1" applyBorder="1" applyAlignment="1">
      <alignment horizontal="center"/>
    </xf>
    <xf numFmtId="177" fontId="53" fillId="0" borderId="9" xfId="0" applyNumberFormat="1" applyFont="1" applyBorder="1"/>
    <xf numFmtId="177" fontId="53" fillId="0" borderId="9" xfId="0" applyNumberFormat="1" applyFont="1" applyFill="1" applyBorder="1"/>
    <xf numFmtId="177" fontId="56" fillId="0" borderId="6" xfId="4" applyNumberFormat="1" applyFont="1" applyFill="1" applyBorder="1"/>
    <xf numFmtId="43" fontId="63" fillId="0" borderId="0" xfId="0" applyNumberFormat="1" applyFont="1"/>
    <xf numFmtId="177" fontId="53" fillId="0" borderId="0" xfId="1" applyNumberFormat="1" applyFont="1" applyBorder="1"/>
    <xf numFmtId="0" fontId="68" fillId="0" borderId="0" xfId="0" applyFont="1" applyAlignment="1">
      <alignment horizontal="center"/>
    </xf>
    <xf numFmtId="0" fontId="63" fillId="0" borderId="14" xfId="0" applyFont="1" applyBorder="1"/>
    <xf numFmtId="0" fontId="69" fillId="0" borderId="10" xfId="0" applyFont="1" applyBorder="1" applyAlignment="1">
      <alignment horizontal="right" indent="1"/>
    </xf>
    <xf numFmtId="0" fontId="63" fillId="0" borderId="10" xfId="0" applyFont="1" applyBorder="1"/>
    <xf numFmtId="0" fontId="63" fillId="0" borderId="11" xfId="0" applyFont="1" applyBorder="1"/>
    <xf numFmtId="43" fontId="53" fillId="0" borderId="0" xfId="0" applyNumberFormat="1" applyFont="1" applyBorder="1"/>
    <xf numFmtId="0" fontId="63" fillId="0" borderId="15" xfId="0" applyFont="1" applyBorder="1"/>
    <xf numFmtId="0" fontId="63" fillId="0" borderId="0" xfId="0" applyFont="1" applyBorder="1"/>
    <xf numFmtId="0" fontId="67" fillId="0" borderId="0" xfId="0" applyFont="1" applyBorder="1" applyAlignment="1">
      <alignment horizontal="right"/>
    </xf>
    <xf numFmtId="164" fontId="70" fillId="0" borderId="0" xfId="310" applyNumberFormat="1" applyFont="1" applyBorder="1"/>
    <xf numFmtId="0" fontId="63" fillId="0" borderId="12" xfId="0" applyFont="1" applyBorder="1"/>
    <xf numFmtId="164" fontId="63" fillId="0" borderId="0" xfId="310" applyNumberFormat="1" applyFont="1" applyBorder="1"/>
    <xf numFmtId="0" fontId="67" fillId="0" borderId="0" xfId="0" applyFont="1" applyBorder="1"/>
    <xf numFmtId="164" fontId="67" fillId="0" borderId="0" xfId="310" applyNumberFormat="1" applyFont="1" applyBorder="1"/>
    <xf numFmtId="3" fontId="63" fillId="0" borderId="0" xfId="0" applyNumberFormat="1" applyFont="1"/>
    <xf numFmtId="164" fontId="63" fillId="0" borderId="0" xfId="0" applyNumberFormat="1" applyFont="1" applyBorder="1"/>
    <xf numFmtId="0" fontId="63" fillId="0" borderId="16" xfId="0" applyFont="1" applyBorder="1"/>
    <xf numFmtId="0" fontId="63" fillId="0" borderId="9" xfId="0" applyFont="1" applyBorder="1"/>
    <xf numFmtId="0" fontId="68" fillId="0" borderId="9" xfId="0" applyFont="1" applyBorder="1" applyAlignment="1">
      <alignment horizontal="right"/>
    </xf>
    <xf numFmtId="164" fontId="68" fillId="0" borderId="9" xfId="310" applyNumberFormat="1" applyFont="1" applyBorder="1" applyAlignment="1">
      <alignment horizontal="center"/>
    </xf>
    <xf numFmtId="10" fontId="68" fillId="0" borderId="13" xfId="2" applyNumberFormat="1" applyFont="1" applyBorder="1" applyAlignment="1">
      <alignment horizontal="center"/>
    </xf>
    <xf numFmtId="43" fontId="67" fillId="0" borderId="6" xfId="0" applyNumberFormat="1" applyFont="1" applyBorder="1"/>
    <xf numFmtId="164" fontId="56" fillId="0" borderId="0" xfId="4" applyNumberFormat="1" applyFont="1" applyFill="1" applyBorder="1"/>
    <xf numFmtId="43" fontId="67" fillId="0" borderId="0" xfId="1" applyFont="1" applyBorder="1"/>
    <xf numFmtId="43" fontId="53" fillId="0" borderId="0" xfId="28" applyFont="1"/>
    <xf numFmtId="0" fontId="63" fillId="0" borderId="0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43" fontId="49" fillId="0" borderId="0" xfId="1" applyFont="1" applyAlignment="1">
      <alignment horizontal="center"/>
    </xf>
    <xf numFmtId="43" fontId="53" fillId="0" borderId="12" xfId="1" applyFont="1" applyFill="1" applyBorder="1" applyAlignment="1">
      <alignment horizontal="center"/>
    </xf>
    <xf numFmtId="43" fontId="53" fillId="0" borderId="9" xfId="1" applyFont="1" applyFill="1" applyBorder="1" applyAlignment="1">
      <alignment horizontal="center"/>
    </xf>
    <xf numFmtId="43" fontId="53" fillId="0" borderId="0" xfId="1" applyFont="1" applyBorder="1"/>
    <xf numFmtId="0" fontId="49" fillId="0" borderId="0" xfId="0" quotePrefix="1" applyNumberFormat="1" applyFont="1" applyAlignment="1">
      <alignment horizontal="center"/>
    </xf>
    <xf numFmtId="0" fontId="68" fillId="0" borderId="0" xfId="0" applyNumberFormat="1" applyFont="1" applyAlignment="1">
      <alignment horizontal="center"/>
    </xf>
    <xf numFmtId="0" fontId="47" fillId="0" borderId="0" xfId="0" applyNumberFormat="1" applyFont="1" applyAlignment="1">
      <alignment horizontal="center"/>
    </xf>
    <xf numFmtId="0" fontId="53" fillId="0" borderId="0" xfId="0" applyNumberFormat="1" applyFont="1" applyBorder="1" applyAlignment="1">
      <alignment horizontal="center"/>
    </xf>
    <xf numFmtId="0" fontId="53" fillId="0" borderId="9" xfId="0" applyNumberFormat="1" applyFont="1" applyFill="1" applyBorder="1" applyAlignment="1">
      <alignment horizontal="center"/>
    </xf>
    <xf numFmtId="0" fontId="63" fillId="0" borderId="0" xfId="0" applyNumberFormat="1" applyFont="1" applyAlignment="1">
      <alignment horizontal="center"/>
    </xf>
    <xf numFmtId="0" fontId="53" fillId="0" borderId="0" xfId="1" applyNumberFormat="1" applyFont="1" applyBorder="1" applyAlignment="1">
      <alignment horizontal="center"/>
    </xf>
    <xf numFmtId="0" fontId="63" fillId="0" borderId="0" xfId="0" applyNumberFormat="1" applyFont="1" applyBorder="1" applyAlignment="1">
      <alignment horizontal="center"/>
    </xf>
    <xf numFmtId="0" fontId="53" fillId="0" borderId="0" xfId="4" applyNumberFormat="1" applyFont="1" applyFill="1" applyBorder="1" applyAlignment="1">
      <alignment horizontal="center"/>
    </xf>
    <xf numFmtId="0" fontId="63" fillId="0" borderId="0" xfId="1" applyNumberFormat="1" applyFont="1" applyBorder="1" applyAlignment="1">
      <alignment horizontal="center"/>
    </xf>
    <xf numFmtId="3" fontId="53" fillId="0" borderId="14" xfId="0" applyNumberFormat="1" applyFont="1" applyFill="1" applyBorder="1"/>
    <xf numFmtId="3" fontId="53" fillId="0" borderId="10" xfId="0" applyNumberFormat="1" applyFont="1" applyFill="1" applyBorder="1"/>
    <xf numFmtId="177" fontId="53" fillId="0" borderId="10" xfId="535" applyNumberFormat="1" applyFont="1" applyFill="1" applyBorder="1"/>
    <xf numFmtId="3" fontId="53" fillId="0" borderId="0" xfId="0" applyNumberFormat="1" applyFont="1" applyFill="1" applyBorder="1"/>
    <xf numFmtId="0" fontId="53" fillId="0" borderId="15" xfId="0" applyFont="1" applyFill="1" applyBorder="1" applyAlignment="1" applyProtection="1">
      <alignment horizontal="left"/>
    </xf>
    <xf numFmtId="177" fontId="53" fillId="0" borderId="0" xfId="541" applyNumberFormat="1" applyFont="1" applyFill="1" applyBorder="1"/>
    <xf numFmtId="177" fontId="53" fillId="0" borderId="0" xfId="560" applyNumberFormat="1" applyFont="1" applyFill="1" applyBorder="1"/>
    <xf numFmtId="177" fontId="53" fillId="0" borderId="9" xfId="562" applyNumberFormat="1" applyFont="1" applyFill="1" applyBorder="1"/>
    <xf numFmtId="6" fontId="57" fillId="0" borderId="0" xfId="0" quotePrefix="1" applyNumberFormat="1" applyFont="1" applyBorder="1" applyAlignment="1">
      <alignment horizontal="center"/>
    </xf>
    <xf numFmtId="3" fontId="53" fillId="0" borderId="0" xfId="563" applyNumberFormat="1" applyFont="1" applyFill="1" applyBorder="1"/>
    <xf numFmtId="177" fontId="53" fillId="0" borderId="12" xfId="0" applyNumberFormat="1" applyFont="1" applyFill="1" applyBorder="1"/>
    <xf numFmtId="43" fontId="53" fillId="0" borderId="12" xfId="1012" applyNumberFormat="1" applyFont="1" applyFill="1" applyBorder="1"/>
    <xf numFmtId="43" fontId="53" fillId="0" borderId="13" xfId="1063" applyNumberFormat="1" applyFont="1" applyFill="1" applyBorder="1"/>
    <xf numFmtId="3" fontId="53" fillId="0" borderId="22" xfId="563" applyNumberFormat="1" applyFont="1" applyFill="1" applyBorder="1"/>
    <xf numFmtId="0" fontId="71" fillId="0" borderId="0" xfId="0" applyFont="1" applyAlignment="1">
      <alignment horizontal="center"/>
    </xf>
    <xf numFmtId="37" fontId="56" fillId="26" borderId="4" xfId="512" applyNumberFormat="1" applyFont="1" applyFill="1" applyBorder="1" applyAlignment="1" applyProtection="1">
      <alignment horizontal="center" vertical="center"/>
    </xf>
    <xf numFmtId="0" fontId="67" fillId="26" borderId="4" xfId="0" applyFont="1" applyFill="1" applyBorder="1" applyAlignment="1">
      <alignment horizontal="center" wrapText="1"/>
    </xf>
    <xf numFmtId="43" fontId="67" fillId="26" borderId="4" xfId="1" applyFont="1" applyFill="1" applyBorder="1" applyAlignment="1">
      <alignment horizontal="center" wrapText="1"/>
    </xf>
    <xf numFmtId="0" fontId="67" fillId="26" borderId="4" xfId="0" applyNumberFormat="1" applyFont="1" applyFill="1" applyBorder="1" applyAlignment="1">
      <alignment horizontal="center" wrapText="1"/>
    </xf>
    <xf numFmtId="0" fontId="63" fillId="0" borderId="12" xfId="0" applyFont="1" applyFill="1" applyBorder="1" applyAlignment="1">
      <alignment horizontal="center"/>
    </xf>
    <xf numFmtId="10" fontId="63" fillId="0" borderId="0" xfId="2" applyNumberFormat="1" applyFont="1" applyFill="1" applyAlignment="1">
      <alignment horizontal="center"/>
    </xf>
    <xf numFmtId="177" fontId="63" fillId="0" borderId="0" xfId="1" applyNumberFormat="1" applyFont="1" applyFill="1"/>
    <xf numFmtId="43" fontId="63" fillId="0" borderId="0" xfId="1" applyFont="1" applyFill="1"/>
    <xf numFmtId="0" fontId="49" fillId="0" borderId="0" xfId="0" applyFont="1" applyFill="1" applyAlignment="1">
      <alignment horizontal="center"/>
    </xf>
    <xf numFmtId="0" fontId="63" fillId="0" borderId="0" xfId="0" applyFont="1" applyFill="1"/>
    <xf numFmtId="0" fontId="63" fillId="0" borderId="9" xfId="0" applyFont="1" applyFill="1" applyBorder="1" applyAlignment="1">
      <alignment horizontal="center"/>
    </xf>
    <xf numFmtId="177" fontId="63" fillId="0" borderId="0" xfId="1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43" fontId="67" fillId="0" borderId="0" xfId="0" applyNumberFormat="1" applyFont="1" applyBorder="1"/>
    <xf numFmtId="43" fontId="67" fillId="26" borderId="7" xfId="1" applyFont="1" applyFill="1" applyBorder="1" applyAlignment="1">
      <alignment horizontal="center" wrapText="1"/>
    </xf>
    <xf numFmtId="0" fontId="67" fillId="26" borderId="7" xfId="0" applyFont="1" applyFill="1" applyBorder="1" applyAlignment="1">
      <alignment horizontal="center" wrapText="1"/>
    </xf>
    <xf numFmtId="2" fontId="56" fillId="0" borderId="6" xfId="4" applyNumberFormat="1" applyFont="1" applyFill="1" applyBorder="1" applyAlignment="1">
      <alignment horizontal="center"/>
    </xf>
    <xf numFmtId="2" fontId="47" fillId="0" borderId="0" xfId="1" applyNumberFormat="1" applyFont="1" applyAlignment="1">
      <alignment horizontal="center"/>
    </xf>
    <xf numFmtId="2" fontId="53" fillId="0" borderId="9" xfId="1" applyNumberFormat="1" applyFont="1" applyFill="1" applyBorder="1" applyAlignment="1">
      <alignment horizontal="center"/>
    </xf>
    <xf numFmtId="177" fontId="53" fillId="0" borderId="22" xfId="0" applyNumberFormat="1" applyFont="1" applyBorder="1"/>
    <xf numFmtId="2" fontId="67" fillId="26" borderId="7" xfId="1" applyNumberFormat="1" applyFont="1" applyFill="1" applyBorder="1" applyAlignment="1">
      <alignment horizontal="center" wrapText="1"/>
    </xf>
    <xf numFmtId="2" fontId="53" fillId="0" borderId="0" xfId="1" applyNumberFormat="1" applyFont="1" applyBorder="1" applyAlignment="1">
      <alignment horizontal="center"/>
    </xf>
    <xf numFmtId="2" fontId="67" fillId="0" borderId="0" xfId="0" applyNumberFormat="1" applyFont="1" applyBorder="1" applyAlignment="1">
      <alignment horizontal="center"/>
    </xf>
    <xf numFmtId="2" fontId="49" fillId="0" borderId="0" xfId="1" applyNumberFormat="1" applyFont="1" applyAlignment="1">
      <alignment horizontal="center"/>
    </xf>
    <xf numFmtId="2" fontId="63" fillId="0" borderId="0" xfId="1" applyNumberFormat="1" applyFont="1" applyAlignment="1">
      <alignment horizontal="center"/>
    </xf>
    <xf numFmtId="2" fontId="53" fillId="0" borderId="22" xfId="1" applyNumberFormat="1" applyFont="1" applyFill="1" applyBorder="1" applyAlignment="1">
      <alignment horizontal="center"/>
    </xf>
    <xf numFmtId="43" fontId="56" fillId="0" borderId="6" xfId="28" applyFont="1" applyBorder="1"/>
    <xf numFmtId="0" fontId="53" fillId="0" borderId="15" xfId="75" applyFont="1" applyFill="1" applyBorder="1"/>
    <xf numFmtId="0" fontId="49" fillId="0" borderId="0" xfId="0" quotePrefix="1" applyFont="1" applyAlignment="1">
      <alignment horizontal="center"/>
    </xf>
    <xf numFmtId="43" fontId="47" fillId="0" borderId="0" xfId="1" applyFont="1"/>
    <xf numFmtId="43" fontId="56" fillId="0" borderId="6" xfId="1" applyFont="1" applyFill="1" applyBorder="1"/>
    <xf numFmtId="43" fontId="67" fillId="0" borderId="6" xfId="1" applyFont="1" applyBorder="1"/>
    <xf numFmtId="0" fontId="49" fillId="0" borderId="0" xfId="1" applyNumberFormat="1" applyFont="1" applyAlignment="1">
      <alignment horizontal="center"/>
    </xf>
    <xf numFmtId="0" fontId="56" fillId="0" borderId="0" xfId="0" applyFont="1"/>
    <xf numFmtId="43" fontId="53" fillId="0" borderId="15" xfId="0" applyNumberFormat="1" applyFont="1" applyBorder="1"/>
    <xf numFmtId="0" fontId="53" fillId="0" borderId="7" xfId="0" applyNumberFormat="1" applyFont="1" applyFill="1" applyBorder="1" applyAlignment="1">
      <alignment horizontal="center"/>
    </xf>
    <xf numFmtId="0" fontId="70" fillId="26" borderId="4" xfId="0" applyFont="1" applyFill="1" applyBorder="1" applyAlignment="1">
      <alignment horizontal="center" wrapText="1"/>
    </xf>
    <xf numFmtId="177" fontId="56" fillId="0" borderId="0" xfId="4" applyNumberFormat="1" applyFont="1" applyFill="1" applyBorder="1"/>
    <xf numFmtId="43" fontId="53" fillId="0" borderId="12" xfId="0" applyNumberFormat="1" applyFont="1" applyFill="1" applyBorder="1"/>
    <xf numFmtId="43" fontId="67" fillId="27" borderId="7" xfId="1" applyFont="1" applyFill="1" applyBorder="1" applyAlignment="1">
      <alignment horizontal="center" vertical="top" wrapText="1"/>
    </xf>
    <xf numFmtId="0" fontId="53" fillId="0" borderId="15" xfId="0" applyFont="1" applyFill="1" applyBorder="1"/>
    <xf numFmtId="43" fontId="53" fillId="0" borderId="22" xfId="1008" applyNumberFormat="1" applyFont="1" applyFill="1" applyBorder="1"/>
    <xf numFmtId="43" fontId="53" fillId="0" borderId="22" xfId="1010" applyNumberFormat="1" applyFont="1" applyFill="1" applyBorder="1"/>
    <xf numFmtId="43" fontId="53" fillId="0" borderId="22" xfId="1006" applyNumberFormat="1" applyFont="1" applyFill="1" applyBorder="1"/>
    <xf numFmtId="43" fontId="53" fillId="0" borderId="22" xfId="1059" applyNumberFormat="1" applyFont="1" applyFill="1" applyBorder="1"/>
    <xf numFmtId="43" fontId="53" fillId="0" borderId="22" xfId="1014" applyNumberFormat="1" applyFont="1" applyFill="1" applyBorder="1"/>
    <xf numFmtId="43" fontId="53" fillId="0" borderId="22" xfId="1016" applyNumberFormat="1" applyFont="1" applyFill="1" applyBorder="1"/>
    <xf numFmtId="43" fontId="53" fillId="0" borderId="22" xfId="1018" applyNumberFormat="1" applyFont="1" applyFill="1" applyBorder="1"/>
    <xf numFmtId="43" fontId="53" fillId="0" borderId="22" xfId="1020" applyNumberFormat="1" applyFont="1" applyFill="1" applyBorder="1"/>
    <xf numFmtId="43" fontId="53" fillId="0" borderId="22" xfId="1061" applyNumberFormat="1" applyFont="1" applyFill="1" applyBorder="1"/>
    <xf numFmtId="43" fontId="53" fillId="0" borderId="22" xfId="1023" applyNumberFormat="1" applyFont="1" applyFill="1" applyBorder="1"/>
    <xf numFmtId="43" fontId="53" fillId="0" borderId="22" xfId="1024" applyNumberFormat="1" applyFont="1" applyFill="1" applyBorder="1"/>
    <xf numFmtId="43" fontId="53" fillId="0" borderId="22" xfId="1025" applyNumberFormat="1" applyFont="1" applyFill="1" applyBorder="1"/>
    <xf numFmtId="43" fontId="53" fillId="0" borderId="22" xfId="1027" applyNumberFormat="1" applyFont="1" applyFill="1" applyBorder="1"/>
    <xf numFmtId="43" fontId="53" fillId="0" borderId="22" xfId="1031" applyNumberFormat="1" applyFont="1" applyFill="1" applyBorder="1"/>
    <xf numFmtId="43" fontId="53" fillId="0" borderId="22" xfId="1029" applyNumberFormat="1" applyFont="1" applyFill="1" applyBorder="1"/>
    <xf numFmtId="43" fontId="53" fillId="0" borderId="22" xfId="1033" applyNumberFormat="1" applyFont="1" applyFill="1" applyBorder="1"/>
    <xf numFmtId="43" fontId="53" fillId="0" borderId="22" xfId="1035" applyNumberFormat="1" applyFont="1" applyFill="1" applyBorder="1"/>
    <xf numFmtId="43" fontId="53" fillId="0" borderId="22" xfId="1037" applyNumberFormat="1" applyFont="1" applyFill="1" applyBorder="1"/>
    <xf numFmtId="43" fontId="53" fillId="0" borderId="22" xfId="1039" applyNumberFormat="1" applyFont="1" applyFill="1" applyBorder="1"/>
    <xf numFmtId="43" fontId="53" fillId="0" borderId="22" xfId="1041" applyNumberFormat="1" applyFont="1" applyFill="1" applyBorder="1"/>
    <xf numFmtId="43" fontId="53" fillId="0" borderId="22" xfId="1045" applyNumberFormat="1" applyFont="1" applyFill="1" applyBorder="1"/>
    <xf numFmtId="43" fontId="53" fillId="0" borderId="22" xfId="1043" applyNumberFormat="1" applyFont="1" applyFill="1" applyBorder="1"/>
    <xf numFmtId="43" fontId="53" fillId="0" borderId="22" xfId="1047" applyNumberFormat="1" applyFont="1" applyFill="1" applyBorder="1"/>
    <xf numFmtId="43" fontId="53" fillId="0" borderId="22" xfId="1049" applyNumberFormat="1" applyFont="1" applyFill="1" applyBorder="1"/>
    <xf numFmtId="43" fontId="53" fillId="0" borderId="22" xfId="1051" applyNumberFormat="1" applyFont="1" applyFill="1" applyBorder="1"/>
    <xf numFmtId="43" fontId="53" fillId="0" borderId="22" xfId="1053" applyNumberFormat="1" applyFont="1" applyFill="1" applyBorder="1"/>
    <xf numFmtId="43" fontId="53" fillId="0" borderId="22" xfId="1055" applyNumberFormat="1" applyFont="1" applyFill="1" applyBorder="1"/>
    <xf numFmtId="43" fontId="53" fillId="0" borderId="22" xfId="1057" applyNumberFormat="1" applyFont="1" applyFill="1" applyBorder="1"/>
    <xf numFmtId="43" fontId="53" fillId="0" borderId="22" xfId="1063" applyNumberFormat="1" applyFont="1" applyFill="1" applyBorder="1"/>
    <xf numFmtId="177" fontId="53" fillId="0" borderId="22" xfId="0" applyNumberFormat="1" applyFont="1" applyFill="1" applyBorder="1"/>
    <xf numFmtId="177" fontId="53" fillId="0" borderId="8" xfId="0" applyNumberFormat="1" applyFont="1" applyFill="1" applyBorder="1"/>
    <xf numFmtId="43" fontId="53" fillId="0" borderId="0" xfId="0" applyNumberFormat="1" applyFont="1" applyBorder="1"/>
    <xf numFmtId="0" fontId="63" fillId="0" borderId="0" xfId="0" applyFont="1" applyFill="1" applyBorder="1" applyAlignment="1">
      <alignment horizontal="center"/>
    </xf>
    <xf numFmtId="43" fontId="53" fillId="0" borderId="21" xfId="1" applyFont="1" applyFill="1" applyBorder="1" applyAlignment="1">
      <alignment horizontal="center"/>
    </xf>
    <xf numFmtId="43" fontId="53" fillId="0" borderId="12" xfId="1" applyFont="1" applyFill="1" applyBorder="1" applyAlignment="1">
      <alignment horizontal="center"/>
    </xf>
    <xf numFmtId="43" fontId="53" fillId="0" borderId="13" xfId="1" applyFont="1" applyFill="1" applyBorder="1" applyAlignment="1">
      <alignment horizontal="center"/>
    </xf>
    <xf numFmtId="3" fontId="53" fillId="0" borderId="15" xfId="0" applyNumberFormat="1" applyFont="1" applyFill="1" applyBorder="1"/>
    <xf numFmtId="3" fontId="53" fillId="0" borderId="0" xfId="0" applyNumberFormat="1" applyFont="1" applyFill="1" applyBorder="1"/>
    <xf numFmtId="177" fontId="53" fillId="0" borderId="0" xfId="536" applyNumberFormat="1" applyFont="1" applyFill="1" applyBorder="1"/>
    <xf numFmtId="177" fontId="53" fillId="0" borderId="0" xfId="537" applyNumberFormat="1" applyFont="1" applyFill="1" applyBorder="1"/>
    <xf numFmtId="38" fontId="53" fillId="0" borderId="15" xfId="0" applyNumberFormat="1" applyFont="1" applyFill="1" applyBorder="1"/>
    <xf numFmtId="38" fontId="53" fillId="0" borderId="0" xfId="0" applyNumberFormat="1" applyFont="1" applyFill="1" applyBorder="1"/>
    <xf numFmtId="177" fontId="53" fillId="0" borderId="0" xfId="538" applyNumberFormat="1" applyFont="1" applyFill="1" applyBorder="1"/>
    <xf numFmtId="177" fontId="53" fillId="0" borderId="0" xfId="539" applyNumberFormat="1" applyFont="1" applyFill="1" applyBorder="1"/>
    <xf numFmtId="177" fontId="53" fillId="0" borderId="0" xfId="540" applyNumberFormat="1" applyFont="1" applyFill="1" applyBorder="1"/>
    <xf numFmtId="37" fontId="53" fillId="0" borderId="15" xfId="0" applyNumberFormat="1" applyFont="1" applyFill="1" applyBorder="1"/>
    <xf numFmtId="37" fontId="53" fillId="0" borderId="0" xfId="0" applyNumberFormat="1" applyFont="1" applyFill="1" applyBorder="1"/>
    <xf numFmtId="177" fontId="53" fillId="0" borderId="0" xfId="542" applyNumberFormat="1" applyFont="1" applyFill="1" applyBorder="1"/>
    <xf numFmtId="177" fontId="53" fillId="0" borderId="0" xfId="543" applyNumberFormat="1" applyFont="1" applyFill="1" applyBorder="1"/>
    <xf numFmtId="177" fontId="53" fillId="0" borderId="0" xfId="544" applyNumberFormat="1" applyFont="1" applyFill="1" applyBorder="1"/>
    <xf numFmtId="177" fontId="53" fillId="0" borderId="0" xfId="545" applyNumberFormat="1" applyFont="1" applyFill="1" applyBorder="1"/>
    <xf numFmtId="177" fontId="53" fillId="0" borderId="0" xfId="546" applyNumberFormat="1" applyFont="1" applyFill="1" applyBorder="1"/>
    <xf numFmtId="177" fontId="53" fillId="0" borderId="0" xfId="547" applyNumberFormat="1" applyFont="1" applyFill="1" applyBorder="1"/>
    <xf numFmtId="177" fontId="53" fillId="0" borderId="0" xfId="548" applyNumberFormat="1" applyFont="1" applyFill="1" applyBorder="1"/>
    <xf numFmtId="177" fontId="53" fillId="0" borderId="0" xfId="549" applyNumberFormat="1" applyFont="1" applyFill="1" applyBorder="1"/>
    <xf numFmtId="177" fontId="53" fillId="0" borderId="0" xfId="550" applyNumberFormat="1" applyFont="1" applyFill="1" applyBorder="1"/>
    <xf numFmtId="177" fontId="53" fillId="0" borderId="0" xfId="551" applyNumberFormat="1" applyFont="1" applyFill="1" applyBorder="1"/>
    <xf numFmtId="177" fontId="53" fillId="0" borderId="0" xfId="552" applyNumberFormat="1" applyFont="1" applyFill="1" applyBorder="1"/>
    <xf numFmtId="177" fontId="53" fillId="0" borderId="0" xfId="553" applyNumberFormat="1" applyFont="1" applyFill="1" applyBorder="1"/>
    <xf numFmtId="177" fontId="53" fillId="0" borderId="0" xfId="554" applyNumberFormat="1" applyFont="1" applyFill="1" applyBorder="1"/>
    <xf numFmtId="177" fontId="53" fillId="0" borderId="0" xfId="555" applyNumberFormat="1" applyFont="1" applyFill="1" applyBorder="1"/>
    <xf numFmtId="177" fontId="53" fillId="0" borderId="0" xfId="556" applyNumberFormat="1" applyFont="1" applyFill="1" applyBorder="1"/>
    <xf numFmtId="177" fontId="53" fillId="0" borderId="0" xfId="557" applyNumberFormat="1" applyFont="1" applyFill="1" applyBorder="1"/>
    <xf numFmtId="177" fontId="53" fillId="0" borderId="0" xfId="558" applyNumberFormat="1" applyFont="1" applyFill="1" applyBorder="1"/>
    <xf numFmtId="177" fontId="53" fillId="0" borderId="0" xfId="559" applyNumberFormat="1" applyFont="1" applyFill="1" applyBorder="1"/>
    <xf numFmtId="177" fontId="53" fillId="0" borderId="0" xfId="560" applyNumberFormat="1" applyFont="1" applyFill="1" applyBorder="1"/>
    <xf numFmtId="43" fontId="53" fillId="0" borderId="0" xfId="418" applyFont="1" applyFill="1" applyBorder="1"/>
    <xf numFmtId="177" fontId="53" fillId="0" borderId="0" xfId="561" applyNumberFormat="1" applyFont="1" applyFill="1" applyBorder="1"/>
    <xf numFmtId="177" fontId="53" fillId="0" borderId="0" xfId="562" applyNumberFormat="1" applyFont="1" applyFill="1" applyBorder="1"/>
    <xf numFmtId="3" fontId="53" fillId="0" borderId="16" xfId="0" applyNumberFormat="1" applyFont="1" applyFill="1" applyBorder="1"/>
    <xf numFmtId="3" fontId="53" fillId="0" borderId="9" xfId="0" applyNumberFormat="1" applyFont="1" applyFill="1" applyBorder="1"/>
    <xf numFmtId="3" fontId="53" fillId="0" borderId="10" xfId="563" applyNumberFormat="1" applyFont="1" applyFill="1" applyBorder="1"/>
    <xf numFmtId="3" fontId="53" fillId="0" borderId="0" xfId="563" applyNumberFormat="1" applyFont="1" applyFill="1" applyBorder="1"/>
    <xf numFmtId="38" fontId="53" fillId="0" borderId="0" xfId="563" applyNumberFormat="1" applyFont="1" applyFill="1" applyBorder="1"/>
    <xf numFmtId="3" fontId="53" fillId="0" borderId="9" xfId="563" applyNumberFormat="1" applyFont="1" applyFill="1" applyBorder="1"/>
    <xf numFmtId="177" fontId="53" fillId="0" borderId="11" xfId="0" applyNumberFormat="1" applyFont="1" applyFill="1" applyBorder="1"/>
    <xf numFmtId="177" fontId="53" fillId="0" borderId="12" xfId="0" applyNumberFormat="1" applyFont="1" applyFill="1" applyBorder="1"/>
    <xf numFmtId="43" fontId="53" fillId="0" borderId="12" xfId="1002" applyNumberFormat="1" applyFont="1" applyFill="1" applyBorder="1"/>
    <xf numFmtId="43" fontId="53" fillId="0" borderId="12" xfId="1004" applyNumberFormat="1" applyFont="1" applyFill="1" applyBorder="1"/>
    <xf numFmtId="43" fontId="53" fillId="0" borderId="12" xfId="1059" applyNumberFormat="1" applyFont="1" applyFill="1" applyBorder="1"/>
    <xf numFmtId="43" fontId="53" fillId="0" borderId="12" xfId="1014" applyNumberFormat="1" applyFont="1" applyFill="1" applyBorder="1"/>
    <xf numFmtId="43" fontId="53" fillId="0" borderId="12" xfId="1016" applyNumberFormat="1" applyFont="1" applyFill="1" applyBorder="1"/>
    <xf numFmtId="43" fontId="53" fillId="0" borderId="12" xfId="1018" applyNumberFormat="1" applyFont="1" applyFill="1" applyBorder="1"/>
    <xf numFmtId="43" fontId="53" fillId="0" borderId="12" xfId="1020" applyNumberFormat="1" applyFont="1" applyFill="1" applyBorder="1"/>
    <xf numFmtId="43" fontId="53" fillId="0" borderId="12" xfId="1061" applyNumberFormat="1" applyFont="1" applyFill="1" applyBorder="1"/>
    <xf numFmtId="43" fontId="53" fillId="0" borderId="12" xfId="1023" applyNumberFormat="1" applyFont="1" applyFill="1" applyBorder="1"/>
    <xf numFmtId="43" fontId="53" fillId="0" borderId="12" xfId="1024" applyNumberFormat="1" applyFont="1" applyFill="1" applyBorder="1"/>
    <xf numFmtId="43" fontId="53" fillId="0" borderId="12" xfId="1025" applyNumberFormat="1" applyFont="1" applyFill="1" applyBorder="1"/>
    <xf numFmtId="43" fontId="53" fillId="0" borderId="12" xfId="1027" applyNumberFormat="1" applyFont="1" applyFill="1" applyBorder="1"/>
    <xf numFmtId="43" fontId="53" fillId="0" borderId="12" xfId="1031" applyNumberFormat="1" applyFont="1" applyFill="1" applyBorder="1"/>
    <xf numFmtId="43" fontId="53" fillId="0" borderId="12" xfId="1029" applyNumberFormat="1" applyFont="1" applyFill="1" applyBorder="1"/>
    <xf numFmtId="43" fontId="53" fillId="0" borderId="12" xfId="1033" applyNumberFormat="1" applyFont="1" applyFill="1" applyBorder="1"/>
    <xf numFmtId="43" fontId="53" fillId="0" borderId="12" xfId="1035" applyNumberFormat="1" applyFont="1" applyFill="1" applyBorder="1"/>
    <xf numFmtId="43" fontId="53" fillId="0" borderId="12" xfId="1037" applyNumberFormat="1" applyFont="1" applyFill="1" applyBorder="1"/>
    <xf numFmtId="43" fontId="53" fillId="0" borderId="12" xfId="1039" applyNumberFormat="1" applyFont="1" applyFill="1" applyBorder="1"/>
    <xf numFmtId="43" fontId="53" fillId="0" borderId="12" xfId="1041" applyNumberFormat="1" applyFont="1" applyFill="1" applyBorder="1"/>
    <xf numFmtId="43" fontId="53" fillId="0" borderId="12" xfId="1045" applyNumberFormat="1" applyFont="1" applyFill="1" applyBorder="1"/>
    <xf numFmtId="43" fontId="53" fillId="0" borderId="12" xfId="1043" applyNumberFormat="1" applyFont="1" applyFill="1" applyBorder="1"/>
    <xf numFmtId="43" fontId="53" fillId="0" borderId="12" xfId="1047" applyNumberFormat="1" applyFont="1" applyFill="1" applyBorder="1"/>
    <xf numFmtId="43" fontId="53" fillId="0" borderId="12" xfId="1049" applyNumberFormat="1" applyFont="1" applyFill="1" applyBorder="1"/>
    <xf numFmtId="43" fontId="53" fillId="0" borderId="12" xfId="1051" applyNumberFormat="1" applyFont="1" applyFill="1" applyBorder="1"/>
    <xf numFmtId="43" fontId="53" fillId="0" borderId="12" xfId="1053" applyNumberFormat="1" applyFont="1" applyFill="1" applyBorder="1"/>
    <xf numFmtId="43" fontId="53" fillId="0" borderId="12" xfId="1055" applyNumberFormat="1" applyFont="1" applyFill="1" applyBorder="1"/>
    <xf numFmtId="43" fontId="53" fillId="0" borderId="12" xfId="1057" applyNumberFormat="1" applyFont="1" applyFill="1" applyBorder="1"/>
    <xf numFmtId="43" fontId="53" fillId="0" borderId="12" xfId="1063" applyNumberFormat="1" applyFont="1" applyFill="1" applyBorder="1"/>
    <xf numFmtId="3" fontId="53" fillId="0" borderId="7" xfId="563" applyNumberFormat="1" applyFont="1" applyFill="1" applyBorder="1"/>
    <xf numFmtId="3" fontId="53" fillId="0" borderId="22" xfId="563" applyNumberFormat="1" applyFont="1" applyFill="1" applyBorder="1"/>
    <xf numFmtId="3" fontId="53" fillId="0" borderId="8" xfId="563" applyNumberFormat="1" applyFont="1" applyFill="1" applyBorder="1"/>
    <xf numFmtId="0" fontId="63" fillId="0" borderId="12" xfId="0" applyFont="1" applyFill="1" applyBorder="1" applyAlignment="1">
      <alignment horizontal="center"/>
    </xf>
    <xf numFmtId="0" fontId="63" fillId="0" borderId="16" xfId="0" applyFont="1" applyFill="1" applyBorder="1" applyAlignment="1">
      <alignment horizontal="center"/>
    </xf>
    <xf numFmtId="0" fontId="63" fillId="0" borderId="9" xfId="0" applyFont="1" applyFill="1" applyBorder="1" applyAlignment="1">
      <alignment horizontal="center"/>
    </xf>
    <xf numFmtId="0" fontId="63" fillId="0" borderId="13" xfId="0" applyFont="1" applyFill="1" applyBorder="1" applyAlignment="1">
      <alignment horizontal="center"/>
    </xf>
    <xf numFmtId="0" fontId="63" fillId="0" borderId="22" xfId="0" applyFont="1" applyFill="1" applyBorder="1" applyAlignment="1">
      <alignment horizontal="center"/>
    </xf>
    <xf numFmtId="177" fontId="53" fillId="0" borderId="22" xfId="0" applyNumberFormat="1" applyFont="1" applyBorder="1"/>
    <xf numFmtId="2" fontId="53" fillId="0" borderId="8" xfId="1" applyNumberFormat="1" applyFont="1" applyFill="1" applyBorder="1" applyAlignment="1">
      <alignment horizontal="center"/>
    </xf>
    <xf numFmtId="2" fontId="53" fillId="0" borderId="7" xfId="1" applyNumberFormat="1" applyFont="1" applyFill="1" applyBorder="1" applyAlignment="1">
      <alignment horizontal="center"/>
    </xf>
    <xf numFmtId="2" fontId="53" fillId="0" borderId="22" xfId="1" applyNumberFormat="1" applyFont="1" applyFill="1" applyBorder="1" applyAlignment="1">
      <alignment horizontal="center"/>
    </xf>
    <xf numFmtId="43" fontId="53" fillId="0" borderId="16" xfId="0" applyNumberFormat="1" applyFont="1" applyBorder="1"/>
    <xf numFmtId="43" fontId="53" fillId="0" borderId="14" xfId="0" applyNumberFormat="1" applyFont="1" applyBorder="1"/>
    <xf numFmtId="43" fontId="53" fillId="0" borderId="10" xfId="0" applyNumberFormat="1" applyFont="1" applyBorder="1"/>
    <xf numFmtId="43" fontId="53" fillId="0" borderId="15" xfId="0" applyNumberFormat="1" applyFont="1" applyBorder="1"/>
    <xf numFmtId="43" fontId="53" fillId="0" borderId="12" xfId="0" applyNumberFormat="1" applyFont="1" applyBorder="1"/>
    <xf numFmtId="43" fontId="53" fillId="0" borderId="9" xfId="0" applyNumberFormat="1" applyFont="1" applyBorder="1"/>
    <xf numFmtId="43" fontId="53" fillId="27" borderId="15" xfId="0" applyNumberFormat="1" applyFont="1" applyFill="1" applyBorder="1"/>
    <xf numFmtId="177" fontId="53" fillId="0" borderId="7" xfId="0" applyNumberFormat="1" applyFont="1" applyBorder="1"/>
    <xf numFmtId="177" fontId="53" fillId="0" borderId="8" xfId="0" applyNumberFormat="1" applyFont="1" applyBorder="1"/>
    <xf numFmtId="0" fontId="53" fillId="0" borderId="22" xfId="0" applyNumberFormat="1" applyFont="1" applyFill="1" applyBorder="1" applyAlignment="1">
      <alignment horizontal="center"/>
    </xf>
    <xf numFmtId="43" fontId="53" fillId="0" borderId="0" xfId="0" applyNumberFormat="1" applyFont="1" applyFill="1" applyBorder="1"/>
    <xf numFmtId="164" fontId="63" fillId="0" borderId="0" xfId="0" applyNumberFormat="1" applyFont="1"/>
    <xf numFmtId="43" fontId="53" fillId="0" borderId="11" xfId="0" applyNumberFormat="1" applyFont="1" applyFill="1" applyBorder="1"/>
    <xf numFmtId="43" fontId="53" fillId="0" borderId="13" xfId="0" applyNumberFormat="1" applyFont="1" applyFill="1" applyBorder="1"/>
    <xf numFmtId="0" fontId="53" fillId="0" borderId="8" xfId="0" applyFont="1" applyFill="1" applyBorder="1"/>
    <xf numFmtId="0" fontId="67" fillId="0" borderId="7" xfId="0" applyFont="1" applyBorder="1" applyAlignment="1">
      <alignment horizontal="center"/>
    </xf>
    <xf numFmtId="177" fontId="63" fillId="0" borderId="22" xfId="0" applyNumberFormat="1" applyFont="1" applyFill="1" applyBorder="1"/>
    <xf numFmtId="177" fontId="63" fillId="0" borderId="8" xfId="0" applyNumberFormat="1" applyFont="1" applyFill="1" applyBorder="1"/>
    <xf numFmtId="177" fontId="63" fillId="0" borderId="22" xfId="1" applyNumberFormat="1" applyFont="1" applyFill="1" applyBorder="1"/>
    <xf numFmtId="177" fontId="63" fillId="0" borderId="8" xfId="1" applyNumberFormat="1" applyFont="1" applyFill="1" applyBorder="1"/>
    <xf numFmtId="43" fontId="63" fillId="0" borderId="22" xfId="1" applyFont="1" applyFill="1" applyBorder="1"/>
    <xf numFmtId="43" fontId="63" fillId="0" borderId="8" xfId="1" applyFont="1" applyFill="1" applyBorder="1"/>
    <xf numFmtId="0" fontId="67" fillId="0" borderId="4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3" fillId="0" borderId="8" xfId="0" applyFont="1" applyFill="1" applyBorder="1" applyAlignment="1">
      <alignment horizontal="center"/>
    </xf>
    <xf numFmtId="37" fontId="56" fillId="0" borderId="4" xfId="512" applyNumberFormat="1" applyFont="1" applyFill="1" applyBorder="1" applyAlignment="1" applyProtection="1">
      <alignment horizontal="center" vertical="center"/>
    </xf>
    <xf numFmtId="37" fontId="56" fillId="0" borderId="22" xfId="512" applyNumberFormat="1" applyFont="1" applyFill="1" applyBorder="1" applyAlignment="1" applyProtection="1">
      <alignment horizontal="center" vertical="center"/>
    </xf>
    <xf numFmtId="0" fontId="47" fillId="0" borderId="22" xfId="0" applyFont="1" applyBorder="1" applyAlignment="1">
      <alignment horizontal="center"/>
    </xf>
    <xf numFmtId="0" fontId="67" fillId="0" borderId="4" xfId="0" applyFont="1" applyFill="1" applyBorder="1" applyAlignment="1">
      <alignment horizontal="center" vertical="center" wrapText="1"/>
    </xf>
    <xf numFmtId="177" fontId="53" fillId="0" borderId="14" xfId="0" applyNumberFormat="1" applyFont="1" applyBorder="1"/>
    <xf numFmtId="177" fontId="63" fillId="0" borderId="11" xfId="0" applyNumberFormat="1" applyFont="1" applyFill="1" applyBorder="1"/>
    <xf numFmtId="177" fontId="53" fillId="0" borderId="15" xfId="0" applyNumberFormat="1" applyFont="1" applyBorder="1"/>
    <xf numFmtId="177" fontId="63" fillId="0" borderId="12" xfId="0" applyNumberFormat="1" applyFont="1" applyFill="1" applyBorder="1"/>
    <xf numFmtId="177" fontId="53" fillId="0" borderId="16" xfId="0" applyNumberFormat="1" applyFont="1" applyBorder="1"/>
    <xf numFmtId="177" fontId="63" fillId="0" borderId="13" xfId="0" applyNumberFormat="1" applyFont="1" applyFill="1" applyBorder="1"/>
    <xf numFmtId="0" fontId="67" fillId="0" borderId="0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3" fontId="63" fillId="0" borderId="15" xfId="1" applyNumberFormat="1" applyFont="1" applyFill="1" applyBorder="1" applyAlignment="1">
      <alignment horizontal="center"/>
    </xf>
    <xf numFmtId="43" fontId="63" fillId="0" borderId="0" xfId="1" applyNumberFormat="1" applyFont="1" applyFill="1" applyBorder="1" applyAlignment="1">
      <alignment horizontal="center"/>
    </xf>
    <xf numFmtId="43" fontId="63" fillId="0" borderId="16" xfId="1" applyNumberFormat="1" applyFont="1" applyFill="1" applyBorder="1" applyAlignment="1">
      <alignment horizontal="center"/>
    </xf>
    <xf numFmtId="43" fontId="63" fillId="0" borderId="9" xfId="1" applyNumberFormat="1" applyFont="1" applyFill="1" applyBorder="1" applyAlignment="1">
      <alignment horizontal="center"/>
    </xf>
    <xf numFmtId="43" fontId="63" fillId="0" borderId="18" xfId="1" applyFont="1" applyBorder="1"/>
    <xf numFmtId="177" fontId="63" fillId="0" borderId="20" xfId="0" applyNumberFormat="1" applyFont="1" applyFill="1" applyBorder="1"/>
    <xf numFmtId="43" fontId="53" fillId="0" borderId="20" xfId="1" applyFont="1" applyBorder="1"/>
    <xf numFmtId="0" fontId="63" fillId="0" borderId="18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" xfId="0" applyFont="1" applyFill="1" applyBorder="1" applyAlignment="1">
      <alignment horizontal="center"/>
    </xf>
    <xf numFmtId="43" fontId="67" fillId="0" borderId="4" xfId="1" applyFont="1" applyBorder="1"/>
    <xf numFmtId="43" fontId="67" fillId="0" borderId="4" xfId="1" applyFont="1" applyFill="1" applyBorder="1"/>
    <xf numFmtId="0" fontId="63" fillId="0" borderId="0" xfId="0" applyFont="1" applyBorder="1" applyAlignment="1">
      <alignment horizontal="center"/>
    </xf>
    <xf numFmtId="177" fontId="53" fillId="0" borderId="0" xfId="0" applyNumberFormat="1" applyFont="1" applyFill="1" applyBorder="1"/>
    <xf numFmtId="43" fontId="56" fillId="0" borderId="0" xfId="28" applyFont="1" applyBorder="1"/>
    <xf numFmtId="0" fontId="47" fillId="0" borderId="0" xfId="0" applyFont="1" applyBorder="1"/>
    <xf numFmtId="43" fontId="56" fillId="0" borderId="19" xfId="28" applyFont="1" applyBorder="1"/>
    <xf numFmtId="177" fontId="56" fillId="0" borderId="19" xfId="4" applyNumberFormat="1" applyFont="1" applyFill="1" applyBorder="1"/>
    <xf numFmtId="0" fontId="67" fillId="0" borderId="6" xfId="0" applyFont="1" applyBorder="1"/>
    <xf numFmtId="0" fontId="63" fillId="0" borderId="4" xfId="0" applyFont="1" applyBorder="1"/>
    <xf numFmtId="43" fontId="53" fillId="0" borderId="4" xfId="1" applyFont="1" applyBorder="1"/>
    <xf numFmtId="0" fontId="54" fillId="0" borderId="4" xfId="0" applyFont="1" applyBorder="1" applyAlignment="1">
      <alignment horizontal="center" vertical="center"/>
    </xf>
    <xf numFmtId="0" fontId="53" fillId="0" borderId="8" xfId="0" applyNumberFormat="1" applyFont="1" applyFill="1" applyBorder="1" applyAlignment="1">
      <alignment horizontal="center"/>
    </xf>
    <xf numFmtId="9" fontId="73" fillId="0" borderId="0" xfId="2" applyFont="1" applyBorder="1" applyAlignment="1">
      <alignment horizontal="center"/>
    </xf>
    <xf numFmtId="9" fontId="74" fillId="0" borderId="0" xfId="2" quotePrefix="1" applyFont="1" applyBorder="1" applyAlignment="1">
      <alignment horizontal="center"/>
    </xf>
    <xf numFmtId="0" fontId="47" fillId="0" borderId="18" xfId="0" applyFont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72" fillId="0" borderId="18" xfId="0" applyFont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20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9" fillId="0" borderId="0" xfId="0" applyFont="1" applyAlignment="1">
      <alignment horizontal="center"/>
    </xf>
    <xf numFmtId="6" fontId="57" fillId="0" borderId="9" xfId="0" quotePrefix="1" applyNumberFormat="1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20" xfId="0" applyFont="1" applyBorder="1" applyAlignment="1">
      <alignment horizontal="center"/>
    </xf>
    <xf numFmtId="0" fontId="54" fillId="8" borderId="0" xfId="602" applyNumberFormat="1" applyFont="1" applyFill="1" applyAlignment="1">
      <alignment horizontal="center"/>
    </xf>
    <xf numFmtId="0" fontId="75" fillId="0" borderId="0" xfId="0" applyFont="1"/>
  </cellXfs>
  <cellStyles count="1169">
    <cellStyle name="_x0013_" xfId="11"/>
    <cellStyle name="_x0013_ 2" xfId="12"/>
    <cellStyle name="??_HB_diagram-HHH" xfId="13"/>
    <cellStyle name="_x0013__Ocotillo" xfId="14"/>
    <cellStyle name="Bad 2" xfId="15"/>
    <cellStyle name="Check Cell 2" xfId="16"/>
    <cellStyle name="Check Cell 3" xfId="17"/>
    <cellStyle name="Check Cell 3 2" xfId="18"/>
    <cellStyle name="Check Cell 3 3" xfId="19"/>
    <cellStyle name="Comma" xfId="1" builtinId="3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omma [0] 2" xfId="863"/>
    <cellStyle name="Comma [0] 2 2" xfId="864"/>
    <cellStyle name="Comma 10" xfId="219"/>
    <cellStyle name="Comma 10 2" xfId="748"/>
    <cellStyle name="Comma 10 2 2" xfId="977"/>
    <cellStyle name="Comma 10 2 3" xfId="902"/>
    <cellStyle name="Comma 10 3" xfId="854"/>
    <cellStyle name="Comma 10 4" xfId="865"/>
    <cellStyle name="Comma 10 5" xfId="926"/>
    <cellStyle name="Comma 10 6" xfId="570"/>
    <cellStyle name="Comma 100" xfId="1017"/>
    <cellStyle name="Comma 101" xfId="1019"/>
    <cellStyle name="Comma 102" xfId="1021"/>
    <cellStyle name="Comma 103" xfId="1022"/>
    <cellStyle name="Comma 104" xfId="1005"/>
    <cellStyle name="Comma 105" xfId="1026"/>
    <cellStyle name="Comma 106" xfId="1028"/>
    <cellStyle name="Comma 107" xfId="1030"/>
    <cellStyle name="Comma 108" xfId="1032"/>
    <cellStyle name="Comma 109" xfId="1034"/>
    <cellStyle name="Comma 11" xfId="308"/>
    <cellStyle name="Comma 11 2" xfId="884"/>
    <cellStyle name="Comma 11 3" xfId="671"/>
    <cellStyle name="Comma 110" xfId="1036"/>
    <cellStyle name="Comma 111" xfId="1038"/>
    <cellStyle name="Comma 112" xfId="1040"/>
    <cellStyle name="Comma 113" xfId="1042"/>
    <cellStyle name="Comma 114" xfId="1044"/>
    <cellStyle name="Comma 115" xfId="1046"/>
    <cellStyle name="Comma 116" xfId="1048"/>
    <cellStyle name="Comma 117" xfId="1050"/>
    <cellStyle name="Comma 118" xfId="1052"/>
    <cellStyle name="Comma 119" xfId="1054"/>
    <cellStyle name="Comma 12" xfId="313"/>
    <cellStyle name="Comma 12 2" xfId="771"/>
    <cellStyle name="Comma 120" xfId="1056"/>
    <cellStyle name="Comma 121" xfId="1058"/>
    <cellStyle name="Comma 122" xfId="1060"/>
    <cellStyle name="Comma 123" xfId="1062"/>
    <cellStyle name="Comma 124" xfId="1064"/>
    <cellStyle name="Comma 125" xfId="1065"/>
    <cellStyle name="Comma 126" xfId="1067"/>
    <cellStyle name="Comma 127" xfId="1071"/>
    <cellStyle name="Comma 128" xfId="1073"/>
    <cellStyle name="Comma 129" xfId="1075"/>
    <cellStyle name="Comma 13" xfId="798"/>
    <cellStyle name="Comma 130" xfId="1077"/>
    <cellStyle name="Comma 131" xfId="1079"/>
    <cellStyle name="Comma 132" xfId="1081"/>
    <cellStyle name="Comma 133" xfId="1083"/>
    <cellStyle name="Comma 134" xfId="1085"/>
    <cellStyle name="Comma 135" xfId="1087"/>
    <cellStyle name="Comma 136" xfId="1089"/>
    <cellStyle name="Comma 137" xfId="1090"/>
    <cellStyle name="Comma 138" xfId="1069"/>
    <cellStyle name="Comma 139" xfId="1093"/>
    <cellStyle name="Comma 14" xfId="774"/>
    <cellStyle name="Comma 140" xfId="1095"/>
    <cellStyle name="Comma 15" xfId="797"/>
    <cellStyle name="Comma 16" xfId="799"/>
    <cellStyle name="Comma 17" xfId="796"/>
    <cellStyle name="Comma 18" xfId="775"/>
    <cellStyle name="Comma 19" xfId="772"/>
    <cellStyle name="Comma 2" xfId="28"/>
    <cellStyle name="Comma 2 2" xfId="29"/>
    <cellStyle name="Comma 2 2 2" xfId="296"/>
    <cellStyle name="Comma 2 2 3" xfId="270"/>
    <cellStyle name="Comma 2 2 3 2" xfId="624"/>
    <cellStyle name="Comma 2 2 4" xfId="321"/>
    <cellStyle name="Comma 2 2 4 2" xfId="669"/>
    <cellStyle name="Comma 2 2 4 3" xfId="1161"/>
    <cellStyle name="Comma 2 2 5" xfId="418"/>
    <cellStyle name="Comma 2 2 6" xfId="571"/>
    <cellStyle name="Comma 2 3" xfId="268"/>
    <cellStyle name="Comma 2 3 2" xfId="513"/>
    <cellStyle name="Comma 2 3 3" xfId="578"/>
    <cellStyle name="Comma 2 4" xfId="514"/>
    <cellStyle name="Comma 2 4 2" xfId="625"/>
    <cellStyle name="Comma 2 4 3" xfId="866"/>
    <cellStyle name="Comma 2 5" xfId="515"/>
    <cellStyle name="Comma 2 6" xfId="626"/>
    <cellStyle name="Comma 20" xfId="776"/>
    <cellStyle name="Comma 21" xfId="794"/>
    <cellStyle name="Comma 22" xfId="778"/>
    <cellStyle name="Comma 23" xfId="792"/>
    <cellStyle name="Comma 24" xfId="781"/>
    <cellStyle name="Comma 25" xfId="791"/>
    <cellStyle name="Comma 26" xfId="782"/>
    <cellStyle name="Comma 27" xfId="790"/>
    <cellStyle name="Comma 28" xfId="783"/>
    <cellStyle name="Comma 29" xfId="804"/>
    <cellStyle name="Comma 3" xfId="30"/>
    <cellStyle name="Comma 3 10" xfId="221"/>
    <cellStyle name="Comma 3 10 2" xfId="678"/>
    <cellStyle name="Comma 3 11" xfId="322"/>
    <cellStyle name="Comma 3 11 2" xfId="1145"/>
    <cellStyle name="Comma 3 12" xfId="419"/>
    <cellStyle name="Comma 3 13" xfId="567"/>
    <cellStyle name="Comma 3 2" xfId="31"/>
    <cellStyle name="Comma 3 2 2" xfId="297"/>
    <cellStyle name="Comma 3 2 2 2" xfId="867"/>
    <cellStyle name="Comma 3 2 2 3" xfId="679"/>
    <cellStyle name="Comma 3 2 3" xfId="323"/>
    <cellStyle name="Comma 3 2 3 2" xfId="1122"/>
    <cellStyle name="Comma 3 2 4" xfId="420"/>
    <cellStyle name="Comma 3 3" xfId="32"/>
    <cellStyle name="Comma 3 3 2" xfId="275"/>
    <cellStyle name="Comma 3 3 2 2" xfId="628"/>
    <cellStyle name="Comma 3 3 2 2 2" xfId="690"/>
    <cellStyle name="Comma 3 3 2 2 2 2" xfId="962"/>
    <cellStyle name="Comma 3 3 2 2 2 3" xfId="887"/>
    <cellStyle name="Comma 3 3 2 2 3" xfId="839"/>
    <cellStyle name="Comma 3 3 2 2 4" xfId="952"/>
    <cellStyle name="Comma 3 3 2 3" xfId="619"/>
    <cellStyle name="Comma 3 3 2 3 2" xfId="752"/>
    <cellStyle name="Comma 3 3 2 3 2 2" xfId="981"/>
    <cellStyle name="Comma 3 3 2 3 2 3" xfId="906"/>
    <cellStyle name="Comma 3 3 2 3 3" xfId="833"/>
    <cellStyle name="Comma 3 3 2 3 4" xfId="946"/>
    <cellStyle name="Comma 3 3 2 4" xfId="766"/>
    <cellStyle name="Comma 3 3 2 4 2" xfId="995"/>
    <cellStyle name="Comma 3 3 2 4 3" xfId="920"/>
    <cellStyle name="Comma 3 3 2 5" xfId="821"/>
    <cellStyle name="Comma 3 3 2 6" xfId="934"/>
    <cellStyle name="Comma 3 3 2 7" xfId="605"/>
    <cellStyle name="Comma 3 3 3" xfId="324"/>
    <cellStyle name="Comma 3 3 3 2" xfId="742"/>
    <cellStyle name="Comma 3 3 3 2 2" xfId="971"/>
    <cellStyle name="Comma 3 3 3 2 3" xfId="896"/>
    <cellStyle name="Comma 3 3 3 3" xfId="838"/>
    <cellStyle name="Comma 3 3 3 4" xfId="951"/>
    <cellStyle name="Comma 3 3 3 5" xfId="627"/>
    <cellStyle name="Comma 3 3 3 6" xfId="1158"/>
    <cellStyle name="Comma 3 3 4" xfId="421"/>
    <cellStyle name="Comma 3 3 4 2" xfId="736"/>
    <cellStyle name="Comma 3 3 4 2 2" xfId="965"/>
    <cellStyle name="Comma 3 3 4 2 3" xfId="890"/>
    <cellStyle name="Comma 3 3 4 3" xfId="827"/>
    <cellStyle name="Comma 3 3 4 4" xfId="940"/>
    <cellStyle name="Comma 3 3 4 5" xfId="613"/>
    <cellStyle name="Comma 3 3 5" xfId="680"/>
    <cellStyle name="Comma 3 3 6" xfId="767"/>
    <cellStyle name="Comma 3 3 6 2" xfId="996"/>
    <cellStyle name="Comma 3 3 6 3" xfId="921"/>
    <cellStyle name="Comma 3 3 7" xfId="814"/>
    <cellStyle name="Comma 3 3 8" xfId="928"/>
    <cellStyle name="Comma 3 3 9" xfId="576"/>
    <cellStyle name="Comma 3 4" xfId="33"/>
    <cellStyle name="Comma 3 4 2" xfId="325"/>
    <cellStyle name="Comma 3 4 2 2" xfId="681"/>
    <cellStyle name="Comma 3 4 3" xfId="422"/>
    <cellStyle name="Comma 3 4 4" xfId="629"/>
    <cellStyle name="Comma 3 5" xfId="34"/>
    <cellStyle name="Comma 3 5 2" xfId="326"/>
    <cellStyle name="Comma 3 5 2 2" xfId="682"/>
    <cellStyle name="Comma 3 5 3" xfId="423"/>
    <cellStyle name="Comma 3 5 4" xfId="572"/>
    <cellStyle name="Comma 3 6" xfId="35"/>
    <cellStyle name="Comma 3 6 2" xfId="327"/>
    <cellStyle name="Comma 3 6 2 2" xfId="683"/>
    <cellStyle name="Comma 3 6 3" xfId="424"/>
    <cellStyle name="Comma 3 6 4" xfId="673"/>
    <cellStyle name="Comma 3 7" xfId="36"/>
    <cellStyle name="Comma 3 7 2" xfId="328"/>
    <cellStyle name="Comma 3 7 2 2" xfId="1123"/>
    <cellStyle name="Comma 3 7 3" xfId="425"/>
    <cellStyle name="Comma 3 8" xfId="37"/>
    <cellStyle name="Comma 3 8 2" xfId="329"/>
    <cellStyle name="Comma 3 8 2 2" xfId="1157"/>
    <cellStyle name="Comma 3 8 3" xfId="426"/>
    <cellStyle name="Comma 3 9" xfId="38"/>
    <cellStyle name="Comma 3 9 2" xfId="330"/>
    <cellStyle name="Comma 3 9 2 2" xfId="1165"/>
    <cellStyle name="Comma 3 9 3" xfId="427"/>
    <cellStyle name="Comma 30" xfId="784"/>
    <cellStyle name="Comma 31" xfId="803"/>
    <cellStyle name="Comma 32" xfId="795"/>
    <cellStyle name="Comma 33" xfId="802"/>
    <cellStyle name="Comma 34" xfId="779"/>
    <cellStyle name="Comma 35" xfId="801"/>
    <cellStyle name="Comma 36" xfId="793"/>
    <cellStyle name="Comma 37" xfId="800"/>
    <cellStyle name="Comma 38" xfId="777"/>
    <cellStyle name="Comma 39" xfId="780"/>
    <cellStyle name="Comma 4" xfId="223"/>
    <cellStyle name="Comma 4 2" xfId="277"/>
    <cellStyle name="Comma 4 2 2" xfId="516"/>
    <cellStyle name="Comma 4 2 2 2" xfId="630"/>
    <cellStyle name="Comma 4 2 3" xfId="517"/>
    <cellStyle name="Comma 4 2 4" xfId="631"/>
    <cellStyle name="Comma 4 3" xfId="276"/>
    <cellStyle name="Comma 40" xfId="785"/>
    <cellStyle name="Comma 41" xfId="789"/>
    <cellStyle name="Comma 42" xfId="786"/>
    <cellStyle name="Comma 43" xfId="773"/>
    <cellStyle name="Comma 44" xfId="787"/>
    <cellStyle name="Comma 45" xfId="788"/>
    <cellStyle name="Comma 46" xfId="805"/>
    <cellStyle name="Comma 47" xfId="809"/>
    <cellStyle name="Comma 48" xfId="806"/>
    <cellStyle name="Comma 49" xfId="808"/>
    <cellStyle name="Comma 5" xfId="286"/>
    <cellStyle name="Comma 5 2" xfId="302"/>
    <cellStyle name="Comma 5 2 2" xfId="633"/>
    <cellStyle name="Comma 5 2 2 2" xfId="743"/>
    <cellStyle name="Comma 5 2 2 2 2" xfId="972"/>
    <cellStyle name="Comma 5 2 2 2 3" xfId="897"/>
    <cellStyle name="Comma 5 2 2 3" xfId="841"/>
    <cellStyle name="Comma 5 2 2 4" xfId="954"/>
    <cellStyle name="Comma 5 2 3" xfId="620"/>
    <cellStyle name="Comma 5 2 3 2" xfId="734"/>
    <cellStyle name="Comma 5 2 3 2 2" xfId="963"/>
    <cellStyle name="Comma 5 2 3 2 3" xfId="888"/>
    <cellStyle name="Comma 5 2 3 3" xfId="834"/>
    <cellStyle name="Comma 5 2 3 4" xfId="947"/>
    <cellStyle name="Comma 5 2 4" xfId="756"/>
    <cellStyle name="Comma 5 2 4 2" xfId="985"/>
    <cellStyle name="Comma 5 2 4 3" xfId="910"/>
    <cellStyle name="Comma 5 2 5" xfId="822"/>
    <cellStyle name="Comma 5 2 6" xfId="935"/>
    <cellStyle name="Comma 5 2 7" xfId="606"/>
    <cellStyle name="Comma 5 3" xfId="289"/>
    <cellStyle name="Comma 5 3 2" xfId="760"/>
    <cellStyle name="Comma 5 3 2 2" xfId="989"/>
    <cellStyle name="Comma 5 3 2 3" xfId="914"/>
    <cellStyle name="Comma 5 3 3" xfId="840"/>
    <cellStyle name="Comma 5 3 4" xfId="953"/>
    <cellStyle name="Comma 5 3 5" xfId="632"/>
    <cellStyle name="Comma 5 4" xfId="614"/>
    <cellStyle name="Comma 5 4 2" xfId="762"/>
    <cellStyle name="Comma 5 4 2 2" xfId="991"/>
    <cellStyle name="Comma 5 4 2 3" xfId="916"/>
    <cellStyle name="Comma 5 4 3" xfId="828"/>
    <cellStyle name="Comma 5 4 4" xfId="941"/>
    <cellStyle name="Comma 5 5" xfId="768"/>
    <cellStyle name="Comma 5 5 2" xfId="997"/>
    <cellStyle name="Comma 5 5 3" xfId="922"/>
    <cellStyle name="Comma 5 6" xfId="815"/>
    <cellStyle name="Comma 5 7" xfId="868"/>
    <cellStyle name="Comma 5 8" xfId="929"/>
    <cellStyle name="Comma 5 9" xfId="579"/>
    <cellStyle name="Comma 50" xfId="807"/>
    <cellStyle name="Comma 51" xfId="811"/>
    <cellStyle name="Comma 52" xfId="851"/>
    <cellStyle name="Comma 53" xfId="856"/>
    <cellStyle name="Comma 54" xfId="819"/>
    <cellStyle name="Comma 55" xfId="848"/>
    <cellStyle name="Comma 56" xfId="535"/>
    <cellStyle name="Comma 57" xfId="536"/>
    <cellStyle name="Comma 58" xfId="537"/>
    <cellStyle name="Comma 59" xfId="538"/>
    <cellStyle name="Comma 6" xfId="293"/>
    <cellStyle name="Comma 6 2" xfId="518"/>
    <cellStyle name="Comma 6 2 2" xfId="634"/>
    <cellStyle name="Comma 6 3" xfId="519"/>
    <cellStyle name="Comma 6 3 2" xfId="635"/>
    <cellStyle name="Comma 6 4" xfId="869"/>
    <cellStyle name="Comma 60" xfId="539"/>
    <cellStyle name="Comma 61" xfId="540"/>
    <cellStyle name="Comma 62" xfId="541"/>
    <cellStyle name="Comma 63" xfId="542"/>
    <cellStyle name="Comma 64" xfId="543"/>
    <cellStyle name="Comma 65" xfId="544"/>
    <cellStyle name="Comma 66" xfId="545"/>
    <cellStyle name="Comma 67" xfId="546"/>
    <cellStyle name="Comma 68" xfId="547"/>
    <cellStyle name="Comma 69" xfId="548"/>
    <cellStyle name="Comma 7" xfId="225"/>
    <cellStyle name="Comma 7 2" xfId="637"/>
    <cellStyle name="Comma 7 3" xfId="870"/>
    <cellStyle name="Comma 7 4" xfId="636"/>
    <cellStyle name="Comma 70" xfId="549"/>
    <cellStyle name="Comma 71" xfId="550"/>
    <cellStyle name="Comma 72" xfId="551"/>
    <cellStyle name="Comma 73" xfId="552"/>
    <cellStyle name="Comma 74" xfId="553"/>
    <cellStyle name="Comma 75" xfId="554"/>
    <cellStyle name="Comma 76" xfId="555"/>
    <cellStyle name="Comma 77" xfId="556"/>
    <cellStyle name="Comma 78" xfId="557"/>
    <cellStyle name="Comma 79" xfId="558"/>
    <cellStyle name="Comma 8" xfId="306"/>
    <cellStyle name="Comma 8 2" xfId="871"/>
    <cellStyle name="Comma 80" xfId="559"/>
    <cellStyle name="Comma 81" xfId="560"/>
    <cellStyle name="Comma 82" xfId="861"/>
    <cellStyle name="Comma 83" xfId="858"/>
    <cellStyle name="Comma 84" xfId="860"/>
    <cellStyle name="Comma 85" xfId="842"/>
    <cellStyle name="Comma 86" xfId="885"/>
    <cellStyle name="Comma 87" xfId="880"/>
    <cellStyle name="Comma 88" xfId="886"/>
    <cellStyle name="Comma 89" xfId="812"/>
    <cellStyle name="Comma 9" xfId="220"/>
    <cellStyle name="Comma 9 2" xfId="638"/>
    <cellStyle name="Comma 9 3" xfId="872"/>
    <cellStyle name="Comma 90" xfId="561"/>
    <cellStyle name="Comma 91" xfId="562"/>
    <cellStyle name="Comma 92" xfId="564"/>
    <cellStyle name="Comma 93" xfId="1001"/>
    <cellStyle name="Comma 94" xfId="1003"/>
    <cellStyle name="Comma 95" xfId="1007"/>
    <cellStyle name="Comma 96" xfId="1009"/>
    <cellStyle name="Comma 97" xfId="1011"/>
    <cellStyle name="Comma 98" xfId="1013"/>
    <cellStyle name="Comma 99" xfId="1015"/>
    <cellStyle name="Comma0" xfId="39"/>
    <cellStyle name="Currency" xfId="310" builtinId="4"/>
    <cellStyle name="Currency 2" xfId="5"/>
    <cellStyle name="Currency 2 2" xfId="278"/>
    <cellStyle name="Currency 2 2 2" xfId="520"/>
    <cellStyle name="Currency 2 2 3" xfId="639"/>
    <cellStyle name="Currency 2 3" xfId="521"/>
    <cellStyle name="Currency 2 3 2" xfId="640"/>
    <cellStyle name="Currency 2 4" xfId="641"/>
    <cellStyle name="Currency 3" xfId="287"/>
    <cellStyle name="Currency 3 2" xfId="303"/>
    <cellStyle name="Currency 3 2 2" xfId="643"/>
    <cellStyle name="Currency 3 2 2 2" xfId="739"/>
    <cellStyle name="Currency 3 2 2 2 2" xfId="968"/>
    <cellStyle name="Currency 3 2 2 2 3" xfId="893"/>
    <cellStyle name="Currency 3 2 2 3" xfId="844"/>
    <cellStyle name="Currency 3 2 2 4" xfId="956"/>
    <cellStyle name="Currency 3 2 3" xfId="621"/>
    <cellStyle name="Currency 3 2 3 2" xfId="740"/>
    <cellStyle name="Currency 3 2 3 2 2" xfId="969"/>
    <cellStyle name="Currency 3 2 3 2 3" xfId="894"/>
    <cellStyle name="Currency 3 2 3 3" xfId="835"/>
    <cellStyle name="Currency 3 2 3 4" xfId="948"/>
    <cellStyle name="Currency 3 2 4" xfId="764"/>
    <cellStyle name="Currency 3 2 4 2" xfId="993"/>
    <cellStyle name="Currency 3 2 4 3" xfId="918"/>
    <cellStyle name="Currency 3 2 5" xfId="823"/>
    <cellStyle name="Currency 3 2 6" xfId="874"/>
    <cellStyle name="Currency 3 2 7" xfId="936"/>
    <cellStyle name="Currency 3 2 8" xfId="607"/>
    <cellStyle name="Currency 3 3" xfId="290"/>
    <cellStyle name="Currency 3 3 2" xfId="744"/>
    <cellStyle name="Currency 3 3 2 2" xfId="973"/>
    <cellStyle name="Currency 3 3 2 3" xfId="898"/>
    <cellStyle name="Currency 3 3 3" xfId="843"/>
    <cellStyle name="Currency 3 3 4" xfId="955"/>
    <cellStyle name="Currency 3 3 5" xfId="642"/>
    <cellStyle name="Currency 3 4" xfId="615"/>
    <cellStyle name="Currency 3 4 2" xfId="738"/>
    <cellStyle name="Currency 3 4 2 2" xfId="967"/>
    <cellStyle name="Currency 3 4 2 3" xfId="892"/>
    <cellStyle name="Currency 3 4 3" xfId="829"/>
    <cellStyle name="Currency 3 4 4" xfId="942"/>
    <cellStyle name="Currency 3 5" xfId="747"/>
    <cellStyle name="Currency 3 5 2" xfId="976"/>
    <cellStyle name="Currency 3 5 3" xfId="901"/>
    <cellStyle name="Currency 3 6" xfId="816"/>
    <cellStyle name="Currency 3 7" xfId="873"/>
    <cellStyle name="Currency 3 8" xfId="930"/>
    <cellStyle name="Currency 3 9" xfId="580"/>
    <cellStyle name="Currency 4" xfId="875"/>
    <cellStyle name="Currency 4 2" xfId="876"/>
    <cellStyle name="Currency 5" xfId="877"/>
    <cellStyle name="Currency0" xfId="40"/>
    <cellStyle name="Currency0 2" xfId="41"/>
    <cellStyle name="Date" xfId="42"/>
    <cellStyle name="Euro" xfId="43"/>
    <cellStyle name="Fixed" xfId="44"/>
    <cellStyle name="Good 2" xfId="45"/>
    <cellStyle name="GrayCell" xfId="46"/>
    <cellStyle name="Heading1" xfId="47"/>
    <cellStyle name="Heading2" xfId="48"/>
    <cellStyle name="Hyperlink 2" xfId="49"/>
    <cellStyle name="Input 2" xfId="50"/>
    <cellStyle name="Input 3" xfId="51"/>
    <cellStyle name="Input 3 2" xfId="52"/>
    <cellStyle name="Input 3 3" xfId="53"/>
    <cellStyle name="input data" xfId="54"/>
    <cellStyle name="input data 2" xfId="55"/>
    <cellStyle name="input data_Ocotillo" xfId="56"/>
    <cellStyle name="Neutral 2" xfId="57"/>
    <cellStyle name="no dec" xfId="58"/>
    <cellStyle name="Normal" xfId="0" builtinId="0"/>
    <cellStyle name="Normal - Style1" xfId="59"/>
    <cellStyle name="Normal + box" xfId="60"/>
    <cellStyle name="Normal + cyan" xfId="61"/>
    <cellStyle name="Normal + cyan 2" xfId="62"/>
    <cellStyle name="Normal + cyan 2 2" xfId="63"/>
    <cellStyle name="Normal + cyan 3" xfId="64"/>
    <cellStyle name="Normal + cyan 3 2" xfId="65"/>
    <cellStyle name="normal + link" xfId="66"/>
    <cellStyle name="normal + link 2" xfId="67"/>
    <cellStyle name="normal + link2" xfId="68"/>
    <cellStyle name="Normal + red" xfId="69"/>
    <cellStyle name="Normal 10" xfId="70"/>
    <cellStyle name="Normal 10 2" xfId="522"/>
    <cellStyle name="Normal 10 2 2" xfId="878"/>
    <cellStyle name="Normal 10 3" xfId="684"/>
    <cellStyle name="Normal 10 3 2" xfId="879"/>
    <cellStyle name="Normal 10 4" xfId="581"/>
    <cellStyle name="Normal 11" xfId="71"/>
    <cellStyle name="Normal 11 2" xfId="72"/>
    <cellStyle name="Normal 11 2 2" xfId="332"/>
    <cellStyle name="Normal 11 2 2 2" xfId="1104"/>
    <cellStyle name="Normal 11 2 3" xfId="429"/>
    <cellStyle name="Normal 11 3" xfId="73"/>
    <cellStyle name="Normal 11 3 2" xfId="333"/>
    <cellStyle name="Normal 11 3 2 2" xfId="1164"/>
    <cellStyle name="Normal 11 3 3" xfId="430"/>
    <cellStyle name="Normal 11 4" xfId="74"/>
    <cellStyle name="Normal 11 4 2" xfId="334"/>
    <cellStyle name="Normal 11 4 2 2" xfId="1127"/>
    <cellStyle name="Normal 11 4 3" xfId="431"/>
    <cellStyle name="Normal 11 5" xfId="331"/>
    <cellStyle name="Normal 11 5 2" xfId="685"/>
    <cellStyle name="Normal 11 6" xfId="428"/>
    <cellStyle name="Normal 11 7" xfId="582"/>
    <cellStyle name="Normal 12" xfId="4"/>
    <cellStyle name="Normal 12 2" xfId="75"/>
    <cellStyle name="Normal 12 3" xfId="76"/>
    <cellStyle name="Normal 12 4" xfId="675"/>
    <cellStyle name="Normal 12 5" xfId="583"/>
    <cellStyle name="Normal 13" xfId="77"/>
    <cellStyle name="Normal 13 2" xfId="523"/>
    <cellStyle name="Normal 13 3" xfId="686"/>
    <cellStyle name="Normal 14" xfId="78"/>
    <cellStyle name="Normal 14 2" xfId="524"/>
    <cellStyle name="Normal 14 2 2" xfId="645"/>
    <cellStyle name="Normal 14 2 2 2" xfId="769"/>
    <cellStyle name="Normal 14 2 2 2 2" xfId="998"/>
    <cellStyle name="Normal 14 2 2 2 3" xfId="923"/>
    <cellStyle name="Normal 14 2 2 3" xfId="846"/>
    <cellStyle name="Normal 14 2 2 4" xfId="958"/>
    <cellStyle name="Normal 14 2 3" xfId="622"/>
    <cellStyle name="Normal 14 2 3 2" xfId="745"/>
    <cellStyle name="Normal 14 2 3 2 2" xfId="974"/>
    <cellStyle name="Normal 14 2 3 2 3" xfId="899"/>
    <cellStyle name="Normal 14 2 3 3" xfId="836"/>
    <cellStyle name="Normal 14 2 3 4" xfId="949"/>
    <cellStyle name="Normal 14 2 4" xfId="755"/>
    <cellStyle name="Normal 14 2 4 2" xfId="984"/>
    <cellStyle name="Normal 14 2 4 3" xfId="909"/>
    <cellStyle name="Normal 14 2 5" xfId="824"/>
    <cellStyle name="Normal 14 2 6" xfId="937"/>
    <cellStyle name="Normal 14 3" xfId="644"/>
    <cellStyle name="Normal 14 3 2" xfId="761"/>
    <cellStyle name="Normal 14 3 2 2" xfId="990"/>
    <cellStyle name="Normal 14 3 2 3" xfId="915"/>
    <cellStyle name="Normal 14 3 3" xfId="845"/>
    <cellStyle name="Normal 14 3 4" xfId="957"/>
    <cellStyle name="Normal 14 4" xfId="616"/>
    <cellStyle name="Normal 14 4 2" xfId="750"/>
    <cellStyle name="Normal 14 4 2 2" xfId="979"/>
    <cellStyle name="Normal 14 4 2 3" xfId="904"/>
    <cellStyle name="Normal 14 4 3" xfId="830"/>
    <cellStyle name="Normal 14 4 4" xfId="943"/>
    <cellStyle name="Normal 14 5" xfId="687"/>
    <cellStyle name="Normal 14 6" xfId="746"/>
    <cellStyle name="Normal 14 6 2" xfId="975"/>
    <cellStyle name="Normal 14 6 3" xfId="900"/>
    <cellStyle name="Normal 14 7" xfId="770"/>
    <cellStyle name="Normal 14 7 2" xfId="999"/>
    <cellStyle name="Normal 14 7 3" xfId="924"/>
    <cellStyle name="Normal 14 8" xfId="817"/>
    <cellStyle name="Normal 14 9" xfId="931"/>
    <cellStyle name="Normal 15" xfId="79"/>
    <cellStyle name="Normal 15 2" xfId="525"/>
    <cellStyle name="Normal 15 3" xfId="688"/>
    <cellStyle name="Normal 16" xfId="80"/>
    <cellStyle name="Normal 16 2" xfId="526"/>
    <cellStyle name="Normal 16 2 2" xfId="646"/>
    <cellStyle name="Normal 16 3" xfId="527"/>
    <cellStyle name="Normal 16 3 2" xfId="647"/>
    <cellStyle name="Normal 16 4" xfId="689"/>
    <cellStyle name="Normal 17" xfId="81"/>
    <cellStyle name="Normal 17 2" xfId="648"/>
    <cellStyle name="Normal 18" xfId="3"/>
    <cellStyle name="Normal 18 2" xfId="315"/>
    <cellStyle name="Normal 18 2 2" xfId="1163"/>
    <cellStyle name="Normal 18 3" xfId="412"/>
    <cellStyle name="Normal 18 4" xfId="666"/>
    <cellStyle name="Normal 19" xfId="218"/>
    <cellStyle name="Normal 19 2" xfId="757"/>
    <cellStyle name="Normal 19 2 2" xfId="986"/>
    <cellStyle name="Normal 19 2 3" xfId="911"/>
    <cellStyle name="Normal 19 3" xfId="853"/>
    <cellStyle name="Normal 19 4" xfId="925"/>
    <cellStyle name="Normal 19 5" xfId="568"/>
    <cellStyle name="Normal 2" xfId="82"/>
    <cellStyle name="Normal 2 2" xfId="83"/>
    <cellStyle name="Normal 2 2 2" xfId="84"/>
    <cellStyle name="Normal 2 2 2 2" xfId="335"/>
    <cellStyle name="Normal 2 2 2 2 2" xfId="693"/>
    <cellStyle name="Normal 2 2 2 3" xfId="432"/>
    <cellStyle name="Normal 2 2 2 4" xfId="584"/>
    <cellStyle name="Normal 2 2 3" xfId="294"/>
    <cellStyle name="Normal 2 2 3 2" xfId="585"/>
    <cellStyle name="Normal 2 2 4" xfId="511"/>
    <cellStyle name="Normal 2 2 4 2" xfId="692"/>
    <cellStyle name="Normal 2 3" xfId="85"/>
    <cellStyle name="Normal 2 3 2" xfId="86"/>
    <cellStyle name="Normal 2 3 3" xfId="87"/>
    <cellStyle name="Normal 2 3 4" xfId="226"/>
    <cellStyle name="Normal 2 3 4 2" xfId="694"/>
    <cellStyle name="Normal 2 4" xfId="509"/>
    <cellStyle name="Normal 2 4 2" xfId="881"/>
    <cellStyle name="Normal 2 4 3" xfId="577"/>
    <cellStyle name="Normal 2 5" xfId="528"/>
    <cellStyle name="Normal 2 6" xfId="529"/>
    <cellStyle name="Normal 2 7" xfId="569"/>
    <cellStyle name="Normal 2 8" xfId="691"/>
    <cellStyle name="Normal 2 9" xfId="565"/>
    <cellStyle name="Normal 2_Ocotillo" xfId="88"/>
    <cellStyle name="Normal 20" xfId="281"/>
    <cellStyle name="Normal 20 2" xfId="670"/>
    <cellStyle name="Normal 21" xfId="309"/>
    <cellStyle name="Normal 21 2" xfId="810"/>
    <cellStyle name="Normal 22" xfId="312"/>
    <cellStyle name="Normal 23" xfId="311"/>
    <cellStyle name="Normal 23 2" xfId="859"/>
    <cellStyle name="Normal 23 3" xfId="1156"/>
    <cellStyle name="Normal 24" xfId="510"/>
    <cellStyle name="Normal 24 2" xfId="852"/>
    <cellStyle name="Normal 24 3" xfId="1167"/>
    <cellStyle name="Normal 25" xfId="857"/>
    <cellStyle name="Normal 26" xfId="563"/>
    <cellStyle name="Normal 27" xfId="1000"/>
    <cellStyle name="Normal 27 2" xfId="1168"/>
    <cellStyle name="Normal 28" xfId="1002"/>
    <cellStyle name="Normal 29" xfId="1004"/>
    <cellStyle name="Normal 3" xfId="89"/>
    <cellStyle name="Normal 3 2" xfId="90"/>
    <cellStyle name="Normal 3 2 2" xfId="91"/>
    <cellStyle name="Normal 3 2 2 2" xfId="338"/>
    <cellStyle name="Normal 3 2 2 2 2" xfId="697"/>
    <cellStyle name="Normal 3 2 2 3" xfId="435"/>
    <cellStyle name="Normal 3 2 2 4" xfId="602"/>
    <cellStyle name="Normal 3 2 3" xfId="92"/>
    <cellStyle name="Normal 3 2 3 2" xfId="339"/>
    <cellStyle name="Normal 3 2 3 2 2" xfId="737"/>
    <cellStyle name="Normal 3 2 3 2 2 2" xfId="966"/>
    <cellStyle name="Normal 3 2 3 2 2 3" xfId="891"/>
    <cellStyle name="Normal 3 2 3 2 3" xfId="847"/>
    <cellStyle name="Normal 3 2 3 2 4" xfId="959"/>
    <cellStyle name="Normal 3 2 3 2 5" xfId="649"/>
    <cellStyle name="Normal 3 2 3 2 6" xfId="1101"/>
    <cellStyle name="Normal 3 2 3 3" xfId="436"/>
    <cellStyle name="Normal 3 2 3 3 2" xfId="753"/>
    <cellStyle name="Normal 3 2 3 3 2 2" xfId="982"/>
    <cellStyle name="Normal 3 2 3 3 2 3" xfId="907"/>
    <cellStyle name="Normal 3 2 3 3 3" xfId="832"/>
    <cellStyle name="Normal 3 2 3 3 4" xfId="945"/>
    <cellStyle name="Normal 3 2 3 3 5" xfId="618"/>
    <cellStyle name="Normal 3 2 3 4" xfId="698"/>
    <cellStyle name="Normal 3 2 3 5" xfId="741"/>
    <cellStyle name="Normal 3 2 3 5 2" xfId="970"/>
    <cellStyle name="Normal 3 2 3 5 3" xfId="895"/>
    <cellStyle name="Normal 3 2 3 6" xfId="820"/>
    <cellStyle name="Normal 3 2 3 7" xfId="933"/>
    <cellStyle name="Normal 3 2 3 8" xfId="604"/>
    <cellStyle name="Normal 3 2 4" xfId="295"/>
    <cellStyle name="Normal 3 2 4 2" xfId="749"/>
    <cellStyle name="Normal 3 2 4 2 2" xfId="978"/>
    <cellStyle name="Normal 3 2 4 2 3" xfId="903"/>
    <cellStyle name="Normal 3 2 4 3" xfId="826"/>
    <cellStyle name="Normal 3 2 4 4" xfId="939"/>
    <cellStyle name="Normal 3 2 4 5" xfId="612"/>
    <cellStyle name="Normal 3 2 5" xfId="337"/>
    <cellStyle name="Normal 3 2 5 2" xfId="696"/>
    <cellStyle name="Normal 3 2 6" xfId="434"/>
    <cellStyle name="Normal 3 2 6 2" xfId="988"/>
    <cellStyle name="Normal 3 2 6 3" xfId="913"/>
    <cellStyle name="Normal 3 2 6 4" xfId="759"/>
    <cellStyle name="Normal 3 2 7" xfId="813"/>
    <cellStyle name="Normal 3 2 8" xfId="927"/>
    <cellStyle name="Normal 3 2 9" xfId="575"/>
    <cellStyle name="Normal 3 3" xfId="93"/>
    <cellStyle name="Normal 3 3 2" xfId="227"/>
    <cellStyle name="Normal 3 3 2 2" xfId="699"/>
    <cellStyle name="Normal 3 3 3" xfId="340"/>
    <cellStyle name="Normal 3 3 3 2" xfId="1100"/>
    <cellStyle name="Normal 3 3 4" xfId="437"/>
    <cellStyle name="Normal 3 3 5" xfId="573"/>
    <cellStyle name="Normal 3 4" xfId="94"/>
    <cellStyle name="Normal 3 4 2" xfId="341"/>
    <cellStyle name="Normal 3 4 2 2" xfId="700"/>
    <cellStyle name="Normal 3 4 3" xfId="438"/>
    <cellStyle name="Normal 3 4 4" xfId="667"/>
    <cellStyle name="Normal 3 5" xfId="95"/>
    <cellStyle name="Normal 3 5 2" xfId="701"/>
    <cellStyle name="Normal 3 5 3" xfId="672"/>
    <cellStyle name="Normal 3 6" xfId="336"/>
    <cellStyle name="Normal 3 6 2" xfId="695"/>
    <cellStyle name="Normal 3 7" xfId="433"/>
    <cellStyle name="Normal 3 8" xfId="566"/>
    <cellStyle name="Normal 3_Ocotillo" xfId="96"/>
    <cellStyle name="Normal 30" xfId="1006"/>
    <cellStyle name="Normal 31" xfId="1008"/>
    <cellStyle name="Normal 32" xfId="1010"/>
    <cellStyle name="Normal 33" xfId="1012"/>
    <cellStyle name="Normal 34" xfId="1014"/>
    <cellStyle name="Normal 35" xfId="1016"/>
    <cellStyle name="Normal 36" xfId="1018"/>
    <cellStyle name="Normal 37" xfId="1020"/>
    <cellStyle name="Normal 38" xfId="1023"/>
    <cellStyle name="Normal 39" xfId="1024"/>
    <cellStyle name="Normal 4" xfId="97"/>
    <cellStyle name="Normal 4 10" xfId="512"/>
    <cellStyle name="Normal 4 2" xfId="98"/>
    <cellStyle name="Normal 4 2 2" xfId="273"/>
    <cellStyle name="Normal 4 2 2 2" xfId="703"/>
    <cellStyle name="Normal 4 2 3" xfId="586"/>
    <cellStyle name="Normal 4 3" xfId="99"/>
    <cellStyle name="Normal 4 3 2" xfId="6"/>
    <cellStyle name="Normal 4 3 2 2" xfId="316"/>
    <cellStyle name="Normal 4 3 2 2 2" xfId="1126"/>
    <cellStyle name="Normal 4 3 2 3" xfId="413"/>
    <cellStyle name="Normal 4 3 3" xfId="269"/>
    <cellStyle name="Normal 4 3 3 2" xfId="704"/>
    <cellStyle name="Normal 4 3 4" xfId="342"/>
    <cellStyle name="Normal 4 3 4 2" xfId="1110"/>
    <cellStyle name="Normal 4 3 5" xfId="439"/>
    <cellStyle name="Normal 4 3 6" xfId="587"/>
    <cellStyle name="Normal 4 4" xfId="8"/>
    <cellStyle name="Normal 4 4 2" xfId="100"/>
    <cellStyle name="Normal 4 4 2 2" xfId="343"/>
    <cellStyle name="Normal 4 4 2 2 2" xfId="1099"/>
    <cellStyle name="Normal 4 4 2 3" xfId="440"/>
    <cellStyle name="Normal 4 4 3" xfId="318"/>
    <cellStyle name="Normal 4 4 3 2" xfId="677"/>
    <cellStyle name="Normal 4 4 4" xfId="415"/>
    <cellStyle name="Normal 4 4 5" xfId="588"/>
    <cellStyle name="Normal 4 5" xfId="101"/>
    <cellStyle name="Normal 4 5 2" xfId="344"/>
    <cellStyle name="Normal 4 5 2 2" xfId="705"/>
    <cellStyle name="Normal 4 5 3" xfId="441"/>
    <cellStyle name="Normal 4 5 4" xfId="589"/>
    <cellStyle name="Normal 4 6" xfId="7"/>
    <cellStyle name="Normal 4 6 2" xfId="317"/>
    <cellStyle name="Normal 4 6 2 2" xfId="676"/>
    <cellStyle name="Normal 4 6 3" xfId="414"/>
    <cellStyle name="Normal 4 6 4" xfId="590"/>
    <cellStyle name="Normal 4 7" xfId="10"/>
    <cellStyle name="Normal 4 7 2" xfId="320"/>
    <cellStyle name="Normal 4 7 2 2" xfId="1111"/>
    <cellStyle name="Normal 4 7 3" xfId="417"/>
    <cellStyle name="Normal 4 8" xfId="102"/>
    <cellStyle name="Normal 4 8 2" xfId="9"/>
    <cellStyle name="Normal 4 8 2 2" xfId="319"/>
    <cellStyle name="Normal 4 8 2 2 2" xfId="1113"/>
    <cellStyle name="Normal 4 8 2 3" xfId="416"/>
    <cellStyle name="Normal 4 8 3" xfId="345"/>
    <cellStyle name="Normal 4 8 3 2" xfId="1098"/>
    <cellStyle name="Normal 4 8 4" xfId="442"/>
    <cellStyle name="Normal 4 9" xfId="222"/>
    <cellStyle name="Normal 4 9 2" xfId="702"/>
    <cellStyle name="Normal 4_Ocotillo" xfId="103"/>
    <cellStyle name="Normal 40" xfId="1025"/>
    <cellStyle name="Normal 41" xfId="1027"/>
    <cellStyle name="Normal 42" xfId="1029"/>
    <cellStyle name="Normal 43" xfId="1031"/>
    <cellStyle name="Normal 44" xfId="1033"/>
    <cellStyle name="Normal 45" xfId="1035"/>
    <cellStyle name="Normal 46" xfId="1037"/>
    <cellStyle name="Normal 47" xfId="1039"/>
    <cellStyle name="Normal 48" xfId="1041"/>
    <cellStyle name="Normal 49" xfId="1043"/>
    <cellStyle name="Normal 5" xfId="104"/>
    <cellStyle name="Normal 5 2" xfId="105"/>
    <cellStyle name="Normal 5 2 2" xfId="279"/>
    <cellStyle name="Normal 5 2 2 2" xfId="707"/>
    <cellStyle name="Normal 5 2 3" xfId="591"/>
    <cellStyle name="Normal 5 3" xfId="274"/>
    <cellStyle name="Normal 5 4" xfId="668"/>
    <cellStyle name="Normal 5 5" xfId="706"/>
    <cellStyle name="Normal 5_Ocotillo" xfId="106"/>
    <cellStyle name="Normal 50" xfId="1045"/>
    <cellStyle name="Normal 51" xfId="1047"/>
    <cellStyle name="Normal 52" xfId="1049"/>
    <cellStyle name="Normal 53" xfId="1051"/>
    <cellStyle name="Normal 54" xfId="1053"/>
    <cellStyle name="Normal 55" xfId="1055"/>
    <cellStyle name="Normal 56" xfId="1057"/>
    <cellStyle name="Normal 57" xfId="1059"/>
    <cellStyle name="Normal 58" xfId="1061"/>
    <cellStyle name="Normal 59" xfId="1063"/>
    <cellStyle name="Normal 6" xfId="107"/>
    <cellStyle name="Normal 6 10" xfId="108"/>
    <cellStyle name="Normal 6 10 2" xfId="347"/>
    <cellStyle name="Normal 6 10 2 2" xfId="1096"/>
    <cellStyle name="Normal 6 10 3" xfId="444"/>
    <cellStyle name="Normal 6 11" xfId="109"/>
    <cellStyle name="Normal 6 11 2" xfId="348"/>
    <cellStyle name="Normal 6 11 2 2" xfId="1112"/>
    <cellStyle name="Normal 6 11 3" xfId="445"/>
    <cellStyle name="Normal 6 12" xfId="280"/>
    <cellStyle name="Normal 6 12 2" xfId="708"/>
    <cellStyle name="Normal 6 13" xfId="346"/>
    <cellStyle name="Normal 6 13 2" xfId="1097"/>
    <cellStyle name="Normal 6 14" xfId="443"/>
    <cellStyle name="Normal 6 15" xfId="592"/>
    <cellStyle name="Normal 6 2" xfId="110"/>
    <cellStyle name="Normal 6 2 2" xfId="111"/>
    <cellStyle name="Normal 6 2 2 2" xfId="112"/>
    <cellStyle name="Normal 6 2 2 2 2" xfId="351"/>
    <cellStyle name="Normal 6 2 2 2 2 2" xfId="1144"/>
    <cellStyle name="Normal 6 2 2 2 3" xfId="448"/>
    <cellStyle name="Normal 6 2 2 3" xfId="113"/>
    <cellStyle name="Normal 6 2 2 3 2" xfId="352"/>
    <cellStyle name="Normal 6 2 2 3 2 2" xfId="1109"/>
    <cellStyle name="Normal 6 2 2 3 3" xfId="449"/>
    <cellStyle name="Normal 6 2 2 4" xfId="299"/>
    <cellStyle name="Normal 6 2 2 5" xfId="350"/>
    <cellStyle name="Normal 6 2 2 5 2" xfId="1130"/>
    <cellStyle name="Normal 6 2 2 6" xfId="447"/>
    <cellStyle name="Normal 6 2 3" xfId="114"/>
    <cellStyle name="Normal 6 2 3 2" xfId="353"/>
    <cellStyle name="Normal 6 2 3 2 2" xfId="1108"/>
    <cellStyle name="Normal 6 2 3 3" xfId="450"/>
    <cellStyle name="Normal 6 2 4" xfId="115"/>
    <cellStyle name="Normal 6 2 4 2" xfId="354"/>
    <cellStyle name="Normal 6 2 4 2 2" xfId="1118"/>
    <cellStyle name="Normal 6 2 4 3" xfId="451"/>
    <cellStyle name="Normal 6 2 5" xfId="283"/>
    <cellStyle name="Normal 6 2 5 2" xfId="709"/>
    <cellStyle name="Normal 6 2 6" xfId="349"/>
    <cellStyle name="Normal 6 2 6 2" xfId="1150"/>
    <cellStyle name="Normal 6 2 7" xfId="446"/>
    <cellStyle name="Normal 6 2 8" xfId="593"/>
    <cellStyle name="Normal 6 2_Ocotillo" xfId="116"/>
    <cellStyle name="Normal 6 3" xfId="117"/>
    <cellStyle name="Normal 6 3 2" xfId="118"/>
    <cellStyle name="Normal 6 3 2 2" xfId="119"/>
    <cellStyle name="Normal 6 3 2 2 2" xfId="357"/>
    <cellStyle name="Normal 6 3 2 2 2 2" xfId="1147"/>
    <cellStyle name="Normal 6 3 2 2 3" xfId="454"/>
    <cellStyle name="Normal 6 3 2 3" xfId="120"/>
    <cellStyle name="Normal 6 3 2 3 2" xfId="358"/>
    <cellStyle name="Normal 6 3 2 3 2 2" xfId="1125"/>
    <cellStyle name="Normal 6 3 2 3 3" xfId="455"/>
    <cellStyle name="Normal 6 3 2 4" xfId="356"/>
    <cellStyle name="Normal 6 3 2 4 2" xfId="1146"/>
    <cellStyle name="Normal 6 3 2 5" xfId="453"/>
    <cellStyle name="Normal 6 3 3" xfId="121"/>
    <cellStyle name="Normal 6 3 3 2" xfId="359"/>
    <cellStyle name="Normal 6 3 3 2 2" xfId="1135"/>
    <cellStyle name="Normal 6 3 3 3" xfId="456"/>
    <cellStyle name="Normal 6 3 4" xfId="122"/>
    <cellStyle name="Normal 6 3 4 2" xfId="360"/>
    <cellStyle name="Normal 6 3 4 2 2" xfId="1132"/>
    <cellStyle name="Normal 6 3 4 3" xfId="457"/>
    <cellStyle name="Normal 6 3 5" xfId="355"/>
    <cellStyle name="Normal 6 3 5 2" xfId="710"/>
    <cellStyle name="Normal 6 3 6" xfId="452"/>
    <cellStyle name="Normal 6 3 7" xfId="594"/>
    <cellStyle name="Normal 6 3_Ocotillo" xfId="123"/>
    <cellStyle name="Normal 6 4" xfId="124"/>
    <cellStyle name="Normal 6 4 2" xfId="125"/>
    <cellStyle name="Normal 6 4 2 2" xfId="126"/>
    <cellStyle name="Normal 6 4 2 2 2" xfId="363"/>
    <cellStyle name="Normal 6 4 2 2 2 2" xfId="1124"/>
    <cellStyle name="Normal 6 4 2 2 3" xfId="460"/>
    <cellStyle name="Normal 6 4 2 3" xfId="127"/>
    <cellStyle name="Normal 6 4 2 3 2" xfId="364"/>
    <cellStyle name="Normal 6 4 2 3 2 2" xfId="1143"/>
    <cellStyle name="Normal 6 4 2 3 3" xfId="461"/>
    <cellStyle name="Normal 6 4 2 4" xfId="362"/>
    <cellStyle name="Normal 6 4 2 4 2" xfId="712"/>
    <cellStyle name="Normal 6 4 2 5" xfId="459"/>
    <cellStyle name="Normal 6 4 2 6" xfId="610"/>
    <cellStyle name="Normal 6 4 3" xfId="128"/>
    <cellStyle name="Normal 6 4 3 2" xfId="365"/>
    <cellStyle name="Normal 6 4 3 2 2" xfId="651"/>
    <cellStyle name="Normal 6 4 3 2 3" xfId="650"/>
    <cellStyle name="Normal 6 4 3 2 4" xfId="1107"/>
    <cellStyle name="Normal 6 4 3 3" xfId="462"/>
    <cellStyle name="Normal 6 4 3 4" xfId="611"/>
    <cellStyle name="Normal 6 4 4" xfId="129"/>
    <cellStyle name="Normal 6 4 4 2" xfId="366"/>
    <cellStyle name="Normal 6 4 4 2 2" xfId="1151"/>
    <cellStyle name="Normal 6 4 4 3" xfId="463"/>
    <cellStyle name="Normal 6 4 5" xfId="361"/>
    <cellStyle name="Normal 6 4 5 2" xfId="711"/>
    <cellStyle name="Normal 6 4 6" xfId="458"/>
    <cellStyle name="Normal 6 4 7" xfId="603"/>
    <cellStyle name="Normal 6 4_Ocotillo" xfId="130"/>
    <cellStyle name="Normal 6 5" xfId="131"/>
    <cellStyle name="Normal 6 5 2" xfId="132"/>
    <cellStyle name="Normal 6 5 2 2" xfId="133"/>
    <cellStyle name="Normal 6 5 2 2 2" xfId="369"/>
    <cellStyle name="Normal 6 5 2 2 2 2" xfId="1152"/>
    <cellStyle name="Normal 6 5 2 2 3" xfId="466"/>
    <cellStyle name="Normal 6 5 2 3" xfId="134"/>
    <cellStyle name="Normal 6 5 2 3 2" xfId="370"/>
    <cellStyle name="Normal 6 5 2 3 2 2" xfId="1121"/>
    <cellStyle name="Normal 6 5 2 3 3" xfId="467"/>
    <cellStyle name="Normal 6 5 2 4" xfId="368"/>
    <cellStyle name="Normal 6 5 2 4 2" xfId="1137"/>
    <cellStyle name="Normal 6 5 2 5" xfId="465"/>
    <cellStyle name="Normal 6 5 3" xfId="135"/>
    <cellStyle name="Normal 6 5 3 2" xfId="136"/>
    <cellStyle name="Normal 6 5 3 2 2" xfId="372"/>
    <cellStyle name="Normal 6 5 3 2 2 2" xfId="1134"/>
    <cellStyle name="Normal 6 5 3 2 3" xfId="469"/>
    <cellStyle name="Normal 6 5 3 3" xfId="137"/>
    <cellStyle name="Normal 6 5 3 3 2" xfId="373"/>
    <cellStyle name="Normal 6 5 3 3 2 2" xfId="1120"/>
    <cellStyle name="Normal 6 5 3 3 3" xfId="470"/>
    <cellStyle name="Normal 6 5 3 4" xfId="371"/>
    <cellStyle name="Normal 6 5 3 4 2" xfId="1133"/>
    <cellStyle name="Normal 6 5 3 5" xfId="468"/>
    <cellStyle name="Normal 6 5 4" xfId="138"/>
    <cellStyle name="Normal 6 5 4 2" xfId="374"/>
    <cellStyle name="Normal 6 5 4 2 2" xfId="1136"/>
    <cellStyle name="Normal 6 5 4 3" xfId="471"/>
    <cellStyle name="Normal 6 5 5" xfId="139"/>
    <cellStyle name="Normal 6 5 5 2" xfId="375"/>
    <cellStyle name="Normal 6 5 5 2 2" xfId="1129"/>
    <cellStyle name="Normal 6 5 5 3" xfId="472"/>
    <cellStyle name="Normal 6 5 6" xfId="367"/>
    <cellStyle name="Normal 6 5 6 2" xfId="713"/>
    <cellStyle name="Normal 6 5 7" xfId="464"/>
    <cellStyle name="Normal 6 5 8" xfId="608"/>
    <cellStyle name="Normal 6 5_Ocotillo" xfId="140"/>
    <cellStyle name="Normal 6 6" xfId="141"/>
    <cellStyle name="Normal 6 6 2" xfId="142"/>
    <cellStyle name="Normal 6 6 2 2" xfId="377"/>
    <cellStyle name="Normal 6 6 2 2 2" xfId="715"/>
    <cellStyle name="Normal 6 6 2 3" xfId="474"/>
    <cellStyle name="Normal 6 6 2 4" xfId="653"/>
    <cellStyle name="Normal 6 6 3" xfId="143"/>
    <cellStyle name="Normal 6 6 3 2" xfId="378"/>
    <cellStyle name="Normal 6 6 3 2 2" xfId="1106"/>
    <cellStyle name="Normal 6 6 3 3" xfId="475"/>
    <cellStyle name="Normal 6 6 4" xfId="376"/>
    <cellStyle name="Normal 6 6 4 2" xfId="714"/>
    <cellStyle name="Normal 6 6 5" xfId="473"/>
    <cellStyle name="Normal 6 6 6" xfId="652"/>
    <cellStyle name="Normal 6 7" xfId="144"/>
    <cellStyle name="Normal 6 7 2" xfId="145"/>
    <cellStyle name="Normal 6 7 2 2" xfId="380"/>
    <cellStyle name="Normal 6 7 2 2 2" xfId="1153"/>
    <cellStyle name="Normal 6 7 2 3" xfId="477"/>
    <cellStyle name="Normal 6 7 3" xfId="146"/>
    <cellStyle name="Normal 6 7 3 2" xfId="381"/>
    <cellStyle name="Normal 6 7 3 2 2" xfId="1116"/>
    <cellStyle name="Normal 6 7 3 3" xfId="478"/>
    <cellStyle name="Normal 6 7 4" xfId="379"/>
    <cellStyle name="Normal 6 7 4 2" xfId="1138"/>
    <cellStyle name="Normal 6 7 5" xfId="476"/>
    <cellStyle name="Normal 6 8" xfId="147"/>
    <cellStyle name="Normal 6 8 2" xfId="148"/>
    <cellStyle name="Normal 6 8 2 2" xfId="383"/>
    <cellStyle name="Normal 6 8 2 2 2" xfId="1139"/>
    <cellStyle name="Normal 6 8 2 3" xfId="480"/>
    <cellStyle name="Normal 6 8 3" xfId="149"/>
    <cellStyle name="Normal 6 8 3 2" xfId="384"/>
    <cellStyle name="Normal 6 8 3 2 2" xfId="1154"/>
    <cellStyle name="Normal 6 8 3 3" xfId="481"/>
    <cellStyle name="Normal 6 8 4" xfId="382"/>
    <cellStyle name="Normal 6 8 4 2" xfId="1149"/>
    <cellStyle name="Normal 6 8 5" xfId="479"/>
    <cellStyle name="Normal 6 9" xfId="150"/>
    <cellStyle name="Normal 6 9 2" xfId="151"/>
    <cellStyle name="Normal 6 9 2 2" xfId="386"/>
    <cellStyle name="Normal 6 9 2 2 2" xfId="1141"/>
    <cellStyle name="Normal 6 9 2 3" xfId="483"/>
    <cellStyle name="Normal 6 9 3" xfId="152"/>
    <cellStyle name="Normal 6 9 3 2" xfId="387"/>
    <cellStyle name="Normal 6 9 3 2 2" xfId="1140"/>
    <cellStyle name="Normal 6 9 3 3" xfId="484"/>
    <cellStyle name="Normal 6 9 4" xfId="153"/>
    <cellStyle name="Normal 6 9 4 2" xfId="388"/>
    <cellStyle name="Normal 6 9 4 2 2" xfId="1155"/>
    <cellStyle name="Normal 6 9 4 3" xfId="485"/>
    <cellStyle name="Normal 6 9 5" xfId="385"/>
    <cellStyle name="Normal 6 9 5 2" xfId="1128"/>
    <cellStyle name="Normal 6 9 6" xfId="482"/>
    <cellStyle name="Normal 6_Ocotillo" xfId="154"/>
    <cellStyle name="Normal 60" xfId="1066"/>
    <cellStyle name="Normal 61" xfId="1068"/>
    <cellStyle name="Normal 62" xfId="1070"/>
    <cellStyle name="Normal 63" xfId="1072"/>
    <cellStyle name="Normal 64" xfId="1074"/>
    <cellStyle name="Normal 65" xfId="1076"/>
    <cellStyle name="Normal 66" xfId="1078"/>
    <cellStyle name="Normal 67" xfId="1080"/>
    <cellStyle name="Normal 68" xfId="1082"/>
    <cellStyle name="Normal 69" xfId="1084"/>
    <cellStyle name="Normal 7" xfId="155"/>
    <cellStyle name="Normal 7 2" xfId="156"/>
    <cellStyle name="Normal 7 2 2" xfId="301"/>
    <cellStyle name="Normal 7 2 2 2" xfId="717"/>
    <cellStyle name="Normal 7 2 3" xfId="596"/>
    <cellStyle name="Normal 7 3" xfId="291"/>
    <cellStyle name="Normal 7 3 2" xfId="716"/>
    <cellStyle name="Normal 7 4" xfId="285"/>
    <cellStyle name="Normal 7 5" xfId="595"/>
    <cellStyle name="Normal 7_Ocotillo" xfId="157"/>
    <cellStyle name="Normal 70" xfId="1086"/>
    <cellStyle name="Normal 71" xfId="1088"/>
    <cellStyle name="Normal 72" xfId="1091"/>
    <cellStyle name="Normal 73" xfId="1092"/>
    <cellStyle name="Normal 74" xfId="1094"/>
    <cellStyle name="Normal 8" xfId="158"/>
    <cellStyle name="Normal 8 2" xfId="159"/>
    <cellStyle name="Normal 8 2 2" xfId="719"/>
    <cellStyle name="Normal 8 2 3" xfId="597"/>
    <cellStyle name="Normal 8 3" xfId="160"/>
    <cellStyle name="Normal 8 3 2" xfId="161"/>
    <cellStyle name="Normal 8 3 3" xfId="162"/>
    <cellStyle name="Normal 8 4" xfId="224"/>
    <cellStyle name="Normal 8 4 2" xfId="718"/>
    <cellStyle name="Normal 8_Ocotillo" xfId="163"/>
    <cellStyle name="Normal 9" xfId="164"/>
    <cellStyle name="Normal 9 2" xfId="305"/>
    <cellStyle name="Normal 9 2 2" xfId="882"/>
    <cellStyle name="Normal 9 2 3" xfId="598"/>
    <cellStyle name="Normal 9 3" xfId="530"/>
    <cellStyle name="Normal 9 3 2" xfId="654"/>
    <cellStyle name="Normal 9 3 3" xfId="883"/>
    <cellStyle name="Normal 9 4" xfId="655"/>
    <cellStyle name="Normal 9 5" xfId="720"/>
    <cellStyle name="Normal_FPL 155724 - Dismtl3_FEB_09GI_Revised_X 2" xfId="534"/>
    <cellStyle name="Normal+border" xfId="165"/>
    <cellStyle name="Normal+border 2" xfId="166"/>
    <cellStyle name="Normal+border 2 2" xfId="167"/>
    <cellStyle name="Normal+border 3" xfId="168"/>
    <cellStyle name="Normal+border 3 2" xfId="169"/>
    <cellStyle name="Normal+shade" xfId="170"/>
    <cellStyle name="Percent" xfId="2" builtinId="5"/>
    <cellStyle name="Percent 2" xfId="171"/>
    <cellStyle name="Percent 2 2" xfId="172"/>
    <cellStyle name="Percent 2 2 2" xfId="531"/>
    <cellStyle name="Percent 2 2 3" xfId="656"/>
    <cellStyle name="Percent 2 3" xfId="173"/>
    <cellStyle name="Percent 2 3 2" xfId="174"/>
    <cellStyle name="Percent 2 3 2 2" xfId="391"/>
    <cellStyle name="Percent 2 3 2 2 2" xfId="1103"/>
    <cellStyle name="Percent 2 3 2 3" xfId="488"/>
    <cellStyle name="Percent 2 3 3" xfId="175"/>
    <cellStyle name="Percent 2 3 3 2" xfId="392"/>
    <cellStyle name="Percent 2 3 3 2 2" xfId="1105"/>
    <cellStyle name="Percent 2 3 3 3" xfId="489"/>
    <cellStyle name="Percent 2 3 4" xfId="390"/>
    <cellStyle name="Percent 2 3 4 2" xfId="722"/>
    <cellStyle name="Percent 2 3 5" xfId="487"/>
    <cellStyle name="Percent 2 3 6" xfId="599"/>
    <cellStyle name="Percent 2 4" xfId="176"/>
    <cellStyle name="Percent 2 4 2" xfId="393"/>
    <cellStyle name="Percent 2 4 2 2" xfId="657"/>
    <cellStyle name="Percent 2 4 2 3" xfId="1102"/>
    <cellStyle name="Percent 2 4 3" xfId="490"/>
    <cellStyle name="Percent 2 4 4" xfId="600"/>
    <cellStyle name="Percent 2 5" xfId="177"/>
    <cellStyle name="Percent 2 5 2" xfId="394"/>
    <cellStyle name="Percent 2 5 2 2" xfId="723"/>
    <cellStyle name="Percent 2 5 3" xfId="491"/>
    <cellStyle name="Percent 2 5 4" xfId="658"/>
    <cellStyle name="Percent 2 6" xfId="389"/>
    <cellStyle name="Percent 2 6 2" xfId="721"/>
    <cellStyle name="Percent 2 7" xfId="486"/>
    <cellStyle name="Percent 3" xfId="178"/>
    <cellStyle name="Percent 3 10" xfId="574"/>
    <cellStyle name="Percent 3 2" xfId="179"/>
    <cellStyle name="Percent 3 2 2" xfId="180"/>
    <cellStyle name="Percent 3 2 2 2" xfId="181"/>
    <cellStyle name="Percent 3 2 2 2 2" xfId="398"/>
    <cellStyle name="Percent 3 2 2 2 2 2" xfId="727"/>
    <cellStyle name="Percent 3 2 2 2 3" xfId="495"/>
    <cellStyle name="Percent 3 2 2 2 3 2" xfId="964"/>
    <cellStyle name="Percent 3 2 2 2 3 3" xfId="889"/>
    <cellStyle name="Percent 3 2 2 2 3 4" xfId="735"/>
    <cellStyle name="Percent 3 2 2 2 4" xfId="850"/>
    <cellStyle name="Percent 3 2 2 2 5" xfId="961"/>
    <cellStyle name="Percent 3 2 2 2 6" xfId="660"/>
    <cellStyle name="Percent 3 2 2 3" xfId="182"/>
    <cellStyle name="Percent 3 2 2 3 2" xfId="399"/>
    <cellStyle name="Percent 3 2 2 3 2 2" xfId="728"/>
    <cellStyle name="Percent 3 2 2 3 3" xfId="496"/>
    <cellStyle name="Percent 3 2 2 3 3 2" xfId="994"/>
    <cellStyle name="Percent 3 2 2 3 3 3" xfId="919"/>
    <cellStyle name="Percent 3 2 2 3 3 4" xfId="765"/>
    <cellStyle name="Percent 3 2 2 3 4" xfId="837"/>
    <cellStyle name="Percent 3 2 2 3 5" xfId="950"/>
    <cellStyle name="Percent 3 2 2 3 6" xfId="623"/>
    <cellStyle name="Percent 3 2 2 4" xfId="397"/>
    <cellStyle name="Percent 3 2 2 4 2" xfId="726"/>
    <cellStyle name="Percent 3 2 2 5" xfId="494"/>
    <cellStyle name="Percent 3 2 2 5 2" xfId="980"/>
    <cellStyle name="Percent 3 2 2 5 3" xfId="905"/>
    <cellStyle name="Percent 3 2 2 5 4" xfId="751"/>
    <cellStyle name="Percent 3 2 2 6" xfId="825"/>
    <cellStyle name="Percent 3 2 2 7" xfId="938"/>
    <cellStyle name="Percent 3 2 2 8" xfId="609"/>
    <cellStyle name="Percent 3 2 3" xfId="183"/>
    <cellStyle name="Percent 3 2 3 2" xfId="400"/>
    <cellStyle name="Percent 3 2 3 2 2" xfId="729"/>
    <cellStyle name="Percent 3 2 3 3" xfId="497"/>
    <cellStyle name="Percent 3 2 3 3 2" xfId="992"/>
    <cellStyle name="Percent 3 2 3 3 3" xfId="917"/>
    <cellStyle name="Percent 3 2 3 3 4" xfId="763"/>
    <cellStyle name="Percent 3 2 3 4" xfId="849"/>
    <cellStyle name="Percent 3 2 3 5" xfId="960"/>
    <cellStyle name="Percent 3 2 3 6" xfId="659"/>
    <cellStyle name="Percent 3 2 4" xfId="184"/>
    <cellStyle name="Percent 3 2 4 2" xfId="401"/>
    <cellStyle name="Percent 3 2 4 2 2" xfId="730"/>
    <cellStyle name="Percent 3 2 4 3" xfId="498"/>
    <cellStyle name="Percent 3 2 4 3 2" xfId="987"/>
    <cellStyle name="Percent 3 2 4 3 3" xfId="912"/>
    <cellStyle name="Percent 3 2 4 3 4" xfId="758"/>
    <cellStyle name="Percent 3 2 4 4" xfId="831"/>
    <cellStyle name="Percent 3 2 4 5" xfId="944"/>
    <cellStyle name="Percent 3 2 4 6" xfId="617"/>
    <cellStyle name="Percent 3 2 5" xfId="300"/>
    <cellStyle name="Percent 3 2 5 2" xfId="725"/>
    <cellStyle name="Percent 3 2 6" xfId="396"/>
    <cellStyle name="Percent 3 2 6 2" xfId="983"/>
    <cellStyle name="Percent 3 2 6 3" xfId="908"/>
    <cellStyle name="Percent 3 2 6 4" xfId="754"/>
    <cellStyle name="Percent 3 2 6 5" xfId="1148"/>
    <cellStyle name="Percent 3 2 7" xfId="493"/>
    <cellStyle name="Percent 3 2 7 2" xfId="818"/>
    <cellStyle name="Percent 3 2 8" xfId="932"/>
    <cellStyle name="Percent 3 2 9" xfId="601"/>
    <cellStyle name="Percent 3 3" xfId="185"/>
    <cellStyle name="Percent 3 3 2" xfId="186"/>
    <cellStyle name="Percent 3 3 2 2" xfId="403"/>
    <cellStyle name="Percent 3 3 2 2 2" xfId="1117"/>
    <cellStyle name="Percent 3 3 2 3" xfId="500"/>
    <cellStyle name="Percent 3 3 3" xfId="187"/>
    <cellStyle name="Percent 3 3 3 2" xfId="404"/>
    <cellStyle name="Percent 3 3 3 2 2" xfId="1115"/>
    <cellStyle name="Percent 3 3 3 3" xfId="501"/>
    <cellStyle name="Percent 3 3 4" xfId="402"/>
    <cellStyle name="Percent 3 3 4 2" xfId="731"/>
    <cellStyle name="Percent 3 3 5" xfId="499"/>
    <cellStyle name="Percent 3 3 6" xfId="661"/>
    <cellStyle name="Percent 3 4" xfId="188"/>
    <cellStyle name="Percent 3 4 2" xfId="189"/>
    <cellStyle name="Percent 3 4 2 2" xfId="406"/>
    <cellStyle name="Percent 3 4 2 2 2" xfId="1142"/>
    <cellStyle name="Percent 3 4 2 3" xfId="503"/>
    <cellStyle name="Percent 3 4 3" xfId="190"/>
    <cellStyle name="Percent 3 4 3 2" xfId="407"/>
    <cellStyle name="Percent 3 4 3 2 2" xfId="1119"/>
    <cellStyle name="Percent 3 4 3 3" xfId="504"/>
    <cellStyle name="Percent 3 4 4" xfId="405"/>
    <cellStyle name="Percent 3 4 4 2" xfId="1160"/>
    <cellStyle name="Percent 3 4 5" xfId="502"/>
    <cellStyle name="Percent 3 5" xfId="191"/>
    <cellStyle name="Percent 3 5 2" xfId="408"/>
    <cellStyle name="Percent 3 5 2 2" xfId="1159"/>
    <cellStyle name="Percent 3 5 3" xfId="505"/>
    <cellStyle name="Percent 3 6" xfId="192"/>
    <cellStyle name="Percent 3 6 2" xfId="409"/>
    <cellStyle name="Percent 3 6 2 2" xfId="1166"/>
    <cellStyle name="Percent 3 6 3" xfId="506"/>
    <cellStyle name="Percent 3 7" xfId="284"/>
    <cellStyle name="Percent 3 7 2" xfId="724"/>
    <cellStyle name="Percent 3 8" xfId="395"/>
    <cellStyle name="Percent 3 8 2" xfId="1131"/>
    <cellStyle name="Percent 3 9" xfId="492"/>
    <cellStyle name="Percent 4" xfId="193"/>
    <cellStyle name="Percent 4 2" xfId="194"/>
    <cellStyle name="Percent 4 2 2" xfId="304"/>
    <cellStyle name="Percent 4 2 2 2" xfId="733"/>
    <cellStyle name="Percent 4 2 3" xfId="411"/>
    <cellStyle name="Percent 4 2 3 2" xfId="1162"/>
    <cellStyle name="Percent 4 2 4" xfId="508"/>
    <cellStyle name="Percent 4 3" xfId="292"/>
    <cellStyle name="Percent 4 3 2" xfId="732"/>
    <cellStyle name="Percent 4 4" xfId="288"/>
    <cellStyle name="Percent 4 5" xfId="410"/>
    <cellStyle name="Percent 4 5 2" xfId="1114"/>
    <cellStyle name="Percent 4 6" xfId="507"/>
    <cellStyle name="Percent 5" xfId="298"/>
    <cellStyle name="Percent 5 2" xfId="532"/>
    <cellStyle name="Percent 5 2 2" xfId="662"/>
    <cellStyle name="Percent 5 3" xfId="533"/>
    <cellStyle name="Percent 5 3 2" xfId="663"/>
    <cellStyle name="Percent 5 4" xfId="862"/>
    <cellStyle name="Percent 6" xfId="282"/>
    <cellStyle name="Percent 6 2" xfId="665"/>
    <cellStyle name="Percent 6 3" xfId="664"/>
    <cellStyle name="Percent 7" xfId="307"/>
    <cellStyle name="Percent 8" xfId="314"/>
    <cellStyle name="Percent 8 2" xfId="674"/>
    <cellStyle name="Percent 9" xfId="855"/>
    <cellStyle name="Regular" xfId="195"/>
    <cellStyle name="SAPBEXaggData" xfId="228"/>
    <cellStyle name="SAPBEXaggDataEmph" xfId="229"/>
    <cellStyle name="SAPBEXaggItem" xfId="230"/>
    <cellStyle name="SAPBEXaggItemX" xfId="231"/>
    <cellStyle name="SAPBEXchaText" xfId="232"/>
    <cellStyle name="SAPBEXexcBad7" xfId="233"/>
    <cellStyle name="SAPBEXexcBad8" xfId="234"/>
    <cellStyle name="SAPBEXexcBad9" xfId="235"/>
    <cellStyle name="SAPBEXexcCritical4" xfId="236"/>
    <cellStyle name="SAPBEXexcCritical5" xfId="237"/>
    <cellStyle name="SAPBEXexcCritical6" xfId="238"/>
    <cellStyle name="SAPBEXexcGood1" xfId="239"/>
    <cellStyle name="SAPBEXexcGood2" xfId="240"/>
    <cellStyle name="SAPBEXexcGood3" xfId="241"/>
    <cellStyle name="SAPBEXfilterDrill" xfId="242"/>
    <cellStyle name="SAPBEXfilterItem" xfId="243"/>
    <cellStyle name="SAPBEXfilterText" xfId="244"/>
    <cellStyle name="SAPBEXformats" xfId="245"/>
    <cellStyle name="SAPBEXheaderItem" xfId="246"/>
    <cellStyle name="SAPBEXheaderText" xfId="247"/>
    <cellStyle name="SAPBEXHLevel0" xfId="248"/>
    <cellStyle name="SAPBEXHLevel0X" xfId="249"/>
    <cellStyle name="SAPBEXHLevel1" xfId="250"/>
    <cellStyle name="SAPBEXHLevel1X" xfId="251"/>
    <cellStyle name="SAPBEXHLevel2" xfId="252"/>
    <cellStyle name="SAPBEXHLevel2 2" xfId="253"/>
    <cellStyle name="SAPBEXHLevel2 3" xfId="254"/>
    <cellStyle name="SAPBEXHLevel2 4" xfId="271"/>
    <cellStyle name="SAPBEXHLevel2 5" xfId="272"/>
    <cellStyle name="SAPBEXHLevel2X" xfId="255"/>
    <cellStyle name="SAPBEXHLevel3" xfId="256"/>
    <cellStyle name="SAPBEXHLevel3X" xfId="257"/>
    <cellStyle name="SAPBEXresData" xfId="258"/>
    <cellStyle name="SAPBEXresDataEmph" xfId="259"/>
    <cellStyle name="SAPBEXresItem" xfId="260"/>
    <cellStyle name="SAPBEXresItemX" xfId="261"/>
    <cellStyle name="SAPBEXstdData" xfId="262"/>
    <cellStyle name="SAPBEXstdDataEmph" xfId="263"/>
    <cellStyle name="SAPBEXstdItem" xfId="264"/>
    <cellStyle name="SAPBEXstdItemX" xfId="265"/>
    <cellStyle name="SAPBEXtitle" xfId="266"/>
    <cellStyle name="SAPBEXundefined" xfId="267"/>
    <cellStyle name="Style 1" xfId="196"/>
    <cellStyle name="Style 1 2" xfId="197"/>
    <cellStyle name="table lookup" xfId="198"/>
    <cellStyle name="table lookup 2" xfId="199"/>
    <cellStyle name="table lookup_Ocotillo" xfId="200"/>
    <cellStyle name="Test" xfId="201"/>
    <cellStyle name="Test 2" xfId="202"/>
    <cellStyle name="Test 2 2" xfId="203"/>
    <cellStyle name="Test 2 2 2" xfId="204"/>
    <cellStyle name="Test 2 2 2 2" xfId="205"/>
    <cellStyle name="Test 2 2 3" xfId="206"/>
    <cellStyle name="Test 2 3" xfId="207"/>
    <cellStyle name="Test 2 3 2" xfId="208"/>
    <cellStyle name="Test 2 3 2 2" xfId="209"/>
    <cellStyle name="Test 2 3 3" xfId="210"/>
    <cellStyle name="Test 2 4" xfId="211"/>
    <cellStyle name="Test 3" xfId="212"/>
    <cellStyle name="Test 3 2" xfId="213"/>
    <cellStyle name="Test 3 2 2" xfId="214"/>
    <cellStyle name="Test 3 3" xfId="215"/>
    <cellStyle name="Test 4" xfId="216"/>
    <cellStyle name="標準_HB_diagram-HHH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A/Dismantlement/2012%20Dismantlement%20Study/Inflation%20Rates%20+%20Monthly%20Accr/2012%20Monthly%20Accrual%20(Updated)%2010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M0OL8\AppData\Local\Microsoft\Windows\Temporary%20Internet%20Files\Content.Outlook\3U5B1092\Copy%20of%20Dismantlement%20Accrual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mantlement Accrual"/>
      <sheetName val="GI Factors"/>
      <sheetName val="Inflation"/>
      <sheetName val="Re Allocation V1"/>
      <sheetName val="Re Allocation V2"/>
      <sheetName val="Vlookup econ recov dates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0</v>
          </cell>
          <cell r="C1" t="str">
            <v>Probable</v>
          </cell>
          <cell r="D1" t="str">
            <v>Probable</v>
          </cell>
        </row>
        <row r="2">
          <cell r="B2">
            <v>0</v>
          </cell>
          <cell r="C2" t="str">
            <v>Retirement</v>
          </cell>
          <cell r="D2" t="str">
            <v>Retirement</v>
          </cell>
        </row>
        <row r="3">
          <cell r="A3" t="str">
            <v>Unit</v>
          </cell>
          <cell r="B3" t="str">
            <v>Utility</v>
          </cell>
          <cell r="C3" t="str">
            <v>Date</v>
          </cell>
          <cell r="D3" t="str">
            <v>Year</v>
          </cell>
        </row>
        <row r="4">
          <cell r="A4" t="str">
            <v>Babcock Solar 341</v>
          </cell>
          <cell r="B4">
            <v>341</v>
          </cell>
          <cell r="C4">
            <v>53508</v>
          </cell>
          <cell r="D4">
            <v>2046</v>
          </cell>
        </row>
        <row r="5">
          <cell r="A5" t="str">
            <v>Cape Canaveral Combined Cycle 341</v>
          </cell>
          <cell r="B5">
            <v>341</v>
          </cell>
          <cell r="C5">
            <v>56065</v>
          </cell>
          <cell r="D5">
            <v>2053</v>
          </cell>
        </row>
        <row r="6">
          <cell r="A6" t="str">
            <v>DeSoto II Solar 341</v>
          </cell>
          <cell r="B6">
            <v>341</v>
          </cell>
          <cell r="C6">
            <v>53508</v>
          </cell>
          <cell r="D6">
            <v>2046</v>
          </cell>
        </row>
        <row r="7">
          <cell r="A7" t="str">
            <v>DeSoto Solar 341</v>
          </cell>
          <cell r="B7">
            <v>341</v>
          </cell>
          <cell r="C7">
            <v>50951</v>
          </cell>
          <cell r="D7">
            <v>2039</v>
          </cell>
        </row>
        <row r="8">
          <cell r="A8" t="str">
            <v>Ft. Myers Common 341</v>
          </cell>
          <cell r="B8">
            <v>341</v>
          </cell>
          <cell r="C8">
            <v>52412</v>
          </cell>
          <cell r="D8">
            <v>2043</v>
          </cell>
        </row>
        <row r="9">
          <cell r="A9" t="str">
            <v>Ft. Myers GTs 341</v>
          </cell>
          <cell r="B9">
            <v>341</v>
          </cell>
          <cell r="C9">
            <v>0</v>
          </cell>
          <cell r="D9">
            <v>0</v>
          </cell>
        </row>
        <row r="10">
          <cell r="A10" t="str">
            <v>Ft. Myers Unit 2 341</v>
          </cell>
          <cell r="B10">
            <v>341</v>
          </cell>
          <cell r="C10">
            <v>52412</v>
          </cell>
          <cell r="D10">
            <v>2043</v>
          </cell>
        </row>
        <row r="11">
          <cell r="A11" t="str">
            <v>Ft. Myers Unit 3 341</v>
          </cell>
          <cell r="B11">
            <v>341</v>
          </cell>
          <cell r="C11">
            <v>52412</v>
          </cell>
          <cell r="D11">
            <v>2043</v>
          </cell>
        </row>
        <row r="12">
          <cell r="A12" t="str">
            <v>Lauderdale Common 341</v>
          </cell>
          <cell r="B12">
            <v>341</v>
          </cell>
          <cell r="C12">
            <v>48760</v>
          </cell>
          <cell r="D12">
            <v>2033</v>
          </cell>
        </row>
        <row r="13">
          <cell r="A13" t="str">
            <v>Lauderdale GTs 341</v>
          </cell>
          <cell r="B13">
            <v>341</v>
          </cell>
          <cell r="C13">
            <v>0</v>
          </cell>
          <cell r="D13">
            <v>0</v>
          </cell>
        </row>
        <row r="14">
          <cell r="A14" t="str">
            <v>Lauderdale Unit 4 341</v>
          </cell>
          <cell r="B14">
            <v>341</v>
          </cell>
          <cell r="C14">
            <v>48760</v>
          </cell>
          <cell r="D14">
            <v>2033</v>
          </cell>
        </row>
        <row r="15">
          <cell r="A15" t="str">
            <v>Lauderdale Unit 5 341</v>
          </cell>
          <cell r="B15">
            <v>341</v>
          </cell>
          <cell r="C15">
            <v>48760</v>
          </cell>
          <cell r="D15">
            <v>2033</v>
          </cell>
        </row>
        <row r="16">
          <cell r="A16" t="str">
            <v>Lauderdale Unit 6 341</v>
          </cell>
          <cell r="B16">
            <v>341</v>
          </cell>
          <cell r="C16">
            <v>57161</v>
          </cell>
          <cell r="D16">
            <v>2056</v>
          </cell>
        </row>
        <row r="17">
          <cell r="A17" t="str">
            <v>Manatee Common 311</v>
          </cell>
          <cell r="B17">
            <v>311</v>
          </cell>
          <cell r="C17">
            <v>46934</v>
          </cell>
          <cell r="D17">
            <v>2028</v>
          </cell>
        </row>
        <row r="18">
          <cell r="A18" t="str">
            <v>Manatee Solar 341</v>
          </cell>
          <cell r="B18">
            <v>341</v>
          </cell>
          <cell r="C18">
            <v>53508</v>
          </cell>
          <cell r="D18">
            <v>2046</v>
          </cell>
        </row>
        <row r="19">
          <cell r="A19" t="str">
            <v>Manatee Unit 1 311</v>
          </cell>
          <cell r="B19">
            <v>311</v>
          </cell>
          <cell r="C19">
            <v>46934</v>
          </cell>
          <cell r="D19">
            <v>2028</v>
          </cell>
        </row>
        <row r="20">
          <cell r="A20" t="str">
            <v>Manatee Unit 2 311</v>
          </cell>
          <cell r="B20">
            <v>311</v>
          </cell>
          <cell r="C20">
            <v>46934</v>
          </cell>
          <cell r="D20">
            <v>2028</v>
          </cell>
        </row>
        <row r="21">
          <cell r="A21" t="str">
            <v>Manatee Unit 3 341</v>
          </cell>
          <cell r="B21">
            <v>341</v>
          </cell>
          <cell r="C21">
            <v>53143</v>
          </cell>
          <cell r="D21">
            <v>2045</v>
          </cell>
        </row>
        <row r="22">
          <cell r="A22" t="str">
            <v>Martin Common 311</v>
          </cell>
          <cell r="B22">
            <v>311</v>
          </cell>
          <cell r="C22">
            <v>48029</v>
          </cell>
          <cell r="D22">
            <v>2031</v>
          </cell>
        </row>
        <row r="23">
          <cell r="A23" t="str">
            <v>Martin Common 341</v>
          </cell>
          <cell r="B23">
            <v>341</v>
          </cell>
          <cell r="C23">
            <v>49125</v>
          </cell>
          <cell r="D23">
            <v>2034</v>
          </cell>
        </row>
        <row r="24">
          <cell r="A24" t="str">
            <v>Martin Solar 341</v>
          </cell>
          <cell r="B24">
            <v>341</v>
          </cell>
          <cell r="C24">
            <v>53143</v>
          </cell>
          <cell r="D24">
            <v>2045</v>
          </cell>
        </row>
        <row r="25">
          <cell r="A25" t="str">
            <v>Martin Unit 1 311</v>
          </cell>
          <cell r="B25">
            <v>311</v>
          </cell>
          <cell r="C25">
            <v>48029</v>
          </cell>
          <cell r="D25">
            <v>2031</v>
          </cell>
        </row>
        <row r="26">
          <cell r="A26" t="str">
            <v>Martin Unit 2 311</v>
          </cell>
          <cell r="B26">
            <v>311</v>
          </cell>
          <cell r="C26">
            <v>48029</v>
          </cell>
          <cell r="D26">
            <v>2031</v>
          </cell>
        </row>
        <row r="27">
          <cell r="A27" t="str">
            <v>Martin Unit 3 341</v>
          </cell>
          <cell r="B27">
            <v>341</v>
          </cell>
          <cell r="C27">
            <v>49125</v>
          </cell>
          <cell r="D27">
            <v>2034</v>
          </cell>
        </row>
        <row r="28">
          <cell r="A28" t="str">
            <v>Martin Unit 4 341</v>
          </cell>
          <cell r="B28">
            <v>341</v>
          </cell>
          <cell r="C28">
            <v>49125</v>
          </cell>
          <cell r="D28">
            <v>2034</v>
          </cell>
        </row>
        <row r="29">
          <cell r="A29" t="str">
            <v>Martin Unit 8 341</v>
          </cell>
          <cell r="B29">
            <v>341</v>
          </cell>
          <cell r="C29">
            <v>53143</v>
          </cell>
          <cell r="D29">
            <v>2045</v>
          </cell>
        </row>
        <row r="30">
          <cell r="A30" t="str">
            <v>Pt Everglades Combined Cycle 341</v>
          </cell>
          <cell r="B30">
            <v>341</v>
          </cell>
          <cell r="C30">
            <v>57161</v>
          </cell>
          <cell r="D30">
            <v>2056</v>
          </cell>
        </row>
        <row r="31">
          <cell r="A31" t="str">
            <v>Pt. Everglades GTs 341</v>
          </cell>
          <cell r="B31">
            <v>341</v>
          </cell>
          <cell r="C31">
            <v>46934</v>
          </cell>
          <cell r="D31">
            <v>2028</v>
          </cell>
        </row>
        <row r="32">
          <cell r="A32" t="str">
            <v>Putnam Common 341</v>
          </cell>
          <cell r="B32">
            <v>341</v>
          </cell>
          <cell r="C32" t="e">
            <v>#N/A</v>
          </cell>
          <cell r="D32">
            <v>0</v>
          </cell>
        </row>
        <row r="33">
          <cell r="A33" t="str">
            <v>Putnam Unit 1 341</v>
          </cell>
          <cell r="B33">
            <v>341</v>
          </cell>
          <cell r="C33" t="e">
            <v>#N/A</v>
          </cell>
          <cell r="D33">
            <v>0</v>
          </cell>
        </row>
        <row r="34">
          <cell r="A34" t="str">
            <v>Putnam Unit 2 341</v>
          </cell>
          <cell r="B34">
            <v>341</v>
          </cell>
          <cell r="C34" t="e">
            <v>#N/A</v>
          </cell>
          <cell r="D34">
            <v>0</v>
          </cell>
        </row>
        <row r="35">
          <cell r="A35" t="str">
            <v>Riviera Combined Cycle 341</v>
          </cell>
          <cell r="B35">
            <v>341</v>
          </cell>
          <cell r="C35">
            <v>56430</v>
          </cell>
          <cell r="D35">
            <v>2054</v>
          </cell>
        </row>
        <row r="36">
          <cell r="A36" t="str">
            <v>Sanford Common 341</v>
          </cell>
          <cell r="B36">
            <v>341</v>
          </cell>
          <cell r="C36">
            <v>52412</v>
          </cell>
          <cell r="D36">
            <v>2043</v>
          </cell>
        </row>
        <row r="37">
          <cell r="A37" t="str">
            <v>Sanford Unit 4 341</v>
          </cell>
          <cell r="B37">
            <v>341</v>
          </cell>
          <cell r="C37">
            <v>52412</v>
          </cell>
          <cell r="D37">
            <v>2043</v>
          </cell>
        </row>
        <row r="38">
          <cell r="A38" t="str">
            <v>Sanford Unit 5 341</v>
          </cell>
          <cell r="B38">
            <v>341</v>
          </cell>
          <cell r="C38">
            <v>52047</v>
          </cell>
          <cell r="D38">
            <v>2042</v>
          </cell>
        </row>
        <row r="39">
          <cell r="A39" t="str">
            <v>Scherer Common 311</v>
          </cell>
          <cell r="B39">
            <v>311</v>
          </cell>
          <cell r="C39">
            <v>50951</v>
          </cell>
          <cell r="D39">
            <v>2039</v>
          </cell>
        </row>
        <row r="40">
          <cell r="A40" t="str">
            <v>Scherer Common Unit 3 &amp; 4 311</v>
          </cell>
          <cell r="B40">
            <v>311</v>
          </cell>
          <cell r="C40">
            <v>50951</v>
          </cell>
          <cell r="D40">
            <v>2039</v>
          </cell>
        </row>
        <row r="41">
          <cell r="A41" t="str">
            <v>Scherer Unit 4 311</v>
          </cell>
          <cell r="B41">
            <v>311</v>
          </cell>
          <cell r="C41">
            <v>50951</v>
          </cell>
          <cell r="D41">
            <v>2039</v>
          </cell>
        </row>
        <row r="42">
          <cell r="A42" t="str">
            <v>SJRPP Coal &amp; Limestone 311</v>
          </cell>
          <cell r="B42">
            <v>311</v>
          </cell>
          <cell r="C42">
            <v>50586</v>
          </cell>
          <cell r="D42">
            <v>2038</v>
          </cell>
        </row>
        <row r="43">
          <cell r="A43" t="str">
            <v>SJRPP Common 311</v>
          </cell>
          <cell r="B43">
            <v>311</v>
          </cell>
          <cell r="C43">
            <v>50586</v>
          </cell>
          <cell r="D43">
            <v>2038</v>
          </cell>
        </row>
        <row r="44">
          <cell r="A44" t="str">
            <v>SJRPP Gypsum &amp; Ash 311</v>
          </cell>
          <cell r="B44">
            <v>311</v>
          </cell>
          <cell r="C44">
            <v>50586</v>
          </cell>
          <cell r="D44">
            <v>2038</v>
          </cell>
        </row>
        <row r="45">
          <cell r="A45" t="str">
            <v>SJRPP Unit 1 311</v>
          </cell>
          <cell r="B45">
            <v>311</v>
          </cell>
          <cell r="C45">
            <v>50586</v>
          </cell>
          <cell r="D45">
            <v>2038</v>
          </cell>
        </row>
        <row r="46">
          <cell r="A46" t="str">
            <v>SJRPP Unit 2 311</v>
          </cell>
          <cell r="B46">
            <v>311</v>
          </cell>
          <cell r="C46">
            <v>50586</v>
          </cell>
          <cell r="D46">
            <v>2038</v>
          </cell>
        </row>
        <row r="47">
          <cell r="A47" t="str">
            <v>Space Coast Solar 341</v>
          </cell>
          <cell r="B47">
            <v>341</v>
          </cell>
          <cell r="C47">
            <v>51317</v>
          </cell>
          <cell r="D47">
            <v>2040</v>
          </cell>
        </row>
        <row r="48">
          <cell r="A48" t="str">
            <v>St. Lucie Common 321</v>
          </cell>
          <cell r="B48">
            <v>321</v>
          </cell>
          <cell r="C48">
            <v>52412</v>
          </cell>
          <cell r="D48">
            <v>2043</v>
          </cell>
        </row>
        <row r="49">
          <cell r="A49" t="str">
            <v>St. Lucie Unit 1 321</v>
          </cell>
          <cell r="B49">
            <v>321</v>
          </cell>
          <cell r="C49">
            <v>49856</v>
          </cell>
          <cell r="D49">
            <v>2036</v>
          </cell>
        </row>
        <row r="50">
          <cell r="A50" t="str">
            <v>St. Lucie Unit 2 321</v>
          </cell>
          <cell r="B50">
            <v>321</v>
          </cell>
          <cell r="C50">
            <v>52412</v>
          </cell>
          <cell r="D50">
            <v>2043</v>
          </cell>
        </row>
        <row r="51">
          <cell r="A51" t="str">
            <v>Turkey Point Common 311</v>
          </cell>
          <cell r="B51">
            <v>311</v>
          </cell>
          <cell r="C51">
            <v>0</v>
          </cell>
          <cell r="D51">
            <v>0</v>
          </cell>
        </row>
        <row r="52">
          <cell r="A52" t="str">
            <v>Turkey Point Common 321</v>
          </cell>
          <cell r="B52">
            <v>321</v>
          </cell>
          <cell r="C52">
            <v>48760</v>
          </cell>
          <cell r="D52">
            <v>2033</v>
          </cell>
        </row>
        <row r="53">
          <cell r="A53" t="str">
            <v>Turkey Point Unit 1 311</v>
          </cell>
          <cell r="B53">
            <v>311</v>
          </cell>
          <cell r="C53">
            <v>0</v>
          </cell>
          <cell r="D53">
            <v>0</v>
          </cell>
        </row>
        <row r="54">
          <cell r="A54" t="str">
            <v>Turkey Point Unit 2 311</v>
          </cell>
          <cell r="B54">
            <v>311</v>
          </cell>
          <cell r="C54">
            <v>0</v>
          </cell>
          <cell r="D54">
            <v>0</v>
          </cell>
        </row>
        <row r="55">
          <cell r="A55" t="str">
            <v>Turkey Point Unit 3 321</v>
          </cell>
          <cell r="B55">
            <v>321</v>
          </cell>
          <cell r="C55">
            <v>48395</v>
          </cell>
          <cell r="D55">
            <v>2032</v>
          </cell>
        </row>
        <row r="56">
          <cell r="A56" t="str">
            <v>Turkey Point Unit 4 321</v>
          </cell>
          <cell r="B56">
            <v>321</v>
          </cell>
          <cell r="C56">
            <v>48760</v>
          </cell>
          <cell r="D56">
            <v>2033</v>
          </cell>
        </row>
        <row r="57">
          <cell r="A57" t="str">
            <v>Turkey Point Unit 5 341</v>
          </cell>
          <cell r="B57">
            <v>341</v>
          </cell>
          <cell r="C57">
            <v>53873</v>
          </cell>
          <cell r="D57">
            <v>2047</v>
          </cell>
        </row>
        <row r="58">
          <cell r="A58" t="str">
            <v>West County Common 341</v>
          </cell>
          <cell r="B58">
            <v>341</v>
          </cell>
          <cell r="C58">
            <v>55334</v>
          </cell>
          <cell r="D58">
            <v>2051</v>
          </cell>
        </row>
        <row r="59">
          <cell r="A59" t="str">
            <v>West County Unit 1 341</v>
          </cell>
          <cell r="B59">
            <v>341</v>
          </cell>
          <cell r="C59">
            <v>54604</v>
          </cell>
          <cell r="D59">
            <v>2049</v>
          </cell>
        </row>
        <row r="60">
          <cell r="A60" t="str">
            <v>West County Unit 2 341</v>
          </cell>
          <cell r="B60">
            <v>341</v>
          </cell>
          <cell r="C60">
            <v>54604</v>
          </cell>
          <cell r="D60">
            <v>2049</v>
          </cell>
        </row>
        <row r="61">
          <cell r="A61" t="str">
            <v>West County Unit 3 341</v>
          </cell>
          <cell r="B61">
            <v>341</v>
          </cell>
          <cell r="C61">
            <v>55334</v>
          </cell>
          <cell r="D61">
            <v>2051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9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2"/>
  <cols>
    <col min="1" max="1" width="22.44140625" style="4" customWidth="1"/>
    <col min="2" max="2" width="2.5546875" style="4" customWidth="1"/>
    <col min="3" max="3" width="15.6640625" style="4" bestFit="1" customWidth="1"/>
    <col min="4" max="4" width="2.5546875" style="4" customWidth="1"/>
    <col min="5" max="5" width="11.6640625" style="4" customWidth="1"/>
    <col min="6" max="6" width="11.21875" style="4" customWidth="1"/>
    <col min="7" max="7" width="2" style="4" customWidth="1"/>
    <col min="8" max="8" width="12.109375" style="4" bestFit="1" customWidth="1"/>
    <col min="9" max="9" width="13" style="4" bestFit="1" customWidth="1"/>
    <col min="10" max="10" width="15.6640625" style="4" bestFit="1" customWidth="1"/>
    <col min="11" max="11" width="1.77734375" style="4" customWidth="1"/>
    <col min="12" max="12" width="12.44140625" style="4" customWidth="1"/>
    <col min="13" max="13" width="14.33203125" style="4" customWidth="1"/>
    <col min="14" max="14" width="2.33203125" style="4" customWidth="1"/>
    <col min="15" max="15" width="11.33203125" style="4" customWidth="1"/>
    <col min="16" max="16" width="11.21875" style="4" customWidth="1"/>
    <col min="17" max="17" width="11.5546875" style="4" customWidth="1"/>
    <col min="18" max="18" width="12.109375" style="4" customWidth="1"/>
    <col min="19" max="19" width="14.44140625" style="4" bestFit="1" customWidth="1"/>
    <col min="20" max="20" width="10.5546875" style="4" bestFit="1" customWidth="1"/>
    <col min="21" max="21" width="12.33203125" style="4" customWidth="1"/>
    <col min="22" max="22" width="13.88671875" style="4" customWidth="1"/>
    <col min="23" max="23" width="18.44140625" style="4" customWidth="1"/>
    <col min="24" max="27" width="9.109375" style="4"/>
    <col min="28" max="38" width="9.6640625" style="4" bestFit="1" customWidth="1"/>
    <col min="39" max="16384" width="9.109375" style="4"/>
  </cols>
  <sheetData>
    <row r="1" spans="1:73">
      <c r="A1" s="375" t="s">
        <v>135</v>
      </c>
    </row>
    <row r="2" spans="1:73">
      <c r="A2" s="375" t="s">
        <v>134</v>
      </c>
    </row>
    <row r="3" spans="1:73">
      <c r="A3" s="173"/>
      <c r="B3" s="139"/>
      <c r="C3" s="139">
        <v>2016</v>
      </c>
      <c r="D3" s="139"/>
      <c r="E3" s="362" t="s">
        <v>5</v>
      </c>
      <c r="F3" s="363"/>
      <c r="G3" s="327"/>
      <c r="H3" s="362" t="s">
        <v>129</v>
      </c>
      <c r="I3" s="364"/>
      <c r="J3" s="363"/>
      <c r="K3" s="3"/>
      <c r="L3" s="362" t="s">
        <v>128</v>
      </c>
      <c r="M3" s="363"/>
      <c r="O3" s="365" t="s">
        <v>123</v>
      </c>
      <c r="P3" s="366"/>
      <c r="Q3" s="366"/>
      <c r="R3" s="366"/>
      <c r="S3" s="366"/>
      <c r="T3" s="367"/>
    </row>
    <row r="4" spans="1:73">
      <c r="A4" s="173"/>
      <c r="E4" s="3"/>
      <c r="F4" s="3"/>
      <c r="G4" s="3"/>
      <c r="H4" s="2"/>
      <c r="I4" s="2"/>
      <c r="J4" s="3"/>
      <c r="K4" s="3"/>
    </row>
    <row r="5" spans="1:73" s="322" customFormat="1" ht="30.6" customHeight="1">
      <c r="A5" s="358" t="s">
        <v>29</v>
      </c>
      <c r="B5" s="326"/>
      <c r="C5" s="325" t="s">
        <v>105</v>
      </c>
      <c r="D5" s="326"/>
      <c r="E5" s="320" t="s">
        <v>121</v>
      </c>
      <c r="F5" s="320" t="s">
        <v>125</v>
      </c>
      <c r="G5" s="335"/>
      <c r="H5" s="320" t="s">
        <v>126</v>
      </c>
      <c r="I5" s="320" t="s">
        <v>127</v>
      </c>
      <c r="J5" s="321" t="s">
        <v>122</v>
      </c>
      <c r="K5" s="336"/>
      <c r="L5" s="328" t="s">
        <v>92</v>
      </c>
      <c r="M5" s="320" t="s">
        <v>8</v>
      </c>
      <c r="O5" s="321">
        <v>2017</v>
      </c>
      <c r="P5" s="321">
        <v>2018</v>
      </c>
      <c r="Q5" s="321">
        <v>2019</v>
      </c>
      <c r="R5" s="321">
        <v>2020</v>
      </c>
      <c r="S5" s="320" t="s">
        <v>124</v>
      </c>
      <c r="T5" s="321" t="s">
        <v>130</v>
      </c>
      <c r="U5" s="323"/>
      <c r="V5" s="323"/>
      <c r="W5" s="323"/>
    </row>
    <row r="6" spans="1:73" s="51" customFormat="1" ht="10.199999999999999">
      <c r="A6" s="180" t="s">
        <v>30</v>
      </c>
      <c r="B6" s="287"/>
      <c r="C6" s="287">
        <f>'Accrual - Realloc (Final Alloc)'!G9</f>
        <v>5706117.4047259334</v>
      </c>
      <c r="D6" s="287"/>
      <c r="E6" s="293">
        <f>'Accrual - Realloc (Final Alloc)'!U9</f>
        <v>2046</v>
      </c>
      <c r="F6" s="293">
        <f t="shared" ref="F6:F11" si="0">E6-2017</f>
        <v>29</v>
      </c>
      <c r="G6" s="213"/>
      <c r="H6" s="337">
        <f>'Accrual - Realloc (Final Alloc)'!Y9</f>
        <v>4753253.4698191714</v>
      </c>
      <c r="I6" s="338">
        <f>'Accrual - Realloc (Final Alloc)'!Z9</f>
        <v>11455261.518174101</v>
      </c>
      <c r="J6" s="332">
        <f t="shared" ref="J6:J37" si="1">SUM(H6:I6)</f>
        <v>16208514.987993272</v>
      </c>
      <c r="K6" s="72"/>
      <c r="L6" s="329">
        <f>'Accrual - Realloc (Final Alloc)'!S9</f>
        <v>0</v>
      </c>
      <c r="M6" s="330">
        <f t="shared" ref="M6:M37" si="2">J6-L6</f>
        <v>16208514.987993272</v>
      </c>
      <c r="N6" s="72"/>
      <c r="O6" s="314">
        <f>'Accrual - Realloc (Final Alloc)'!AF9</f>
        <v>316633.35621345235</v>
      </c>
      <c r="P6" s="314">
        <f>'Accrual - Realloc (Final Alloc)'!AG9</f>
        <v>328623.60236428824</v>
      </c>
      <c r="Q6" s="314">
        <f>'Accrual - Realloc (Final Alloc)'!AH9</f>
        <v>341067.8941800436</v>
      </c>
      <c r="R6" s="314">
        <f>'Accrual - Realloc (Final Alloc)'!AI9</f>
        <v>353983.42542498646</v>
      </c>
      <c r="S6" s="318">
        <f t="shared" ref="S6:S37" si="3">SUM(O6:R6)/4</f>
        <v>335077.06954569265</v>
      </c>
      <c r="T6" s="318">
        <f>S6/12</f>
        <v>27923.089128807722</v>
      </c>
      <c r="U6" s="148"/>
      <c r="V6" s="148"/>
      <c r="W6" s="148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</row>
    <row r="7" spans="1:73" s="51" customFormat="1" ht="10.199999999999999">
      <c r="A7" s="167" t="s">
        <v>32</v>
      </c>
      <c r="B7" s="287"/>
      <c r="C7" s="287">
        <f>'Accrual - Realloc (Final Alloc)'!G10</f>
        <v>8763563.5903524421</v>
      </c>
      <c r="D7" s="287"/>
      <c r="E7" s="293">
        <f>'Accrual - Realloc (Final Alloc)'!U10</f>
        <v>2053</v>
      </c>
      <c r="F7" s="293">
        <f t="shared" si="0"/>
        <v>36</v>
      </c>
      <c r="G7" s="213"/>
      <c r="H7" s="337">
        <f>'Accrual - Realloc (Final Alloc)'!Y10</f>
        <v>8491333.4568994287</v>
      </c>
      <c r="I7" s="338">
        <f>'Accrual - Realloc (Final Alloc)'!Z10</f>
        <v>20438797.837892119</v>
      </c>
      <c r="J7" s="332">
        <f t="shared" si="1"/>
        <v>28930131.294791549</v>
      </c>
      <c r="K7" s="72"/>
      <c r="L7" s="331">
        <f>'Accrual - Realloc (Final Alloc)'!S10</f>
        <v>0</v>
      </c>
      <c r="M7" s="332">
        <f t="shared" si="2"/>
        <v>28930131.294791549</v>
      </c>
      <c r="N7" s="72"/>
      <c r="O7" s="314">
        <f>'Accrual - Realloc (Final Alloc)'!AF10</f>
        <v>418691.70170003938</v>
      </c>
      <c r="P7" s="316">
        <f>'Accrual - Realloc (Final Alloc)'!AG10</f>
        <v>433076.82444308954</v>
      </c>
      <c r="Q7" s="316">
        <f>'Accrual - Realloc (Final Alloc)'!AH10</f>
        <v>447956.18138159282</v>
      </c>
      <c r="R7" s="316">
        <f>'Accrual - Realloc (Final Alloc)'!AI10</f>
        <v>463346.75307555683</v>
      </c>
      <c r="S7" s="318">
        <f t="shared" si="3"/>
        <v>440767.86515006964</v>
      </c>
      <c r="T7" s="318">
        <f t="shared" ref="T7:T58" si="4">S7/12</f>
        <v>36730.655429172468</v>
      </c>
      <c r="U7" s="148"/>
      <c r="V7" s="148"/>
      <c r="W7" s="148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</row>
    <row r="8" spans="1:73" s="51" customFormat="1" ht="10.199999999999999">
      <c r="A8" s="167" t="s">
        <v>31</v>
      </c>
      <c r="B8" s="287"/>
      <c r="C8" s="287">
        <f>'Accrual - Realloc (Final Alloc)'!G11</f>
        <v>7056152.263419928</v>
      </c>
      <c r="D8" s="287"/>
      <c r="E8" s="293">
        <f>'Accrual - Realloc (Final Alloc)'!U11</f>
        <v>2053</v>
      </c>
      <c r="F8" s="293">
        <f t="shared" si="0"/>
        <v>36</v>
      </c>
      <c r="G8" s="213"/>
      <c r="H8" s="337">
        <f>'Accrual - Realloc (Final Alloc)'!Y11</f>
        <v>8275121.9681085814</v>
      </c>
      <c r="I8" s="338">
        <f>'Accrual - Realloc (Final Alloc)'!Z11</f>
        <v>20007495.872124095</v>
      </c>
      <c r="J8" s="332">
        <f t="shared" si="1"/>
        <v>28282617.840232678</v>
      </c>
      <c r="K8" s="72"/>
      <c r="L8" s="331">
        <f>'Accrual - Realloc (Final Alloc)'!S11</f>
        <v>0</v>
      </c>
      <c r="M8" s="332">
        <f t="shared" si="2"/>
        <v>28282617.840232678</v>
      </c>
      <c r="N8" s="72"/>
      <c r="O8" s="314">
        <f>'Accrual - Realloc (Final Alloc)'!AF11</f>
        <v>361502.66077531036</v>
      </c>
      <c r="P8" s="316">
        <f>'Accrual - Realloc (Final Alloc)'!AG11</f>
        <v>376105.19439546688</v>
      </c>
      <c r="Q8" s="316">
        <f>'Accrual - Realloc (Final Alloc)'!AH11</f>
        <v>391297.58256239345</v>
      </c>
      <c r="R8" s="316">
        <f>'Accrual - Realloc (Final Alloc)'!AI11</f>
        <v>407103.65185272373</v>
      </c>
      <c r="S8" s="318">
        <f t="shared" si="3"/>
        <v>384002.27239647362</v>
      </c>
      <c r="T8" s="318">
        <f t="shared" si="4"/>
        <v>32000.189366372801</v>
      </c>
      <c r="U8" s="148"/>
      <c r="V8" s="148"/>
      <c r="W8" s="148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</row>
    <row r="9" spans="1:73" s="51" customFormat="1" ht="10.199999999999999">
      <c r="A9" s="180" t="s">
        <v>34</v>
      </c>
      <c r="B9" s="287"/>
      <c r="C9" s="287">
        <f>'Accrual - Realloc (Final Alloc)'!G12</f>
        <v>5706117.4047259334</v>
      </c>
      <c r="D9" s="287"/>
      <c r="E9" s="293">
        <f>'Accrual - Realloc (Final Alloc)'!U12</f>
        <v>2046</v>
      </c>
      <c r="F9" s="293">
        <f t="shared" si="0"/>
        <v>29</v>
      </c>
      <c r="G9" s="213"/>
      <c r="H9" s="337">
        <f>'Accrual - Realloc (Final Alloc)'!Y12</f>
        <v>4753253.4698191714</v>
      </c>
      <c r="I9" s="338">
        <f>'Accrual - Realloc (Final Alloc)'!Z12</f>
        <v>11455261.518174101</v>
      </c>
      <c r="J9" s="332">
        <f t="shared" si="1"/>
        <v>16208514.987993272</v>
      </c>
      <c r="K9" s="72"/>
      <c r="L9" s="331">
        <f>'Accrual - Realloc (Final Alloc)'!S12</f>
        <v>0</v>
      </c>
      <c r="M9" s="332">
        <f t="shared" si="2"/>
        <v>16208514.987993272</v>
      </c>
      <c r="N9" s="72"/>
      <c r="O9" s="314">
        <f>'Accrual - Realloc (Final Alloc)'!AF12</f>
        <v>316633.35621345235</v>
      </c>
      <c r="P9" s="316">
        <f>'Accrual - Realloc (Final Alloc)'!AG12</f>
        <v>328623.60236428824</v>
      </c>
      <c r="Q9" s="316">
        <f>'Accrual - Realloc (Final Alloc)'!AH12</f>
        <v>341067.8941800436</v>
      </c>
      <c r="R9" s="316">
        <f>'Accrual - Realloc (Final Alloc)'!AI12</f>
        <v>353983.42542498646</v>
      </c>
      <c r="S9" s="318">
        <f t="shared" si="3"/>
        <v>335077.06954569265</v>
      </c>
      <c r="T9" s="318">
        <f t="shared" si="4"/>
        <v>27923.089128807722</v>
      </c>
      <c r="U9" s="148"/>
      <c r="V9" s="148"/>
      <c r="W9" s="148"/>
      <c r="X9" s="147"/>
      <c r="Y9" s="147"/>
      <c r="Z9" s="147"/>
      <c r="AA9" s="147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</row>
    <row r="10" spans="1:73" s="51" customFormat="1" ht="10.199999999999999">
      <c r="A10" s="129" t="s">
        <v>33</v>
      </c>
      <c r="B10" s="287"/>
      <c r="C10" s="287">
        <f>'Accrual - Realloc (Final Alloc)'!G13</f>
        <v>2038159.7234084173</v>
      </c>
      <c r="D10" s="287"/>
      <c r="E10" s="293">
        <f>'Accrual - Realloc (Final Alloc)'!U13</f>
        <v>2039</v>
      </c>
      <c r="F10" s="293">
        <f t="shared" si="0"/>
        <v>22</v>
      </c>
      <c r="G10" s="213"/>
      <c r="H10" s="337">
        <f>'Accrual - Realloc (Final Alloc)'!Y13</f>
        <v>1349541.4076519923</v>
      </c>
      <c r="I10" s="338">
        <f>'Accrual - Realloc (Final Alloc)'!Z13</f>
        <v>3248469.9907786455</v>
      </c>
      <c r="J10" s="332">
        <f t="shared" si="1"/>
        <v>4598011.398430638</v>
      </c>
      <c r="K10" s="72"/>
      <c r="L10" s="331">
        <f>'Accrual - Realloc (Final Alloc)'!S13</f>
        <v>508956</v>
      </c>
      <c r="M10" s="332">
        <f t="shared" si="2"/>
        <v>4089055.398430638</v>
      </c>
      <c r="N10" s="72"/>
      <c r="O10" s="314">
        <f>'Accrual - Realloc (Final Alloc)'!AF13</f>
        <v>120460.45701139492</v>
      </c>
      <c r="P10" s="316">
        <f>'Accrual - Realloc (Final Alloc)'!AG13</f>
        <v>125186.55420129369</v>
      </c>
      <c r="Q10" s="316">
        <f>'Accrual - Realloc (Final Alloc)'!AH13</f>
        <v>130098.07319020039</v>
      </c>
      <c r="R10" s="316">
        <f>'Accrual - Realloc (Final Alloc)'!AI13</f>
        <v>135202.28874250641</v>
      </c>
      <c r="S10" s="318">
        <f t="shared" si="3"/>
        <v>127736.84328634886</v>
      </c>
      <c r="T10" s="318">
        <f t="shared" si="4"/>
        <v>10644.736940529072</v>
      </c>
      <c r="U10" s="148"/>
      <c r="V10" s="148"/>
      <c r="W10" s="148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</row>
    <row r="11" spans="1:73" s="51" customFormat="1" ht="10.199999999999999">
      <c r="A11" s="180" t="s">
        <v>35</v>
      </c>
      <c r="B11" s="287"/>
      <c r="C11" s="287">
        <f>'Accrual - Realloc (Final Alloc)'!G14</f>
        <v>19026452.824029006</v>
      </c>
      <c r="D11" s="287"/>
      <c r="E11" s="293">
        <f>'Accrual - Realloc (Final Alloc)'!U14</f>
        <v>2033</v>
      </c>
      <c r="F11" s="293">
        <f t="shared" si="0"/>
        <v>16</v>
      </c>
      <c r="G11" s="213"/>
      <c r="H11" s="337">
        <f>'Accrual - Realloc (Final Alloc)'!Y14</f>
        <v>10039812.632843552</v>
      </c>
      <c r="I11" s="338">
        <f>'Accrual - Realloc (Final Alloc)'!Z14</f>
        <v>24070218.697007805</v>
      </c>
      <c r="J11" s="332">
        <f t="shared" si="1"/>
        <v>34110031.329851359</v>
      </c>
      <c r="K11" s="72"/>
      <c r="L11" s="331">
        <f>'Accrual - Realloc (Final Alloc)'!S14</f>
        <v>0</v>
      </c>
      <c r="M11" s="332">
        <f t="shared" si="2"/>
        <v>34110031.329851359</v>
      </c>
      <c r="N11" s="72"/>
      <c r="O11" s="314">
        <f>'Accrual - Realloc (Final Alloc)'!AF14</f>
        <v>1581537.9008145386</v>
      </c>
      <c r="P11" s="316">
        <f>'Accrual - Realloc (Final Alloc)'!AG14</f>
        <v>1642458.315982755</v>
      </c>
      <c r="Q11" s="316">
        <f>'Accrual - Realloc (Final Alloc)'!AH14</f>
        <v>1705725.3691811804</v>
      </c>
      <c r="R11" s="316">
        <f>'Accrual - Realloc (Final Alloc)'!AI14</f>
        <v>1771429.4522764755</v>
      </c>
      <c r="S11" s="318">
        <f t="shared" si="3"/>
        <v>1675287.7595637375</v>
      </c>
      <c r="T11" s="318">
        <f t="shared" si="4"/>
        <v>139607.31329697813</v>
      </c>
      <c r="U11" s="148"/>
      <c r="V11" s="148"/>
      <c r="W11" s="148"/>
      <c r="X11" s="147"/>
      <c r="Y11" s="147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</row>
    <row r="12" spans="1:73" s="76" customFormat="1" ht="10.199999999999999">
      <c r="A12" s="180" t="s">
        <v>36</v>
      </c>
      <c r="B12" s="287"/>
      <c r="C12" s="287">
        <f>'Accrual - Realloc (Final Alloc)'!G15</f>
        <v>262102.5072999493</v>
      </c>
      <c r="D12" s="287"/>
      <c r="E12" s="293">
        <f>'Accrual - Realloc (Final Alloc)'!U15</f>
        <v>2017</v>
      </c>
      <c r="F12" s="293">
        <v>1</v>
      </c>
      <c r="G12" s="213"/>
      <c r="H12" s="337">
        <f>'Accrual - Realloc (Final Alloc)'!Y15</f>
        <v>82382.893804968364</v>
      </c>
      <c r="I12" s="338">
        <f>'Accrual - Realloc (Final Alloc)'!Z15</f>
        <v>199055.18272340257</v>
      </c>
      <c r="J12" s="332">
        <f t="shared" si="1"/>
        <v>281438.07652837096</v>
      </c>
      <c r="K12" s="72"/>
      <c r="L12" s="331">
        <f>'Accrual - Realloc (Final Alloc)'!S15</f>
        <v>275450.03000000003</v>
      </c>
      <c r="M12" s="332">
        <f t="shared" si="2"/>
        <v>5988.0465283709345</v>
      </c>
      <c r="N12" s="72"/>
      <c r="O12" s="314">
        <f>'Accrual - Realloc (Final Alloc)'!AF15</f>
        <v>5988.0465283709336</v>
      </c>
      <c r="P12" s="316">
        <f>'Accrual - Realloc (Final Alloc)'!AG15</f>
        <v>6797.6231941087071</v>
      </c>
      <c r="Q12" s="316">
        <f>'Accrual - Realloc (Final Alloc)'!AH15</f>
        <v>7716.6536482567381</v>
      </c>
      <c r="R12" s="316">
        <f>'Accrual - Realloc (Final Alloc)'!AI15</f>
        <v>8759.9359109462512</v>
      </c>
      <c r="S12" s="318">
        <f t="shared" si="3"/>
        <v>7315.5648204206573</v>
      </c>
      <c r="T12" s="318">
        <f t="shared" si="4"/>
        <v>609.63040170172144</v>
      </c>
      <c r="U12" s="148"/>
      <c r="V12" s="148"/>
      <c r="W12" s="148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</row>
    <row r="13" spans="1:73" s="51" customFormat="1" ht="10.199999999999999">
      <c r="A13" s="180" t="s">
        <v>37</v>
      </c>
      <c r="B13" s="287"/>
      <c r="C13" s="287">
        <f>'Accrual - Realloc (Final Alloc)'!G16</f>
        <v>4288639.1195963621</v>
      </c>
      <c r="D13" s="287"/>
      <c r="E13" s="293">
        <f>'Accrual - Realloc (Final Alloc)'!U16</f>
        <v>2033</v>
      </c>
      <c r="F13" s="293">
        <f>E13-2017</f>
        <v>16</v>
      </c>
      <c r="G13" s="213"/>
      <c r="H13" s="337">
        <f>'Accrual - Realloc (Final Alloc)'!Y16</f>
        <v>2490179.4915038822</v>
      </c>
      <c r="I13" s="338">
        <f>'Accrual - Realloc (Final Alloc)'!Z16</f>
        <v>5995518.7202652022</v>
      </c>
      <c r="J13" s="332">
        <f t="shared" si="1"/>
        <v>8485698.2117690854</v>
      </c>
      <c r="K13" s="72"/>
      <c r="L13" s="331">
        <f>'Accrual - Realloc (Final Alloc)'!S16</f>
        <v>5091418.93</v>
      </c>
      <c r="M13" s="332">
        <f t="shared" si="2"/>
        <v>3394279.2817690857</v>
      </c>
      <c r="N13" s="72"/>
      <c r="O13" s="314">
        <f>'Accrual - Realloc (Final Alloc)'!AF16</f>
        <v>148458.57078514862</v>
      </c>
      <c r="P13" s="316">
        <f>'Accrual - Realloc (Final Alloc)'!AG16</f>
        <v>155255.56406568759</v>
      </c>
      <c r="Q13" s="316">
        <f>'Accrual - Realloc (Final Alloc)'!AH16</f>
        <v>162363.74933340089</v>
      </c>
      <c r="R13" s="316">
        <f>'Accrual - Realloc (Final Alloc)'!AI16</f>
        <v>169797.37413111879</v>
      </c>
      <c r="S13" s="318">
        <f t="shared" si="3"/>
        <v>158968.81457883897</v>
      </c>
      <c r="T13" s="318">
        <f t="shared" si="4"/>
        <v>13247.401214903248</v>
      </c>
      <c r="U13" s="148"/>
      <c r="V13" s="148"/>
      <c r="W13" s="148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</row>
    <row r="14" spans="1:73" s="51" customFormat="1" ht="10.199999999999999">
      <c r="A14" s="180" t="s">
        <v>38</v>
      </c>
      <c r="B14" s="287"/>
      <c r="C14" s="287">
        <f>'Accrual - Realloc (Final Alloc)'!G17</f>
        <v>4281144.0591523983</v>
      </c>
      <c r="D14" s="287"/>
      <c r="E14" s="293">
        <f>'Accrual - Realloc (Final Alloc)'!U17</f>
        <v>2033</v>
      </c>
      <c r="F14" s="293">
        <f>E14-2017</f>
        <v>16</v>
      </c>
      <c r="G14" s="213"/>
      <c r="H14" s="337">
        <f>'Accrual - Realloc (Final Alloc)'!Y17</f>
        <v>2486551.7710901555</v>
      </c>
      <c r="I14" s="338">
        <f>'Accrual - Realloc (Final Alloc)'!Z17</f>
        <v>5986858.1309521571</v>
      </c>
      <c r="J14" s="332">
        <f t="shared" si="1"/>
        <v>8473409.9020423125</v>
      </c>
      <c r="K14" s="72"/>
      <c r="L14" s="331">
        <f>'Accrual - Realloc (Final Alloc)'!S17</f>
        <v>5084045.9399999995</v>
      </c>
      <c r="M14" s="332">
        <f t="shared" si="2"/>
        <v>3389363.9620423131</v>
      </c>
      <c r="N14" s="72"/>
      <c r="O14" s="314">
        <f>'Accrual - Realloc (Final Alloc)'!AF17</f>
        <v>148216.01016823051</v>
      </c>
      <c r="P14" s="316">
        <f>'Accrual - Realloc (Final Alloc)'!AG17</f>
        <v>155005.31319182689</v>
      </c>
      <c r="Q14" s="316">
        <f>'Accrual - Realloc (Final Alloc)'!AH17</f>
        <v>162105.61254769465</v>
      </c>
      <c r="R14" s="316">
        <f>'Accrual - Realloc (Final Alloc)'!AI17</f>
        <v>169531.15398659054</v>
      </c>
      <c r="S14" s="318">
        <f t="shared" si="3"/>
        <v>158714.52247358565</v>
      </c>
      <c r="T14" s="318">
        <f t="shared" si="4"/>
        <v>13226.210206132137</v>
      </c>
      <c r="U14" s="148"/>
      <c r="V14" s="148"/>
      <c r="W14" s="148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</row>
    <row r="15" spans="1:73" s="51" customFormat="1" ht="10.199999999999999">
      <c r="A15" s="180" t="s">
        <v>39</v>
      </c>
      <c r="B15" s="287"/>
      <c r="C15" s="287">
        <f>'Accrual - Realloc (Final Alloc)'!G18</f>
        <v>4795550.5396498786</v>
      </c>
      <c r="D15" s="287"/>
      <c r="E15" s="293">
        <f>'Accrual - Realloc (Final Alloc)'!U18</f>
        <v>2056</v>
      </c>
      <c r="F15" s="293">
        <f>E15-2017</f>
        <v>39</v>
      </c>
      <c r="G15" s="213"/>
      <c r="H15" s="337">
        <f>'Accrual - Realloc (Final Alloc)'!Y18</f>
        <v>5910337.8145934874</v>
      </c>
      <c r="I15" s="338">
        <f>'Accrual - Realloc (Final Alloc)'!Z18</f>
        <v>14277432.194921723</v>
      </c>
      <c r="J15" s="332">
        <f t="shared" si="1"/>
        <v>20187770.009515211</v>
      </c>
      <c r="K15" s="72"/>
      <c r="L15" s="331">
        <f>'Accrual - Realloc (Final Alloc)'!S18</f>
        <v>0</v>
      </c>
      <c r="M15" s="332">
        <f t="shared" si="2"/>
        <v>20187770.009515211</v>
      </c>
      <c r="N15" s="72"/>
      <c r="O15" s="314">
        <f>'Accrual - Realloc (Final Alloc)'!AF18</f>
        <v>231544.78214933237</v>
      </c>
      <c r="P15" s="316">
        <f>'Accrual - Realloc (Final Alloc)'!AG18</f>
        <v>240438.12276061808</v>
      </c>
      <c r="Q15" s="316">
        <f>'Accrual - Realloc (Final Alloc)'!AH18</f>
        <v>249673.04527452396</v>
      </c>
      <c r="R15" s="316">
        <f>'Accrual - Realloc (Final Alloc)'!AI18</f>
        <v>259262.66941751697</v>
      </c>
      <c r="S15" s="318">
        <f t="shared" si="3"/>
        <v>245229.65490049787</v>
      </c>
      <c r="T15" s="318">
        <f t="shared" si="4"/>
        <v>20435.804575041489</v>
      </c>
      <c r="U15" s="148"/>
      <c r="V15" s="148"/>
      <c r="W15" s="148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</row>
    <row r="16" spans="1:73" s="51" customFormat="1" ht="10.199999999999999">
      <c r="A16" s="180" t="s">
        <v>40</v>
      </c>
      <c r="B16" s="287"/>
      <c r="C16" s="287">
        <f>'Accrual - Realloc (Final Alloc)'!G19</f>
        <v>19662895.688760269</v>
      </c>
      <c r="D16" s="287"/>
      <c r="E16" s="293">
        <f>'Accrual - Realloc (Final Alloc)'!U19</f>
        <v>2043</v>
      </c>
      <c r="F16" s="293">
        <f>E16-2017</f>
        <v>26</v>
      </c>
      <c r="G16" s="213"/>
      <c r="H16" s="337">
        <f>'Accrual - Realloc (Final Alloc)'!Y19</f>
        <v>14185936.642762257</v>
      </c>
      <c r="I16" s="338">
        <f>'Accrual - Realloc (Final Alloc)'!Z19</f>
        <v>34104001.048367374</v>
      </c>
      <c r="J16" s="332">
        <f t="shared" si="1"/>
        <v>48289937.691129632</v>
      </c>
      <c r="K16" s="72"/>
      <c r="L16" s="331">
        <f>'Accrual - Realloc (Final Alloc)'!S19</f>
        <v>12436940.140000001</v>
      </c>
      <c r="M16" s="332">
        <f t="shared" si="2"/>
        <v>35852997.551129632</v>
      </c>
      <c r="N16" s="72"/>
      <c r="O16" s="314">
        <f>'Accrual - Realloc (Final Alloc)'!AF19</f>
        <v>855377.64908333623</v>
      </c>
      <c r="P16" s="316">
        <f>'Accrual - Realloc (Final Alloc)'!AG19</f>
        <v>886203.03303782211</v>
      </c>
      <c r="Q16" s="316">
        <f>'Accrual - Realloc (Final Alloc)'!AH19</f>
        <v>918139.27638518519</v>
      </c>
      <c r="R16" s="316">
        <f>'Accrual - Realloc (Final Alloc)'!AI19</f>
        <v>951226.41134668072</v>
      </c>
      <c r="S16" s="318">
        <f t="shared" si="3"/>
        <v>902736.59246325609</v>
      </c>
      <c r="T16" s="318">
        <f t="shared" si="4"/>
        <v>75228.049371938003</v>
      </c>
      <c r="U16" s="148"/>
      <c r="V16" s="148"/>
      <c r="W16" s="148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</row>
    <row r="17" spans="1:73" s="51" customFormat="1" ht="10.199999999999999">
      <c r="A17" s="180" t="s">
        <v>43</v>
      </c>
      <c r="B17" s="287"/>
      <c r="C17" s="287">
        <f>'Accrual - Realloc (Final Alloc)'!G20</f>
        <v>274581.38709641545</v>
      </c>
      <c r="D17" s="287"/>
      <c r="E17" s="293">
        <f>'Accrual - Realloc (Final Alloc)'!U20</f>
        <v>2017</v>
      </c>
      <c r="F17" s="293">
        <v>1</v>
      </c>
      <c r="G17" s="213"/>
      <c r="H17" s="337">
        <f>'Accrual - Realloc (Final Alloc)'!Y20</f>
        <v>86266.410779063575</v>
      </c>
      <c r="I17" s="338">
        <f>'Accrual - Realloc (Final Alloc)'!Z20</f>
        <v>208411.62137162237</v>
      </c>
      <c r="J17" s="332">
        <f t="shared" si="1"/>
        <v>294678.03215068596</v>
      </c>
      <c r="K17" s="72"/>
      <c r="L17" s="331">
        <f>'Accrual - Realloc (Final Alloc)'!S20</f>
        <v>287825.04999999981</v>
      </c>
      <c r="M17" s="332">
        <f t="shared" si="2"/>
        <v>6852.9821506861481</v>
      </c>
      <c r="N17" s="72"/>
      <c r="O17" s="314">
        <f>'Accrual - Realloc (Final Alloc)'!AF20</f>
        <v>6852.9821506861481</v>
      </c>
      <c r="P17" s="316">
        <f>'Accrual - Realloc (Final Alloc)'!AG20</f>
        <v>7767.7874839784718</v>
      </c>
      <c r="Q17" s="316">
        <f>'Accrual - Realloc (Final Alloc)'!AH20</f>
        <v>8804.7102807952378</v>
      </c>
      <c r="R17" s="316">
        <f>'Accrual - Realloc (Final Alloc)'!AI20</f>
        <v>9980.0520146357048</v>
      </c>
      <c r="S17" s="318">
        <f t="shared" si="3"/>
        <v>8351.38298252389</v>
      </c>
      <c r="T17" s="318">
        <f t="shared" si="4"/>
        <v>695.94858187699083</v>
      </c>
      <c r="U17" s="148"/>
      <c r="V17" s="148"/>
      <c r="W17" s="148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</row>
    <row r="18" spans="1:73" s="51" customFormat="1" ht="10.199999999999999">
      <c r="A18" s="180" t="s">
        <v>112</v>
      </c>
      <c r="B18" s="287"/>
      <c r="C18" s="287">
        <f>'Accrual - Realloc (Final Alloc)'!G21</f>
        <v>8961104.3068910427</v>
      </c>
      <c r="D18" s="287"/>
      <c r="E18" s="293">
        <f>'Accrual - Realloc (Final Alloc)'!U21</f>
        <v>2043</v>
      </c>
      <c r="F18" s="293">
        <f t="shared" ref="F18:F35" si="5">E18-2017</f>
        <v>26</v>
      </c>
      <c r="G18" s="213"/>
      <c r="H18" s="337">
        <f>'Accrual - Realloc (Final Alloc)'!Y21</f>
        <v>7662651.2917174194</v>
      </c>
      <c r="I18" s="338">
        <f>'Accrual - Realloc (Final Alloc)'!Z21</f>
        <v>18525000.508849151</v>
      </c>
      <c r="J18" s="332">
        <f t="shared" si="1"/>
        <v>26187651.800566569</v>
      </c>
      <c r="K18" s="72"/>
      <c r="L18" s="331">
        <f>'Accrual - Realloc (Final Alloc)'!S21</f>
        <v>9455820.2699999996</v>
      </c>
      <c r="M18" s="332">
        <f t="shared" si="2"/>
        <v>16731831.530566569</v>
      </c>
      <c r="N18" s="72"/>
      <c r="O18" s="314">
        <f>'Accrual - Realloc (Final Alloc)'!AF21</f>
        <v>357860.90138873528</v>
      </c>
      <c r="P18" s="316">
        <f>'Accrual - Realloc (Final Alloc)'!AG21</f>
        <v>373530.68530522275</v>
      </c>
      <c r="Q18" s="316">
        <f>'Accrual - Realloc (Final Alloc)'!AH21</f>
        <v>389886.60768231476</v>
      </c>
      <c r="R18" s="316">
        <f>'Accrual - Realloc (Final Alloc)'!AI21</f>
        <v>406958.71271140728</v>
      </c>
      <c r="S18" s="318">
        <f t="shared" si="3"/>
        <v>382059.22677192005</v>
      </c>
      <c r="T18" s="318">
        <f t="shared" si="4"/>
        <v>31838.268897660004</v>
      </c>
      <c r="U18" s="148"/>
      <c r="V18" s="148"/>
      <c r="W18" s="148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</row>
    <row r="19" spans="1:73" s="76" customFormat="1" ht="10.199999999999999">
      <c r="A19" s="180" t="s">
        <v>41</v>
      </c>
      <c r="B19" s="287"/>
      <c r="C19" s="287">
        <f>'Accrual - Realloc (Final Alloc)'!G22</f>
        <v>1536098.1847932963</v>
      </c>
      <c r="D19" s="287"/>
      <c r="E19" s="293">
        <f>'Accrual - Realloc (Final Alloc)'!U22</f>
        <v>2043</v>
      </c>
      <c r="F19" s="293">
        <f t="shared" si="5"/>
        <v>26</v>
      </c>
      <c r="G19" s="213"/>
      <c r="H19" s="337">
        <f>'Accrual - Realloc (Final Alloc)'!Y22</f>
        <v>1297201.6452672847</v>
      </c>
      <c r="I19" s="338">
        <f>'Accrual - Realloc (Final Alloc)'!Z22</f>
        <v>3134885.0437587574</v>
      </c>
      <c r="J19" s="332">
        <f t="shared" si="1"/>
        <v>4432086.6890260419</v>
      </c>
      <c r="K19" s="72"/>
      <c r="L19" s="331">
        <f>'Accrual - Realloc (Final Alloc)'!S22</f>
        <v>1551230.34</v>
      </c>
      <c r="M19" s="332">
        <f t="shared" si="2"/>
        <v>2880856.349026042</v>
      </c>
      <c r="N19" s="72"/>
      <c r="O19" s="314">
        <f>'Accrual - Realloc (Final Alloc)'!AF22</f>
        <v>62123.812969062485</v>
      </c>
      <c r="P19" s="316">
        <f>'Accrual - Realloc (Final Alloc)'!AG22</f>
        <v>64808.202952889187</v>
      </c>
      <c r="Q19" s="316">
        <f>'Accrual - Realloc (Final Alloc)'!AH22</f>
        <v>67608.58629322247</v>
      </c>
      <c r="R19" s="316">
        <f>'Accrual - Realloc (Final Alloc)'!AI22</f>
        <v>70529.975100387121</v>
      </c>
      <c r="S19" s="318">
        <f t="shared" si="3"/>
        <v>66267.64432889031</v>
      </c>
      <c r="T19" s="318">
        <f t="shared" si="4"/>
        <v>5522.3036940741922</v>
      </c>
      <c r="U19" s="148"/>
      <c r="V19" s="148"/>
      <c r="W19" s="148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</row>
    <row r="20" spans="1:73" s="76" customFormat="1" ht="10.199999999999999">
      <c r="A20" s="180" t="s">
        <v>42</v>
      </c>
      <c r="B20" s="287"/>
      <c r="C20" s="287">
        <f>'Accrual - Realloc (Final Alloc)'!G23</f>
        <v>1699257.823798009</v>
      </c>
      <c r="D20" s="287"/>
      <c r="E20" s="293">
        <f>'Accrual - Realloc (Final Alloc)'!U23</f>
        <v>2056</v>
      </c>
      <c r="F20" s="293">
        <f t="shared" si="5"/>
        <v>39</v>
      </c>
      <c r="G20" s="213"/>
      <c r="H20" s="337">
        <f>'Accrual - Realloc (Final Alloc)'!Y23</f>
        <v>2227420.6169433473</v>
      </c>
      <c r="I20" s="338">
        <f>'Accrual - Realloc (Final Alloc)'!Z23</f>
        <v>5387389.9395840708</v>
      </c>
      <c r="J20" s="332">
        <f t="shared" si="1"/>
        <v>7614810.5565274181</v>
      </c>
      <c r="K20" s="72"/>
      <c r="L20" s="331">
        <f>'Accrual - Realloc (Final Alloc)'!S23</f>
        <v>0</v>
      </c>
      <c r="M20" s="332">
        <f t="shared" si="2"/>
        <v>7614810.5565274181</v>
      </c>
      <c r="N20" s="72"/>
      <c r="O20" s="314">
        <f>'Accrual - Realloc (Final Alloc)'!AF23</f>
        <v>83800.835641043232</v>
      </c>
      <c r="P20" s="316">
        <f>'Accrual - Realloc (Final Alloc)'!AG23</f>
        <v>87171.410110354671</v>
      </c>
      <c r="Q20" s="316">
        <f>'Accrual - Realloc (Final Alloc)'!AH23</f>
        <v>90677.553302415341</v>
      </c>
      <c r="R20" s="316">
        <f>'Accrual - Realloc (Final Alloc)'!AI23</f>
        <v>94324.717960891096</v>
      </c>
      <c r="S20" s="318">
        <f t="shared" si="3"/>
        <v>88993.629253676088</v>
      </c>
      <c r="T20" s="318">
        <f t="shared" si="4"/>
        <v>7416.135771139674</v>
      </c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</row>
    <row r="21" spans="1:73" s="51" customFormat="1" ht="10.199999999999999">
      <c r="A21" s="180" t="s">
        <v>44</v>
      </c>
      <c r="B21" s="287"/>
      <c r="C21" s="287">
        <f>'Accrual - Realloc (Final Alloc)'!G24</f>
        <v>31224364.981179196</v>
      </c>
      <c r="D21" s="287"/>
      <c r="E21" s="293">
        <f>'Accrual - Realloc (Final Alloc)'!U24</f>
        <v>2028</v>
      </c>
      <c r="F21" s="293">
        <f t="shared" si="5"/>
        <v>11</v>
      </c>
      <c r="G21" s="213"/>
      <c r="H21" s="337">
        <f>'Accrual - Realloc (Final Alloc)'!Y24</f>
        <v>14976333.42433322</v>
      </c>
      <c r="I21" s="338">
        <f>'Accrual - Realloc (Final Alloc)'!Z24</f>
        <v>35938291.834563509</v>
      </c>
      <c r="J21" s="332">
        <f t="shared" si="1"/>
        <v>50914625.258896731</v>
      </c>
      <c r="K21" s="72"/>
      <c r="L21" s="331">
        <f>'Accrual - Realloc (Final Alloc)'!S24</f>
        <v>23226651.920000002</v>
      </c>
      <c r="M21" s="332">
        <f t="shared" si="2"/>
        <v>27687973.338896729</v>
      </c>
      <c r="N21" s="72"/>
      <c r="O21" s="314">
        <f>'Accrual - Realloc (Final Alloc)'!AF24</f>
        <v>1973377.3575616414</v>
      </c>
      <c r="P21" s="316">
        <f>'Accrual - Realloc (Final Alloc)'!AG24</f>
        <v>2067332.371567518</v>
      </c>
      <c r="Q21" s="316">
        <f>'Accrual - Realloc (Final Alloc)'!AH24</f>
        <v>2165760.703675996</v>
      </c>
      <c r="R21" s="316">
        <f>'Accrual - Realloc (Final Alloc)'!AI24</f>
        <v>2268875.3342698556</v>
      </c>
      <c r="S21" s="318">
        <f t="shared" si="3"/>
        <v>2118836.4417687529</v>
      </c>
      <c r="T21" s="318">
        <f t="shared" si="4"/>
        <v>176569.7034807294</v>
      </c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</row>
    <row r="22" spans="1:73" s="51" customFormat="1" ht="10.199999999999999">
      <c r="A22" s="180" t="s">
        <v>48</v>
      </c>
      <c r="B22" s="287"/>
      <c r="C22" s="287">
        <f>'Accrual - Realloc (Final Alloc)'!G25</f>
        <v>5706117.4047259334</v>
      </c>
      <c r="D22" s="287"/>
      <c r="E22" s="293">
        <f>'Accrual - Realloc (Final Alloc)'!U25</f>
        <v>2046</v>
      </c>
      <c r="F22" s="293">
        <f t="shared" si="5"/>
        <v>29</v>
      </c>
      <c r="G22" s="213"/>
      <c r="H22" s="337">
        <f>'Accrual - Realloc (Final Alloc)'!Y25</f>
        <v>4753253.4698191714</v>
      </c>
      <c r="I22" s="338">
        <f>'Accrual - Realloc (Final Alloc)'!Z25</f>
        <v>11455261.518174101</v>
      </c>
      <c r="J22" s="332">
        <f t="shared" si="1"/>
        <v>16208514.987993272</v>
      </c>
      <c r="K22" s="72"/>
      <c r="L22" s="331">
        <f>'Accrual - Realloc (Final Alloc)'!S25</f>
        <v>0</v>
      </c>
      <c r="M22" s="332">
        <f t="shared" si="2"/>
        <v>16208514.987993272</v>
      </c>
      <c r="N22" s="72"/>
      <c r="O22" s="314">
        <f>'Accrual - Realloc (Final Alloc)'!AF25</f>
        <v>316633.35621345235</v>
      </c>
      <c r="P22" s="316">
        <f>'Accrual - Realloc (Final Alloc)'!AG25</f>
        <v>328623.60236428824</v>
      </c>
      <c r="Q22" s="316">
        <f>'Accrual - Realloc (Final Alloc)'!AH25</f>
        <v>341067.8941800436</v>
      </c>
      <c r="R22" s="316">
        <f>'Accrual - Realloc (Final Alloc)'!AI25</f>
        <v>353983.42542498646</v>
      </c>
      <c r="S22" s="318">
        <f t="shared" si="3"/>
        <v>335077.06954569265</v>
      </c>
      <c r="T22" s="318">
        <f t="shared" si="4"/>
        <v>27923.089128807722</v>
      </c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</row>
    <row r="23" spans="1:73" s="51" customFormat="1" ht="10.199999999999999">
      <c r="A23" s="180" t="s">
        <v>45</v>
      </c>
      <c r="B23" s="287"/>
      <c r="C23" s="287">
        <f>'Accrual - Realloc (Final Alloc)'!G26</f>
        <v>10492715.992737146</v>
      </c>
      <c r="D23" s="287"/>
      <c r="E23" s="293">
        <f>'Accrual - Realloc (Final Alloc)'!U26</f>
        <v>2028</v>
      </c>
      <c r="F23" s="293">
        <f t="shared" si="5"/>
        <v>11</v>
      </c>
      <c r="G23" s="213"/>
      <c r="H23" s="337">
        <f>'Accrual - Realloc (Final Alloc)'!Y26</f>
        <v>5265715.7699247878</v>
      </c>
      <c r="I23" s="338">
        <f>'Accrual - Realloc (Final Alloc)'!Z26</f>
        <v>12656164.540048186</v>
      </c>
      <c r="J23" s="332">
        <f t="shared" si="1"/>
        <v>17921880.309972972</v>
      </c>
      <c r="K23" s="72"/>
      <c r="L23" s="331">
        <f>'Accrual - Realloc (Final Alloc)'!S26</f>
        <v>14130713.32</v>
      </c>
      <c r="M23" s="332">
        <f t="shared" si="2"/>
        <v>3791166.9899729714</v>
      </c>
      <c r="N23" s="72"/>
      <c r="O23" s="314">
        <f>'Accrual - Realloc (Final Alloc)'!AF26</f>
        <v>262439.49427257932</v>
      </c>
      <c r="P23" s="316">
        <f>'Accrual - Realloc (Final Alloc)'!AG26</f>
        <v>276398.8056778232</v>
      </c>
      <c r="Q23" s="316">
        <f>'Accrual - Realloc (Final Alloc)'!AH26</f>
        <v>291100.62108555605</v>
      </c>
      <c r="R23" s="316">
        <f>'Accrual - Realloc (Final Alloc)'!AI26</f>
        <v>306584.43472136738</v>
      </c>
      <c r="S23" s="318">
        <f t="shared" si="3"/>
        <v>284130.83893933147</v>
      </c>
      <c r="T23" s="318">
        <f t="shared" si="4"/>
        <v>23677.569911610957</v>
      </c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</row>
    <row r="24" spans="1:73" s="51" customFormat="1" ht="10.199999999999999">
      <c r="A24" s="180" t="s">
        <v>46</v>
      </c>
      <c r="B24" s="287"/>
      <c r="C24" s="287">
        <f>'Accrual - Realloc (Final Alloc)'!G27</f>
        <v>10492715.992737146</v>
      </c>
      <c r="D24" s="287"/>
      <c r="E24" s="293">
        <f>'Accrual - Realloc (Final Alloc)'!U27</f>
        <v>2028</v>
      </c>
      <c r="F24" s="293">
        <f t="shared" si="5"/>
        <v>11</v>
      </c>
      <c r="G24" s="213"/>
      <c r="H24" s="337">
        <f>'Accrual - Realloc (Final Alloc)'!Y27</f>
        <v>5265715.7699247878</v>
      </c>
      <c r="I24" s="338">
        <f>'Accrual - Realloc (Final Alloc)'!Z27</f>
        <v>12656164.540048186</v>
      </c>
      <c r="J24" s="332">
        <f t="shared" si="1"/>
        <v>17921880.309972972</v>
      </c>
      <c r="K24" s="72"/>
      <c r="L24" s="331">
        <f>'Accrual - Realloc (Final Alloc)'!S27</f>
        <v>14056376.710000001</v>
      </c>
      <c r="M24" s="332">
        <f t="shared" si="2"/>
        <v>3865503.5999729708</v>
      </c>
      <c r="N24" s="72"/>
      <c r="O24" s="314">
        <f>'Accrual - Realloc (Final Alloc)'!AF27</f>
        <v>267585.36687221302</v>
      </c>
      <c r="P24" s="316">
        <f>'Accrual - Realloc (Final Alloc)'!AG27</f>
        <v>281818.39027446066</v>
      </c>
      <c r="Q24" s="316">
        <f>'Accrual - Realloc (Final Alloc)'!AH27</f>
        <v>296808.47658166778</v>
      </c>
      <c r="R24" s="316">
        <f>'Accrual - Realloc (Final Alloc)'!AI27</f>
        <v>312595.89441602858</v>
      </c>
      <c r="S24" s="318">
        <f t="shared" si="3"/>
        <v>289702.03203609254</v>
      </c>
      <c r="T24" s="318">
        <f t="shared" si="4"/>
        <v>24141.836003007713</v>
      </c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</row>
    <row r="25" spans="1:73" s="51" customFormat="1" ht="10.199999999999999">
      <c r="A25" s="180" t="s">
        <v>47</v>
      </c>
      <c r="B25" s="287"/>
      <c r="C25" s="287">
        <f>'Accrual - Realloc (Final Alloc)'!G28</f>
        <v>6662213.2744749906</v>
      </c>
      <c r="D25" s="287"/>
      <c r="E25" s="293">
        <f>'Accrual - Realloc (Final Alloc)'!U28</f>
        <v>2045</v>
      </c>
      <c r="F25" s="293">
        <f t="shared" si="5"/>
        <v>28</v>
      </c>
      <c r="G25" s="213"/>
      <c r="H25" s="337">
        <f>'Accrual - Realloc (Final Alloc)'!Y28</f>
        <v>6092347.3618942164</v>
      </c>
      <c r="I25" s="338">
        <f>'Accrual - Realloc (Final Alloc)'!Z28</f>
        <v>14730281.344738074</v>
      </c>
      <c r="J25" s="332">
        <f t="shared" si="1"/>
        <v>20822628.70663229</v>
      </c>
      <c r="K25" s="72"/>
      <c r="L25" s="331">
        <f>'Accrual - Realloc (Final Alloc)'!S28</f>
        <v>0</v>
      </c>
      <c r="M25" s="332">
        <f t="shared" si="2"/>
        <v>20822628.70663229</v>
      </c>
      <c r="N25" s="72"/>
      <c r="O25" s="314">
        <f>'Accrual - Realloc (Final Alloc)'!AF28</f>
        <v>397429.79736599274</v>
      </c>
      <c r="P25" s="316">
        <f>'Accrual - Realloc (Final Alloc)'!AG28</f>
        <v>414545.78082047187</v>
      </c>
      <c r="Q25" s="316">
        <f>'Accrual - Realloc (Final Alloc)'!AH28</f>
        <v>432398.89292397432</v>
      </c>
      <c r="R25" s="316">
        <f>'Accrual - Realloc (Final Alloc)'!AI28</f>
        <v>451020.87936301914</v>
      </c>
      <c r="S25" s="318">
        <f t="shared" si="3"/>
        <v>423848.83761836449</v>
      </c>
      <c r="T25" s="318">
        <f t="shared" si="4"/>
        <v>35320.736468197043</v>
      </c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</row>
    <row r="26" spans="1:73" s="51" customFormat="1" ht="10.199999999999999">
      <c r="A26" s="180" t="s">
        <v>49</v>
      </c>
      <c r="B26" s="287"/>
      <c r="C26" s="287">
        <f>'Accrual - Realloc (Final Alloc)'!G29</f>
        <v>46271997.349513523</v>
      </c>
      <c r="D26" s="287"/>
      <c r="E26" s="293">
        <f>'Accrual - Realloc (Final Alloc)'!U29</f>
        <v>2031</v>
      </c>
      <c r="F26" s="293">
        <f t="shared" si="5"/>
        <v>14</v>
      </c>
      <c r="G26" s="213"/>
      <c r="H26" s="337">
        <f>'Accrual - Realloc (Final Alloc)'!Y29</f>
        <v>23477729.374404456</v>
      </c>
      <c r="I26" s="338">
        <f>'Accrual - Realloc (Final Alloc)'!Z29</f>
        <v>56282241.891665868</v>
      </c>
      <c r="J26" s="332">
        <f t="shared" si="1"/>
        <v>79759971.266070321</v>
      </c>
      <c r="K26" s="72"/>
      <c r="L26" s="331">
        <f>'Accrual - Realloc (Final Alloc)'!S29</f>
        <v>38788132.740000002</v>
      </c>
      <c r="M26" s="332">
        <f t="shared" si="2"/>
        <v>40971838.526070319</v>
      </c>
      <c r="N26" s="72"/>
      <c r="O26" s="314">
        <f>'Accrual - Realloc (Final Alloc)'!AF29</f>
        <v>2220702.66648489</v>
      </c>
      <c r="P26" s="316">
        <f>'Accrual - Realloc (Final Alloc)'!AG29</f>
        <v>2312313.5266179335</v>
      </c>
      <c r="Q26" s="316">
        <f>'Accrual - Realloc (Final Alloc)'!AH29</f>
        <v>2407703.6183522972</v>
      </c>
      <c r="R26" s="316">
        <f>'Accrual - Realloc (Final Alloc)'!AI29</f>
        <v>2507028.8466917733</v>
      </c>
      <c r="S26" s="318">
        <f t="shared" si="3"/>
        <v>2361937.1645367239</v>
      </c>
      <c r="T26" s="318">
        <f t="shared" si="4"/>
        <v>196828.09704472698</v>
      </c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</row>
    <row r="27" spans="1:73" s="51" customFormat="1" ht="10.199999999999999">
      <c r="A27" s="180" t="s">
        <v>55</v>
      </c>
      <c r="B27" s="287"/>
      <c r="C27" s="287">
        <f>'Accrual - Realloc (Final Alloc)'!G30</f>
        <v>10711734.386391565</v>
      </c>
      <c r="D27" s="287"/>
      <c r="E27" s="293">
        <f>'Accrual - Realloc (Final Alloc)'!U30</f>
        <v>2045</v>
      </c>
      <c r="F27" s="293">
        <f t="shared" si="5"/>
        <v>28</v>
      </c>
      <c r="G27" s="213"/>
      <c r="H27" s="337">
        <f>'Accrual - Realloc (Final Alloc)'!Y30</f>
        <v>8327687.1490491144</v>
      </c>
      <c r="I27" s="338">
        <f>'Accrual - Realloc (Final Alloc)'!Z30</f>
        <v>20037154.458981417</v>
      </c>
      <c r="J27" s="332">
        <f t="shared" si="1"/>
        <v>28364841.608030532</v>
      </c>
      <c r="K27" s="72"/>
      <c r="L27" s="331">
        <f>'Accrual - Realloc (Final Alloc)'!S30</f>
        <v>2105831</v>
      </c>
      <c r="M27" s="332">
        <f t="shared" si="2"/>
        <v>26259010.608030532</v>
      </c>
      <c r="N27" s="72"/>
      <c r="O27" s="314">
        <f>'Accrual - Realloc (Final Alloc)'!AF30</f>
        <v>555919.90613983909</v>
      </c>
      <c r="P27" s="316">
        <f>'Accrual - Realloc (Final Alloc)'!AG30</f>
        <v>576115.51839556894</v>
      </c>
      <c r="Q27" s="316">
        <f>'Accrual - Realloc (Final Alloc)'!AH30</f>
        <v>597044.8024444459</v>
      </c>
      <c r="R27" s="316">
        <f>'Accrual - Realloc (Final Alloc)'!AI30</f>
        <v>618734.41131848725</v>
      </c>
      <c r="S27" s="318">
        <f t="shared" si="3"/>
        <v>586953.65957458527</v>
      </c>
      <c r="T27" s="318">
        <f t="shared" si="4"/>
        <v>48912.80496454877</v>
      </c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</row>
    <row r="28" spans="1:73" s="51" customFormat="1" ht="10.199999999999999">
      <c r="A28" s="180" t="s">
        <v>50</v>
      </c>
      <c r="B28" s="287"/>
      <c r="C28" s="287">
        <f>'Accrual - Realloc (Final Alloc)'!G31</f>
        <v>10031905.064676862</v>
      </c>
      <c r="D28" s="287"/>
      <c r="E28" s="293">
        <f>'Accrual - Realloc (Final Alloc)'!U31</f>
        <v>2031</v>
      </c>
      <c r="F28" s="293">
        <f t="shared" si="5"/>
        <v>14</v>
      </c>
      <c r="G28" s="213"/>
      <c r="H28" s="337">
        <f>'Accrual - Realloc (Final Alloc)'!Y31</f>
        <v>5601244.5202256516</v>
      </c>
      <c r="I28" s="338">
        <f>'Accrual - Realloc (Final Alloc)'!Z31</f>
        <v>13484697.699411619</v>
      </c>
      <c r="J28" s="332">
        <f t="shared" si="1"/>
        <v>19085942.219637271</v>
      </c>
      <c r="K28" s="72"/>
      <c r="L28" s="331">
        <f>'Accrual - Realloc (Final Alloc)'!S31</f>
        <v>13846663.963</v>
      </c>
      <c r="M28" s="332">
        <f t="shared" si="2"/>
        <v>5239278.2566372715</v>
      </c>
      <c r="N28" s="72"/>
      <c r="O28" s="314">
        <f>'Accrual - Realloc (Final Alloc)'!AF31</f>
        <v>267559.64848372771</v>
      </c>
      <c r="P28" s="316">
        <f>'Accrual - Realloc (Final Alloc)'!AG31</f>
        <v>280904.34565047361</v>
      </c>
      <c r="Q28" s="316">
        <f>'Accrual - Realloc (Final Alloc)'!AH31</f>
        <v>294914.61755347496</v>
      </c>
      <c r="R28" s="316">
        <f>'Accrual - Realloc (Final Alloc)'!AI31</f>
        <v>309623.66012996482</v>
      </c>
      <c r="S28" s="318">
        <f t="shared" si="3"/>
        <v>288250.56795441027</v>
      </c>
      <c r="T28" s="318">
        <f t="shared" si="4"/>
        <v>24020.880662867523</v>
      </c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</row>
    <row r="29" spans="1:73" s="51" customFormat="1" ht="10.199999999999999">
      <c r="A29" s="180" t="s">
        <v>51</v>
      </c>
      <c r="B29" s="287"/>
      <c r="C29" s="287">
        <f>'Accrual - Realloc (Final Alloc)'!G32</f>
        <v>10031905.064676862</v>
      </c>
      <c r="D29" s="287"/>
      <c r="E29" s="293">
        <f>'Accrual - Realloc (Final Alloc)'!U32</f>
        <v>2031</v>
      </c>
      <c r="F29" s="293">
        <f t="shared" si="5"/>
        <v>14</v>
      </c>
      <c r="G29" s="213"/>
      <c r="H29" s="337">
        <f>'Accrual - Realloc (Final Alloc)'!Y32</f>
        <v>5601244.5202256516</v>
      </c>
      <c r="I29" s="338">
        <f>'Accrual - Realloc (Final Alloc)'!Z32</f>
        <v>13484697.699411619</v>
      </c>
      <c r="J29" s="332">
        <f t="shared" si="1"/>
        <v>19085942.219637271</v>
      </c>
      <c r="K29" s="72"/>
      <c r="L29" s="331">
        <f>'Accrual - Realloc (Final Alloc)'!S32</f>
        <v>13741878.4</v>
      </c>
      <c r="M29" s="332">
        <f t="shared" si="2"/>
        <v>5344063.8196372706</v>
      </c>
      <c r="N29" s="72"/>
      <c r="O29" s="314">
        <f>'Accrual - Realloc (Final Alloc)'!AF32</f>
        <v>272910.84134448704</v>
      </c>
      <c r="P29" s="316">
        <f>'Accrual - Realloc (Final Alloc)'!AG32</f>
        <v>286522.43244913564</v>
      </c>
      <c r="Q29" s="316">
        <f>'Accrual - Realloc (Final Alloc)'!AH32</f>
        <v>300812.90978449385</v>
      </c>
      <c r="R29" s="316">
        <f>'Accrual - Realloc (Final Alloc)'!AI32</f>
        <v>315816.13320652588</v>
      </c>
      <c r="S29" s="318">
        <f t="shared" si="3"/>
        <v>294015.5791961606</v>
      </c>
      <c r="T29" s="318">
        <f t="shared" si="4"/>
        <v>24501.298266346716</v>
      </c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</row>
    <row r="30" spans="1:73" s="51" customFormat="1" ht="10.199999999999999">
      <c r="A30" s="180" t="s">
        <v>52</v>
      </c>
      <c r="B30" s="287"/>
      <c r="C30" s="287">
        <f>'Accrual - Realloc (Final Alloc)'!G33</f>
        <v>2795692.1837808611</v>
      </c>
      <c r="D30" s="287"/>
      <c r="E30" s="293">
        <f>'Accrual - Realloc (Final Alloc)'!U33</f>
        <v>2034</v>
      </c>
      <c r="F30" s="293">
        <f t="shared" si="5"/>
        <v>17</v>
      </c>
      <c r="G30" s="213"/>
      <c r="H30" s="337">
        <f>'Accrual - Realloc (Final Alloc)'!Y33</f>
        <v>1789033.7846908127</v>
      </c>
      <c r="I30" s="338">
        <f>'Accrual - Realloc (Final Alloc)'!Z33</f>
        <v>4320021.8477424961</v>
      </c>
      <c r="J30" s="332">
        <f t="shared" si="1"/>
        <v>6109055.6324333083</v>
      </c>
      <c r="K30" s="72"/>
      <c r="L30" s="331">
        <f>'Accrual - Realloc (Final Alloc)'!S33</f>
        <v>3512706.99</v>
      </c>
      <c r="M30" s="332">
        <f t="shared" si="2"/>
        <v>2596348.6424333081</v>
      </c>
      <c r="N30" s="72"/>
      <c r="O30" s="314">
        <f>'Accrual - Realloc (Final Alloc)'!AF33</f>
        <v>100601.94537885611</v>
      </c>
      <c r="P30" s="316">
        <f>'Accrual - Realloc (Final Alloc)'!AG33</f>
        <v>105617.64479224556</v>
      </c>
      <c r="Q30" s="316">
        <f>'Accrual - Realloc (Final Alloc)'!AH33</f>
        <v>110883.41134410568</v>
      </c>
      <c r="R30" s="316">
        <f>'Accrual - Realloc (Final Alloc)'!AI33</f>
        <v>116411.71260248414</v>
      </c>
      <c r="S30" s="318">
        <f t="shared" si="3"/>
        <v>108378.67852942288</v>
      </c>
      <c r="T30" s="318">
        <f t="shared" si="4"/>
        <v>9031.5565441185736</v>
      </c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</row>
    <row r="31" spans="1:73" s="51" customFormat="1" ht="10.199999999999999">
      <c r="A31" s="180" t="s">
        <v>53</v>
      </c>
      <c r="B31" s="287"/>
      <c r="C31" s="287">
        <f>'Accrual - Realloc (Final Alloc)'!G34</f>
        <v>2808356.6988470205</v>
      </c>
      <c r="D31" s="287"/>
      <c r="E31" s="293">
        <f>'Accrual - Realloc (Final Alloc)'!U34</f>
        <v>2034</v>
      </c>
      <c r="F31" s="293">
        <f t="shared" si="5"/>
        <v>17</v>
      </c>
      <c r="G31" s="213"/>
      <c r="H31" s="337">
        <f>'Accrual - Realloc (Final Alloc)'!Y34</f>
        <v>1787141.7129636172</v>
      </c>
      <c r="I31" s="338">
        <f>'Accrual - Realloc (Final Alloc)'!Z34</f>
        <v>4314503.3255724311</v>
      </c>
      <c r="J31" s="332">
        <f t="shared" si="1"/>
        <v>6101645.0385360485</v>
      </c>
      <c r="K31" s="72"/>
      <c r="L31" s="331">
        <f>'Accrual - Realloc (Final Alloc)'!S34</f>
        <v>3508445.9</v>
      </c>
      <c r="M31" s="332">
        <f t="shared" si="2"/>
        <v>2593199.1385360486</v>
      </c>
      <c r="N31" s="72"/>
      <c r="O31" s="314">
        <f>'Accrual - Realloc (Final Alloc)'!AF34</f>
        <v>100845.69333249801</v>
      </c>
      <c r="P31" s="316">
        <f>'Accrual - Realloc (Final Alloc)'!AG34</f>
        <v>105831.50762011361</v>
      </c>
      <c r="Q31" s="316">
        <f>'Accrual - Realloc (Final Alloc)'!AH34</f>
        <v>111063.82072477469</v>
      </c>
      <c r="R31" s="316">
        <f>'Accrual - Realloc (Final Alloc)'!AI34</f>
        <v>116554.81955584041</v>
      </c>
      <c r="S31" s="318">
        <f t="shared" si="3"/>
        <v>108573.96030830668</v>
      </c>
      <c r="T31" s="318">
        <f t="shared" si="4"/>
        <v>9047.830025692223</v>
      </c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</row>
    <row r="32" spans="1:73" s="51" customFormat="1" ht="10.199999999999999">
      <c r="A32" s="180" t="s">
        <v>54</v>
      </c>
      <c r="B32" s="287"/>
      <c r="C32" s="287">
        <f>'Accrual - Realloc (Final Alloc)'!G35</f>
        <v>6502836.9109847248</v>
      </c>
      <c r="D32" s="287"/>
      <c r="E32" s="293">
        <f>'Accrual - Realloc (Final Alloc)'!U35</f>
        <v>2045</v>
      </c>
      <c r="F32" s="293">
        <f t="shared" si="5"/>
        <v>28</v>
      </c>
      <c r="G32" s="213"/>
      <c r="H32" s="337">
        <f>'Accrual - Realloc (Final Alloc)'!Y35</f>
        <v>6024299.1605755445</v>
      </c>
      <c r="I32" s="338">
        <f>'Accrual - Realloc (Final Alloc)'!Z35</f>
        <v>14571097.633477278</v>
      </c>
      <c r="J32" s="332">
        <f t="shared" si="1"/>
        <v>20595396.794052824</v>
      </c>
      <c r="K32" s="72"/>
      <c r="L32" s="331">
        <f>'Accrual - Realloc (Final Alloc)'!S35</f>
        <v>0</v>
      </c>
      <c r="M32" s="332">
        <f t="shared" si="2"/>
        <v>20595396.794052824</v>
      </c>
      <c r="N32" s="72"/>
      <c r="O32" s="314">
        <f>'Accrual - Realloc (Final Alloc)'!AF35</f>
        <v>389679.15721841587</v>
      </c>
      <c r="P32" s="316">
        <f>'Accrual - Realloc (Final Alloc)'!AG35</f>
        <v>406680.16128517431</v>
      </c>
      <c r="Q32" s="316">
        <f>'Accrual - Realloc (Final Alloc)'!AH35</f>
        <v>424422.88872595434</v>
      </c>
      <c r="R32" s="316">
        <f>'Accrual - Realloc (Final Alloc)'!AI35</f>
        <v>442939.69960380928</v>
      </c>
      <c r="S32" s="318">
        <f t="shared" si="3"/>
        <v>415930.47670833842</v>
      </c>
      <c r="T32" s="318">
        <f t="shared" si="4"/>
        <v>34660.873059028199</v>
      </c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</row>
    <row r="33" spans="1:73" s="76" customFormat="1" ht="10.199999999999999">
      <c r="A33" s="180" t="s">
        <v>56</v>
      </c>
      <c r="B33" s="287"/>
      <c r="C33" s="287">
        <f>'Accrual - Realloc (Final Alloc)'!G36</f>
        <v>5661780.0598918563</v>
      </c>
      <c r="D33" s="287"/>
      <c r="E33" s="293">
        <f>'Accrual - Realloc (Final Alloc)'!U36</f>
        <v>2069</v>
      </c>
      <c r="F33" s="293">
        <f t="shared" si="5"/>
        <v>52</v>
      </c>
      <c r="G33" s="213"/>
      <c r="H33" s="337">
        <f>'Accrual - Realloc (Final Alloc)'!Y36</f>
        <v>10209789.794883413</v>
      </c>
      <c r="I33" s="338">
        <f>'Accrual - Realloc (Final Alloc)'!Z36</f>
        <v>24655256.458045632</v>
      </c>
      <c r="J33" s="332">
        <f t="shared" si="1"/>
        <v>34865046.252929047</v>
      </c>
      <c r="K33" s="72"/>
      <c r="L33" s="331">
        <f>'Accrual - Realloc (Final Alloc)'!S36</f>
        <v>0</v>
      </c>
      <c r="M33" s="332">
        <f t="shared" si="2"/>
        <v>34865046.252929047</v>
      </c>
      <c r="N33" s="72"/>
      <c r="O33" s="314">
        <f>'Accrual - Realloc (Final Alloc)'!AF36</f>
        <v>236803.37316413931</v>
      </c>
      <c r="P33" s="316">
        <f>'Accrual - Realloc (Final Alloc)'!AG36</f>
        <v>245341.65595087854</v>
      </c>
      <c r="Q33" s="316">
        <f>'Accrual - Realloc (Final Alloc)'!AH36</f>
        <v>254187.79868054096</v>
      </c>
      <c r="R33" s="316">
        <f>'Accrual - Realloc (Final Alloc)'!AI36</f>
        <v>263352.90168170829</v>
      </c>
      <c r="S33" s="318">
        <f t="shared" si="3"/>
        <v>249921.43236931678</v>
      </c>
      <c r="T33" s="318">
        <f t="shared" si="4"/>
        <v>20826.786030776399</v>
      </c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</row>
    <row r="34" spans="1:73" s="76" customFormat="1" ht="10.199999999999999">
      <c r="A34" s="180" t="s">
        <v>57</v>
      </c>
      <c r="B34" s="287"/>
      <c r="C34" s="287">
        <f>'Accrual - Realloc (Final Alloc)'!G37</f>
        <v>6541354.5476690819</v>
      </c>
      <c r="D34" s="287"/>
      <c r="E34" s="293">
        <f>'Accrual - Realloc (Final Alloc)'!U37</f>
        <v>2069</v>
      </c>
      <c r="F34" s="293">
        <f t="shared" si="5"/>
        <v>52</v>
      </c>
      <c r="G34" s="213"/>
      <c r="H34" s="337">
        <f>'Accrual - Realloc (Final Alloc)'!Y37</f>
        <v>14689180.871127289</v>
      </c>
      <c r="I34" s="338">
        <f>'Accrual - Realloc (Final Alloc)'!Z37</f>
        <v>35591859.897372268</v>
      </c>
      <c r="J34" s="332">
        <f t="shared" si="1"/>
        <v>50281040.768499553</v>
      </c>
      <c r="K34" s="72"/>
      <c r="L34" s="331">
        <f>'Accrual - Realloc (Final Alloc)'!S37</f>
        <v>0</v>
      </c>
      <c r="M34" s="332">
        <f t="shared" si="2"/>
        <v>50281040.768499553</v>
      </c>
      <c r="N34" s="72"/>
      <c r="O34" s="314">
        <f>'Accrual - Realloc (Final Alloc)'!AF37</f>
        <v>292516.86681691982</v>
      </c>
      <c r="P34" s="316">
        <f>'Accrual - Realloc (Final Alloc)'!AG37</f>
        <v>304468.20012217911</v>
      </c>
      <c r="Q34" s="316">
        <f>'Accrual - Realloc (Final Alloc)'!AH37</f>
        <v>316907.82789513079</v>
      </c>
      <c r="R34" s="316">
        <f>'Accrual - Realloc (Final Alloc)'!AI37</f>
        <v>329855.70033556328</v>
      </c>
      <c r="S34" s="318">
        <f t="shared" si="3"/>
        <v>310937.14879244822</v>
      </c>
      <c r="T34" s="318">
        <f t="shared" si="4"/>
        <v>25911.429066037352</v>
      </c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</row>
    <row r="35" spans="1:73" s="51" customFormat="1" ht="10.199999999999999">
      <c r="A35" s="180" t="s">
        <v>58</v>
      </c>
      <c r="B35" s="287"/>
      <c r="C35" s="287">
        <f>'Accrual - Realloc (Final Alloc)'!G38</f>
        <v>6282875.6295735724</v>
      </c>
      <c r="D35" s="287"/>
      <c r="E35" s="293">
        <f>'Accrual - Realloc (Final Alloc)'!U38</f>
        <v>2056</v>
      </c>
      <c r="F35" s="293">
        <f t="shared" si="5"/>
        <v>39</v>
      </c>
      <c r="G35" s="213"/>
      <c r="H35" s="337">
        <f>'Accrual - Realloc (Final Alloc)'!Y38</f>
        <v>7217932.4682498956</v>
      </c>
      <c r="I35" s="338">
        <f>'Accrual - Realloc (Final Alloc)'!Z38</f>
        <v>17405195.64639895</v>
      </c>
      <c r="J35" s="332">
        <f t="shared" si="1"/>
        <v>24623128.114648845</v>
      </c>
      <c r="K35" s="72"/>
      <c r="L35" s="331">
        <f>'Accrual - Realloc (Final Alloc)'!S38</f>
        <v>0</v>
      </c>
      <c r="M35" s="332">
        <f t="shared" si="2"/>
        <v>24623128.114648845</v>
      </c>
      <c r="N35" s="72"/>
      <c r="O35" s="314">
        <f>'Accrual - Realloc (Final Alloc)'!AF38</f>
        <v>296367.69025152136</v>
      </c>
      <c r="P35" s="316">
        <f>'Accrual - Realloc (Final Alloc)'!AG38</f>
        <v>307119.79558490968</v>
      </c>
      <c r="Q35" s="316">
        <f>'Accrual - Realloc (Final Alloc)'!AH38</f>
        <v>318261.9831469045</v>
      </c>
      <c r="R35" s="316">
        <f>'Accrual - Realloc (Final Alloc)'!AI38</f>
        <v>329808.4049700945</v>
      </c>
      <c r="S35" s="318">
        <f t="shared" si="3"/>
        <v>312889.4684883575</v>
      </c>
      <c r="T35" s="318">
        <f t="shared" si="4"/>
        <v>26074.12237402979</v>
      </c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</row>
    <row r="36" spans="1:73" s="51" customFormat="1" ht="10.199999999999999">
      <c r="A36" s="180" t="s">
        <v>60</v>
      </c>
      <c r="B36" s="287"/>
      <c r="C36" s="287">
        <f>'Accrual - Realloc (Final Alloc)'!G39</f>
        <v>1921876.4682595332</v>
      </c>
      <c r="D36" s="287"/>
      <c r="E36" s="293">
        <f>'Accrual - Realloc (Final Alloc)'!U39</f>
        <v>2017</v>
      </c>
      <c r="F36" s="293">
        <v>1</v>
      </c>
      <c r="G36" s="213"/>
      <c r="H36" s="337">
        <f>'Accrual - Realloc (Final Alloc)'!Y39</f>
        <v>601973.42328352039</v>
      </c>
      <c r="I36" s="338">
        <f>'Accrual - Realloc (Final Alloc)'!Z39</f>
        <v>1452947.0926789709</v>
      </c>
      <c r="J36" s="332">
        <f t="shared" si="1"/>
        <v>2054920.5159624913</v>
      </c>
      <c r="K36" s="72"/>
      <c r="L36" s="331">
        <f>'Accrual - Realloc (Final Alloc)'!S39</f>
        <v>414572</v>
      </c>
      <c r="M36" s="332">
        <f t="shared" si="2"/>
        <v>1640348.5159624913</v>
      </c>
      <c r="N36" s="72"/>
      <c r="O36" s="314">
        <f>'Accrual - Realloc (Final Alloc)'!AF39</f>
        <v>1640348.515962491</v>
      </c>
      <c r="P36" s="316">
        <f>'Accrual - Realloc (Final Alloc)'!AG39</f>
        <v>1840782.6314995871</v>
      </c>
      <c r="Q36" s="316">
        <f>'Accrual - Realloc (Final Alloc)'!AH39</f>
        <v>2065707.7831062747</v>
      </c>
      <c r="R36" s="316">
        <f>'Accrual - Realloc (Final Alloc)'!AI39</f>
        <v>2318116.5294403187</v>
      </c>
      <c r="S36" s="318">
        <f t="shared" si="3"/>
        <v>1966238.8650021679</v>
      </c>
      <c r="T36" s="318">
        <f t="shared" si="4"/>
        <v>163853.23875018067</v>
      </c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</row>
    <row r="37" spans="1:73" s="51" customFormat="1" ht="10.199999999999999">
      <c r="A37" s="180" t="s">
        <v>59</v>
      </c>
      <c r="B37" s="287"/>
      <c r="C37" s="287">
        <f>'Accrual - Realloc (Final Alloc)'!G40</f>
        <v>5982695.127298343</v>
      </c>
      <c r="D37" s="287"/>
      <c r="E37" s="293">
        <f>'Accrual - Realloc (Final Alloc)'!U40</f>
        <v>2056</v>
      </c>
      <c r="F37" s="293">
        <f t="shared" ref="F37:F58" si="6">E37-2017</f>
        <v>39</v>
      </c>
      <c r="G37" s="213"/>
      <c r="H37" s="337">
        <f>'Accrual - Realloc (Final Alloc)'!Y40</f>
        <v>8358026.8613966592</v>
      </c>
      <c r="I37" s="338">
        <f>'Accrual - Realloc (Final Alloc)'!Z40</f>
        <v>20239744.937511824</v>
      </c>
      <c r="J37" s="332">
        <f t="shared" si="1"/>
        <v>28597771.798908483</v>
      </c>
      <c r="K37" s="72"/>
      <c r="L37" s="331">
        <f>'Accrual - Realloc (Final Alloc)'!S40</f>
        <v>0</v>
      </c>
      <c r="M37" s="332">
        <f t="shared" si="2"/>
        <v>28597771.798908483</v>
      </c>
      <c r="N37" s="72"/>
      <c r="O37" s="314">
        <f>'Accrual - Realloc (Final Alloc)'!AF40</f>
        <v>301454.82405658852</v>
      </c>
      <c r="P37" s="316">
        <f>'Accrual - Realloc (Final Alloc)'!AG40</f>
        <v>314144.91560839437</v>
      </c>
      <c r="Q37" s="316">
        <f>'Accrual - Realloc (Final Alloc)'!AH40</f>
        <v>327369.21132859326</v>
      </c>
      <c r="R37" s="316">
        <f>'Accrual - Realloc (Final Alloc)'!AI40</f>
        <v>341150.19916318328</v>
      </c>
      <c r="S37" s="318">
        <f t="shared" si="3"/>
        <v>321029.78753918986</v>
      </c>
      <c r="T37" s="318">
        <f t="shared" si="4"/>
        <v>26752.482294932488</v>
      </c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</row>
    <row r="38" spans="1:73" s="51" customFormat="1" ht="10.199999999999999">
      <c r="A38" s="180" t="s">
        <v>61</v>
      </c>
      <c r="B38" s="287"/>
      <c r="C38" s="287">
        <f>'Accrual - Realloc (Final Alloc)'!G41</f>
        <v>6449724.8422452696</v>
      </c>
      <c r="D38" s="287"/>
      <c r="E38" s="293">
        <f>'Accrual - Realloc (Final Alloc)'!U41</f>
        <v>2054</v>
      </c>
      <c r="F38" s="293">
        <f t="shared" si="6"/>
        <v>37</v>
      </c>
      <c r="G38" s="213"/>
      <c r="H38" s="337">
        <f>'Accrual - Realloc (Final Alloc)'!Y41</f>
        <v>6384526.5152181312</v>
      </c>
      <c r="I38" s="338">
        <f>'Accrual - Realloc (Final Alloc)'!Z41</f>
        <v>15367166.028243804</v>
      </c>
      <c r="J38" s="332">
        <f t="shared" ref="J38:J58" si="7">SUM(H38:I38)</f>
        <v>21751692.543461934</v>
      </c>
      <c r="K38" s="72"/>
      <c r="L38" s="331">
        <f>'Accrual - Realloc (Final Alloc)'!S41</f>
        <v>0</v>
      </c>
      <c r="M38" s="332">
        <f t="shared" ref="M38:M58" si="8">J38-L38</f>
        <v>21751692.543461934</v>
      </c>
      <c r="N38" s="72"/>
      <c r="O38" s="314">
        <f>'Accrual - Realloc (Final Alloc)'!AF41</f>
        <v>302348.73324408574</v>
      </c>
      <c r="P38" s="316">
        <f>'Accrual - Realloc (Final Alloc)'!AG41</f>
        <v>312631.41854777746</v>
      </c>
      <c r="Q38" s="316">
        <f>'Accrual - Realloc (Final Alloc)'!AH41</f>
        <v>323263.81134294852</v>
      </c>
      <c r="R38" s="316">
        <f>'Accrual - Realloc (Final Alloc)'!AI41</f>
        <v>334257.80495570833</v>
      </c>
      <c r="S38" s="318">
        <f t="shared" ref="S38:S58" si="9">SUM(O38:R38)/4</f>
        <v>318125.44202263001</v>
      </c>
      <c r="T38" s="318">
        <f t="shared" si="4"/>
        <v>26510.453501885833</v>
      </c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</row>
    <row r="39" spans="1:73" s="51" customFormat="1" ht="10.199999999999999">
      <c r="A39" s="180" t="s">
        <v>62</v>
      </c>
      <c r="B39" s="287"/>
      <c r="C39" s="287">
        <f>'Accrual - Realloc (Final Alloc)'!G42</f>
        <v>7001430.7214899128</v>
      </c>
      <c r="D39" s="287"/>
      <c r="E39" s="293">
        <f>'Accrual - Realloc (Final Alloc)'!U42</f>
        <v>2054</v>
      </c>
      <c r="F39" s="293">
        <f t="shared" si="6"/>
        <v>37</v>
      </c>
      <c r="G39" s="213"/>
      <c r="H39" s="337">
        <f>'Accrual - Realloc (Final Alloc)'!Y42</f>
        <v>8451343.4255850315</v>
      </c>
      <c r="I39" s="338">
        <f>'Accrual - Realloc (Final Alloc)'!Z42</f>
        <v>20432687.746891931</v>
      </c>
      <c r="J39" s="332">
        <f t="shared" si="7"/>
        <v>28884031.172476962</v>
      </c>
      <c r="K39" s="72"/>
      <c r="L39" s="331">
        <f>'Accrual - Realloc (Final Alloc)'!S42</f>
        <v>0</v>
      </c>
      <c r="M39" s="332">
        <f t="shared" si="8"/>
        <v>28884031.172476962</v>
      </c>
      <c r="N39" s="72"/>
      <c r="O39" s="314">
        <f>'Accrual - Realloc (Final Alloc)'!AF42</f>
        <v>352970.99449921725</v>
      </c>
      <c r="P39" s="316">
        <f>'Accrual - Realloc (Final Alloc)'!AG42</f>
        <v>367115.76198350027</v>
      </c>
      <c r="Q39" s="316">
        <f>'Accrual - Realloc (Final Alloc)'!AH42</f>
        <v>381827.35917986289</v>
      </c>
      <c r="R39" s="316">
        <f>'Accrual - Realloc (Final Alloc)'!AI42</f>
        <v>397128.5009136179</v>
      </c>
      <c r="S39" s="318">
        <f t="shared" si="9"/>
        <v>374760.65414404956</v>
      </c>
      <c r="T39" s="318">
        <f t="shared" si="4"/>
        <v>31230.054512004132</v>
      </c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</row>
    <row r="40" spans="1:73" s="51" customFormat="1" ht="10.199999999999999">
      <c r="A40" s="180" t="s">
        <v>63</v>
      </c>
      <c r="B40" s="287"/>
      <c r="C40" s="287">
        <f>'Accrual - Realloc (Final Alloc)'!G43</f>
        <v>10234210.979358369</v>
      </c>
      <c r="D40" s="287"/>
      <c r="E40" s="293">
        <f>'Accrual - Realloc (Final Alloc)'!U43</f>
        <v>2043</v>
      </c>
      <c r="F40" s="293">
        <f t="shared" si="6"/>
        <v>26</v>
      </c>
      <c r="G40" s="213"/>
      <c r="H40" s="337">
        <f>'Accrual - Realloc (Final Alloc)'!Y43</f>
        <v>7299619.8835116923</v>
      </c>
      <c r="I40" s="338">
        <f>'Accrual - Realloc (Final Alloc)'!Z43</f>
        <v>17543438.484029382</v>
      </c>
      <c r="J40" s="332">
        <f t="shared" si="7"/>
        <v>24843058.367541075</v>
      </c>
      <c r="K40" s="72"/>
      <c r="L40" s="331">
        <f>'Accrual - Realloc (Final Alloc)'!S43</f>
        <v>8370415.6099999994</v>
      </c>
      <c r="M40" s="332">
        <f t="shared" si="8"/>
        <v>16472642.757541075</v>
      </c>
      <c r="N40" s="72"/>
      <c r="O40" s="314">
        <f>'Accrual - Realloc (Final Alloc)'!AF43</f>
        <v>395562.85487992538</v>
      </c>
      <c r="P40" s="316">
        <f>'Accrual - Realloc (Final Alloc)'!AG43</f>
        <v>409633.73745294177</v>
      </c>
      <c r="Q40" s="316">
        <f>'Accrual - Realloc (Final Alloc)'!AH43</f>
        <v>424205.14663997432</v>
      </c>
      <c r="R40" s="316">
        <f>'Accrual - Realloc (Final Alloc)'!AI43</f>
        <v>439294.88707339333</v>
      </c>
      <c r="S40" s="318">
        <f t="shared" si="9"/>
        <v>417174.15651155869</v>
      </c>
      <c r="T40" s="318">
        <f t="shared" si="4"/>
        <v>34764.513042629893</v>
      </c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</row>
    <row r="41" spans="1:73" s="51" customFormat="1" ht="10.199999999999999">
      <c r="A41" s="180" t="s">
        <v>64</v>
      </c>
      <c r="B41" s="287"/>
      <c r="C41" s="287">
        <f>'Accrual - Realloc (Final Alloc)'!G44</f>
        <v>6379216.0893977052</v>
      </c>
      <c r="D41" s="287"/>
      <c r="E41" s="293">
        <f>'Accrual - Realloc (Final Alloc)'!U44</f>
        <v>2043</v>
      </c>
      <c r="F41" s="293">
        <f t="shared" si="6"/>
        <v>26</v>
      </c>
      <c r="G41" s="213"/>
      <c r="H41" s="337">
        <f>'Accrual - Realloc (Final Alloc)'!Y44</f>
        <v>5350872.8903426034</v>
      </c>
      <c r="I41" s="338">
        <f>'Accrual - Realloc (Final Alloc)'!Z44</f>
        <v>12928371.600084517</v>
      </c>
      <c r="J41" s="332">
        <f t="shared" si="7"/>
        <v>18279244.490427122</v>
      </c>
      <c r="K41" s="72"/>
      <c r="L41" s="331">
        <f>'Accrual - Realloc (Final Alloc)'!S44</f>
        <v>0</v>
      </c>
      <c r="M41" s="332">
        <f t="shared" si="8"/>
        <v>18279244.490427122</v>
      </c>
      <c r="N41" s="72"/>
      <c r="O41" s="314">
        <f>'Accrual - Realloc (Final Alloc)'!AF44</f>
        <v>395996.44891225983</v>
      </c>
      <c r="P41" s="316">
        <f>'Accrual - Realloc (Final Alloc)'!AG44</f>
        <v>412979.49515433231</v>
      </c>
      <c r="Q41" s="316">
        <f>'Accrual - Realloc (Final Alloc)'!AH44</f>
        <v>430690.89100775262</v>
      </c>
      <c r="R41" s="316">
        <f>'Accrual - Realloc (Final Alloc)'!AI44</f>
        <v>449161.87310397014</v>
      </c>
      <c r="S41" s="318">
        <f t="shared" si="9"/>
        <v>422207.17704457871</v>
      </c>
      <c r="T41" s="318">
        <f t="shared" si="4"/>
        <v>35183.931420381559</v>
      </c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</row>
    <row r="42" spans="1:73" s="51" customFormat="1" ht="10.199999999999999">
      <c r="A42" s="180" t="s">
        <v>65</v>
      </c>
      <c r="B42" s="287"/>
      <c r="C42" s="287">
        <f>'Accrual - Realloc (Final Alloc)'!G45</f>
        <v>6352092.4232648248</v>
      </c>
      <c r="D42" s="287"/>
      <c r="E42" s="293">
        <f>'Accrual - Realloc (Final Alloc)'!U45</f>
        <v>2042</v>
      </c>
      <c r="F42" s="293">
        <f t="shared" si="6"/>
        <v>25</v>
      </c>
      <c r="G42" s="213"/>
      <c r="H42" s="337">
        <f>'Accrual - Realloc (Final Alloc)'!Y45</f>
        <v>5146939.527236281</v>
      </c>
      <c r="I42" s="338">
        <f>'Accrual - Realloc (Final Alloc)'!Z45</f>
        <v>12434132.780643869</v>
      </c>
      <c r="J42" s="332">
        <f t="shared" si="7"/>
        <v>17581072.307880148</v>
      </c>
      <c r="K42" s="72"/>
      <c r="L42" s="331">
        <f>'Accrual - Realloc (Final Alloc)'!S45</f>
        <v>6592902.1200000001</v>
      </c>
      <c r="M42" s="332">
        <f t="shared" si="8"/>
        <v>10988170.187880147</v>
      </c>
      <c r="N42" s="72"/>
      <c r="O42" s="314">
        <f>'Accrual - Realloc (Final Alloc)'!AF45</f>
        <v>252699.89673337972</v>
      </c>
      <c r="P42" s="316">
        <f>'Accrual - Realloc (Final Alloc)'!AG45</f>
        <v>263614.7004778746</v>
      </c>
      <c r="Q42" s="316">
        <f>'Accrual - Realloc (Final Alloc)'!AH45</f>
        <v>275000.94462389266</v>
      </c>
      <c r="R42" s="316">
        <f>'Accrual - Realloc (Final Alloc)'!AI45</f>
        <v>286878.99197935883</v>
      </c>
      <c r="S42" s="318">
        <f t="shared" si="9"/>
        <v>269548.63345362642</v>
      </c>
      <c r="T42" s="318">
        <f t="shared" si="4"/>
        <v>22462.386121135536</v>
      </c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</row>
    <row r="43" spans="1:73" s="51" customFormat="1">
      <c r="A43" s="180" t="s">
        <v>86</v>
      </c>
      <c r="B43" s="287"/>
      <c r="C43" s="287">
        <f>'Accrual - Realloc (Final Alloc)'!G46</f>
        <v>33857016.496254727</v>
      </c>
      <c r="D43" s="287"/>
      <c r="E43" s="293">
        <f>'Accrual - Realloc (Final Alloc)'!U46</f>
        <v>2039</v>
      </c>
      <c r="F43" s="293">
        <f t="shared" si="6"/>
        <v>22</v>
      </c>
      <c r="G43" s="213"/>
      <c r="H43" s="337">
        <f>'Accrual - Realloc (Final Alloc)'!Y46</f>
        <v>23456139.325520515</v>
      </c>
      <c r="I43" s="338">
        <f>'Accrual - Realloc (Final Alloc)'!Z46</f>
        <v>56497719.048316434</v>
      </c>
      <c r="J43" s="332">
        <f t="shared" si="7"/>
        <v>79953858.373836949</v>
      </c>
      <c r="K43" s="72"/>
      <c r="L43" s="331">
        <f>'Accrual - Realloc (Final Alloc)'!S46</f>
        <v>21556476.52</v>
      </c>
      <c r="M43" s="332">
        <f t="shared" si="8"/>
        <v>58397381.853836954</v>
      </c>
      <c r="N43" s="72"/>
      <c r="O43" s="314">
        <f>'Accrual - Realloc (Final Alloc)'!AF46</f>
        <v>1685965.8807879013</v>
      </c>
      <c r="P43" s="316">
        <f>'Accrual - Realloc (Final Alloc)'!AG46</f>
        <v>1755046.5605729718</v>
      </c>
      <c r="Q43" s="316">
        <f>'Accrual - Realloc (Final Alloc)'!AH46</f>
        <v>1826957.748599014</v>
      </c>
      <c r="R43" s="316">
        <f>'Accrual - Realloc (Final Alloc)'!AI46</f>
        <v>1901815.4219659516</v>
      </c>
      <c r="S43" s="318">
        <f t="shared" si="9"/>
        <v>1792446.4029814596</v>
      </c>
      <c r="T43" s="318">
        <f t="shared" si="4"/>
        <v>149370.5335817883</v>
      </c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</row>
    <row r="44" spans="1:73" s="51" customFormat="1">
      <c r="A44" s="180" t="s">
        <v>110</v>
      </c>
      <c r="B44" s="287"/>
      <c r="C44" s="287">
        <f>'Accrual - Realloc (Final Alloc)'!G47</f>
        <v>995494.32879995531</v>
      </c>
      <c r="D44" s="287"/>
      <c r="E44" s="293">
        <f>'Accrual - Realloc (Final Alloc)'!U47</f>
        <v>2039</v>
      </c>
      <c r="F44" s="293">
        <f t="shared" si="6"/>
        <v>22</v>
      </c>
      <c r="G44" s="213"/>
      <c r="H44" s="337">
        <f>'Accrual - Realloc (Final Alloc)'!Y47</f>
        <v>656845.7136888135</v>
      </c>
      <c r="I44" s="338">
        <f>'Accrual - Realloc (Final Alloc)'!Z47</f>
        <v>1580443.3934819933</v>
      </c>
      <c r="J44" s="332">
        <f t="shared" si="7"/>
        <v>2237289.1071708067</v>
      </c>
      <c r="K44" s="72"/>
      <c r="L44" s="331">
        <f>'Accrual - Realloc (Final Alloc)'!S47</f>
        <v>1252881.8999999999</v>
      </c>
      <c r="M44" s="332">
        <f t="shared" si="8"/>
        <v>984407.20717080683</v>
      </c>
      <c r="N44" s="72"/>
      <c r="O44" s="314">
        <f>'Accrual - Realloc (Final Alloc)'!AF47</f>
        <v>29128.345439222983</v>
      </c>
      <c r="P44" s="316">
        <f>'Accrual - Realloc (Final Alloc)'!AG47</f>
        <v>30260.029648474887</v>
      </c>
      <c r="Q44" s="316">
        <f>'Accrual - Realloc (Final Alloc)'!AH47</f>
        <v>31435.681653705535</v>
      </c>
      <c r="R44" s="316">
        <f>'Accrual - Realloc (Final Alloc)'!AI47</f>
        <v>32657.009676225625</v>
      </c>
      <c r="S44" s="318">
        <f t="shared" si="9"/>
        <v>30870.266604407261</v>
      </c>
      <c r="T44" s="318">
        <f t="shared" si="4"/>
        <v>2572.5222170339384</v>
      </c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</row>
    <row r="45" spans="1:73" s="51" customFormat="1">
      <c r="A45" s="180" t="s">
        <v>87</v>
      </c>
      <c r="B45" s="287"/>
      <c r="C45" s="287">
        <f>'Accrual - Realloc (Final Alloc)'!G48</f>
        <v>14720600.205869369</v>
      </c>
      <c r="D45" s="287"/>
      <c r="E45" s="293">
        <f>'Accrual - Realloc (Final Alloc)'!U48</f>
        <v>2039</v>
      </c>
      <c r="F45" s="293">
        <f t="shared" si="6"/>
        <v>22</v>
      </c>
      <c r="G45" s="213"/>
      <c r="H45" s="337">
        <f>'Accrual - Realloc (Final Alloc)'!Y48</f>
        <v>9728643.4148283098</v>
      </c>
      <c r="I45" s="338">
        <f>'Accrual - Realloc (Final Alloc)'!Z48</f>
        <v>23410775.974999193</v>
      </c>
      <c r="J45" s="332">
        <f t="shared" si="7"/>
        <v>33139419.389827505</v>
      </c>
      <c r="K45" s="72"/>
      <c r="L45" s="331">
        <f>'Accrual - Realloc (Final Alloc)'!S48</f>
        <v>18558074.859999999</v>
      </c>
      <c r="M45" s="332">
        <f t="shared" si="8"/>
        <v>14581344.529827505</v>
      </c>
      <c r="N45" s="72"/>
      <c r="O45" s="314">
        <f>'Accrual - Realloc (Final Alloc)'!AF48</f>
        <v>430860.08917088178</v>
      </c>
      <c r="P45" s="316">
        <f>'Accrual - Realloc (Final Alloc)'!AG48</f>
        <v>447651.36849937076</v>
      </c>
      <c r="Q45" s="316">
        <f>'Accrual - Realloc (Final Alloc)'!AH48</f>
        <v>465097.0297689439</v>
      </c>
      <c r="R45" s="316">
        <f>'Accrual - Realloc (Final Alloc)'!AI48</f>
        <v>483222.57524875179</v>
      </c>
      <c r="S45" s="318">
        <f t="shared" si="9"/>
        <v>456707.76567198709</v>
      </c>
      <c r="T45" s="318">
        <f t="shared" si="4"/>
        <v>38058.980472665593</v>
      </c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</row>
    <row r="46" spans="1:73" s="51" customFormat="1">
      <c r="A46" s="180" t="s">
        <v>88</v>
      </c>
      <c r="B46" s="287"/>
      <c r="C46" s="287">
        <f>'Accrual - Realloc (Final Alloc)'!G49</f>
        <v>14572011.756414926</v>
      </c>
      <c r="D46" s="287"/>
      <c r="E46" s="293">
        <f>'Accrual - Realloc (Final Alloc)'!U49</f>
        <v>2038</v>
      </c>
      <c r="F46" s="293">
        <f t="shared" si="6"/>
        <v>21</v>
      </c>
      <c r="G46" s="213"/>
      <c r="H46" s="337">
        <f>'Accrual - Realloc (Final Alloc)'!Y49</f>
        <v>9748444.846997058</v>
      </c>
      <c r="I46" s="338">
        <f>'Accrual - Realloc (Final Alloc)'!Z49</f>
        <v>23476582.37393244</v>
      </c>
      <c r="J46" s="332">
        <f t="shared" si="7"/>
        <v>33225027.220929496</v>
      </c>
      <c r="K46" s="72"/>
      <c r="L46" s="331">
        <f>'Accrual - Realloc (Final Alloc)'!S49</f>
        <v>11109095.48</v>
      </c>
      <c r="M46" s="332">
        <f t="shared" si="8"/>
        <v>22115931.740929496</v>
      </c>
      <c r="N46" s="72"/>
      <c r="O46" s="314">
        <f>'Accrual - Realloc (Final Alloc)'!AF49</f>
        <v>682588.86144857167</v>
      </c>
      <c r="P46" s="316">
        <f>'Accrual - Realloc (Final Alloc)'!AG49</f>
        <v>710723.46092770575</v>
      </c>
      <c r="Q46" s="316">
        <f>'Accrual - Realloc (Final Alloc)'!AH49</f>
        <v>740017.69797574403</v>
      </c>
      <c r="R46" s="316">
        <f>'Accrual - Realloc (Final Alloc)'!AI49</f>
        <v>770519.36994243052</v>
      </c>
      <c r="S46" s="318">
        <f t="shared" si="9"/>
        <v>725962.34757361293</v>
      </c>
      <c r="T46" s="318">
        <f t="shared" si="4"/>
        <v>60496.862297801075</v>
      </c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</row>
    <row r="47" spans="1:73" s="51" customFormat="1">
      <c r="A47" s="180" t="s">
        <v>91</v>
      </c>
      <c r="B47" s="287"/>
      <c r="C47" s="287">
        <f>'Accrual - Realloc (Final Alloc)'!G50</f>
        <v>381655.80905564642</v>
      </c>
      <c r="D47" s="287"/>
      <c r="E47" s="293">
        <f>'Accrual - Realloc (Final Alloc)'!U50</f>
        <v>2038</v>
      </c>
      <c r="F47" s="293">
        <f t="shared" si="6"/>
        <v>21</v>
      </c>
      <c r="G47" s="213"/>
      <c r="H47" s="337">
        <f>'Accrual - Realloc (Final Alloc)'!Y50</f>
        <v>317383.69144089264</v>
      </c>
      <c r="I47" s="338">
        <f>'Accrual - Realloc (Final Alloc)'!Z50</f>
        <v>769297.94947815442</v>
      </c>
      <c r="J47" s="332">
        <f t="shared" si="7"/>
        <v>1086681.6409190469</v>
      </c>
      <c r="K47" s="72"/>
      <c r="L47" s="331">
        <f>'Accrual - Realloc (Final Alloc)'!S50</f>
        <v>630275.35000000009</v>
      </c>
      <c r="M47" s="332">
        <f t="shared" si="8"/>
        <v>456406.29091904685</v>
      </c>
      <c r="N47" s="72"/>
      <c r="O47" s="314">
        <f>'Accrual - Realloc (Final Alloc)'!AF50</f>
        <v>12380.051950684445</v>
      </c>
      <c r="P47" s="316">
        <f>'Accrual - Realloc (Final Alloc)'!AG50</f>
        <v>13033.905654863336</v>
      </c>
      <c r="Q47" s="316">
        <f>'Accrual - Realloc (Final Alloc)'!AH50</f>
        <v>13722.292708996774</v>
      </c>
      <c r="R47" s="316">
        <f>'Accrual - Realloc (Final Alloc)'!AI50</f>
        <v>14447.036995478424</v>
      </c>
      <c r="S47" s="318">
        <f t="shared" si="9"/>
        <v>13395.821827505744</v>
      </c>
      <c r="T47" s="318">
        <f t="shared" si="4"/>
        <v>1116.3184856254786</v>
      </c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</row>
    <row r="48" spans="1:73" s="51" customFormat="1">
      <c r="A48" s="180" t="s">
        <v>89</v>
      </c>
      <c r="B48" s="287"/>
      <c r="C48" s="287">
        <f>'Accrual - Realloc (Final Alloc)'!G51</f>
        <v>3239655.4750696016</v>
      </c>
      <c r="D48" s="287"/>
      <c r="E48" s="293">
        <f>'Accrual - Realloc (Final Alloc)'!U51</f>
        <v>2038</v>
      </c>
      <c r="F48" s="293">
        <f t="shared" si="6"/>
        <v>21</v>
      </c>
      <c r="G48" s="213"/>
      <c r="H48" s="337">
        <f>'Accrual - Realloc (Final Alloc)'!Y51</f>
        <v>2147971.1715767775</v>
      </c>
      <c r="I48" s="338">
        <f>'Accrual - Realloc (Final Alloc)'!Z51</f>
        <v>5173579.9706703033</v>
      </c>
      <c r="J48" s="332">
        <f t="shared" si="7"/>
        <v>7321551.1422470808</v>
      </c>
      <c r="K48" s="72"/>
      <c r="L48" s="331">
        <f>'Accrual - Realloc (Final Alloc)'!S51</f>
        <v>4306794.790000001</v>
      </c>
      <c r="M48" s="332">
        <f t="shared" si="8"/>
        <v>3014756.3522470798</v>
      </c>
      <c r="N48" s="72"/>
      <c r="O48" s="314">
        <f>'Accrual - Realloc (Final Alloc)'!AF51</f>
        <v>93186.809787740509</v>
      </c>
      <c r="P48" s="316">
        <f>'Accrual - Realloc (Final Alloc)'!AG51</f>
        <v>97015.100198804867</v>
      </c>
      <c r="Q48" s="316">
        <f>'Accrual - Realloc (Final Alloc)'!AH51</f>
        <v>101000.66402125469</v>
      </c>
      <c r="R48" s="316">
        <f>'Accrual - Realloc (Final Alloc)'!AI51</f>
        <v>105149.96234431597</v>
      </c>
      <c r="S48" s="318">
        <f t="shared" si="9"/>
        <v>99088.134088029008</v>
      </c>
      <c r="T48" s="318">
        <f t="shared" si="4"/>
        <v>8257.3445073357507</v>
      </c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</row>
    <row r="49" spans="1:73" s="51" customFormat="1">
      <c r="A49" s="180" t="s">
        <v>90</v>
      </c>
      <c r="B49" s="287"/>
      <c r="C49" s="287">
        <f>'Accrual - Realloc (Final Alloc)'!G52</f>
        <v>3239655.4750696016</v>
      </c>
      <c r="D49" s="287"/>
      <c r="E49" s="293">
        <f>'Accrual - Realloc (Final Alloc)'!U52</f>
        <v>2038</v>
      </c>
      <c r="F49" s="293">
        <f t="shared" si="6"/>
        <v>21</v>
      </c>
      <c r="G49" s="213"/>
      <c r="H49" s="337">
        <f>'Accrual - Realloc (Final Alloc)'!Y52</f>
        <v>2147971.1715767775</v>
      </c>
      <c r="I49" s="338">
        <f>'Accrual - Realloc (Final Alloc)'!Z52</f>
        <v>5173579.9706703033</v>
      </c>
      <c r="J49" s="332">
        <f t="shared" si="7"/>
        <v>7321551.1422470808</v>
      </c>
      <c r="K49" s="72"/>
      <c r="L49" s="331">
        <f>'Accrual - Realloc (Final Alloc)'!S52</f>
        <v>4246499.66</v>
      </c>
      <c r="M49" s="332">
        <f t="shared" si="8"/>
        <v>3075051.4822470807</v>
      </c>
      <c r="N49" s="72"/>
      <c r="O49" s="314">
        <f>'Accrual - Realloc (Final Alloc)'!AF52</f>
        <v>95050.546074836879</v>
      </c>
      <c r="P49" s="316">
        <f>'Accrual - Realloc (Final Alloc)'!AG52</f>
        <v>98955.402297875</v>
      </c>
      <c r="Q49" s="316">
        <f>'Accrual - Realloc (Final Alloc)'!AH52</f>
        <v>103020.67740068048</v>
      </c>
      <c r="R49" s="316">
        <f>'Accrual - Realloc (Final Alloc)'!AI52</f>
        <v>107252.96169427011</v>
      </c>
      <c r="S49" s="318">
        <f t="shared" si="9"/>
        <v>101069.89686691563</v>
      </c>
      <c r="T49" s="318">
        <f t="shared" si="4"/>
        <v>8422.491405576302</v>
      </c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</row>
    <row r="50" spans="1:73" s="51" customFormat="1" ht="10.199999999999999">
      <c r="A50" s="180" t="s">
        <v>66</v>
      </c>
      <c r="B50" s="287"/>
      <c r="C50" s="287">
        <f>'Accrual - Realloc (Final Alloc)'!G53</f>
        <v>765921.79929207172</v>
      </c>
      <c r="D50" s="287"/>
      <c r="E50" s="293">
        <f>'Accrual - Realloc (Final Alloc)'!U53</f>
        <v>2040</v>
      </c>
      <c r="F50" s="293">
        <f t="shared" si="6"/>
        <v>23</v>
      </c>
      <c r="G50" s="213"/>
      <c r="H50" s="337">
        <f>'Accrual - Realloc (Final Alloc)'!Y53</f>
        <v>526987.70037515671</v>
      </c>
      <c r="I50" s="338">
        <f>'Accrual - Realloc (Final Alloc)'!Z53</f>
        <v>1269024.7583509481</v>
      </c>
      <c r="J50" s="332">
        <f t="shared" si="7"/>
        <v>1796012.4587261048</v>
      </c>
      <c r="K50" s="72"/>
      <c r="L50" s="331">
        <f>'Accrual - Realloc (Final Alloc)'!S53</f>
        <v>235872</v>
      </c>
      <c r="M50" s="332">
        <f t="shared" si="8"/>
        <v>1560140.4587261048</v>
      </c>
      <c r="N50" s="72"/>
      <c r="O50" s="314">
        <f>'Accrual - Realloc (Final Alloc)'!AF53</f>
        <v>42982.332951425466</v>
      </c>
      <c r="P50" s="316">
        <f>'Accrual - Realloc (Final Alloc)'!AG53</f>
        <v>44670.651398524533</v>
      </c>
      <c r="Q50" s="316">
        <f>'Accrual - Realloc (Final Alloc)'!AH53</f>
        <v>46425.285910459737</v>
      </c>
      <c r="R50" s="316">
        <f>'Accrual - Realloc (Final Alloc)'!AI53</f>
        <v>48248.84133968821</v>
      </c>
      <c r="S50" s="318">
        <f t="shared" si="9"/>
        <v>45581.777900024492</v>
      </c>
      <c r="T50" s="318">
        <f t="shared" si="4"/>
        <v>3798.4814916687078</v>
      </c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</row>
    <row r="51" spans="1:73" s="51" customFormat="1" ht="10.199999999999999">
      <c r="A51" s="180" t="s">
        <v>67</v>
      </c>
      <c r="B51" s="287"/>
      <c r="C51" s="287">
        <f>'Accrual - Realloc (Final Alloc)'!G54</f>
        <v>13734912.837473426</v>
      </c>
      <c r="D51" s="287"/>
      <c r="E51" s="293">
        <f>'Accrual - Realloc (Final Alloc)'!U54</f>
        <v>2047</v>
      </c>
      <c r="F51" s="293">
        <f t="shared" si="6"/>
        <v>30</v>
      </c>
      <c r="G51" s="213"/>
      <c r="H51" s="337">
        <f>'Accrual - Realloc (Final Alloc)'!Y54</f>
        <v>10915710.478922796</v>
      </c>
      <c r="I51" s="338">
        <f>'Accrual - Realloc (Final Alloc)'!Z54</f>
        <v>26241894.651729766</v>
      </c>
      <c r="J51" s="332">
        <f t="shared" si="7"/>
        <v>37157605.130652562</v>
      </c>
      <c r="K51" s="72"/>
      <c r="L51" s="331">
        <f>'Accrual - Realloc (Final Alloc)'!S54</f>
        <v>0</v>
      </c>
      <c r="M51" s="332">
        <f t="shared" si="8"/>
        <v>37157605.130652562</v>
      </c>
      <c r="N51" s="72"/>
      <c r="O51" s="314">
        <f>'Accrual - Realloc (Final Alloc)'!AF54</f>
        <v>726126.81082377257</v>
      </c>
      <c r="P51" s="316">
        <f>'Accrual - Realloc (Final Alloc)'!AG54</f>
        <v>751154.32088575442</v>
      </c>
      <c r="Q51" s="316">
        <f>'Accrual - Realloc (Final Alloc)'!AH54</f>
        <v>777044.45748977514</v>
      </c>
      <c r="R51" s="316">
        <f>'Accrual - Realloc (Final Alloc)'!AI54</f>
        <v>803826.9529004182</v>
      </c>
      <c r="S51" s="318">
        <f t="shared" si="9"/>
        <v>764538.13552493008</v>
      </c>
      <c r="T51" s="318">
        <f t="shared" si="4"/>
        <v>63711.511293744174</v>
      </c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</row>
    <row r="52" spans="1:73" s="51" customFormat="1" ht="10.199999999999999">
      <c r="A52" s="180" t="s">
        <v>68</v>
      </c>
      <c r="B52" s="287"/>
      <c r="C52" s="287">
        <f>'Accrual - Realloc (Final Alloc)'!G55</f>
        <v>14000962.712542808</v>
      </c>
      <c r="D52" s="287"/>
      <c r="E52" s="293">
        <f>'Accrual - Realloc (Final Alloc)'!U55</f>
        <v>2047</v>
      </c>
      <c r="F52" s="293">
        <f t="shared" si="6"/>
        <v>30</v>
      </c>
      <c r="G52" s="213"/>
      <c r="H52" s="337">
        <f>'Accrual - Realloc (Final Alloc)'!Y55</f>
        <v>12625339.857951663</v>
      </c>
      <c r="I52" s="338">
        <f>'Accrual - Realloc (Final Alloc)'!Z55</f>
        <v>30455385.620203022</v>
      </c>
      <c r="J52" s="332">
        <f t="shared" si="7"/>
        <v>43080725.478154689</v>
      </c>
      <c r="K52" s="72"/>
      <c r="L52" s="331">
        <f>'Accrual - Realloc (Final Alloc)'!S55</f>
        <v>5578624.1299999999</v>
      </c>
      <c r="M52" s="332">
        <f t="shared" si="8"/>
        <v>37502101.348154686</v>
      </c>
      <c r="N52" s="72"/>
      <c r="O52" s="314">
        <f>'Accrual - Realloc (Final Alloc)'!AF55</f>
        <v>677915.24441312579</v>
      </c>
      <c r="P52" s="316">
        <f>'Accrual - Realloc (Final Alloc)'!AG55</f>
        <v>704473.68161243014</v>
      </c>
      <c r="Q52" s="316">
        <f>'Accrual - Realloc (Final Alloc)'!AH55</f>
        <v>732072.58897711639</v>
      </c>
      <c r="R52" s="316">
        <f>'Accrual - Realloc (Final Alloc)'!AI55</f>
        <v>760752.72862571292</v>
      </c>
      <c r="S52" s="318">
        <f t="shared" si="9"/>
        <v>718803.56090709637</v>
      </c>
      <c r="T52" s="318">
        <f t="shared" si="4"/>
        <v>59900.296742258033</v>
      </c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</row>
    <row r="53" spans="1:73" s="51" customFormat="1" ht="10.199999999999999">
      <c r="A53" s="180" t="s">
        <v>69</v>
      </c>
      <c r="B53" s="287"/>
      <c r="C53" s="287">
        <f>'Accrual - Realloc (Final Alloc)'!G56</f>
        <v>14000962.712542808</v>
      </c>
      <c r="D53" s="287"/>
      <c r="E53" s="293">
        <f>'Accrual - Realloc (Final Alloc)'!U56</f>
        <v>2047</v>
      </c>
      <c r="F53" s="293">
        <f t="shared" si="6"/>
        <v>30</v>
      </c>
      <c r="G53" s="213"/>
      <c r="H53" s="337">
        <f>'Accrual - Realloc (Final Alloc)'!Y56</f>
        <v>12625339.857951663</v>
      </c>
      <c r="I53" s="338">
        <f>'Accrual - Realloc (Final Alloc)'!Z56</f>
        <v>30455385.620203022</v>
      </c>
      <c r="J53" s="332">
        <f t="shared" si="7"/>
        <v>43080725.478154689</v>
      </c>
      <c r="K53" s="72"/>
      <c r="L53" s="331">
        <f>'Accrual - Realloc (Final Alloc)'!S56</f>
        <v>-15923728.169999998</v>
      </c>
      <c r="M53" s="332">
        <f t="shared" si="8"/>
        <v>59004453.648154691</v>
      </c>
      <c r="N53" s="72"/>
      <c r="O53" s="314">
        <f>'Accrual - Realloc (Final Alloc)'!AF56</f>
        <v>1066607.3947432274</v>
      </c>
      <c r="P53" s="316">
        <f>'Accrual - Realloc (Final Alloc)'!AG56</f>
        <v>1108393.4819319362</v>
      </c>
      <c r="Q53" s="316">
        <f>'Accrual - Realloc (Final Alloc)'!AH56</f>
        <v>1151816.6073515329</v>
      </c>
      <c r="R53" s="316">
        <f>'Accrual - Realloc (Final Alloc)'!AI56</f>
        <v>1196940.9046491159</v>
      </c>
      <c r="S53" s="318">
        <f t="shared" si="9"/>
        <v>1130939.5971689532</v>
      </c>
      <c r="T53" s="318">
        <f t="shared" si="4"/>
        <v>94244.966430746092</v>
      </c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</row>
    <row r="54" spans="1:73" s="51" customFormat="1" ht="10.199999999999999">
      <c r="A54" s="180" t="s">
        <v>70</v>
      </c>
      <c r="B54" s="287"/>
      <c r="C54" s="287">
        <f>'Accrual - Realloc (Final Alloc)'!G57</f>
        <v>9383582.3582903259</v>
      </c>
      <c r="D54" s="287"/>
      <c r="E54" s="293">
        <f>'Accrual - Realloc (Final Alloc)'!U57</f>
        <v>2047</v>
      </c>
      <c r="F54" s="293">
        <f t="shared" si="6"/>
        <v>30</v>
      </c>
      <c r="G54" s="213"/>
      <c r="H54" s="337">
        <f>'Accrual - Realloc (Final Alloc)'!Y57</f>
        <v>9046374.4754249882</v>
      </c>
      <c r="I54" s="338">
        <f>'Accrual - Realloc (Final Alloc)'!Z57</f>
        <v>21866836.26981055</v>
      </c>
      <c r="J54" s="332">
        <f t="shared" si="7"/>
        <v>30913210.74523554</v>
      </c>
      <c r="K54" s="72"/>
      <c r="L54" s="331">
        <f>'Accrual - Realloc (Final Alloc)'!S57</f>
        <v>0</v>
      </c>
      <c r="M54" s="332">
        <f t="shared" si="8"/>
        <v>30913210.74523554</v>
      </c>
      <c r="N54" s="72"/>
      <c r="O54" s="314">
        <f>'Accrual - Realloc (Final Alloc)'!AF57</f>
        <v>534041.63496016222</v>
      </c>
      <c r="P54" s="316">
        <f>'Accrual - Realloc (Final Alloc)'!AG57</f>
        <v>556410.73172928533</v>
      </c>
      <c r="Q54" s="316">
        <f>'Accrual - Realloc (Final Alloc)'!AH57</f>
        <v>579716.79007127113</v>
      </c>
      <c r="R54" s="316">
        <f>'Accrual - Realloc (Final Alloc)'!AI57</f>
        <v>603999.05596006662</v>
      </c>
      <c r="S54" s="318">
        <f t="shared" si="9"/>
        <v>568542.05318019632</v>
      </c>
      <c r="T54" s="318">
        <f t="shared" si="4"/>
        <v>47378.504431683024</v>
      </c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</row>
    <row r="55" spans="1:73" s="51" customFormat="1" ht="10.199999999999999">
      <c r="A55" s="180" t="s">
        <v>71</v>
      </c>
      <c r="B55" s="287"/>
      <c r="C55" s="287">
        <f>'Accrual - Realloc (Final Alloc)'!G58</f>
        <v>19678037.062944606</v>
      </c>
      <c r="D55" s="287"/>
      <c r="E55" s="293">
        <f>'Accrual - Realloc (Final Alloc)'!U58</f>
        <v>2051</v>
      </c>
      <c r="F55" s="293">
        <f t="shared" si="6"/>
        <v>34</v>
      </c>
      <c r="G55" s="213"/>
      <c r="H55" s="337">
        <f>'Accrual - Realloc (Final Alloc)'!Y58</f>
        <v>17131283.124060746</v>
      </c>
      <c r="I55" s="338">
        <f>'Accrual - Realloc (Final Alloc)'!Z58</f>
        <v>41181826.758278899</v>
      </c>
      <c r="J55" s="332">
        <f t="shared" si="7"/>
        <v>58313109.882339641</v>
      </c>
      <c r="K55" s="72"/>
      <c r="L55" s="331">
        <f>'Accrual - Realloc (Final Alloc)'!S58</f>
        <v>0</v>
      </c>
      <c r="M55" s="332">
        <f t="shared" si="8"/>
        <v>58313109.882339641</v>
      </c>
      <c r="N55" s="72"/>
      <c r="O55" s="314">
        <f>'Accrual - Realloc (Final Alloc)'!AF58</f>
        <v>952827.06171091052</v>
      </c>
      <c r="P55" s="316">
        <f>'Accrual - Realloc (Final Alloc)'!AG58</f>
        <v>984363.71926892456</v>
      </c>
      <c r="Q55" s="316">
        <f>'Accrual - Realloc (Final Alloc)'!AH58</f>
        <v>1016944.1767040596</v>
      </c>
      <c r="R55" s="316">
        <f>'Accrual - Realloc (Final Alloc)'!AI58</f>
        <v>1050602.9816909218</v>
      </c>
      <c r="S55" s="318">
        <f t="shared" si="9"/>
        <v>1001184.4848437042</v>
      </c>
      <c r="T55" s="318">
        <f t="shared" si="4"/>
        <v>83432.040403642008</v>
      </c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</row>
    <row r="56" spans="1:73" s="51" customFormat="1" ht="10.199999999999999">
      <c r="A56" s="180" t="s">
        <v>72</v>
      </c>
      <c r="B56" s="287"/>
      <c r="C56" s="287">
        <f>'Accrual - Realloc (Final Alloc)'!G59</f>
        <v>6415898.7545077344</v>
      </c>
      <c r="D56" s="287"/>
      <c r="E56" s="293">
        <f>'Accrual - Realloc (Final Alloc)'!U59</f>
        <v>2049</v>
      </c>
      <c r="F56" s="293">
        <f t="shared" si="6"/>
        <v>32</v>
      </c>
      <c r="G56" s="213"/>
      <c r="H56" s="337">
        <f>'Accrual - Realloc (Final Alloc)'!Y59</f>
        <v>6836873.8753700312</v>
      </c>
      <c r="I56" s="338">
        <f>'Accrual - Realloc (Final Alloc)'!Z59</f>
        <v>16541466.306360895</v>
      </c>
      <c r="J56" s="332">
        <f t="shared" si="7"/>
        <v>23378340.181730926</v>
      </c>
      <c r="K56" s="72"/>
      <c r="L56" s="331">
        <f>'Accrual - Realloc (Final Alloc)'!S59</f>
        <v>0</v>
      </c>
      <c r="M56" s="332">
        <f t="shared" si="8"/>
        <v>23378340.181730926</v>
      </c>
      <c r="N56" s="72"/>
      <c r="O56" s="314">
        <f>'Accrual - Realloc (Final Alloc)'!AF59</f>
        <v>355609.98932888586</v>
      </c>
      <c r="P56" s="316">
        <f>'Accrual - Realloc (Final Alloc)'!AG59</f>
        <v>370764.09715796792</v>
      </c>
      <c r="Q56" s="316">
        <f>'Accrual - Realloc (Final Alloc)'!AH59</f>
        <v>386563.98826363578</v>
      </c>
      <c r="R56" s="316">
        <f>'Accrual - Realloc (Final Alloc)'!AI59</f>
        <v>403037.18231547484</v>
      </c>
      <c r="S56" s="318">
        <f t="shared" si="9"/>
        <v>378993.8142664911</v>
      </c>
      <c r="T56" s="318">
        <f t="shared" si="4"/>
        <v>31582.817855540925</v>
      </c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</row>
    <row r="57" spans="1:73" s="51" customFormat="1" ht="10.199999999999999">
      <c r="A57" s="180" t="s">
        <v>73</v>
      </c>
      <c r="B57" s="287"/>
      <c r="C57" s="287">
        <f>'Accrual - Realloc (Final Alloc)'!G60</f>
        <v>6402368.0089665167</v>
      </c>
      <c r="D57" s="287"/>
      <c r="E57" s="293">
        <f>'Accrual - Realloc (Final Alloc)'!U60</f>
        <v>2049</v>
      </c>
      <c r="F57" s="293">
        <f t="shared" si="6"/>
        <v>32</v>
      </c>
      <c r="G57" s="213"/>
      <c r="H57" s="337">
        <f>'Accrual - Realloc (Final Alloc)'!Y60</f>
        <v>6828749.0285295574</v>
      </c>
      <c r="I57" s="338">
        <f>'Accrual - Realloc (Final Alloc)'!Z60</f>
        <v>16522170.809920879</v>
      </c>
      <c r="J57" s="332">
        <f t="shared" si="7"/>
        <v>23350919.838450436</v>
      </c>
      <c r="K57" s="72"/>
      <c r="L57" s="331">
        <f>'Accrual - Realloc (Final Alloc)'!S60</f>
        <v>0</v>
      </c>
      <c r="M57" s="332">
        <f t="shared" si="8"/>
        <v>23350919.838450436</v>
      </c>
      <c r="N57" s="72"/>
      <c r="O57" s="314">
        <f>'Accrual - Realloc (Final Alloc)'!AF60</f>
        <v>354973.84503245476</v>
      </c>
      <c r="P57" s="316">
        <f>'Accrual - Realloc (Final Alloc)'!AG60</f>
        <v>370112.88778824103</v>
      </c>
      <c r="Q57" s="316">
        <f>'Accrual - Realloc (Final Alloc)'!AH60</f>
        <v>385897.58548105677</v>
      </c>
      <c r="R57" s="316">
        <f>'Accrual - Realloc (Final Alloc)'!AI60</f>
        <v>402355.47421767138</v>
      </c>
      <c r="S57" s="318">
        <f t="shared" si="9"/>
        <v>378334.94812985597</v>
      </c>
      <c r="T57" s="318">
        <f t="shared" si="4"/>
        <v>31527.912344154665</v>
      </c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</row>
    <row r="58" spans="1:73" s="51" customFormat="1" ht="10.199999999999999">
      <c r="A58" s="312" t="s">
        <v>74</v>
      </c>
      <c r="B58" s="287"/>
      <c r="C58" s="288">
        <f>'Accrual - Realloc (Final Alloc)'!G61</f>
        <v>6389701.4411888337</v>
      </c>
      <c r="D58" s="287"/>
      <c r="E58" s="324">
        <f>'Accrual - Realloc (Final Alloc)'!U61</f>
        <v>2051</v>
      </c>
      <c r="F58" s="324">
        <f t="shared" si="6"/>
        <v>34</v>
      </c>
      <c r="G58" s="213"/>
      <c r="H58" s="339">
        <f>'Accrual - Realloc (Final Alloc)'!Y61</f>
        <v>7335239.5101845218</v>
      </c>
      <c r="I58" s="340">
        <f>'Accrual - Realloc (Final Alloc)'!Z61</f>
        <v>17751282.804566074</v>
      </c>
      <c r="J58" s="334">
        <f t="shared" si="7"/>
        <v>25086522.314750597</v>
      </c>
      <c r="K58" s="72"/>
      <c r="L58" s="333">
        <f>'Accrual - Realloc (Final Alloc)'!S61</f>
        <v>0</v>
      </c>
      <c r="M58" s="334">
        <f t="shared" si="8"/>
        <v>25086522.314750597</v>
      </c>
      <c r="N58" s="72"/>
      <c r="O58" s="315">
        <f>'Accrual - Realloc (Final Alloc)'!AF61</f>
        <v>343056.31343520206</v>
      </c>
      <c r="P58" s="317">
        <f>'Accrual - Realloc (Final Alloc)'!AG61</f>
        <v>357584.47680060059</v>
      </c>
      <c r="Q58" s="317">
        <f>'Accrual - Realloc (Final Alloc)'!AH61</f>
        <v>372727.89638635016</v>
      </c>
      <c r="R58" s="317">
        <f>'Accrual - Realloc (Final Alloc)'!AI61</f>
        <v>388512.62780644413</v>
      </c>
      <c r="S58" s="319">
        <f t="shared" si="9"/>
        <v>365470.32860714925</v>
      </c>
      <c r="T58" s="319">
        <f t="shared" si="4"/>
        <v>30455.860717262436</v>
      </c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</row>
    <row r="59" spans="1:73" s="51" customFormat="1" ht="10.199999999999999">
      <c r="B59" s="17"/>
      <c r="C59" s="17"/>
      <c r="D59" s="17"/>
      <c r="E59" s="349"/>
      <c r="F59" s="213"/>
      <c r="G59" s="213"/>
      <c r="H59" s="151"/>
      <c r="I59" s="151"/>
      <c r="J59" s="72"/>
      <c r="K59" s="72"/>
      <c r="L59" s="350"/>
      <c r="M59" s="72"/>
      <c r="N59" s="72"/>
      <c r="O59" s="72"/>
      <c r="P59" s="146"/>
      <c r="Q59" s="146"/>
      <c r="R59" s="146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</row>
    <row r="60" spans="1:73" s="91" customFormat="1">
      <c r="B60" s="351"/>
      <c r="C60" s="353">
        <f t="shared" ref="C60" si="10">SUM(C6:C59)</f>
        <v>472376186.25515652</v>
      </c>
      <c r="D60" s="351"/>
      <c r="E60" s="177"/>
      <c r="F60" s="177"/>
      <c r="G60" s="177"/>
      <c r="H60" s="354">
        <f t="shared" ref="H60:M60" si="11">SUM(H6:H59)</f>
        <v>368838493.90686959</v>
      </c>
      <c r="I60" s="354">
        <f t="shared" si="11"/>
        <v>888842689.11165309</v>
      </c>
      <c r="J60" s="354">
        <f t="shared" si="11"/>
        <v>1257681183.018523</v>
      </c>
      <c r="K60" s="177"/>
      <c r="L60" s="354">
        <f t="shared" ref="L60" si="12">SUM(L6:L59)</f>
        <v>228537843.89300004</v>
      </c>
      <c r="M60" s="354">
        <f t="shared" si="11"/>
        <v>1029143339.1255227</v>
      </c>
      <c r="O60" s="354">
        <f t="shared" ref="O60:R60" si="13">SUM(O6:O59)</f>
        <v>24691739.664840255</v>
      </c>
      <c r="P60" s="354">
        <f t="shared" si="13"/>
        <v>25832202.112125002</v>
      </c>
      <c r="Q60" s="354">
        <f t="shared" si="13"/>
        <v>27036055.372515518</v>
      </c>
      <c r="R60" s="354">
        <f t="shared" si="13"/>
        <v>28307936.131671406</v>
      </c>
      <c r="S60" s="354">
        <f>SUM(S6:S59)</f>
        <v>26466983.32028804</v>
      </c>
      <c r="T60" s="354">
        <f>SUM(T6:T59)</f>
        <v>2205581.9433573373</v>
      </c>
      <c r="U60" s="352"/>
    </row>
    <row r="61" spans="1:73" s="51" customFormat="1">
      <c r="U61" s="4"/>
    </row>
    <row r="62" spans="1:73" s="51" customFormat="1">
      <c r="A62" s="356" t="s">
        <v>115</v>
      </c>
      <c r="C62" s="357">
        <v>4520250</v>
      </c>
      <c r="E62" s="346">
        <v>2017</v>
      </c>
      <c r="F62" s="346">
        <v>1</v>
      </c>
      <c r="H62" s="344" t="s">
        <v>131</v>
      </c>
      <c r="I62" s="345" t="s">
        <v>131</v>
      </c>
      <c r="J62" s="343">
        <v>4520250</v>
      </c>
      <c r="L62" s="341">
        <v>0</v>
      </c>
      <c r="M62" s="342">
        <f>J62-L62</f>
        <v>4520250</v>
      </c>
      <c r="O62" s="347">
        <f>$M$62/4</f>
        <v>1130062.5</v>
      </c>
      <c r="P62" s="347">
        <f>$M$62/4</f>
        <v>1130062.5</v>
      </c>
      <c r="Q62" s="347">
        <f>$M$62/4</f>
        <v>1130062.5</v>
      </c>
      <c r="R62" s="347">
        <f>$M$62/4</f>
        <v>1130062.5</v>
      </c>
      <c r="S62" s="348">
        <f t="shared" ref="S62" si="14">SUM(O62:R62)/4</f>
        <v>1130062.5</v>
      </c>
      <c r="T62" s="348">
        <f t="shared" ref="T62" si="15">S62/12</f>
        <v>94171.875</v>
      </c>
      <c r="U62" s="4"/>
    </row>
    <row r="63" spans="1:73" s="51" customFormat="1">
      <c r="U63" s="4"/>
    </row>
    <row r="64" spans="1:73" s="51" customFormat="1" ht="12.6" thickBot="1">
      <c r="A64" s="355" t="s">
        <v>132</v>
      </c>
      <c r="B64" s="355"/>
      <c r="C64" s="105">
        <f>C60+C62</f>
        <v>476896436.25515652</v>
      </c>
      <c r="D64" s="355"/>
      <c r="E64" s="355"/>
      <c r="F64" s="355"/>
      <c r="G64" s="355"/>
      <c r="H64" s="105">
        <f>H60</f>
        <v>368838493.90686959</v>
      </c>
      <c r="I64" s="105">
        <f>I60</f>
        <v>888842689.11165309</v>
      </c>
      <c r="J64" s="105">
        <f>J60+J62</f>
        <v>1262201433.018523</v>
      </c>
      <c r="K64" s="355"/>
      <c r="L64" s="105">
        <f>L60+L62</f>
        <v>228537843.89300004</v>
      </c>
      <c r="M64" s="105">
        <f>M60+M62</f>
        <v>1033663589.1255227</v>
      </c>
      <c r="N64" s="355"/>
      <c r="O64" s="105">
        <f t="shared" ref="O64:T64" si="16">O60+O62</f>
        <v>25821802.164840255</v>
      </c>
      <c r="P64" s="105">
        <f t="shared" si="16"/>
        <v>26962264.612125002</v>
      </c>
      <c r="Q64" s="105">
        <f t="shared" si="16"/>
        <v>28166117.872515518</v>
      </c>
      <c r="R64" s="105">
        <f t="shared" si="16"/>
        <v>29437998.631671406</v>
      </c>
      <c r="S64" s="105">
        <f t="shared" si="16"/>
        <v>27597045.82028804</v>
      </c>
      <c r="T64" s="105">
        <f t="shared" si="16"/>
        <v>2299753.8183573373</v>
      </c>
      <c r="U64" s="4"/>
    </row>
    <row r="65" spans="1:22" s="51" customFormat="1" ht="6" customHeight="1" thickTop="1">
      <c r="A65" s="96"/>
      <c r="B65" s="96"/>
      <c r="C65" s="153"/>
      <c r="D65" s="96"/>
      <c r="E65" s="96"/>
      <c r="F65" s="96"/>
      <c r="G65" s="96"/>
      <c r="H65" s="153"/>
      <c r="I65" s="153"/>
      <c r="J65" s="153"/>
      <c r="K65" s="96"/>
      <c r="L65" s="153"/>
      <c r="M65" s="153"/>
      <c r="N65" s="96"/>
      <c r="O65" s="153"/>
      <c r="P65" s="153"/>
      <c r="Q65" s="153"/>
      <c r="R65" s="153"/>
      <c r="S65" s="153"/>
      <c r="T65" s="153"/>
      <c r="U65" s="4"/>
    </row>
    <row r="66" spans="1:22" s="51" customFormat="1">
      <c r="A66" s="18" t="s">
        <v>80</v>
      </c>
      <c r="J66" s="84"/>
      <c r="K66" s="84"/>
      <c r="L66" s="83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s="51" customFormat="1">
      <c r="A67" s="18" t="s">
        <v>81</v>
      </c>
      <c r="L67" s="212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s="51" customFormat="1">
      <c r="A68" s="18" t="s">
        <v>111</v>
      </c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s="51" customFormat="1" ht="12.6">
      <c r="A69" s="51" t="s">
        <v>85</v>
      </c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s="51" customFormat="1"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s="51" customFormat="1">
      <c r="L71" s="99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s="51" customFormat="1">
      <c r="L72" s="106"/>
      <c r="M72" s="4"/>
      <c r="N72" s="4"/>
      <c r="O72" s="4"/>
      <c r="P72" s="4"/>
      <c r="Q72" s="4"/>
      <c r="R72" s="4"/>
      <c r="S72" s="4"/>
      <c r="T72" s="4"/>
    </row>
    <row r="73" spans="1:22" s="51" customFormat="1">
      <c r="L73" s="84"/>
      <c r="M73" s="4"/>
      <c r="N73" s="4"/>
      <c r="O73" s="4"/>
      <c r="P73" s="4"/>
      <c r="Q73" s="4"/>
      <c r="R73" s="4"/>
      <c r="S73" s="4"/>
      <c r="T73" s="4"/>
    </row>
    <row r="74" spans="1:22" s="51" customFormat="1">
      <c r="L74" s="107"/>
      <c r="M74" s="4"/>
      <c r="N74" s="4"/>
      <c r="O74" s="4"/>
      <c r="P74" s="4"/>
      <c r="Q74" s="4"/>
      <c r="R74" s="4"/>
      <c r="S74" s="4"/>
      <c r="T74" s="4"/>
    </row>
    <row r="75" spans="1:22" ht="409.6">
      <c r="B75" s="51"/>
      <c r="C75" s="51"/>
      <c r="D75" s="51"/>
    </row>
    <row r="76" spans="1:22" ht="409.6">
      <c r="B76" s="51"/>
      <c r="C76" s="51"/>
      <c r="D76" s="51"/>
    </row>
    <row r="79" spans="1:22">
      <c r="U79" s="309"/>
    </row>
  </sheetData>
  <autoFilter ref="A5:S58">
    <sortState ref="A6:AN58">
      <sortCondition ref="A5:A58"/>
    </sortState>
  </autoFilter>
  <mergeCells count="4">
    <mergeCell ref="E3:F3"/>
    <mergeCell ref="H3:J3"/>
    <mergeCell ref="L3:M3"/>
    <mergeCell ref="O3:T3"/>
  </mergeCells>
  <pageMargins left="1" right="0.25" top="0.5" bottom="0.5" header="0.3" footer="0.3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78"/>
  <sheetViews>
    <sheetView workbookViewId="0">
      <pane xSplit="1" ySplit="8" topLeftCell="AD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2"/>
  <cols>
    <col min="1" max="1" width="40.5546875" style="4" customWidth="1"/>
    <col min="2" max="7" width="17.33203125" style="4" customWidth="1"/>
    <col min="8" max="8" width="12" style="4" customWidth="1"/>
    <col min="9" max="9" width="11.33203125" style="4" customWidth="1"/>
    <col min="10" max="10" width="10.88671875" style="169" customWidth="1"/>
    <col min="11" max="11" width="13.33203125" style="4" customWidth="1"/>
    <col min="12" max="13" width="12.33203125" style="169" customWidth="1"/>
    <col min="14" max="14" width="16.109375" style="169" customWidth="1"/>
    <col min="15" max="15" width="16.6640625" style="169" customWidth="1"/>
    <col min="16" max="17" width="12.33203125" style="169" customWidth="1"/>
    <col min="18" max="18" width="10.88671875" style="157" customWidth="1"/>
    <col min="19" max="19" width="11.109375" style="4" customWidth="1"/>
    <col min="20" max="20" width="11.109375" style="117" customWidth="1"/>
    <col min="21" max="21" width="9.88671875" style="4" bestFit="1" customWidth="1"/>
    <col min="22" max="22" width="10.33203125" style="4" customWidth="1"/>
    <col min="23" max="23" width="4.88671875" style="4" customWidth="1"/>
    <col min="24" max="24" width="5.44140625" style="4" customWidth="1"/>
    <col min="25" max="25" width="12.109375" style="4" bestFit="1" customWidth="1"/>
    <col min="26" max="26" width="13" style="4" bestFit="1" customWidth="1"/>
    <col min="27" max="27" width="15.6640625" style="4" bestFit="1" customWidth="1"/>
    <col min="28" max="28" width="13" style="4" bestFit="1" customWidth="1"/>
    <col min="29" max="29" width="10.33203125" style="4" customWidth="1"/>
    <col min="30" max="30" width="12.88671875" style="4" customWidth="1"/>
    <col min="31" max="31" width="2.33203125" style="4" customWidth="1"/>
    <col min="32" max="32" width="11.44140625" style="4" bestFit="1" customWidth="1"/>
    <col min="33" max="35" width="11.109375" style="4" bestFit="1" customWidth="1"/>
    <col min="36" max="36" width="13" style="4" customWidth="1"/>
    <col min="37" max="37" width="12" style="4" customWidth="1"/>
    <col min="38" max="38" width="12.33203125" style="4" customWidth="1"/>
    <col min="39" max="39" width="13.88671875" style="4" customWidth="1"/>
    <col min="40" max="40" width="18.44140625" style="4" customWidth="1"/>
    <col min="41" max="44" width="9.109375" style="4"/>
    <col min="45" max="55" width="9.6640625" style="4" bestFit="1" customWidth="1"/>
    <col min="56" max="16384" width="9.109375" style="4"/>
  </cols>
  <sheetData>
    <row r="1" spans="1:90">
      <c r="A1" s="375" t="s">
        <v>136</v>
      </c>
    </row>
    <row r="2" spans="1:90">
      <c r="A2" s="375" t="s">
        <v>134</v>
      </c>
    </row>
    <row r="4" spans="1:90">
      <c r="A4" s="173" t="s">
        <v>107</v>
      </c>
      <c r="G4" s="139">
        <v>2016</v>
      </c>
      <c r="U4" s="362" t="s">
        <v>5</v>
      </c>
      <c r="V4" s="364"/>
      <c r="W4" s="364"/>
      <c r="X4" s="363"/>
      <c r="Y4" s="368" t="s">
        <v>0</v>
      </c>
      <c r="Z4" s="368"/>
      <c r="AA4" s="368"/>
      <c r="AB4" s="368"/>
    </row>
    <row r="5" spans="1:90">
      <c r="A5" s="173" t="s">
        <v>116</v>
      </c>
      <c r="U5" s="3"/>
      <c r="V5" s="3"/>
      <c r="W5" s="3"/>
      <c r="X5" s="3"/>
      <c r="Y5" s="360">
        <v>0.3</v>
      </c>
      <c r="Z5" s="360">
        <v>0.7</v>
      </c>
      <c r="AA5" s="3"/>
    </row>
    <row r="6" spans="1:90" s="152" customFormat="1" ht="10.199999999999999">
      <c r="A6" s="173" t="s">
        <v>117</v>
      </c>
      <c r="B6" s="369" t="s">
        <v>15</v>
      </c>
      <c r="C6" s="369"/>
      <c r="D6" s="369"/>
      <c r="E6" s="369"/>
      <c r="F6" s="369"/>
      <c r="I6" s="168"/>
      <c r="J6" s="111"/>
      <c r="K6" s="168"/>
      <c r="L6" s="111"/>
      <c r="M6" s="111"/>
      <c r="N6" s="111"/>
      <c r="O6" s="111"/>
      <c r="P6" s="111"/>
      <c r="Q6" s="111"/>
      <c r="R6" s="163"/>
      <c r="S6" s="168"/>
      <c r="T6" s="115"/>
      <c r="U6" s="5"/>
      <c r="V6" s="5"/>
      <c r="W6" s="5"/>
      <c r="X6" s="5"/>
      <c r="Y6" s="361" t="s">
        <v>108</v>
      </c>
      <c r="Z6" s="361" t="s">
        <v>109</v>
      </c>
      <c r="AA6" s="5"/>
    </row>
    <row r="7" spans="1:90" s="152" customFormat="1" ht="10.199999999999999">
      <c r="B7" s="370" t="s">
        <v>79</v>
      </c>
      <c r="C7" s="370"/>
      <c r="D7" s="370"/>
      <c r="E7" s="370"/>
      <c r="F7" s="370"/>
      <c r="G7" s="133"/>
      <c r="I7" s="168"/>
      <c r="J7" s="111"/>
      <c r="K7" s="168"/>
      <c r="L7" s="172"/>
      <c r="M7" s="172"/>
      <c r="N7" s="168"/>
      <c r="O7" s="111"/>
      <c r="P7" s="111"/>
      <c r="Q7" s="111"/>
      <c r="R7" s="163"/>
      <c r="S7" s="168"/>
      <c r="T7" s="115"/>
      <c r="U7" s="5"/>
      <c r="V7" s="5"/>
      <c r="W7" s="5"/>
      <c r="X7" s="5"/>
      <c r="Y7" s="6"/>
      <c r="Z7" s="6"/>
      <c r="AA7" s="5"/>
      <c r="AF7" s="371" t="s">
        <v>123</v>
      </c>
      <c r="AG7" s="372"/>
      <c r="AH7" s="372"/>
      <c r="AI7" s="372"/>
      <c r="AJ7" s="373"/>
    </row>
    <row r="8" spans="1:90" s="68" customFormat="1" ht="30.6" customHeight="1">
      <c r="A8" s="15" t="s">
        <v>29</v>
      </c>
      <c r="B8" s="16" t="s">
        <v>75</v>
      </c>
      <c r="C8" s="16" t="s">
        <v>76</v>
      </c>
      <c r="D8" s="16" t="s">
        <v>77</v>
      </c>
      <c r="E8" s="16" t="s">
        <v>78</v>
      </c>
      <c r="F8" s="54" t="s">
        <v>82</v>
      </c>
      <c r="G8" s="140" t="s">
        <v>105</v>
      </c>
      <c r="H8" s="141" t="s">
        <v>93</v>
      </c>
      <c r="I8" s="141" t="s">
        <v>102</v>
      </c>
      <c r="J8" s="142" t="s">
        <v>100</v>
      </c>
      <c r="K8" s="176" t="s">
        <v>101</v>
      </c>
      <c r="L8" s="179" t="s">
        <v>133</v>
      </c>
      <c r="M8" s="179" t="s">
        <v>113</v>
      </c>
      <c r="N8" s="154" t="s">
        <v>16</v>
      </c>
      <c r="O8" s="154" t="s">
        <v>17</v>
      </c>
      <c r="P8" s="154" t="s">
        <v>18</v>
      </c>
      <c r="Q8" s="154" t="s">
        <v>19</v>
      </c>
      <c r="R8" s="160" t="s">
        <v>106</v>
      </c>
      <c r="S8" s="155" t="s">
        <v>92</v>
      </c>
      <c r="T8" s="143" t="s">
        <v>104</v>
      </c>
      <c r="U8" s="67" t="s">
        <v>121</v>
      </c>
      <c r="V8" s="67" t="s">
        <v>125</v>
      </c>
      <c r="W8" s="68" t="s">
        <v>4</v>
      </c>
      <c r="X8" s="68" t="s">
        <v>6</v>
      </c>
      <c r="Y8" s="67" t="s">
        <v>119</v>
      </c>
      <c r="Z8" s="67" t="s">
        <v>120</v>
      </c>
      <c r="AA8" s="68" t="s">
        <v>122</v>
      </c>
      <c r="AB8" s="67" t="s">
        <v>8</v>
      </c>
      <c r="AC8" s="67" t="s">
        <v>9</v>
      </c>
      <c r="AD8" s="67" t="s">
        <v>10</v>
      </c>
      <c r="AF8" s="313">
        <v>2017</v>
      </c>
      <c r="AG8" s="313">
        <v>2018</v>
      </c>
      <c r="AH8" s="313">
        <v>2019</v>
      </c>
      <c r="AI8" s="313">
        <v>2020</v>
      </c>
      <c r="AJ8" s="313" t="s">
        <v>124</v>
      </c>
      <c r="AK8" s="152"/>
      <c r="AL8" s="152"/>
      <c r="AM8" s="152"/>
      <c r="AN8" s="152"/>
    </row>
    <row r="9" spans="1:90" s="51" customFormat="1" ht="10.199999999999999">
      <c r="A9" s="180" t="s">
        <v>30</v>
      </c>
      <c r="B9" s="125">
        <v>3044964</v>
      </c>
      <c r="C9" s="126">
        <v>3859696</v>
      </c>
      <c r="D9" s="126">
        <v>1662840</v>
      </c>
      <c r="E9" s="127">
        <v>-3051520</v>
      </c>
      <c r="F9" s="252">
        <v>5515980</v>
      </c>
      <c r="G9" s="286">
        <f>B9*VLOOKUP(G$4,'GI Factors'!A:M,4,FALSE)+C9*VLOOKUP(G$4,'GI Factors'!A:M,7,FALSE)+D9*VLOOKUP(G$4,'GI Factors'!A:M,10,FALSE)+E9*VLOOKUP(G$4,'GI Factors'!A:M,13,FALSE)</f>
        <v>5706117.4047259334</v>
      </c>
      <c r="H9" s="256">
        <v>0</v>
      </c>
      <c r="I9" s="69">
        <v>0</v>
      </c>
      <c r="J9" s="214"/>
      <c r="K9" s="70">
        <f t="shared" ref="K9:K40" si="0">H9+I9+J9</f>
        <v>0</v>
      </c>
      <c r="L9" s="299"/>
      <c r="M9" s="300"/>
      <c r="N9" s="299">
        <f t="shared" ref="N9:N35" si="1">AA9-((V9/R9)*AA9)</f>
        <v>540283.83293310925</v>
      </c>
      <c r="O9" s="300">
        <f t="shared" ref="O9:O40" si="2">S9-N9</f>
        <v>-540283.83293310925</v>
      </c>
      <c r="P9" s="300">
        <f t="shared" ref="P9:P40" si="3">IF(O9&lt;0,0,+O9)</f>
        <v>0</v>
      </c>
      <c r="Q9" s="310">
        <f t="shared" ref="Q9:Q40" si="4">+IF(O9&gt;0,0,+O9)</f>
        <v>-540283.83293310925</v>
      </c>
      <c r="R9" s="296">
        <f t="shared" ref="R9:R40" si="5">U9-T9</f>
        <v>30</v>
      </c>
      <c r="S9" s="305">
        <f t="shared" ref="S9:S40" si="6">K9+L9+M9</f>
        <v>0</v>
      </c>
      <c r="T9" s="175">
        <v>2016</v>
      </c>
      <c r="U9" s="110">
        <v>2046</v>
      </c>
      <c r="V9" s="109">
        <f t="shared" ref="V9:V14" si="7">U9-2017</f>
        <v>29</v>
      </c>
      <c r="W9" s="109">
        <f t="shared" ref="W9:W14" si="8">U9+5</f>
        <v>2051</v>
      </c>
      <c r="X9" s="144">
        <f t="shared" ref="X9:X14" si="9">U9+6</f>
        <v>2052</v>
      </c>
      <c r="Y9" s="71">
        <f>(B9*$Y$5)*VLOOKUP(W9,'GI Factors'!A:M,4,FALSE)+(C9*$Y$5)*VLOOKUP(W9,'GI Factors'!A:M,7,FALSE)+(D9*$Y$5)*VLOOKUP(W9,'GI Factors'!A:M,10,FALSE)+(E9*$Y$5)*VLOOKUP(W9,'GI Factors'!A:M,13,FALSE)</f>
        <v>4753253.4698191714</v>
      </c>
      <c r="Z9" s="71">
        <f>(B9*$Z$5)*VLOOKUP(X9,'GI Factors'!A:M,4,FALSE)+(C9*$Z$5)*VLOOKUP(X9,'GI Factors'!A:M,7,FALSE)+(D9*$Z$5)*VLOOKUP(X9,'GI Factors'!A:M,10,FALSE)+(E9*$Z$5)*VLOOKUP(X9,'GI Factors'!A:M,13,FALSE)</f>
        <v>11455261.518174101</v>
      </c>
      <c r="AA9" s="72">
        <f t="shared" ref="AA9:AA40" si="10">SUM(Y9:Z9)</f>
        <v>16208514.987993272</v>
      </c>
      <c r="AB9" s="72">
        <f t="shared" ref="AB9:AB40" si="11">AA9-S9</f>
        <v>16208514.987993272</v>
      </c>
      <c r="AC9" s="145">
        <f t="shared" ref="AC9:AC40" si="12">RATE(V9,,-F9,AA9)</f>
        <v>3.7867918573786817E-2</v>
      </c>
      <c r="AD9" s="146">
        <f t="shared" ref="AD9:AD40" si="13">AB9/((1+AC9)^(V9))</f>
        <v>5515979.9999999749</v>
      </c>
      <c r="AE9" s="72"/>
      <c r="AF9" s="314">
        <f t="shared" ref="AF9:AF40" si="14">PMT((1+AC9)-1,V9,-AD9)</f>
        <v>316633.35621345235</v>
      </c>
      <c r="AG9" s="316">
        <f t="shared" ref="AG9:AI28" si="15">AF9*(1+$AC9)</f>
        <v>328623.60236428824</v>
      </c>
      <c r="AH9" s="316">
        <f t="shared" si="15"/>
        <v>341067.8941800436</v>
      </c>
      <c r="AI9" s="316">
        <f t="shared" si="15"/>
        <v>353983.42542498646</v>
      </c>
      <c r="AJ9" s="318">
        <f t="shared" ref="AJ9:AJ40" si="16">SUM(AF9:AI9)/4</f>
        <v>335077.06954569265</v>
      </c>
      <c r="AK9" s="148"/>
      <c r="AL9" s="148"/>
      <c r="AM9" s="148"/>
      <c r="AN9" s="148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</row>
    <row r="10" spans="1:90" s="51" customFormat="1" ht="10.199999999999999">
      <c r="A10" s="167" t="s">
        <v>32</v>
      </c>
      <c r="B10" s="217">
        <v>3973932.1616483321</v>
      </c>
      <c r="C10" s="128">
        <v>4664879.3738832539</v>
      </c>
      <c r="D10" s="128">
        <v>334053.39374473761</v>
      </c>
      <c r="E10" s="220">
        <v>-398357.96311416931</v>
      </c>
      <c r="F10" s="134">
        <v>8574506.9661621545</v>
      </c>
      <c r="G10" s="138">
        <f>B10*VLOOKUP(G$4,'GI Factors'!A:M,4,FALSE)+C10*VLOOKUP(G$4,'GI Factors'!A:M,7,FALSE)+D10*VLOOKUP(G$4,'GI Factors'!A:M,10,FALSE)+E10*VLOOKUP(G$4,'GI Factors'!A:M,13,FALSE)</f>
        <v>8763563.5903524421</v>
      </c>
      <c r="H10" s="258">
        <v>0</v>
      </c>
      <c r="I10" s="182">
        <v>0</v>
      </c>
      <c r="J10" s="112"/>
      <c r="K10" s="75">
        <f t="shared" si="0"/>
        <v>0</v>
      </c>
      <c r="L10" s="174"/>
      <c r="M10" s="89"/>
      <c r="N10" s="174">
        <f t="shared" si="1"/>
        <v>2893013.1294791549</v>
      </c>
      <c r="O10" s="89">
        <f t="shared" si="2"/>
        <v>-2893013.1294791549</v>
      </c>
      <c r="P10" s="89">
        <f t="shared" si="3"/>
        <v>0</v>
      </c>
      <c r="Q10" s="178">
        <f t="shared" si="4"/>
        <v>-2893013.1294791549</v>
      </c>
      <c r="R10" s="165">
        <f t="shared" si="5"/>
        <v>40</v>
      </c>
      <c r="S10" s="159">
        <f t="shared" si="6"/>
        <v>0</v>
      </c>
      <c r="T10" s="307">
        <v>2013</v>
      </c>
      <c r="U10" s="293">
        <v>2053</v>
      </c>
      <c r="V10" s="109">
        <f t="shared" si="7"/>
        <v>36</v>
      </c>
      <c r="W10" s="109">
        <f t="shared" si="8"/>
        <v>2058</v>
      </c>
      <c r="X10" s="144">
        <f t="shared" si="9"/>
        <v>2059</v>
      </c>
      <c r="Y10" s="71">
        <f>(B10*$Y$5)*VLOOKUP(W10,'GI Factors'!A:M,4,FALSE)+(C10*$Y$5)*VLOOKUP(W10,'GI Factors'!A:M,7,FALSE)+(D10*$Y$5)*VLOOKUP(W10,'GI Factors'!A:M,10,FALSE)+(E10*$Y$5)*VLOOKUP(W10,'GI Factors'!A:M,13,FALSE)</f>
        <v>8491333.4568994287</v>
      </c>
      <c r="Z10" s="71">
        <f>(B10*$Z$5)*VLOOKUP(X10,'GI Factors'!A:M,4,FALSE)+(C10*$Z$5)*VLOOKUP(X10,'GI Factors'!A:M,7,FALSE)+(D10*$Z$5)*VLOOKUP(X10,'GI Factors'!A:M,10,FALSE)+(E10*$Z$5)*VLOOKUP(X10,'GI Factors'!A:M,13,FALSE)</f>
        <v>20438797.837892119</v>
      </c>
      <c r="AA10" s="72">
        <f t="shared" si="10"/>
        <v>28930131.294791549</v>
      </c>
      <c r="AB10" s="72">
        <f t="shared" si="11"/>
        <v>28930131.294791549</v>
      </c>
      <c r="AC10" s="145">
        <f t="shared" si="12"/>
        <v>3.4357315142959359E-2</v>
      </c>
      <c r="AD10" s="146">
        <f t="shared" si="13"/>
        <v>8574506.9661621954</v>
      </c>
      <c r="AE10" s="72"/>
      <c r="AF10" s="314">
        <f t="shared" si="14"/>
        <v>418691.70170003938</v>
      </c>
      <c r="AG10" s="316">
        <f t="shared" si="15"/>
        <v>433076.82444308954</v>
      </c>
      <c r="AH10" s="316">
        <f t="shared" si="15"/>
        <v>447956.18138159282</v>
      </c>
      <c r="AI10" s="316">
        <f t="shared" si="15"/>
        <v>463346.75307555683</v>
      </c>
      <c r="AJ10" s="318">
        <f t="shared" si="16"/>
        <v>440767.86515006964</v>
      </c>
      <c r="AK10" s="148"/>
      <c r="AL10" s="148"/>
      <c r="AM10" s="148"/>
      <c r="AN10" s="148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</row>
    <row r="11" spans="1:90" s="51" customFormat="1" ht="10.199999999999999">
      <c r="A11" s="167" t="s">
        <v>31</v>
      </c>
      <c r="B11" s="217">
        <v>5159805.4786179485</v>
      </c>
      <c r="C11" s="128">
        <v>5637771.4381366847</v>
      </c>
      <c r="D11" s="128">
        <v>218919.64204752669</v>
      </c>
      <c r="E11" s="219">
        <v>-4218239.1345979208</v>
      </c>
      <c r="F11" s="134">
        <v>6798257.4242042387</v>
      </c>
      <c r="G11" s="138">
        <f>B11*VLOOKUP(G$4,'GI Factors'!A:M,4,FALSE)+C11*VLOOKUP(G$4,'GI Factors'!A:M,7,FALSE)+D11*VLOOKUP(G$4,'GI Factors'!A:M,10,FALSE)+E11*VLOOKUP(G$4,'GI Factors'!A:M,13,FALSE)</f>
        <v>7056152.263419928</v>
      </c>
      <c r="H11" s="257">
        <v>0</v>
      </c>
      <c r="I11" s="181">
        <v>0</v>
      </c>
      <c r="J11" s="112"/>
      <c r="K11" s="75">
        <f t="shared" si="0"/>
        <v>0</v>
      </c>
      <c r="L11" s="174"/>
      <c r="M11" s="89"/>
      <c r="N11" s="174">
        <f t="shared" si="1"/>
        <v>2828261.7840232663</v>
      </c>
      <c r="O11" s="89">
        <f t="shared" si="2"/>
        <v>-2828261.7840232663</v>
      </c>
      <c r="P11" s="89">
        <f t="shared" si="3"/>
        <v>0</v>
      </c>
      <c r="Q11" s="178">
        <f t="shared" si="4"/>
        <v>-2828261.7840232663</v>
      </c>
      <c r="R11" s="165">
        <f t="shared" si="5"/>
        <v>40</v>
      </c>
      <c r="S11" s="159">
        <f t="shared" si="6"/>
        <v>0</v>
      </c>
      <c r="T11" s="307">
        <v>2013</v>
      </c>
      <c r="U11" s="293">
        <v>2053</v>
      </c>
      <c r="V11" s="213">
        <f t="shared" si="7"/>
        <v>36</v>
      </c>
      <c r="W11" s="213">
        <f t="shared" si="8"/>
        <v>2058</v>
      </c>
      <c r="X11" s="289">
        <f t="shared" si="9"/>
        <v>2059</v>
      </c>
      <c r="Y11" s="71">
        <f>(B11*$Y$5)*VLOOKUP(W11,'GI Factors'!A:M,4,FALSE)+(C11*$Y$5)*VLOOKUP(W11,'GI Factors'!A:M,7,FALSE)+(D11*$Y$5)*VLOOKUP(W11,'GI Factors'!A:M,10,FALSE)+(E11*$Y$5)*VLOOKUP(W11,'GI Factors'!A:M,13,FALSE)</f>
        <v>8275121.9681085814</v>
      </c>
      <c r="Z11" s="71">
        <f>(B11*$Z$5)*VLOOKUP(X11,'GI Factors'!A:M,4,FALSE)+(C11*$Z$5)*VLOOKUP(X11,'GI Factors'!A:M,7,FALSE)+(D11*$Z$5)*VLOOKUP(X11,'GI Factors'!A:M,10,FALSE)+(E11*$Z$5)*VLOOKUP(X11,'GI Factors'!A:M,13,FALSE)</f>
        <v>20007495.872124095</v>
      </c>
      <c r="AA11" s="72">
        <f t="shared" si="10"/>
        <v>28282617.840232678</v>
      </c>
      <c r="AB11" s="72">
        <f t="shared" si="11"/>
        <v>28282617.840232678</v>
      </c>
      <c r="AC11" s="145">
        <f t="shared" si="12"/>
        <v>4.0393986558324671E-2</v>
      </c>
      <c r="AD11" s="146">
        <f t="shared" si="13"/>
        <v>6798257.4242042238</v>
      </c>
      <c r="AE11" s="72"/>
      <c r="AF11" s="314">
        <f t="shared" si="14"/>
        <v>361502.66077531036</v>
      </c>
      <c r="AG11" s="316">
        <f t="shared" si="15"/>
        <v>376105.19439546688</v>
      </c>
      <c r="AH11" s="316">
        <f t="shared" si="15"/>
        <v>391297.58256239345</v>
      </c>
      <c r="AI11" s="316">
        <f t="shared" si="15"/>
        <v>407103.65185272373</v>
      </c>
      <c r="AJ11" s="318">
        <f t="shared" si="16"/>
        <v>384002.27239647362</v>
      </c>
      <c r="AK11" s="148"/>
      <c r="AL11" s="148"/>
      <c r="AM11" s="148"/>
      <c r="AN11" s="148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</row>
    <row r="12" spans="1:90" s="51" customFormat="1" ht="10.199999999999999">
      <c r="A12" s="180" t="s">
        <v>34</v>
      </c>
      <c r="B12" s="217">
        <v>3044964</v>
      </c>
      <c r="C12" s="128">
        <v>3859696</v>
      </c>
      <c r="D12" s="128">
        <v>1662840</v>
      </c>
      <c r="E12" s="224">
        <v>-3051520</v>
      </c>
      <c r="F12" s="134">
        <v>5515980</v>
      </c>
      <c r="G12" s="138">
        <f>B12*VLOOKUP(G$4,'GI Factors'!A:M,4,FALSE)+C12*VLOOKUP(G$4,'GI Factors'!A:M,7,FALSE)+D12*VLOOKUP(G$4,'GI Factors'!A:M,10,FALSE)+E12*VLOOKUP(G$4,'GI Factors'!A:M,13,FALSE)</f>
        <v>5706117.4047259334</v>
      </c>
      <c r="H12" s="257">
        <v>0</v>
      </c>
      <c r="I12" s="210"/>
      <c r="J12" s="112"/>
      <c r="K12" s="75">
        <f t="shared" si="0"/>
        <v>0</v>
      </c>
      <c r="L12" s="174"/>
      <c r="M12" s="212"/>
      <c r="N12" s="174">
        <f t="shared" si="1"/>
        <v>540283.83293310925</v>
      </c>
      <c r="O12" s="89">
        <f t="shared" si="2"/>
        <v>-540283.83293310925</v>
      </c>
      <c r="P12" s="89">
        <f t="shared" si="3"/>
        <v>0</v>
      </c>
      <c r="Q12" s="178">
        <f t="shared" si="4"/>
        <v>-540283.83293310925</v>
      </c>
      <c r="R12" s="165">
        <f t="shared" si="5"/>
        <v>30</v>
      </c>
      <c r="S12" s="159">
        <f t="shared" si="6"/>
        <v>0</v>
      </c>
      <c r="T12" s="307">
        <v>2016</v>
      </c>
      <c r="U12" s="293">
        <v>2046</v>
      </c>
      <c r="V12" s="109">
        <f t="shared" si="7"/>
        <v>29</v>
      </c>
      <c r="W12" s="109">
        <f t="shared" si="8"/>
        <v>2051</v>
      </c>
      <c r="X12" s="144">
        <f t="shared" si="9"/>
        <v>2052</v>
      </c>
      <c r="Y12" s="71">
        <f>(B12*$Y$5)*VLOOKUP(W12,'GI Factors'!A:M,4,FALSE)+(C12*$Y$5)*VLOOKUP(W12,'GI Factors'!A:M,7,FALSE)+(D12*$Y$5)*VLOOKUP(W12,'GI Factors'!A:M,10,FALSE)+(E12*$Y$5)*VLOOKUP(W12,'GI Factors'!A:M,13,FALSE)</f>
        <v>4753253.4698191714</v>
      </c>
      <c r="Z12" s="71">
        <f>(B12*$Z$5)*VLOOKUP(X12,'GI Factors'!A:M,4,FALSE)+(C12*$Z$5)*VLOOKUP(X12,'GI Factors'!A:M,7,FALSE)+(D12*$Z$5)*VLOOKUP(X12,'GI Factors'!A:M,10,FALSE)+(E12*$Z$5)*VLOOKUP(X12,'GI Factors'!A:M,13,FALSE)</f>
        <v>11455261.518174101</v>
      </c>
      <c r="AA12" s="72">
        <f t="shared" si="10"/>
        <v>16208514.987993272</v>
      </c>
      <c r="AB12" s="72">
        <f t="shared" si="11"/>
        <v>16208514.987993272</v>
      </c>
      <c r="AC12" s="145">
        <f t="shared" si="12"/>
        <v>3.7867918573786817E-2</v>
      </c>
      <c r="AD12" s="146">
        <f t="shared" si="13"/>
        <v>5515979.9999999749</v>
      </c>
      <c r="AE12" s="72"/>
      <c r="AF12" s="314">
        <f t="shared" si="14"/>
        <v>316633.35621345235</v>
      </c>
      <c r="AG12" s="316">
        <f t="shared" si="15"/>
        <v>328623.60236428824</v>
      </c>
      <c r="AH12" s="316">
        <f t="shared" si="15"/>
        <v>341067.8941800436</v>
      </c>
      <c r="AI12" s="316">
        <f t="shared" si="15"/>
        <v>353983.42542498646</v>
      </c>
      <c r="AJ12" s="318">
        <f t="shared" si="16"/>
        <v>335077.06954569265</v>
      </c>
      <c r="AK12" s="148"/>
      <c r="AL12" s="148"/>
      <c r="AM12" s="148"/>
      <c r="AN12" s="148"/>
      <c r="AO12" s="147"/>
      <c r="AP12" s="147"/>
      <c r="AQ12" s="147"/>
      <c r="AR12" s="147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</row>
    <row r="13" spans="1:90" s="51" customFormat="1" ht="10.199999999999999">
      <c r="A13" s="129" t="s">
        <v>33</v>
      </c>
      <c r="B13" s="221">
        <v>1067800</v>
      </c>
      <c r="C13" s="222">
        <v>1383509.21</v>
      </c>
      <c r="D13" s="222">
        <v>558000</v>
      </c>
      <c r="E13" s="223">
        <v>-1037430.921</v>
      </c>
      <c r="F13" s="254">
        <v>1971878.2889999999</v>
      </c>
      <c r="G13" s="138">
        <f>B13*VLOOKUP(G$4,'GI Factors'!A:M,4,FALSE)+C13*VLOOKUP(G$4,'GI Factors'!A:M,7,FALSE)+D13*VLOOKUP(G$4,'GI Factors'!A:M,10,FALSE)+E13*VLOOKUP(G$4,'GI Factors'!A:M,13,FALSE)</f>
        <v>2038159.7234084173</v>
      </c>
      <c r="H13" s="259">
        <v>430189</v>
      </c>
      <c r="I13" s="183">
        <v>78767</v>
      </c>
      <c r="J13" s="112"/>
      <c r="K13" s="75">
        <f t="shared" si="0"/>
        <v>508956</v>
      </c>
      <c r="L13" s="174"/>
      <c r="M13" s="89"/>
      <c r="N13" s="174">
        <f t="shared" si="1"/>
        <v>1226136.3729148372</v>
      </c>
      <c r="O13" s="89">
        <f t="shared" si="2"/>
        <v>-717180.37291483721</v>
      </c>
      <c r="P13" s="89">
        <f t="shared" si="3"/>
        <v>0</v>
      </c>
      <c r="Q13" s="178">
        <f t="shared" si="4"/>
        <v>-717180.37291483721</v>
      </c>
      <c r="R13" s="165">
        <f t="shared" si="5"/>
        <v>30</v>
      </c>
      <c r="S13" s="159">
        <f t="shared" si="6"/>
        <v>508956</v>
      </c>
      <c r="T13" s="307">
        <v>2009</v>
      </c>
      <c r="U13" s="293">
        <v>2039</v>
      </c>
      <c r="V13" s="109">
        <f t="shared" si="7"/>
        <v>22</v>
      </c>
      <c r="W13" s="109">
        <f t="shared" si="8"/>
        <v>2044</v>
      </c>
      <c r="X13" s="144">
        <f t="shared" si="9"/>
        <v>2045</v>
      </c>
      <c r="Y13" s="71">
        <f>(B13*$Y$5)*VLOOKUP(W13,'GI Factors'!A:M,4,FALSE)+(C13*$Y$5)*VLOOKUP(W13,'GI Factors'!A:M,7,FALSE)+(D13*$Y$5)*VLOOKUP(W13,'GI Factors'!A:M,10,FALSE)+(E13*$Y$5)*VLOOKUP(W13,'GI Factors'!A:M,13,FALSE)</f>
        <v>1349541.4076519923</v>
      </c>
      <c r="Z13" s="71">
        <f>(B13*$Z$5)*VLOOKUP(X13,'GI Factors'!A:M,4,FALSE)+(C13*$Z$5)*VLOOKUP(X13,'GI Factors'!A:M,7,FALSE)+(D13*$Z$5)*VLOOKUP(X13,'GI Factors'!A:M,10,FALSE)+(E13*$Z$5)*VLOOKUP(X13,'GI Factors'!A:M,13,FALSE)</f>
        <v>3248469.9907786455</v>
      </c>
      <c r="AA13" s="72">
        <f t="shared" si="10"/>
        <v>4598011.398430638</v>
      </c>
      <c r="AB13" s="72">
        <f t="shared" si="11"/>
        <v>4089055.398430638</v>
      </c>
      <c r="AC13" s="145">
        <f t="shared" si="12"/>
        <v>3.9233598370390713E-2</v>
      </c>
      <c r="AD13" s="146">
        <f t="shared" si="13"/>
        <v>1753610.1727446096</v>
      </c>
      <c r="AE13" s="72"/>
      <c r="AF13" s="314">
        <f t="shared" si="14"/>
        <v>120460.45701139492</v>
      </c>
      <c r="AG13" s="316">
        <f t="shared" si="15"/>
        <v>125186.55420129369</v>
      </c>
      <c r="AH13" s="316">
        <f t="shared" si="15"/>
        <v>130098.07319020039</v>
      </c>
      <c r="AI13" s="316">
        <f t="shared" si="15"/>
        <v>135202.28874250641</v>
      </c>
      <c r="AJ13" s="318">
        <f t="shared" si="16"/>
        <v>127736.84328634886</v>
      </c>
      <c r="AK13" s="148"/>
      <c r="AL13" s="148"/>
      <c r="AM13" s="148"/>
      <c r="AN13" s="148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</row>
    <row r="14" spans="1:90" s="51" customFormat="1" ht="10.199999999999999">
      <c r="A14" s="180" t="s">
        <v>35</v>
      </c>
      <c r="B14" s="217">
        <v>8062399.6192499604</v>
      </c>
      <c r="C14" s="128">
        <v>10718701.399752531</v>
      </c>
      <c r="D14" s="128">
        <v>671070.03265045525</v>
      </c>
      <c r="E14" s="225">
        <v>-820745.70704456419</v>
      </c>
      <c r="F14" s="134">
        <v>18631425.344608381</v>
      </c>
      <c r="G14" s="138">
        <f>B14*VLOOKUP(G$4,'GI Factors'!A:M,4,FALSE)+C14*VLOOKUP(G$4,'GI Factors'!A:M,7,FALSE)+D14*VLOOKUP(G$4,'GI Factors'!A:M,10,FALSE)+E14*VLOOKUP(G$4,'GI Factors'!A:M,13,FALSE)</f>
        <v>19026452.824029006</v>
      </c>
      <c r="H14" s="257">
        <v>0</v>
      </c>
      <c r="I14" s="210">
        <v>0</v>
      </c>
      <c r="J14" s="112"/>
      <c r="K14" s="75">
        <f t="shared" si="0"/>
        <v>0</v>
      </c>
      <c r="L14" s="174"/>
      <c r="M14" s="212"/>
      <c r="N14" s="174">
        <f t="shared" si="1"/>
        <v>20466018.797910817</v>
      </c>
      <c r="O14" s="89">
        <f t="shared" si="2"/>
        <v>-20466018.797910817</v>
      </c>
      <c r="P14" s="89">
        <f t="shared" si="3"/>
        <v>0</v>
      </c>
      <c r="Q14" s="178">
        <f t="shared" si="4"/>
        <v>-20466018.797910817</v>
      </c>
      <c r="R14" s="165">
        <f t="shared" si="5"/>
        <v>40</v>
      </c>
      <c r="S14" s="159">
        <f t="shared" si="6"/>
        <v>0</v>
      </c>
      <c r="T14" s="307">
        <v>1993</v>
      </c>
      <c r="U14" s="293">
        <v>2033</v>
      </c>
      <c r="V14" s="109">
        <f t="shared" si="7"/>
        <v>16</v>
      </c>
      <c r="W14" s="109">
        <f t="shared" si="8"/>
        <v>2038</v>
      </c>
      <c r="X14" s="144">
        <f t="shared" si="9"/>
        <v>2039</v>
      </c>
      <c r="Y14" s="71">
        <f>(B14*$Y$5)*VLOOKUP(W14,'GI Factors'!A:M,4,FALSE)+(C14*$Y$5)*VLOOKUP(W14,'GI Factors'!A:M,7,FALSE)+(D14*$Y$5)*VLOOKUP(W14,'GI Factors'!A:M,10,FALSE)+(E14*$Y$5)*VLOOKUP(W14,'GI Factors'!A:M,13,FALSE)</f>
        <v>10039812.632843552</v>
      </c>
      <c r="Z14" s="71">
        <f>(B14*$Z$5)*VLOOKUP(X14,'GI Factors'!A:M,4,FALSE)+(C14*$Z$5)*VLOOKUP(X14,'GI Factors'!A:M,7,FALSE)+(D14*$Z$5)*VLOOKUP(X14,'GI Factors'!A:M,10,FALSE)+(E14*$Z$5)*VLOOKUP(X14,'GI Factors'!A:M,13,FALSE)</f>
        <v>24070218.697007805</v>
      </c>
      <c r="AA14" s="72">
        <f t="shared" si="10"/>
        <v>34110031.329851359</v>
      </c>
      <c r="AB14" s="72">
        <f t="shared" si="11"/>
        <v>34110031.329851359</v>
      </c>
      <c r="AC14" s="145">
        <f t="shared" si="12"/>
        <v>3.8519731418918693E-2</v>
      </c>
      <c r="AD14" s="146">
        <f t="shared" si="13"/>
        <v>18631425.344608366</v>
      </c>
      <c r="AE14" s="72"/>
      <c r="AF14" s="314">
        <f t="shared" si="14"/>
        <v>1581537.9008145386</v>
      </c>
      <c r="AG14" s="316">
        <f t="shared" si="15"/>
        <v>1642458.315982755</v>
      </c>
      <c r="AH14" s="316">
        <f t="shared" si="15"/>
        <v>1705725.3691811804</v>
      </c>
      <c r="AI14" s="316">
        <f t="shared" si="15"/>
        <v>1771429.4522764755</v>
      </c>
      <c r="AJ14" s="318">
        <f t="shared" si="16"/>
        <v>1675287.7595637375</v>
      </c>
      <c r="AK14" s="148"/>
      <c r="AL14" s="148"/>
      <c r="AM14" s="148"/>
      <c r="AN14" s="148"/>
      <c r="AO14" s="147"/>
      <c r="AP14" s="147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</row>
    <row r="15" spans="1:90" s="76" customFormat="1" ht="10.199999999999999">
      <c r="A15" s="180" t="s">
        <v>36</v>
      </c>
      <c r="B15" s="226">
        <v>271431.89180514473</v>
      </c>
      <c r="C15" s="227">
        <v>296575.32117438159</v>
      </c>
      <c r="D15" s="227">
        <v>11900.840811585518</v>
      </c>
      <c r="E15" s="130">
        <v>-331988.41350159526</v>
      </c>
      <c r="F15" s="253">
        <v>247919.64028951654</v>
      </c>
      <c r="G15" s="287">
        <f>B15*VLOOKUP(G$4,'GI Factors'!A:M,4,FALSE)+C15*VLOOKUP(G$4,'GI Factors'!A:M,7,FALSE)+D15*VLOOKUP(G$4,'GI Factors'!A:M,10,FALSE)+E15*VLOOKUP(G$4,'GI Factors'!A:M,13,FALSE)</f>
        <v>262102.5072999493</v>
      </c>
      <c r="H15" s="136">
        <v>410083.62</v>
      </c>
      <c r="I15" s="52">
        <v>16744</v>
      </c>
      <c r="J15" s="215"/>
      <c r="K15" s="210">
        <f t="shared" si="0"/>
        <v>426827.62</v>
      </c>
      <c r="L15" s="301">
        <v>-151377.59</v>
      </c>
      <c r="M15" s="212"/>
      <c r="N15" s="301">
        <f t="shared" si="1"/>
        <v>275450.03234691627</v>
      </c>
      <c r="O15" s="212">
        <f t="shared" si="2"/>
        <v>-2.3469162406399846E-3</v>
      </c>
      <c r="P15" s="212">
        <f t="shared" si="3"/>
        <v>0</v>
      </c>
      <c r="Q15" s="302">
        <f t="shared" si="4"/>
        <v>-2.3469162406399846E-3</v>
      </c>
      <c r="R15" s="297">
        <f t="shared" si="5"/>
        <v>47</v>
      </c>
      <c r="S15" s="294">
        <f t="shared" si="6"/>
        <v>275450.03000000003</v>
      </c>
      <c r="T15" s="307">
        <v>1970</v>
      </c>
      <c r="U15" s="293">
        <v>2017</v>
      </c>
      <c r="V15" s="109">
        <v>1</v>
      </c>
      <c r="W15" s="109">
        <f>U15</f>
        <v>2017</v>
      </c>
      <c r="X15" s="144">
        <f>U15+1</f>
        <v>2018</v>
      </c>
      <c r="Y15" s="71">
        <f>(B15*$Y$5)*VLOOKUP(W15,'GI Factors'!A:M,4,FALSE)+(C15*$Y$5)*VLOOKUP(W15,'GI Factors'!A:M,7,FALSE)+(D15*$Y$5)*VLOOKUP(W15,'GI Factors'!A:M,10,FALSE)+(E15*$Y$5)*VLOOKUP(W15,'GI Factors'!A:M,13,FALSE)</f>
        <v>82382.893804968364</v>
      </c>
      <c r="Z15" s="71">
        <f>(B15*$Z$5)*VLOOKUP(X15,'GI Factors'!A:M,4,FALSE)+(C15*$Z$5)*VLOOKUP(X15,'GI Factors'!A:M,7,FALSE)+(D15*$Z$5)*VLOOKUP(X15,'GI Factors'!A:M,10,FALSE)+(E15*$Z$5)*VLOOKUP(X15,'GI Factors'!A:M,13,FALSE)</f>
        <v>199055.18272340257</v>
      </c>
      <c r="AA15" s="72">
        <f t="shared" si="10"/>
        <v>281438.07652837096</v>
      </c>
      <c r="AB15" s="72">
        <f t="shared" si="11"/>
        <v>5988.0465283709345</v>
      </c>
      <c r="AC15" s="145">
        <f t="shared" si="12"/>
        <v>0.13519879344658675</v>
      </c>
      <c r="AD15" s="146">
        <f t="shared" si="13"/>
        <v>5274.8880310122377</v>
      </c>
      <c r="AE15" s="72"/>
      <c r="AF15" s="314">
        <f t="shared" si="14"/>
        <v>5988.0465283709336</v>
      </c>
      <c r="AG15" s="316">
        <f t="shared" si="15"/>
        <v>6797.6231941087071</v>
      </c>
      <c r="AH15" s="316">
        <f t="shared" si="15"/>
        <v>7716.6536482567381</v>
      </c>
      <c r="AI15" s="316">
        <f t="shared" si="15"/>
        <v>8759.9359109462512</v>
      </c>
      <c r="AJ15" s="318">
        <f t="shared" si="16"/>
        <v>7315.5648204206573</v>
      </c>
      <c r="AK15" s="148"/>
      <c r="AL15" s="148"/>
      <c r="AM15" s="148"/>
      <c r="AN15" s="148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</row>
    <row r="16" spans="1:90" s="51" customFormat="1" ht="10.199999999999999">
      <c r="A16" s="180" t="s">
        <v>37</v>
      </c>
      <c r="B16" s="217">
        <v>2874980.8662223225</v>
      </c>
      <c r="C16" s="128">
        <v>3141297.6865009856</v>
      </c>
      <c r="D16" s="128">
        <v>163420.23671151724</v>
      </c>
      <c r="E16" s="228">
        <v>-2033814.1653708604</v>
      </c>
      <c r="F16" s="134">
        <v>4145884.6240639649</v>
      </c>
      <c r="G16" s="138">
        <f>B16*VLOOKUP(G$4,'GI Factors'!A:M,4,FALSE)+C16*VLOOKUP(G$4,'GI Factors'!A:M,7,FALSE)+D16*VLOOKUP(G$4,'GI Factors'!A:M,10,FALSE)+E16*VLOOKUP(G$4,'GI Factors'!A:M,13,FALSE)</f>
        <v>4288639.1195963621</v>
      </c>
      <c r="H16" s="260">
        <v>14406436.52</v>
      </c>
      <c r="I16" s="184">
        <v>744341</v>
      </c>
      <c r="J16" s="112"/>
      <c r="K16" s="75">
        <f t="shared" si="0"/>
        <v>15150777.52</v>
      </c>
      <c r="L16" s="174">
        <v>-10059358.59</v>
      </c>
      <c r="M16" s="89"/>
      <c r="N16" s="174">
        <f t="shared" si="1"/>
        <v>5091418.9270614516</v>
      </c>
      <c r="O16" s="89">
        <f t="shared" si="2"/>
        <v>2.9385481029748917E-3</v>
      </c>
      <c r="P16" s="89">
        <f t="shared" si="3"/>
        <v>2.9385481029748917E-3</v>
      </c>
      <c r="Q16" s="178">
        <f t="shared" si="4"/>
        <v>0</v>
      </c>
      <c r="R16" s="165">
        <f t="shared" si="5"/>
        <v>40</v>
      </c>
      <c r="S16" s="159">
        <f t="shared" si="6"/>
        <v>5091418.93</v>
      </c>
      <c r="T16" s="307">
        <v>1993</v>
      </c>
      <c r="U16" s="293">
        <v>2033</v>
      </c>
      <c r="V16" s="109">
        <f>U16-2017</f>
        <v>16</v>
      </c>
      <c r="W16" s="109">
        <f>U16+5</f>
        <v>2038</v>
      </c>
      <c r="X16" s="144">
        <f>U16+6</f>
        <v>2039</v>
      </c>
      <c r="Y16" s="71">
        <f>(B16*$Y$5)*VLOOKUP(W16,'GI Factors'!A:M,4,FALSE)+(C16*$Y$5)*VLOOKUP(W16,'GI Factors'!A:M,7,FALSE)+(D16*$Y$5)*VLOOKUP(W16,'GI Factors'!A:M,10,FALSE)+(E16*$Y$5)*VLOOKUP(W16,'GI Factors'!A:M,13,FALSE)</f>
        <v>2490179.4915038822</v>
      </c>
      <c r="Z16" s="71">
        <f>(B16*$Z$5)*VLOOKUP(X16,'GI Factors'!A:M,4,FALSE)+(C16*$Z$5)*VLOOKUP(X16,'GI Factors'!A:M,7,FALSE)+(D16*$Z$5)*VLOOKUP(X16,'GI Factors'!A:M,10,FALSE)+(E16*$Z$5)*VLOOKUP(X16,'GI Factors'!A:M,13,FALSE)</f>
        <v>5995518.7202652022</v>
      </c>
      <c r="AA16" s="72">
        <f t="shared" si="10"/>
        <v>8485698.2117690854</v>
      </c>
      <c r="AB16" s="72">
        <f t="shared" si="11"/>
        <v>3394279.2817690857</v>
      </c>
      <c r="AC16" s="145">
        <f t="shared" si="12"/>
        <v>4.578377148986338E-2</v>
      </c>
      <c r="AD16" s="146">
        <f t="shared" si="13"/>
        <v>1658353.8481898867</v>
      </c>
      <c r="AE16" s="72"/>
      <c r="AF16" s="314">
        <f t="shared" si="14"/>
        <v>148458.57078514862</v>
      </c>
      <c r="AG16" s="316">
        <f t="shared" si="15"/>
        <v>155255.56406568759</v>
      </c>
      <c r="AH16" s="316">
        <f t="shared" si="15"/>
        <v>162363.74933340089</v>
      </c>
      <c r="AI16" s="316">
        <f t="shared" si="15"/>
        <v>169797.37413111879</v>
      </c>
      <c r="AJ16" s="318">
        <f t="shared" si="16"/>
        <v>158968.81457883897</v>
      </c>
      <c r="AK16" s="148"/>
      <c r="AL16" s="148"/>
      <c r="AM16" s="148"/>
      <c r="AN16" s="148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</row>
    <row r="17" spans="1:90" s="51" customFormat="1" ht="10.199999999999999">
      <c r="A17" s="180" t="s">
        <v>38</v>
      </c>
      <c r="B17" s="217">
        <v>2873673.6350777852</v>
      </c>
      <c r="C17" s="128">
        <v>3139869.3631968894</v>
      </c>
      <c r="D17" s="128">
        <v>163420.23671151724</v>
      </c>
      <c r="E17" s="228">
        <v>-2038541.4686474747</v>
      </c>
      <c r="F17" s="134">
        <v>4138421.7663387172</v>
      </c>
      <c r="G17" s="138">
        <f>B17*VLOOKUP(G$4,'GI Factors'!A:M,4,FALSE)+C17*VLOOKUP(G$4,'GI Factors'!A:M,7,FALSE)+D17*VLOOKUP(G$4,'GI Factors'!A:M,10,FALSE)+E17*VLOOKUP(G$4,'GI Factors'!A:M,13,FALSE)</f>
        <v>4281144.0591523983</v>
      </c>
      <c r="H17" s="260">
        <v>11279747.52</v>
      </c>
      <c r="I17" s="184">
        <v>594360</v>
      </c>
      <c r="J17" s="112"/>
      <c r="K17" s="75">
        <f t="shared" si="0"/>
        <v>11874107.52</v>
      </c>
      <c r="L17" s="174">
        <v>-6790061.5800000001</v>
      </c>
      <c r="M17" s="89"/>
      <c r="N17" s="174">
        <f t="shared" si="1"/>
        <v>5084045.9412253872</v>
      </c>
      <c r="O17" s="89">
        <f t="shared" si="2"/>
        <v>-1.2253876775503159E-3</v>
      </c>
      <c r="P17" s="89">
        <f t="shared" si="3"/>
        <v>0</v>
      </c>
      <c r="Q17" s="178">
        <f t="shared" si="4"/>
        <v>-1.2253876775503159E-3</v>
      </c>
      <c r="R17" s="165">
        <f t="shared" si="5"/>
        <v>40</v>
      </c>
      <c r="S17" s="159">
        <f t="shared" si="6"/>
        <v>5084045.9399999995</v>
      </c>
      <c r="T17" s="307">
        <v>1993</v>
      </c>
      <c r="U17" s="293">
        <v>2033</v>
      </c>
      <c r="V17" s="109">
        <f>U17-2017</f>
        <v>16</v>
      </c>
      <c r="W17" s="109">
        <f>U17+5</f>
        <v>2038</v>
      </c>
      <c r="X17" s="144">
        <f>U17+6</f>
        <v>2039</v>
      </c>
      <c r="Y17" s="71">
        <f>(B17*$Y$5)*VLOOKUP(W17,'GI Factors'!A:M,4,FALSE)+(C17*$Y$5)*VLOOKUP(W17,'GI Factors'!A:M,7,FALSE)+(D17*$Y$5)*VLOOKUP(W17,'GI Factors'!A:M,10,FALSE)+(E17*$Y$5)*VLOOKUP(W17,'GI Factors'!A:M,13,FALSE)</f>
        <v>2486551.7710901555</v>
      </c>
      <c r="Z17" s="71">
        <f>(B17*$Z$5)*VLOOKUP(X17,'GI Factors'!A:M,4,FALSE)+(C17*$Z$5)*VLOOKUP(X17,'GI Factors'!A:M,7,FALSE)+(D17*$Z$5)*VLOOKUP(X17,'GI Factors'!A:M,10,FALSE)+(E17*$Z$5)*VLOOKUP(X17,'GI Factors'!A:M,13,FALSE)</f>
        <v>5986858.1309521571</v>
      </c>
      <c r="AA17" s="72">
        <f t="shared" si="10"/>
        <v>8473409.9020423125</v>
      </c>
      <c r="AB17" s="72">
        <f t="shared" si="11"/>
        <v>3389363.9620423131</v>
      </c>
      <c r="AC17" s="145">
        <f t="shared" si="12"/>
        <v>4.5806812745062334E-2</v>
      </c>
      <c r="AD17" s="146">
        <f t="shared" si="13"/>
        <v>1655368.7071339658</v>
      </c>
      <c r="AE17" s="72"/>
      <c r="AF17" s="314">
        <f t="shared" si="14"/>
        <v>148216.01016823051</v>
      </c>
      <c r="AG17" s="316">
        <f t="shared" si="15"/>
        <v>155005.31319182689</v>
      </c>
      <c r="AH17" s="316">
        <f t="shared" si="15"/>
        <v>162105.61254769465</v>
      </c>
      <c r="AI17" s="316">
        <f t="shared" si="15"/>
        <v>169531.15398659054</v>
      </c>
      <c r="AJ17" s="318">
        <f t="shared" si="16"/>
        <v>158714.52247358565</v>
      </c>
      <c r="AK17" s="148"/>
      <c r="AL17" s="148"/>
      <c r="AM17" s="148"/>
      <c r="AN17" s="148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</row>
    <row r="18" spans="1:90" s="51" customFormat="1" ht="10.199999999999999">
      <c r="A18" s="180" t="s">
        <v>39</v>
      </c>
      <c r="B18" s="226">
        <v>3084619.4830904133</v>
      </c>
      <c r="C18" s="227">
        <v>3370355.6638621725</v>
      </c>
      <c r="D18" s="227">
        <v>225762.42576862258</v>
      </c>
      <c r="E18" s="228">
        <v>-2038541.4686474747</v>
      </c>
      <c r="F18" s="134">
        <v>4642196.104073734</v>
      </c>
      <c r="G18" s="138">
        <f>B18*VLOOKUP(G$4,'GI Factors'!A:M,4,FALSE)+C18*VLOOKUP(G$4,'GI Factors'!A:M,7,FALSE)+D18*VLOOKUP(G$4,'GI Factors'!A:M,10,FALSE)+E18*VLOOKUP(G$4,'GI Factors'!A:M,13,FALSE)</f>
        <v>4795550.5396498786</v>
      </c>
      <c r="H18" s="135">
        <v>0</v>
      </c>
      <c r="I18" s="75">
        <v>0</v>
      </c>
      <c r="J18" s="112"/>
      <c r="K18" s="75">
        <f t="shared" si="0"/>
        <v>0</v>
      </c>
      <c r="L18" s="174"/>
      <c r="M18" s="89"/>
      <c r="N18" s="174">
        <f t="shared" si="1"/>
        <v>504694.25023788214</v>
      </c>
      <c r="O18" s="89">
        <f t="shared" si="2"/>
        <v>-504694.25023788214</v>
      </c>
      <c r="P18" s="89">
        <f t="shared" si="3"/>
        <v>0</v>
      </c>
      <c r="Q18" s="178">
        <f t="shared" si="4"/>
        <v>-504694.25023788214</v>
      </c>
      <c r="R18" s="165">
        <f t="shared" si="5"/>
        <v>40</v>
      </c>
      <c r="S18" s="159">
        <f t="shared" si="6"/>
        <v>0</v>
      </c>
      <c r="T18" s="307">
        <v>2016</v>
      </c>
      <c r="U18" s="293">
        <v>2056</v>
      </c>
      <c r="V18" s="109">
        <f>U18-2017</f>
        <v>39</v>
      </c>
      <c r="W18" s="109">
        <f>U18+5</f>
        <v>2061</v>
      </c>
      <c r="X18" s="144">
        <f>U18+6</f>
        <v>2062</v>
      </c>
      <c r="Y18" s="71">
        <f>(B18*$Y$5)*VLOOKUP(W18,'GI Factors'!A:M,4,FALSE)+(C18*$Y$5)*VLOOKUP(W18,'GI Factors'!A:M,7,FALSE)+(D18*$Y$5)*VLOOKUP(W18,'GI Factors'!A:M,10,FALSE)+(E18*$Y$5)*VLOOKUP(W18,'GI Factors'!A:M,13,FALSE)</f>
        <v>5910337.8145934874</v>
      </c>
      <c r="Z18" s="71">
        <f>(B18*$Z$5)*VLOOKUP(X18,'GI Factors'!A:M,4,FALSE)+(C18*$Z$5)*VLOOKUP(X18,'GI Factors'!A:M,7,FALSE)+(D18*$Z$5)*VLOOKUP(X18,'GI Factors'!A:M,10,FALSE)+(E18*$Z$5)*VLOOKUP(X18,'GI Factors'!A:M,13,FALSE)</f>
        <v>14277432.194921723</v>
      </c>
      <c r="AA18" s="72">
        <f t="shared" si="10"/>
        <v>20187770.009515211</v>
      </c>
      <c r="AB18" s="72">
        <f t="shared" si="11"/>
        <v>20187770.009515211</v>
      </c>
      <c r="AC18" s="145">
        <f t="shared" si="12"/>
        <v>3.8408728232753091E-2</v>
      </c>
      <c r="AD18" s="146">
        <f t="shared" si="13"/>
        <v>4642196.1040737443</v>
      </c>
      <c r="AE18" s="72"/>
      <c r="AF18" s="314">
        <f t="shared" si="14"/>
        <v>231544.78214933237</v>
      </c>
      <c r="AG18" s="316">
        <f t="shared" si="15"/>
        <v>240438.12276061808</v>
      </c>
      <c r="AH18" s="316">
        <f t="shared" si="15"/>
        <v>249673.04527452396</v>
      </c>
      <c r="AI18" s="316">
        <f t="shared" si="15"/>
        <v>259262.66941751697</v>
      </c>
      <c r="AJ18" s="318">
        <f t="shared" si="16"/>
        <v>245229.65490049787</v>
      </c>
      <c r="AK18" s="148"/>
      <c r="AL18" s="148"/>
      <c r="AM18" s="148"/>
      <c r="AN18" s="148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</row>
    <row r="19" spans="1:90" s="51" customFormat="1" ht="10.199999999999999">
      <c r="A19" s="180" t="s">
        <v>40</v>
      </c>
      <c r="B19" s="217">
        <v>8995702.2564231679</v>
      </c>
      <c r="C19" s="128">
        <v>9876705.3491088226</v>
      </c>
      <c r="D19" s="128">
        <v>1106014.6188712942</v>
      </c>
      <c r="E19" s="229">
        <v>-743166.73079336248</v>
      </c>
      <c r="F19" s="134">
        <v>19235255.49360992</v>
      </c>
      <c r="G19" s="138">
        <f>B19*VLOOKUP(G$4,'GI Factors'!A:M,4,FALSE)+C19*VLOOKUP(G$4,'GI Factors'!A:M,7,FALSE)+D19*VLOOKUP(G$4,'GI Factors'!A:M,10,FALSE)+E19*VLOOKUP(G$4,'GI Factors'!A:M,13,FALSE)</f>
        <v>19662895.688760269</v>
      </c>
      <c r="H19" s="261">
        <v>12074201.140000001</v>
      </c>
      <c r="I19" s="185">
        <v>362739</v>
      </c>
      <c r="J19" s="112"/>
      <c r="K19" s="75">
        <f t="shared" si="0"/>
        <v>12436940.140000001</v>
      </c>
      <c r="L19" s="174"/>
      <c r="M19" s="89"/>
      <c r="N19" s="174">
        <f t="shared" si="1"/>
        <v>33518897.926784098</v>
      </c>
      <c r="O19" s="89">
        <f t="shared" si="2"/>
        <v>-21081957.786784098</v>
      </c>
      <c r="P19" s="89">
        <f t="shared" si="3"/>
        <v>0</v>
      </c>
      <c r="Q19" s="178">
        <f t="shared" si="4"/>
        <v>-21081957.786784098</v>
      </c>
      <c r="R19" s="165">
        <f t="shared" si="5"/>
        <v>85</v>
      </c>
      <c r="S19" s="159">
        <f t="shared" si="6"/>
        <v>12436940.140000001</v>
      </c>
      <c r="T19" s="307">
        <v>1958</v>
      </c>
      <c r="U19" s="293">
        <v>2043</v>
      </c>
      <c r="V19" s="109">
        <f>U19-2017</f>
        <v>26</v>
      </c>
      <c r="W19" s="109">
        <f>U19+5</f>
        <v>2048</v>
      </c>
      <c r="X19" s="144">
        <f>U19+6</f>
        <v>2049</v>
      </c>
      <c r="Y19" s="71">
        <f>(B19*$Y$5)*VLOOKUP(W19,'GI Factors'!A:M,4,FALSE)+(C19*$Y$5)*VLOOKUP(W19,'GI Factors'!A:M,7,FALSE)+(D19*$Y$5)*VLOOKUP(W19,'GI Factors'!A:M,10,FALSE)+(E19*$Y$5)*VLOOKUP(W19,'GI Factors'!A:M,13,FALSE)</f>
        <v>14185936.642762257</v>
      </c>
      <c r="Z19" s="71">
        <f>(B19*$Z$5)*VLOOKUP(X19,'GI Factors'!A:M,4,FALSE)+(C19*$Z$5)*VLOOKUP(X19,'GI Factors'!A:M,7,FALSE)+(D19*$Z$5)*VLOOKUP(X19,'GI Factors'!A:M,10,FALSE)+(E19*$Z$5)*VLOOKUP(X19,'GI Factors'!A:M,13,FALSE)</f>
        <v>34104001.048367374</v>
      </c>
      <c r="AA19" s="72">
        <f t="shared" si="10"/>
        <v>48289937.691129632</v>
      </c>
      <c r="AB19" s="72">
        <f t="shared" si="11"/>
        <v>35852997.551129632</v>
      </c>
      <c r="AC19" s="145">
        <f t="shared" si="12"/>
        <v>3.6037163219684164E-2</v>
      </c>
      <c r="AD19" s="146">
        <f t="shared" si="13"/>
        <v>14281268.543331128</v>
      </c>
      <c r="AE19" s="72"/>
      <c r="AF19" s="314">
        <f t="shared" si="14"/>
        <v>855377.64908333623</v>
      </c>
      <c r="AG19" s="316">
        <f t="shared" si="15"/>
        <v>886203.03303782211</v>
      </c>
      <c r="AH19" s="316">
        <f t="shared" si="15"/>
        <v>918139.27638518519</v>
      </c>
      <c r="AI19" s="316">
        <f t="shared" si="15"/>
        <v>951226.41134668072</v>
      </c>
      <c r="AJ19" s="318">
        <f t="shared" si="16"/>
        <v>902736.59246325609</v>
      </c>
      <c r="AK19" s="148"/>
      <c r="AL19" s="148"/>
      <c r="AM19" s="148"/>
      <c r="AN19" s="148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</row>
    <row r="20" spans="1:90" s="51" customFormat="1" ht="10.199999999999999">
      <c r="A20" s="180" t="s">
        <v>43</v>
      </c>
      <c r="B20" s="217">
        <v>279797.71192335984</v>
      </c>
      <c r="C20" s="128">
        <v>305716.0885762751</v>
      </c>
      <c r="D20" s="128">
        <v>12735.777276715216</v>
      </c>
      <c r="E20" s="233">
        <v>-338275.51197020512</v>
      </c>
      <c r="F20" s="134">
        <v>259974.06580614508</v>
      </c>
      <c r="G20" s="138">
        <f>B20*VLOOKUP(G$4,'GI Factors'!A:M,4,FALSE)+C20*VLOOKUP(G$4,'GI Factors'!A:M,7,FALSE)+D20*VLOOKUP(G$4,'GI Factors'!A:M,10,FALSE)+E20*VLOOKUP(G$4,'GI Factors'!A:M,13,FALSE)</f>
        <v>274581.38709641545</v>
      </c>
      <c r="H20" s="263">
        <v>3587451.9699999997</v>
      </c>
      <c r="I20" s="187">
        <v>110253</v>
      </c>
      <c r="J20" s="112"/>
      <c r="K20" s="75">
        <f t="shared" si="0"/>
        <v>3697704.9699999997</v>
      </c>
      <c r="L20" s="174">
        <v>-3409879.92</v>
      </c>
      <c r="M20" s="89"/>
      <c r="N20" s="174">
        <f t="shared" si="1"/>
        <v>287825.05465880956</v>
      </c>
      <c r="O20" s="89">
        <f t="shared" si="2"/>
        <v>-4.6588097466155887E-3</v>
      </c>
      <c r="P20" s="89">
        <f t="shared" si="3"/>
        <v>0</v>
      </c>
      <c r="Q20" s="302">
        <f t="shared" si="4"/>
        <v>-4.6588097466155887E-3</v>
      </c>
      <c r="R20" s="165">
        <f t="shared" si="5"/>
        <v>43</v>
      </c>
      <c r="S20" s="159">
        <f t="shared" si="6"/>
        <v>287825.04999999981</v>
      </c>
      <c r="T20" s="307">
        <v>1974</v>
      </c>
      <c r="U20" s="293">
        <v>2017</v>
      </c>
      <c r="V20" s="109">
        <v>1</v>
      </c>
      <c r="W20" s="109">
        <f>U20</f>
        <v>2017</v>
      </c>
      <c r="X20" s="144">
        <f>U20+1</f>
        <v>2018</v>
      </c>
      <c r="Y20" s="71">
        <f>(B20*$Y$5)*VLOOKUP(W20,'GI Factors'!A:M,4,FALSE)+(C20*$Y$5)*VLOOKUP(W20,'GI Factors'!A:M,7,FALSE)+(D20*$Y$5)*VLOOKUP(W20,'GI Factors'!A:M,10,FALSE)+(E20*$Y$5)*VLOOKUP(W20,'GI Factors'!A:M,13,FALSE)</f>
        <v>86266.410779063575</v>
      </c>
      <c r="Z20" s="71">
        <f>(B20*$Z$5)*VLOOKUP(X20,'GI Factors'!A:M,4,FALSE)+(C20*$Z$5)*VLOOKUP(X20,'GI Factors'!A:M,7,FALSE)+(D20*$Z$5)*VLOOKUP(X20,'GI Factors'!A:M,10,FALSE)+(E20*$Z$5)*VLOOKUP(X20,'GI Factors'!A:M,13,FALSE)</f>
        <v>208411.62137162237</v>
      </c>
      <c r="AA20" s="72">
        <f t="shared" si="10"/>
        <v>294678.03215068596</v>
      </c>
      <c r="AB20" s="72">
        <f t="shared" si="11"/>
        <v>6852.9821506861481</v>
      </c>
      <c r="AC20" s="145">
        <f t="shared" si="12"/>
        <v>0.13349010885731405</v>
      </c>
      <c r="AD20" s="146">
        <f t="shared" si="13"/>
        <v>6045.9126172655606</v>
      </c>
      <c r="AE20" s="72"/>
      <c r="AF20" s="314">
        <f t="shared" si="14"/>
        <v>6852.9821506861481</v>
      </c>
      <c r="AG20" s="316">
        <f t="shared" si="15"/>
        <v>7767.7874839784718</v>
      </c>
      <c r="AH20" s="316">
        <f t="shared" si="15"/>
        <v>8804.7102807952378</v>
      </c>
      <c r="AI20" s="316">
        <f t="shared" si="15"/>
        <v>9980.0520146357048</v>
      </c>
      <c r="AJ20" s="318">
        <f t="shared" si="16"/>
        <v>8351.38298252389</v>
      </c>
      <c r="AK20" s="148"/>
      <c r="AL20" s="148"/>
      <c r="AM20" s="148"/>
      <c r="AN20" s="148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</row>
    <row r="21" spans="1:90" s="51" customFormat="1" ht="10.199999999999999">
      <c r="A21" s="180" t="s">
        <v>112</v>
      </c>
      <c r="B21" s="217">
        <v>7175939.3844995787</v>
      </c>
      <c r="C21" s="128">
        <v>7840664.9768835977</v>
      </c>
      <c r="D21" s="128">
        <v>460535.57375697367</v>
      </c>
      <c r="E21" s="230">
        <v>-6883370.5204164311</v>
      </c>
      <c r="F21" s="134">
        <v>8593769.4147237204</v>
      </c>
      <c r="G21" s="138">
        <f>B21*VLOOKUP(G$4,'GI Factors'!A:M,4,FALSE)+C21*VLOOKUP(G$4,'GI Factors'!A:M,7,FALSE)+D21*VLOOKUP(G$4,'GI Factors'!A:M,10,FALSE)+E21*VLOOKUP(G$4,'GI Factors'!A:M,13,FALSE)</f>
        <v>8961104.3068910427</v>
      </c>
      <c r="H21" s="262">
        <v>8783850.2699999996</v>
      </c>
      <c r="I21" s="186">
        <v>671970</v>
      </c>
      <c r="J21" s="112"/>
      <c r="K21" s="75">
        <f t="shared" si="0"/>
        <v>9455820.2699999996</v>
      </c>
      <c r="L21" s="174"/>
      <c r="M21" s="89"/>
      <c r="N21" s="174">
        <f t="shared" si="1"/>
        <v>9580848.219719477</v>
      </c>
      <c r="O21" s="89">
        <f t="shared" si="2"/>
        <v>-125027.94971947744</v>
      </c>
      <c r="P21" s="89">
        <f t="shared" si="3"/>
        <v>0</v>
      </c>
      <c r="Q21" s="178">
        <f t="shared" si="4"/>
        <v>-125027.94971947744</v>
      </c>
      <c r="R21" s="165">
        <f t="shared" si="5"/>
        <v>41</v>
      </c>
      <c r="S21" s="159">
        <f t="shared" si="6"/>
        <v>9455820.2699999996</v>
      </c>
      <c r="T21" s="307">
        <v>2002</v>
      </c>
      <c r="U21" s="293">
        <v>2043</v>
      </c>
      <c r="V21" s="109">
        <f t="shared" ref="V21:V38" si="17">U21-2017</f>
        <v>26</v>
      </c>
      <c r="W21" s="109">
        <f t="shared" ref="W21:W38" si="18">U21+5</f>
        <v>2048</v>
      </c>
      <c r="X21" s="144">
        <f t="shared" ref="X21:X38" si="19">U21+6</f>
        <v>2049</v>
      </c>
      <c r="Y21" s="71">
        <f>(B21*$Y$5)*VLOOKUP(W21,'GI Factors'!A:M,4,FALSE)+(C21*$Y$5)*VLOOKUP(W21,'GI Factors'!A:M,7,FALSE)+(D21*$Y$5)*VLOOKUP(W21,'GI Factors'!A:M,10,FALSE)+(E21*$Y$5)*VLOOKUP(W21,'GI Factors'!A:M,13,FALSE)</f>
        <v>7662651.2917174194</v>
      </c>
      <c r="Z21" s="71">
        <f>(B21*$Z$5)*VLOOKUP(X21,'GI Factors'!A:M,4,FALSE)+(C21*$Z$5)*VLOOKUP(X21,'GI Factors'!A:M,7,FALSE)+(D21*$Z$5)*VLOOKUP(X21,'GI Factors'!A:M,10,FALSE)+(E21*$Z$5)*VLOOKUP(X21,'GI Factors'!A:M,13,FALSE)</f>
        <v>18525000.508849151</v>
      </c>
      <c r="AA21" s="72">
        <f t="shared" si="10"/>
        <v>26187651.800566569</v>
      </c>
      <c r="AB21" s="72">
        <f t="shared" si="11"/>
        <v>16731831.530566569</v>
      </c>
      <c r="AC21" s="145">
        <f t="shared" si="12"/>
        <v>4.3787359434010249E-2</v>
      </c>
      <c r="AD21" s="146">
        <f t="shared" si="13"/>
        <v>5490736.7470259992</v>
      </c>
      <c r="AE21" s="72"/>
      <c r="AF21" s="314">
        <f t="shared" si="14"/>
        <v>357860.90138873528</v>
      </c>
      <c r="AG21" s="316">
        <f t="shared" si="15"/>
        <v>373530.68530522275</v>
      </c>
      <c r="AH21" s="316">
        <f t="shared" si="15"/>
        <v>389886.60768231476</v>
      </c>
      <c r="AI21" s="316">
        <f t="shared" si="15"/>
        <v>406958.71271140728</v>
      </c>
      <c r="AJ21" s="318">
        <f t="shared" si="16"/>
        <v>382059.22677192005</v>
      </c>
      <c r="AK21" s="148"/>
      <c r="AL21" s="148"/>
      <c r="AM21" s="148"/>
      <c r="AN21" s="148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</row>
    <row r="22" spans="1:90" s="76" customFormat="1" ht="10.199999999999999">
      <c r="A22" s="180" t="s">
        <v>41</v>
      </c>
      <c r="B22" s="217">
        <v>1188218.3529118234</v>
      </c>
      <c r="C22" s="128">
        <v>1298286.0536266556</v>
      </c>
      <c r="D22" s="128">
        <v>78772.660064802316</v>
      </c>
      <c r="E22" s="231">
        <v>-1089776.1652349504</v>
      </c>
      <c r="F22" s="134">
        <v>1475500.9013683312</v>
      </c>
      <c r="G22" s="138">
        <f>B22*VLOOKUP(G$4,'GI Factors'!A:M,4,FALSE)+C22*VLOOKUP(G$4,'GI Factors'!A:M,7,FALSE)+D22*VLOOKUP(G$4,'GI Factors'!A:M,10,FALSE)+E22*VLOOKUP(G$4,'GI Factors'!A:M,13,FALSE)</f>
        <v>1536098.1847932963</v>
      </c>
      <c r="H22" s="262">
        <v>2875046</v>
      </c>
      <c r="I22" s="186">
        <v>282126</v>
      </c>
      <c r="J22" s="112"/>
      <c r="K22" s="75">
        <f t="shared" si="0"/>
        <v>3157172</v>
      </c>
      <c r="L22" s="174">
        <v>-1605941.66</v>
      </c>
      <c r="M22" s="89"/>
      <c r="N22" s="174">
        <f t="shared" si="1"/>
        <v>1551230.3411591146</v>
      </c>
      <c r="O22" s="89">
        <f t="shared" si="2"/>
        <v>-1.1591145303100348E-3</v>
      </c>
      <c r="P22" s="89">
        <f t="shared" si="3"/>
        <v>0</v>
      </c>
      <c r="Q22" s="178">
        <f t="shared" si="4"/>
        <v>-1.1591145303100348E-3</v>
      </c>
      <c r="R22" s="165">
        <f t="shared" si="5"/>
        <v>40</v>
      </c>
      <c r="S22" s="159">
        <f t="shared" si="6"/>
        <v>1551230.34</v>
      </c>
      <c r="T22" s="307">
        <v>2003</v>
      </c>
      <c r="U22" s="293">
        <v>2043</v>
      </c>
      <c r="V22" s="109">
        <f t="shared" si="17"/>
        <v>26</v>
      </c>
      <c r="W22" s="109">
        <f t="shared" si="18"/>
        <v>2048</v>
      </c>
      <c r="X22" s="144">
        <f t="shared" si="19"/>
        <v>2049</v>
      </c>
      <c r="Y22" s="71">
        <f>(B22*$Y$5)*VLOOKUP(W22,'GI Factors'!A:M,4,FALSE)+(C22*$Y$5)*VLOOKUP(W22,'GI Factors'!A:M,7,FALSE)+(D22*$Y$5)*VLOOKUP(W22,'GI Factors'!A:M,10,FALSE)+(E22*$Y$5)*VLOOKUP(W22,'GI Factors'!A:M,13,FALSE)</f>
        <v>1297201.6452672847</v>
      </c>
      <c r="Z22" s="71">
        <f>(B22*$Z$5)*VLOOKUP(X22,'GI Factors'!A:M,4,FALSE)+(C22*$Z$5)*VLOOKUP(X22,'GI Factors'!A:M,7,FALSE)+(D22*$Z$5)*VLOOKUP(X22,'GI Factors'!A:M,10,FALSE)+(E22*$Z$5)*VLOOKUP(X22,'GI Factors'!A:M,13,FALSE)</f>
        <v>3134885.0437587574</v>
      </c>
      <c r="AA22" s="72">
        <f t="shared" si="10"/>
        <v>4432086.6890260419</v>
      </c>
      <c r="AB22" s="72">
        <f t="shared" si="11"/>
        <v>2880856.349026042</v>
      </c>
      <c r="AC22" s="145">
        <f t="shared" si="12"/>
        <v>4.3210322347141228E-2</v>
      </c>
      <c r="AD22" s="146">
        <f t="shared" si="13"/>
        <v>959075.58627530281</v>
      </c>
      <c r="AE22" s="72"/>
      <c r="AF22" s="314">
        <f t="shared" si="14"/>
        <v>62123.812969062485</v>
      </c>
      <c r="AG22" s="316">
        <f t="shared" si="15"/>
        <v>64808.202952889187</v>
      </c>
      <c r="AH22" s="316">
        <f t="shared" si="15"/>
        <v>67608.58629322247</v>
      </c>
      <c r="AI22" s="316">
        <f t="shared" si="15"/>
        <v>70529.975100387121</v>
      </c>
      <c r="AJ22" s="318">
        <f t="shared" si="16"/>
        <v>66267.64432889031</v>
      </c>
      <c r="AK22" s="148"/>
      <c r="AL22" s="148"/>
      <c r="AM22" s="148"/>
      <c r="AN22" s="148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</row>
    <row r="23" spans="1:90" s="76" customFormat="1" ht="10.199999999999999">
      <c r="A23" s="180" t="s">
        <v>42</v>
      </c>
      <c r="B23" s="217">
        <v>1248029.2271268519</v>
      </c>
      <c r="C23" s="128">
        <v>1363637.3618759331</v>
      </c>
      <c r="D23" s="128">
        <v>90304.970307448995</v>
      </c>
      <c r="E23" s="232">
        <v>-1066074.5979666132</v>
      </c>
      <c r="F23" s="134">
        <v>1635896.9613436209</v>
      </c>
      <c r="G23" s="138">
        <f>B23*VLOOKUP(G$4,'GI Factors'!A:M,4,FALSE)+C23*VLOOKUP(G$4,'GI Factors'!A:M,7,FALSE)+D23*VLOOKUP(G$4,'GI Factors'!A:M,10,FALSE)+E23*VLOOKUP(G$4,'GI Factors'!A:M,13,FALSE)</f>
        <v>1699257.823798009</v>
      </c>
      <c r="H23" s="257">
        <v>0</v>
      </c>
      <c r="I23" s="210">
        <v>0</v>
      </c>
      <c r="J23" s="112"/>
      <c r="K23" s="75">
        <f t="shared" si="0"/>
        <v>0</v>
      </c>
      <c r="L23" s="174"/>
      <c r="M23" s="89"/>
      <c r="N23" s="174">
        <f t="shared" si="1"/>
        <v>190370.26391318534</v>
      </c>
      <c r="O23" s="89">
        <f t="shared" si="2"/>
        <v>-190370.26391318534</v>
      </c>
      <c r="P23" s="89">
        <f t="shared" si="3"/>
        <v>0</v>
      </c>
      <c r="Q23" s="178">
        <f t="shared" si="4"/>
        <v>-190370.26391318534</v>
      </c>
      <c r="R23" s="165">
        <f t="shared" si="5"/>
        <v>40</v>
      </c>
      <c r="S23" s="159">
        <f t="shared" si="6"/>
        <v>0</v>
      </c>
      <c r="T23" s="307">
        <v>2016</v>
      </c>
      <c r="U23" s="293">
        <v>2056</v>
      </c>
      <c r="V23" s="109">
        <f t="shared" si="17"/>
        <v>39</v>
      </c>
      <c r="W23" s="109">
        <f t="shared" si="18"/>
        <v>2061</v>
      </c>
      <c r="X23" s="144">
        <f t="shared" si="19"/>
        <v>2062</v>
      </c>
      <c r="Y23" s="71">
        <f>(B23*$Y$5)*VLOOKUP(W23,'GI Factors'!A:M,4,FALSE)+(C23*$Y$5)*VLOOKUP(W23,'GI Factors'!A:M,7,FALSE)+(D23*$Y$5)*VLOOKUP(W23,'GI Factors'!A:M,10,FALSE)+(E23*$Y$5)*VLOOKUP(W23,'GI Factors'!A:M,13,FALSE)</f>
        <v>2227420.6169433473</v>
      </c>
      <c r="Z23" s="71">
        <f>(B23*$Z$5)*VLOOKUP(X23,'GI Factors'!A:M,4,FALSE)+(C23*$Z$5)*VLOOKUP(X23,'GI Factors'!A:M,7,FALSE)+(D23*$Z$5)*VLOOKUP(X23,'GI Factors'!A:M,10,FALSE)+(E23*$Z$5)*VLOOKUP(X23,'GI Factors'!A:M,13,FALSE)</f>
        <v>5387389.9395840708</v>
      </c>
      <c r="AA23" s="72">
        <f t="shared" si="10"/>
        <v>7614810.5565274181</v>
      </c>
      <c r="AB23" s="72">
        <f t="shared" si="11"/>
        <v>7614810.5565274181</v>
      </c>
      <c r="AC23" s="145">
        <f t="shared" si="12"/>
        <v>4.0221251298126932E-2</v>
      </c>
      <c r="AD23" s="146">
        <f t="shared" si="13"/>
        <v>1635896.9613436104</v>
      </c>
      <c r="AE23" s="72"/>
      <c r="AF23" s="314">
        <f t="shared" si="14"/>
        <v>83800.835641043232</v>
      </c>
      <c r="AG23" s="316">
        <f t="shared" si="15"/>
        <v>87171.410110354671</v>
      </c>
      <c r="AH23" s="316">
        <f t="shared" si="15"/>
        <v>90677.553302415341</v>
      </c>
      <c r="AI23" s="316">
        <f t="shared" si="15"/>
        <v>94324.717960891096</v>
      </c>
      <c r="AJ23" s="318">
        <f t="shared" si="16"/>
        <v>88993.629253676088</v>
      </c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</row>
    <row r="24" spans="1:90" s="51" customFormat="1" ht="10.199999999999999">
      <c r="A24" s="180" t="s">
        <v>44</v>
      </c>
      <c r="B24" s="217">
        <v>15778656.265080269</v>
      </c>
      <c r="C24" s="218">
        <v>14905419.022202436</v>
      </c>
      <c r="D24" s="128">
        <v>668308.13680099987</v>
      </c>
      <c r="E24" s="234">
        <v>-828432.67611856281</v>
      </c>
      <c r="F24" s="134">
        <v>30523950.747965142</v>
      </c>
      <c r="G24" s="138">
        <f>B24*VLOOKUP(G$4,'GI Factors'!A:M,4,FALSE)+C24*VLOOKUP(G$4,'GI Factors'!A:M,7,FALSE)+D24*VLOOKUP(G$4,'GI Factors'!A:M,10,FALSE)+E24*VLOOKUP(G$4,'GI Factors'!A:M,13,FALSE)</f>
        <v>31224364.981179196</v>
      </c>
      <c r="H24" s="264">
        <v>22689049.920000002</v>
      </c>
      <c r="I24" s="188">
        <v>537602</v>
      </c>
      <c r="J24" s="112"/>
      <c r="K24" s="75">
        <f t="shared" si="0"/>
        <v>23226651.920000002</v>
      </c>
      <c r="L24" s="174"/>
      <c r="M24" s="308"/>
      <c r="N24" s="174">
        <f t="shared" si="1"/>
        <v>40144223.761822425</v>
      </c>
      <c r="O24" s="89">
        <f t="shared" si="2"/>
        <v>-16917571.841822423</v>
      </c>
      <c r="P24" s="89">
        <f t="shared" si="3"/>
        <v>0</v>
      </c>
      <c r="Q24" s="178">
        <f t="shared" si="4"/>
        <v>-16917571.841822423</v>
      </c>
      <c r="R24" s="165">
        <f t="shared" si="5"/>
        <v>52</v>
      </c>
      <c r="S24" s="159">
        <f t="shared" si="6"/>
        <v>23226651.920000002</v>
      </c>
      <c r="T24" s="307">
        <v>1976</v>
      </c>
      <c r="U24" s="293">
        <v>2028</v>
      </c>
      <c r="V24" s="109">
        <f t="shared" si="17"/>
        <v>11</v>
      </c>
      <c r="W24" s="109">
        <f t="shared" si="18"/>
        <v>2033</v>
      </c>
      <c r="X24" s="144">
        <f t="shared" si="19"/>
        <v>2034</v>
      </c>
      <c r="Y24" s="71">
        <f>(B24*$Y$5)*VLOOKUP(W24,'GI Factors'!A:M,4,FALSE)+(C24*$Y$5)*VLOOKUP(W24,'GI Factors'!A:M,7,FALSE)+(D24*$Y$5)*VLOOKUP(W24,'GI Factors'!A:M,10,FALSE)+(E24*$Y$5)*VLOOKUP(W24,'GI Factors'!A:M,13,FALSE)</f>
        <v>14976333.42433322</v>
      </c>
      <c r="Z24" s="71">
        <f>(B24*$Z$5)*VLOOKUP(X24,'GI Factors'!A:M,4,FALSE)+(C24*$Z$5)*VLOOKUP(X24,'GI Factors'!A:M,7,FALSE)+(D24*$Z$5)*VLOOKUP(X24,'GI Factors'!A:M,10,FALSE)+(E24*$Z$5)*VLOOKUP(X24,'GI Factors'!A:M,13,FALSE)</f>
        <v>35938291.834563509</v>
      </c>
      <c r="AA24" s="72">
        <f t="shared" si="10"/>
        <v>50914625.258896731</v>
      </c>
      <c r="AB24" s="72">
        <f t="shared" si="11"/>
        <v>27687973.338896729</v>
      </c>
      <c r="AC24" s="145">
        <f t="shared" si="12"/>
        <v>4.7611275991313713E-2</v>
      </c>
      <c r="AD24" s="146">
        <f t="shared" si="13"/>
        <v>16599284.198007084</v>
      </c>
      <c r="AE24" s="72"/>
      <c r="AF24" s="314">
        <f t="shared" si="14"/>
        <v>1973377.3575616414</v>
      </c>
      <c r="AG24" s="316">
        <f t="shared" si="15"/>
        <v>2067332.371567518</v>
      </c>
      <c r="AH24" s="316">
        <f t="shared" si="15"/>
        <v>2165760.703675996</v>
      </c>
      <c r="AI24" s="316">
        <f t="shared" si="15"/>
        <v>2268875.3342698556</v>
      </c>
      <c r="AJ24" s="318">
        <f t="shared" si="16"/>
        <v>2118836.4417687529</v>
      </c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</row>
    <row r="25" spans="1:90" s="51" customFormat="1" ht="10.199999999999999">
      <c r="A25" s="180" t="s">
        <v>48</v>
      </c>
      <c r="B25" s="217">
        <v>3044964</v>
      </c>
      <c r="C25" s="128">
        <v>3859696</v>
      </c>
      <c r="D25" s="128">
        <v>1662840</v>
      </c>
      <c r="E25" s="236">
        <v>-3051520</v>
      </c>
      <c r="F25" s="134">
        <v>5515980</v>
      </c>
      <c r="G25" s="138">
        <f>B25*VLOOKUP(G$4,'GI Factors'!A:M,4,FALSE)+C25*VLOOKUP(G$4,'GI Factors'!A:M,7,FALSE)+D25*VLOOKUP(G$4,'GI Factors'!A:M,10,FALSE)+E25*VLOOKUP(G$4,'GI Factors'!A:M,13,FALSE)</f>
        <v>5706117.4047259334</v>
      </c>
      <c r="H25" s="257">
        <v>0</v>
      </c>
      <c r="I25" s="210">
        <v>0</v>
      </c>
      <c r="J25" s="112"/>
      <c r="K25" s="75">
        <f t="shared" si="0"/>
        <v>0</v>
      </c>
      <c r="L25" s="174"/>
      <c r="M25" s="89"/>
      <c r="N25" s="174">
        <f t="shared" si="1"/>
        <v>540283.83293310925</v>
      </c>
      <c r="O25" s="89">
        <f t="shared" si="2"/>
        <v>-540283.83293310925</v>
      </c>
      <c r="P25" s="89">
        <f t="shared" si="3"/>
        <v>0</v>
      </c>
      <c r="Q25" s="178">
        <f t="shared" si="4"/>
        <v>-540283.83293310925</v>
      </c>
      <c r="R25" s="165">
        <f t="shared" si="5"/>
        <v>30</v>
      </c>
      <c r="S25" s="159">
        <f t="shared" si="6"/>
        <v>0</v>
      </c>
      <c r="T25" s="307">
        <v>2016</v>
      </c>
      <c r="U25" s="293">
        <f>VLOOKUP(A25,'[2]Vlookup econ recov dates'!$A$1:$D$61,4,FALSE)</f>
        <v>2046</v>
      </c>
      <c r="V25" s="109">
        <f t="shared" si="17"/>
        <v>29</v>
      </c>
      <c r="W25" s="109">
        <f t="shared" si="18"/>
        <v>2051</v>
      </c>
      <c r="X25" s="144">
        <f t="shared" si="19"/>
        <v>2052</v>
      </c>
      <c r="Y25" s="71">
        <f>(B25*$Y$5)*VLOOKUP(W25,'GI Factors'!A:M,4,FALSE)+(C25*$Y$5)*VLOOKUP(W25,'GI Factors'!A:M,7,FALSE)+(D25*$Y$5)*VLOOKUP(W25,'GI Factors'!A:M,10,FALSE)+(E25*$Y$5)*VLOOKUP(W25,'GI Factors'!A:M,13,FALSE)</f>
        <v>4753253.4698191714</v>
      </c>
      <c r="Z25" s="71">
        <f>(B25*$Z$5)*VLOOKUP(X25,'GI Factors'!A:M,4,FALSE)+(C25*$Z$5)*VLOOKUP(X25,'GI Factors'!A:M,7,FALSE)+(D25*$Z$5)*VLOOKUP(X25,'GI Factors'!A:M,10,FALSE)+(E25*$Z$5)*VLOOKUP(X25,'GI Factors'!A:M,13,FALSE)</f>
        <v>11455261.518174101</v>
      </c>
      <c r="AA25" s="72">
        <f t="shared" si="10"/>
        <v>16208514.987993272</v>
      </c>
      <c r="AB25" s="72">
        <f t="shared" si="11"/>
        <v>16208514.987993272</v>
      </c>
      <c r="AC25" s="145">
        <f t="shared" si="12"/>
        <v>3.7867918573786817E-2</v>
      </c>
      <c r="AD25" s="146">
        <f t="shared" si="13"/>
        <v>5515979.9999999749</v>
      </c>
      <c r="AE25" s="72"/>
      <c r="AF25" s="314">
        <f t="shared" si="14"/>
        <v>316633.35621345235</v>
      </c>
      <c r="AG25" s="316">
        <f t="shared" si="15"/>
        <v>328623.60236428824</v>
      </c>
      <c r="AH25" s="316">
        <f t="shared" si="15"/>
        <v>341067.8941800436</v>
      </c>
      <c r="AI25" s="316">
        <f t="shared" si="15"/>
        <v>353983.42542498646</v>
      </c>
      <c r="AJ25" s="318">
        <f t="shared" si="16"/>
        <v>335077.06954569265</v>
      </c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</row>
    <row r="26" spans="1:90" s="51" customFormat="1" ht="10.199999999999999">
      <c r="A26" s="180" t="s">
        <v>45</v>
      </c>
      <c r="B26" s="217">
        <v>7186697.5706924712</v>
      </c>
      <c r="C26" s="128">
        <v>7852419.7213397212</v>
      </c>
      <c r="D26" s="128">
        <v>408266.9295211304</v>
      </c>
      <c r="E26" s="235">
        <v>-5312777.4283466302</v>
      </c>
      <c r="F26" s="134">
        <v>10134606.793206694</v>
      </c>
      <c r="G26" s="138">
        <f>B26*VLOOKUP(G$4,'GI Factors'!A:M,4,FALSE)+C26*VLOOKUP(G$4,'GI Factors'!A:M,7,FALSE)+D26*VLOOKUP(G$4,'GI Factors'!A:M,10,FALSE)+E26*VLOOKUP(G$4,'GI Factors'!A:M,13,FALSE)</f>
        <v>10492715.992737146</v>
      </c>
      <c r="H26" s="265">
        <v>18259257</v>
      </c>
      <c r="I26" s="189">
        <v>611052</v>
      </c>
      <c r="J26" s="112"/>
      <c r="K26" s="75">
        <f t="shared" si="0"/>
        <v>18870309</v>
      </c>
      <c r="L26" s="174">
        <v>-4739595.68</v>
      </c>
      <c r="M26" s="89"/>
      <c r="N26" s="174">
        <f t="shared" si="1"/>
        <v>14130713.321324844</v>
      </c>
      <c r="O26" s="89">
        <f t="shared" si="2"/>
        <v>-1.3248436152935028E-3</v>
      </c>
      <c r="P26" s="89">
        <f t="shared" si="3"/>
        <v>0</v>
      </c>
      <c r="Q26" s="178">
        <f t="shared" si="4"/>
        <v>-1.3248436152935028E-3</v>
      </c>
      <c r="R26" s="165">
        <f t="shared" si="5"/>
        <v>52</v>
      </c>
      <c r="S26" s="159">
        <f t="shared" si="6"/>
        <v>14130713.32</v>
      </c>
      <c r="T26" s="307">
        <v>1976</v>
      </c>
      <c r="U26" s="293">
        <v>2028</v>
      </c>
      <c r="V26" s="109">
        <f t="shared" si="17"/>
        <v>11</v>
      </c>
      <c r="W26" s="109">
        <f t="shared" si="18"/>
        <v>2033</v>
      </c>
      <c r="X26" s="144">
        <f t="shared" si="19"/>
        <v>2034</v>
      </c>
      <c r="Y26" s="71">
        <f>(B26*$Y$5)*VLOOKUP(W26,'GI Factors'!A:M,4,FALSE)+(C26*$Y$5)*VLOOKUP(W26,'GI Factors'!A:M,7,FALSE)+(D26*$Y$5)*VLOOKUP(W26,'GI Factors'!A:M,10,FALSE)+(E26*$Y$5)*VLOOKUP(W26,'GI Factors'!A:M,13,FALSE)</f>
        <v>5265715.7699247878</v>
      </c>
      <c r="Z26" s="71">
        <f>(B26*$Z$5)*VLOOKUP(X26,'GI Factors'!A:M,4,FALSE)+(C26*$Z$5)*VLOOKUP(X26,'GI Factors'!A:M,7,FALSE)+(D26*$Z$5)*VLOOKUP(X26,'GI Factors'!A:M,10,FALSE)+(E26*$Z$5)*VLOOKUP(X26,'GI Factors'!A:M,13,FALSE)</f>
        <v>12656164.540048186</v>
      </c>
      <c r="AA26" s="72">
        <f t="shared" si="10"/>
        <v>17921880.309972972</v>
      </c>
      <c r="AB26" s="72">
        <f t="shared" si="11"/>
        <v>3791166.9899729714</v>
      </c>
      <c r="AC26" s="145">
        <f t="shared" si="12"/>
        <v>5.3190589487820204E-2</v>
      </c>
      <c r="AD26" s="146">
        <f t="shared" si="13"/>
        <v>2143859.1300813719</v>
      </c>
      <c r="AE26" s="72"/>
      <c r="AF26" s="314">
        <f t="shared" si="14"/>
        <v>262439.49427257932</v>
      </c>
      <c r="AG26" s="316">
        <f t="shared" si="15"/>
        <v>276398.8056778232</v>
      </c>
      <c r="AH26" s="316">
        <f t="shared" si="15"/>
        <v>291100.62108555605</v>
      </c>
      <c r="AI26" s="316">
        <f t="shared" si="15"/>
        <v>306584.43472136738</v>
      </c>
      <c r="AJ26" s="318">
        <f t="shared" si="16"/>
        <v>284130.83893933147</v>
      </c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</row>
    <row r="27" spans="1:90" s="51" customFormat="1" ht="10.199999999999999">
      <c r="A27" s="180" t="s">
        <v>46</v>
      </c>
      <c r="B27" s="217">
        <v>7186697.5706924712</v>
      </c>
      <c r="C27" s="218">
        <v>7852419.7213397212</v>
      </c>
      <c r="D27" s="218">
        <v>408266.9295211304</v>
      </c>
      <c r="E27" s="235">
        <v>-5312777.4283466302</v>
      </c>
      <c r="F27" s="253">
        <v>10134606.793206694</v>
      </c>
      <c r="G27" s="138">
        <f>B27*VLOOKUP(G$4,'GI Factors'!A:M,4,FALSE)+C27*VLOOKUP(G$4,'GI Factors'!A:M,7,FALSE)+D27*VLOOKUP(G$4,'GI Factors'!A:M,10,FALSE)+E27*VLOOKUP(G$4,'GI Factors'!A:M,13,FALSE)</f>
        <v>10492715.992737146</v>
      </c>
      <c r="H27" s="265">
        <v>18207600</v>
      </c>
      <c r="I27" s="189">
        <v>614575</v>
      </c>
      <c r="J27" s="112"/>
      <c r="K27" s="75">
        <f t="shared" si="0"/>
        <v>18822175</v>
      </c>
      <c r="L27" s="174">
        <v>-4765798.29</v>
      </c>
      <c r="M27" s="89"/>
      <c r="N27" s="174">
        <f t="shared" si="1"/>
        <v>14056376.713704292</v>
      </c>
      <c r="O27" s="89">
        <f t="shared" si="2"/>
        <v>-3.7042908370494843E-3</v>
      </c>
      <c r="P27" s="89">
        <f t="shared" si="3"/>
        <v>0</v>
      </c>
      <c r="Q27" s="178">
        <f t="shared" si="4"/>
        <v>-3.7042908370494843E-3</v>
      </c>
      <c r="R27" s="165">
        <f t="shared" si="5"/>
        <v>51</v>
      </c>
      <c r="S27" s="159">
        <f t="shared" si="6"/>
        <v>14056376.710000001</v>
      </c>
      <c r="T27" s="307">
        <v>1977</v>
      </c>
      <c r="U27" s="293">
        <v>2028</v>
      </c>
      <c r="V27" s="109">
        <f t="shared" si="17"/>
        <v>11</v>
      </c>
      <c r="W27" s="109">
        <f t="shared" si="18"/>
        <v>2033</v>
      </c>
      <c r="X27" s="144">
        <f t="shared" si="19"/>
        <v>2034</v>
      </c>
      <c r="Y27" s="71">
        <f>(B27*$Y$5)*VLOOKUP(W27,'GI Factors'!A:M,4,FALSE)+(C27*$Y$5)*VLOOKUP(W27,'GI Factors'!A:M,7,FALSE)+(D27*$Y$5)*VLOOKUP(W27,'GI Factors'!A:M,10,FALSE)+(E27*$Y$5)*VLOOKUP(W27,'GI Factors'!A:M,13,FALSE)</f>
        <v>5265715.7699247878</v>
      </c>
      <c r="Z27" s="71">
        <f>(B27*$Z$5)*VLOOKUP(X27,'GI Factors'!A:M,4,FALSE)+(C27*$Z$5)*VLOOKUP(X27,'GI Factors'!A:M,7,FALSE)+(D27*$Z$5)*VLOOKUP(X27,'GI Factors'!A:M,10,FALSE)+(E27*$Z$5)*VLOOKUP(X27,'GI Factors'!A:M,13,FALSE)</f>
        <v>12656164.540048186</v>
      </c>
      <c r="AA27" s="72">
        <f t="shared" si="10"/>
        <v>17921880.309972972</v>
      </c>
      <c r="AB27" s="72">
        <f t="shared" si="11"/>
        <v>3865503.5999729708</v>
      </c>
      <c r="AC27" s="145">
        <f t="shared" si="12"/>
        <v>5.3190589487820204E-2</v>
      </c>
      <c r="AD27" s="146">
        <f t="shared" si="13"/>
        <v>2185895.5849432382</v>
      </c>
      <c r="AE27" s="72"/>
      <c r="AF27" s="314">
        <f t="shared" si="14"/>
        <v>267585.36687221302</v>
      </c>
      <c r="AG27" s="316">
        <f t="shared" si="15"/>
        <v>281818.39027446066</v>
      </c>
      <c r="AH27" s="316">
        <f t="shared" si="15"/>
        <v>296808.47658166778</v>
      </c>
      <c r="AI27" s="316">
        <f t="shared" si="15"/>
        <v>312595.89441602858</v>
      </c>
      <c r="AJ27" s="318">
        <f t="shared" si="16"/>
        <v>289702.03203609254</v>
      </c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</row>
    <row r="28" spans="1:90" s="51" customFormat="1" ht="10.199999999999999">
      <c r="A28" s="180" t="s">
        <v>47</v>
      </c>
      <c r="B28" s="217">
        <v>5301701.0527568003</v>
      </c>
      <c r="C28" s="128">
        <v>5792811.16170632</v>
      </c>
      <c r="D28" s="128">
        <v>208696.16462491886</v>
      </c>
      <c r="E28" s="235">
        <v>-4908842.5022155726</v>
      </c>
      <c r="F28" s="134">
        <v>6394365.8768724659</v>
      </c>
      <c r="G28" s="138">
        <f>B28*VLOOKUP(G$4,'GI Factors'!A:M,4,FALSE)+C28*VLOOKUP(G$4,'GI Factors'!A:M,7,FALSE)+D28*VLOOKUP(G$4,'GI Factors'!A:M,10,FALSE)+E28*VLOOKUP(G$4,'GI Factors'!A:M,13,FALSE)</f>
        <v>6662213.2744749906</v>
      </c>
      <c r="H28" s="265">
        <v>11786962</v>
      </c>
      <c r="I28" s="189">
        <v>1009476</v>
      </c>
      <c r="J28" s="112"/>
      <c r="K28" s="75">
        <f t="shared" si="0"/>
        <v>12796438</v>
      </c>
      <c r="L28" s="174">
        <v>-6549649.3899999997</v>
      </c>
      <c r="M28" s="89">
        <v>-6246788.6100000003</v>
      </c>
      <c r="N28" s="174">
        <f t="shared" si="1"/>
        <v>6246788.6119896881</v>
      </c>
      <c r="O28" s="89">
        <f t="shared" si="2"/>
        <v>-6246788.6119896881</v>
      </c>
      <c r="P28" s="89">
        <f t="shared" si="3"/>
        <v>0</v>
      </c>
      <c r="Q28" s="178">
        <f t="shared" si="4"/>
        <v>-6246788.6119896881</v>
      </c>
      <c r="R28" s="165">
        <f t="shared" si="5"/>
        <v>40</v>
      </c>
      <c r="S28" s="159">
        <f t="shared" si="6"/>
        <v>0</v>
      </c>
      <c r="T28" s="307">
        <v>2005</v>
      </c>
      <c r="U28" s="293">
        <v>2045</v>
      </c>
      <c r="V28" s="109">
        <f t="shared" si="17"/>
        <v>28</v>
      </c>
      <c r="W28" s="109">
        <f t="shared" si="18"/>
        <v>2050</v>
      </c>
      <c r="X28" s="144">
        <f t="shared" si="19"/>
        <v>2051</v>
      </c>
      <c r="Y28" s="71">
        <f>(B28*$Y$5)*VLOOKUP(W28,'GI Factors'!A:M,4,FALSE)+(C28*$Y$5)*VLOOKUP(W28,'GI Factors'!A:M,7,FALSE)+(D28*$Y$5)*VLOOKUP(W28,'GI Factors'!A:M,10,FALSE)+(E28*$Y$5)*VLOOKUP(W28,'GI Factors'!A:M,13,FALSE)</f>
        <v>6092347.3618942164</v>
      </c>
      <c r="Z28" s="71">
        <f>(B28*$Z$5)*VLOOKUP(X28,'GI Factors'!A:M,4,FALSE)+(C28*$Z$5)*VLOOKUP(X28,'GI Factors'!A:M,7,FALSE)+(D28*$Z$5)*VLOOKUP(X28,'GI Factors'!A:M,10,FALSE)+(E28*$Z$5)*VLOOKUP(X28,'GI Factors'!A:M,13,FALSE)</f>
        <v>14730281.344738074</v>
      </c>
      <c r="AA28" s="72">
        <f t="shared" si="10"/>
        <v>20822628.70663229</v>
      </c>
      <c r="AB28" s="72">
        <f t="shared" si="11"/>
        <v>20822628.70663229</v>
      </c>
      <c r="AC28" s="145">
        <f t="shared" si="12"/>
        <v>4.3066683897174156E-2</v>
      </c>
      <c r="AD28" s="146">
        <f t="shared" si="13"/>
        <v>6394365.8768724687</v>
      </c>
      <c r="AE28" s="72"/>
      <c r="AF28" s="314">
        <f t="shared" si="14"/>
        <v>397429.79736599274</v>
      </c>
      <c r="AG28" s="316">
        <f t="shared" si="15"/>
        <v>414545.78082047187</v>
      </c>
      <c r="AH28" s="316">
        <f t="shared" si="15"/>
        <v>432398.89292397432</v>
      </c>
      <c r="AI28" s="316">
        <f t="shared" si="15"/>
        <v>451020.87936301914</v>
      </c>
      <c r="AJ28" s="318">
        <f t="shared" si="16"/>
        <v>423848.83761836449</v>
      </c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</row>
    <row r="29" spans="1:90" s="51" customFormat="1" ht="10.199999999999999">
      <c r="A29" s="180" t="s">
        <v>49</v>
      </c>
      <c r="B29" s="217">
        <v>20731572.288420253</v>
      </c>
      <c r="C29" s="128">
        <v>24354074.267039508</v>
      </c>
      <c r="D29" s="128">
        <v>1707282.3198337974</v>
      </c>
      <c r="E29" s="237">
        <v>-1503514.065652044</v>
      </c>
      <c r="F29" s="134">
        <v>45289414.809641518</v>
      </c>
      <c r="G29" s="138">
        <f>B29*VLOOKUP(G$4,'GI Factors'!A:M,4,FALSE)+C29*VLOOKUP(G$4,'GI Factors'!A:M,7,FALSE)+D29*VLOOKUP(G$4,'GI Factors'!A:M,10,FALSE)+E29*VLOOKUP(G$4,'GI Factors'!A:M,13,FALSE)</f>
        <v>46271997.349513523</v>
      </c>
      <c r="H29" s="266">
        <v>37572671.740000002</v>
      </c>
      <c r="I29" s="190">
        <v>1215461</v>
      </c>
      <c r="J29" s="112"/>
      <c r="K29" s="75">
        <f t="shared" si="0"/>
        <v>38788132.740000002</v>
      </c>
      <c r="L29" s="174"/>
      <c r="M29" s="89"/>
      <c r="N29" s="174">
        <f t="shared" si="1"/>
        <v>57865077.193031408</v>
      </c>
      <c r="O29" s="89">
        <f t="shared" si="2"/>
        <v>-19076944.453031406</v>
      </c>
      <c r="P29" s="89">
        <f t="shared" si="3"/>
        <v>0</v>
      </c>
      <c r="Q29" s="178">
        <f t="shared" si="4"/>
        <v>-19076944.453031406</v>
      </c>
      <c r="R29" s="165">
        <f t="shared" si="5"/>
        <v>51</v>
      </c>
      <c r="S29" s="159">
        <f t="shared" si="6"/>
        <v>38788132.740000002</v>
      </c>
      <c r="T29" s="307">
        <v>1980</v>
      </c>
      <c r="U29" s="293">
        <v>2031</v>
      </c>
      <c r="V29" s="109">
        <f t="shared" si="17"/>
        <v>14</v>
      </c>
      <c r="W29" s="109">
        <f t="shared" si="18"/>
        <v>2036</v>
      </c>
      <c r="X29" s="144">
        <f t="shared" si="19"/>
        <v>2037</v>
      </c>
      <c r="Y29" s="71">
        <f>(B29*$Y$5)*VLOOKUP(W29,'GI Factors'!A:M,4,FALSE)+(C29*$Y$5)*VLOOKUP(W29,'GI Factors'!A:M,7,FALSE)+(D29*$Y$5)*VLOOKUP(W29,'GI Factors'!A:M,10,FALSE)+(E29*$Y$5)*VLOOKUP(W29,'GI Factors'!A:M,13,FALSE)</f>
        <v>23477729.374404456</v>
      </c>
      <c r="Z29" s="71">
        <f>(B29*$Z$5)*VLOOKUP(X29,'GI Factors'!A:M,4,FALSE)+(C29*$Z$5)*VLOOKUP(X29,'GI Factors'!A:M,7,FALSE)+(D29*$Z$5)*VLOOKUP(X29,'GI Factors'!A:M,10,FALSE)+(E29*$Z$5)*VLOOKUP(X29,'GI Factors'!A:M,13,FALSE)</f>
        <v>56282241.891665868</v>
      </c>
      <c r="AA29" s="72">
        <f t="shared" si="10"/>
        <v>79759971.266070321</v>
      </c>
      <c r="AB29" s="72">
        <f t="shared" si="11"/>
        <v>40971838.526070319</v>
      </c>
      <c r="AC29" s="145">
        <f t="shared" si="12"/>
        <v>4.1253095930241124E-2</v>
      </c>
      <c r="AD29" s="146">
        <f t="shared" si="13"/>
        <v>23264684.791959222</v>
      </c>
      <c r="AE29" s="72"/>
      <c r="AF29" s="314">
        <f t="shared" si="14"/>
        <v>2220702.66648489</v>
      </c>
      <c r="AG29" s="316">
        <f t="shared" ref="AG29:AI48" si="20">AF29*(1+$AC29)</f>
        <v>2312313.5266179335</v>
      </c>
      <c r="AH29" s="316">
        <f t="shared" si="20"/>
        <v>2407703.6183522972</v>
      </c>
      <c r="AI29" s="316">
        <f t="shared" si="20"/>
        <v>2507028.8466917733</v>
      </c>
      <c r="AJ29" s="318">
        <f t="shared" si="16"/>
        <v>2361937.1645367239</v>
      </c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</row>
    <row r="30" spans="1:90" s="51" customFormat="1" ht="10.199999999999999">
      <c r="A30" s="180" t="s">
        <v>55</v>
      </c>
      <c r="B30" s="217">
        <v>4980657.0258148527</v>
      </c>
      <c r="C30" s="128">
        <v>5442028.0066090683</v>
      </c>
      <c r="D30" s="128">
        <v>1829959.25833608</v>
      </c>
      <c r="E30" s="239">
        <v>-1808938.9477899612</v>
      </c>
      <c r="F30" s="134">
        <v>10443705.34297004</v>
      </c>
      <c r="G30" s="138">
        <f>B30*VLOOKUP(G$4,'GI Factors'!A:M,4,FALSE)+C30*VLOOKUP(G$4,'GI Factors'!A:M,7,FALSE)+D30*VLOOKUP(G$4,'GI Factors'!A:M,10,FALSE)+E30*VLOOKUP(G$4,'GI Factors'!A:M,13,FALSE)</f>
        <v>10711734.386391565</v>
      </c>
      <c r="H30" s="268">
        <v>1730820</v>
      </c>
      <c r="I30" s="192">
        <v>375011</v>
      </c>
      <c r="J30" s="112"/>
      <c r="K30" s="75">
        <f t="shared" si="0"/>
        <v>2105831</v>
      </c>
      <c r="L30" s="174"/>
      <c r="M30" s="89"/>
      <c r="N30" s="174">
        <f t="shared" si="1"/>
        <v>5672968.3216061033</v>
      </c>
      <c r="O30" s="89">
        <f t="shared" si="2"/>
        <v>-3567137.3216061033</v>
      </c>
      <c r="P30" s="89">
        <f t="shared" si="3"/>
        <v>0</v>
      </c>
      <c r="Q30" s="178">
        <f t="shared" si="4"/>
        <v>-3567137.3216061033</v>
      </c>
      <c r="R30" s="165">
        <f t="shared" si="5"/>
        <v>35</v>
      </c>
      <c r="S30" s="159">
        <f t="shared" si="6"/>
        <v>2105831</v>
      </c>
      <c r="T30" s="307">
        <v>2010</v>
      </c>
      <c r="U30" s="293">
        <v>2045</v>
      </c>
      <c r="V30" s="109">
        <f t="shared" si="17"/>
        <v>28</v>
      </c>
      <c r="W30" s="109">
        <f t="shared" si="18"/>
        <v>2050</v>
      </c>
      <c r="X30" s="144">
        <f t="shared" si="19"/>
        <v>2051</v>
      </c>
      <c r="Y30" s="71">
        <f>(B30*$Y$5)*VLOOKUP(W30,'GI Factors'!A:M,4,FALSE)+(C30*$Y$5)*VLOOKUP(W30,'GI Factors'!A:M,7,FALSE)+(D30*$Y$5)*VLOOKUP(W30,'GI Factors'!A:M,10,FALSE)+(E30*$Y$5)*VLOOKUP(W30,'GI Factors'!A:M,13,FALSE)</f>
        <v>8327687.1490491144</v>
      </c>
      <c r="Z30" s="71">
        <f>(B30*$Z$5)*VLOOKUP(X30,'GI Factors'!A:M,4,FALSE)+(C30*$Z$5)*VLOOKUP(X30,'GI Factors'!A:M,7,FALSE)+(D30*$Z$5)*VLOOKUP(X30,'GI Factors'!A:M,10,FALSE)+(E30*$Z$5)*VLOOKUP(X30,'GI Factors'!A:M,13,FALSE)</f>
        <v>20037154.458981417</v>
      </c>
      <c r="AA30" s="72">
        <f t="shared" si="10"/>
        <v>28364841.608030532</v>
      </c>
      <c r="AB30" s="72">
        <f t="shared" si="11"/>
        <v>26259010.608030532</v>
      </c>
      <c r="AC30" s="145">
        <f t="shared" si="12"/>
        <v>3.6328276848301588E-2</v>
      </c>
      <c r="AD30" s="146">
        <f t="shared" si="13"/>
        <v>9668355.3949602656</v>
      </c>
      <c r="AE30" s="72"/>
      <c r="AF30" s="314">
        <f t="shared" si="14"/>
        <v>555919.90613983909</v>
      </c>
      <c r="AG30" s="316">
        <f t="shared" si="20"/>
        <v>576115.51839556894</v>
      </c>
      <c r="AH30" s="316">
        <f t="shared" si="20"/>
        <v>597044.8024444459</v>
      </c>
      <c r="AI30" s="316">
        <f t="shared" si="20"/>
        <v>618734.41131848725</v>
      </c>
      <c r="AJ30" s="318">
        <f t="shared" si="16"/>
        <v>586953.65957458527</v>
      </c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</row>
    <row r="31" spans="1:90" s="51" customFormat="1" ht="10.199999999999999">
      <c r="A31" s="180" t="s">
        <v>50</v>
      </c>
      <c r="B31" s="217">
        <v>7449596.4080136223</v>
      </c>
      <c r="C31" s="218">
        <v>8139671.5494000167</v>
      </c>
      <c r="D31" s="128">
        <v>435008.71702341211</v>
      </c>
      <c r="E31" s="238">
        <v>-6368575.2419475857</v>
      </c>
      <c r="F31" s="134">
        <v>9655701.4324894659</v>
      </c>
      <c r="G31" s="138">
        <f>B31*VLOOKUP(G$4,'GI Factors'!A:M,4,FALSE)+C31*VLOOKUP(G$4,'GI Factors'!A:M,7,FALSE)+D31*VLOOKUP(G$4,'GI Factors'!A:M,10,FALSE)+E31*VLOOKUP(G$4,'GI Factors'!A:M,13,FALSE)</f>
        <v>10031905.064676862</v>
      </c>
      <c r="H31" s="267">
        <v>13955073</v>
      </c>
      <c r="I31" s="191">
        <v>386750</v>
      </c>
      <c r="J31" s="112"/>
      <c r="K31" s="75">
        <f t="shared" si="0"/>
        <v>14341823</v>
      </c>
      <c r="L31" s="174">
        <v>-495159.03700000001</v>
      </c>
      <c r="M31" s="89"/>
      <c r="N31" s="174">
        <f t="shared" si="1"/>
        <v>13846663.963266255</v>
      </c>
      <c r="O31" s="89">
        <f t="shared" si="2"/>
        <v>-2.6625581085681915E-4</v>
      </c>
      <c r="P31" s="89">
        <f t="shared" si="3"/>
        <v>0</v>
      </c>
      <c r="Q31" s="178">
        <f t="shared" si="4"/>
        <v>-2.6625581085681915E-4</v>
      </c>
      <c r="R31" s="165">
        <f t="shared" si="5"/>
        <v>51</v>
      </c>
      <c r="S31" s="159">
        <f t="shared" si="6"/>
        <v>13846663.963</v>
      </c>
      <c r="T31" s="307">
        <v>1980</v>
      </c>
      <c r="U31" s="293">
        <v>2031</v>
      </c>
      <c r="V31" s="109">
        <f t="shared" si="17"/>
        <v>14</v>
      </c>
      <c r="W31" s="109">
        <f t="shared" si="18"/>
        <v>2036</v>
      </c>
      <c r="X31" s="144">
        <f t="shared" si="19"/>
        <v>2037</v>
      </c>
      <c r="Y31" s="71">
        <f>(B31*$Y$5)*VLOOKUP(W31,'GI Factors'!A:M,4,FALSE)+(C31*$Y$5)*VLOOKUP(W31,'GI Factors'!A:M,7,FALSE)+(D31*$Y$5)*VLOOKUP(W31,'GI Factors'!A:M,10,FALSE)+(E31*$Y$5)*VLOOKUP(W31,'GI Factors'!A:M,13,FALSE)</f>
        <v>5601244.5202256516</v>
      </c>
      <c r="Z31" s="71">
        <f>(B31*$Z$5)*VLOOKUP(X31,'GI Factors'!A:M,4,FALSE)+(C31*$Z$5)*VLOOKUP(X31,'GI Factors'!A:M,7,FALSE)+(D31*$Z$5)*VLOOKUP(X31,'GI Factors'!A:M,10,FALSE)+(E31*$Z$5)*VLOOKUP(X31,'GI Factors'!A:M,13,FALSE)</f>
        <v>13484697.699411619</v>
      </c>
      <c r="AA31" s="72">
        <f t="shared" si="10"/>
        <v>19085942.219637271</v>
      </c>
      <c r="AB31" s="72">
        <f t="shared" si="11"/>
        <v>5239278.2566372715</v>
      </c>
      <c r="AC31" s="145">
        <f t="shared" si="12"/>
        <v>4.9875596871093553E-2</v>
      </c>
      <c r="AD31" s="146">
        <f t="shared" si="13"/>
        <v>2650584.7070925944</v>
      </c>
      <c r="AE31" s="72"/>
      <c r="AF31" s="314">
        <f t="shared" si="14"/>
        <v>267559.64848372771</v>
      </c>
      <c r="AG31" s="316">
        <f t="shared" si="20"/>
        <v>280904.34565047361</v>
      </c>
      <c r="AH31" s="316">
        <f t="shared" si="20"/>
        <v>294914.61755347496</v>
      </c>
      <c r="AI31" s="316">
        <f t="shared" si="20"/>
        <v>309623.66012996482</v>
      </c>
      <c r="AJ31" s="318">
        <f t="shared" si="16"/>
        <v>288250.56795441027</v>
      </c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</row>
    <row r="32" spans="1:90" s="51" customFormat="1" ht="10.199999999999999">
      <c r="A32" s="180" t="s">
        <v>51</v>
      </c>
      <c r="B32" s="217">
        <v>7449596.4080136223</v>
      </c>
      <c r="C32" s="128">
        <v>8139671.5494000167</v>
      </c>
      <c r="D32" s="128">
        <v>435008.71702341211</v>
      </c>
      <c r="E32" s="238">
        <v>-6368575.2419475857</v>
      </c>
      <c r="F32" s="134">
        <v>9655701.4324894659</v>
      </c>
      <c r="G32" s="138">
        <f>B32*VLOOKUP(G$4,'GI Factors'!A:M,4,FALSE)+C32*VLOOKUP(G$4,'GI Factors'!A:M,7,FALSE)+D32*VLOOKUP(G$4,'GI Factors'!A:M,10,FALSE)+E32*VLOOKUP(G$4,'GI Factors'!A:M,13,FALSE)</f>
        <v>10031905.064676862</v>
      </c>
      <c r="H32" s="267">
        <v>13848819.52</v>
      </c>
      <c r="I32" s="191">
        <v>390039</v>
      </c>
      <c r="J32" s="112"/>
      <c r="K32" s="75">
        <f t="shared" si="0"/>
        <v>14238858.52</v>
      </c>
      <c r="L32" s="174">
        <v>-496980.12</v>
      </c>
      <c r="M32" s="89"/>
      <c r="N32" s="174">
        <f t="shared" si="1"/>
        <v>13741878.398138834</v>
      </c>
      <c r="O32" s="89">
        <f t="shared" si="2"/>
        <v>1.8611662089824677E-3</v>
      </c>
      <c r="P32" s="89">
        <f t="shared" si="3"/>
        <v>1.8611662089824677E-3</v>
      </c>
      <c r="Q32" s="178">
        <f t="shared" si="4"/>
        <v>0</v>
      </c>
      <c r="R32" s="165">
        <f t="shared" si="5"/>
        <v>50</v>
      </c>
      <c r="S32" s="159">
        <f t="shared" si="6"/>
        <v>13741878.4</v>
      </c>
      <c r="T32" s="307">
        <v>1981</v>
      </c>
      <c r="U32" s="293">
        <v>2031</v>
      </c>
      <c r="V32" s="109">
        <f t="shared" si="17"/>
        <v>14</v>
      </c>
      <c r="W32" s="109">
        <f t="shared" si="18"/>
        <v>2036</v>
      </c>
      <c r="X32" s="144">
        <f t="shared" si="19"/>
        <v>2037</v>
      </c>
      <c r="Y32" s="71">
        <f>(B32*$Y$5)*VLOOKUP(W32,'GI Factors'!A:M,4,FALSE)+(C32*$Y$5)*VLOOKUP(W32,'GI Factors'!A:M,7,FALSE)+(D32*$Y$5)*VLOOKUP(W32,'GI Factors'!A:M,10,FALSE)+(E32*$Y$5)*VLOOKUP(W32,'GI Factors'!A:M,13,FALSE)</f>
        <v>5601244.5202256516</v>
      </c>
      <c r="Z32" s="71">
        <f>(B32*$Z$5)*VLOOKUP(X32,'GI Factors'!A:M,4,FALSE)+(C32*$Z$5)*VLOOKUP(X32,'GI Factors'!A:M,7,FALSE)+(D32*$Z$5)*VLOOKUP(X32,'GI Factors'!A:M,10,FALSE)+(E32*$Z$5)*VLOOKUP(X32,'GI Factors'!A:M,13,FALSE)</f>
        <v>13484697.699411619</v>
      </c>
      <c r="AA32" s="72">
        <f t="shared" si="10"/>
        <v>19085942.219637271</v>
      </c>
      <c r="AB32" s="72">
        <f t="shared" si="11"/>
        <v>5344063.8196372706</v>
      </c>
      <c r="AC32" s="145">
        <f t="shared" si="12"/>
        <v>4.9875596871093553E-2</v>
      </c>
      <c r="AD32" s="146">
        <f t="shared" si="13"/>
        <v>2703596.4001554758</v>
      </c>
      <c r="AE32" s="72"/>
      <c r="AF32" s="314">
        <f t="shared" si="14"/>
        <v>272910.84134448704</v>
      </c>
      <c r="AG32" s="316">
        <f t="shared" si="20"/>
        <v>286522.43244913564</v>
      </c>
      <c r="AH32" s="316">
        <f t="shared" si="20"/>
        <v>300812.90978449385</v>
      </c>
      <c r="AI32" s="316">
        <f t="shared" si="20"/>
        <v>315816.13320652588</v>
      </c>
      <c r="AJ32" s="318">
        <f t="shared" si="16"/>
        <v>294015.5791961606</v>
      </c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</row>
    <row r="33" spans="1:90" s="51" customFormat="1" ht="10.199999999999999">
      <c r="A33" s="180" t="s">
        <v>52</v>
      </c>
      <c r="B33" s="217">
        <v>2423704.6246650429</v>
      </c>
      <c r="C33" s="128">
        <v>2648218.5741382535</v>
      </c>
      <c r="D33" s="128">
        <v>107701.55070327681</v>
      </c>
      <c r="E33" s="238">
        <v>-2508080.4332505078</v>
      </c>
      <c r="F33" s="134">
        <v>2671544.3162560654</v>
      </c>
      <c r="G33" s="138">
        <f>B33*VLOOKUP(G$4,'GI Factors'!A:M,4,FALSE)+C33*VLOOKUP(G$4,'GI Factors'!A:M,7,FALSE)+D33*VLOOKUP(G$4,'GI Factors'!A:M,10,FALSE)+E33*VLOOKUP(G$4,'GI Factors'!A:M,13,FALSE)</f>
        <v>2795692.1837808611</v>
      </c>
      <c r="H33" s="267">
        <v>5657209</v>
      </c>
      <c r="I33" s="191">
        <v>244439</v>
      </c>
      <c r="J33" s="112"/>
      <c r="K33" s="75">
        <f t="shared" si="0"/>
        <v>5901648</v>
      </c>
      <c r="L33" s="174">
        <v>-2388941.0099999998</v>
      </c>
      <c r="M33" s="89"/>
      <c r="N33" s="174">
        <f t="shared" si="1"/>
        <v>3512706.9886491522</v>
      </c>
      <c r="O33" s="89">
        <f t="shared" si="2"/>
        <v>1.3508480042219162E-3</v>
      </c>
      <c r="P33" s="89">
        <f t="shared" si="3"/>
        <v>1.3508480042219162E-3</v>
      </c>
      <c r="Q33" s="178">
        <f t="shared" si="4"/>
        <v>0</v>
      </c>
      <c r="R33" s="165">
        <f t="shared" si="5"/>
        <v>40</v>
      </c>
      <c r="S33" s="159">
        <f t="shared" si="6"/>
        <v>3512706.99</v>
      </c>
      <c r="T33" s="307">
        <v>1994</v>
      </c>
      <c r="U33" s="293">
        <v>2034</v>
      </c>
      <c r="V33" s="109">
        <f t="shared" si="17"/>
        <v>17</v>
      </c>
      <c r="W33" s="109">
        <f t="shared" si="18"/>
        <v>2039</v>
      </c>
      <c r="X33" s="144">
        <f t="shared" si="19"/>
        <v>2040</v>
      </c>
      <c r="Y33" s="71">
        <f>(B33*$Y$5)*VLOOKUP(W33,'GI Factors'!A:M,4,FALSE)+(C33*$Y$5)*VLOOKUP(W33,'GI Factors'!A:M,7,FALSE)+(D33*$Y$5)*VLOOKUP(W33,'GI Factors'!A:M,10,FALSE)+(E33*$Y$5)*VLOOKUP(W33,'GI Factors'!A:M,13,FALSE)</f>
        <v>1789033.7846908127</v>
      </c>
      <c r="Z33" s="71">
        <f>(B33*$Z$5)*VLOOKUP(X33,'GI Factors'!A:M,4,FALSE)+(C33*$Z$5)*VLOOKUP(X33,'GI Factors'!A:M,7,FALSE)+(D33*$Z$5)*VLOOKUP(X33,'GI Factors'!A:M,10,FALSE)+(E33*$Z$5)*VLOOKUP(X33,'GI Factors'!A:M,13,FALSE)</f>
        <v>4320021.8477424961</v>
      </c>
      <c r="AA33" s="72">
        <f t="shared" si="10"/>
        <v>6109055.6324333083</v>
      </c>
      <c r="AB33" s="72">
        <f t="shared" si="11"/>
        <v>2596348.6424333081</v>
      </c>
      <c r="AC33" s="145">
        <f t="shared" si="12"/>
        <v>4.9856882931049326E-2</v>
      </c>
      <c r="AD33" s="146">
        <f t="shared" si="13"/>
        <v>1135406.3338180897</v>
      </c>
      <c r="AE33" s="72"/>
      <c r="AF33" s="314">
        <f t="shared" si="14"/>
        <v>100601.94537885611</v>
      </c>
      <c r="AG33" s="316">
        <f t="shared" si="20"/>
        <v>105617.64479224556</v>
      </c>
      <c r="AH33" s="316">
        <f t="shared" si="20"/>
        <v>110883.41134410568</v>
      </c>
      <c r="AI33" s="316">
        <f t="shared" si="20"/>
        <v>116411.71260248414</v>
      </c>
      <c r="AJ33" s="318">
        <f t="shared" si="16"/>
        <v>108378.67852942288</v>
      </c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</row>
    <row r="34" spans="1:90" s="51" customFormat="1" ht="10.199999999999999">
      <c r="A34" s="180" t="s">
        <v>53</v>
      </c>
      <c r="B34" s="217">
        <v>2386552.9673071168</v>
      </c>
      <c r="C34" s="128">
        <v>2607625.463874714</v>
      </c>
      <c r="D34" s="128">
        <v>107699.68307727302</v>
      </c>
      <c r="E34" s="238">
        <v>-2415499.1088162269</v>
      </c>
      <c r="F34" s="134">
        <v>2686379.0054428773</v>
      </c>
      <c r="G34" s="138">
        <f>B34*VLOOKUP(G$4,'GI Factors'!A:M,4,FALSE)+C34*VLOOKUP(G$4,'GI Factors'!A:M,7,FALSE)+D34*VLOOKUP(G$4,'GI Factors'!A:M,10,FALSE)+E34*VLOOKUP(G$4,'GI Factors'!A:M,13,FALSE)</f>
        <v>2808356.6988470205</v>
      </c>
      <c r="H34" s="267">
        <v>3802053.98</v>
      </c>
      <c r="I34" s="191">
        <v>165451</v>
      </c>
      <c r="J34" s="112"/>
      <c r="K34" s="75">
        <f t="shared" si="0"/>
        <v>3967504.98</v>
      </c>
      <c r="L34" s="174">
        <v>-459059.08</v>
      </c>
      <c r="M34" s="89"/>
      <c r="N34" s="174">
        <f t="shared" si="1"/>
        <v>3508445.8971582279</v>
      </c>
      <c r="O34" s="89">
        <f t="shared" si="2"/>
        <v>2.8417720459401608E-3</v>
      </c>
      <c r="P34" s="89">
        <f t="shared" si="3"/>
        <v>2.8417720459401608E-3</v>
      </c>
      <c r="Q34" s="178">
        <f t="shared" si="4"/>
        <v>0</v>
      </c>
      <c r="R34" s="165">
        <f t="shared" si="5"/>
        <v>40</v>
      </c>
      <c r="S34" s="159">
        <f t="shared" si="6"/>
        <v>3508445.9</v>
      </c>
      <c r="T34" s="307">
        <v>1994</v>
      </c>
      <c r="U34" s="293">
        <v>2034</v>
      </c>
      <c r="V34" s="109">
        <f t="shared" si="17"/>
        <v>17</v>
      </c>
      <c r="W34" s="109">
        <f t="shared" si="18"/>
        <v>2039</v>
      </c>
      <c r="X34" s="144">
        <f t="shared" si="19"/>
        <v>2040</v>
      </c>
      <c r="Y34" s="71">
        <f>(B34*$Y$5)*VLOOKUP(W34,'GI Factors'!A:M,4,FALSE)+(C34*$Y$5)*VLOOKUP(W34,'GI Factors'!A:M,7,FALSE)+(D34*$Y$5)*VLOOKUP(W34,'GI Factors'!A:M,10,FALSE)+(E34*$Y$5)*VLOOKUP(W34,'GI Factors'!A:M,13,FALSE)</f>
        <v>1787141.7129636172</v>
      </c>
      <c r="Z34" s="71">
        <f>(B34*$Z$5)*VLOOKUP(X34,'GI Factors'!A:M,4,FALSE)+(C34*$Z$5)*VLOOKUP(X34,'GI Factors'!A:M,7,FALSE)+(D34*$Z$5)*VLOOKUP(X34,'GI Factors'!A:M,10,FALSE)+(E34*$Z$5)*VLOOKUP(X34,'GI Factors'!A:M,13,FALSE)</f>
        <v>4314503.3255724311</v>
      </c>
      <c r="AA34" s="72">
        <f t="shared" si="10"/>
        <v>6101645.0385360485</v>
      </c>
      <c r="AB34" s="72">
        <f t="shared" si="11"/>
        <v>2593199.1385360486</v>
      </c>
      <c r="AC34" s="145">
        <f t="shared" si="12"/>
        <v>4.9440031823440179E-2</v>
      </c>
      <c r="AD34" s="146">
        <f t="shared" si="13"/>
        <v>1141711.0760620697</v>
      </c>
      <c r="AE34" s="72"/>
      <c r="AF34" s="314">
        <f t="shared" si="14"/>
        <v>100845.69333249801</v>
      </c>
      <c r="AG34" s="316">
        <f t="shared" si="20"/>
        <v>105831.50762011361</v>
      </c>
      <c r="AH34" s="316">
        <f t="shared" si="20"/>
        <v>111063.82072477469</v>
      </c>
      <c r="AI34" s="316">
        <f t="shared" si="20"/>
        <v>116554.81955584041</v>
      </c>
      <c r="AJ34" s="318">
        <f t="shared" si="16"/>
        <v>108573.96030830668</v>
      </c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</row>
    <row r="35" spans="1:90" s="51" customFormat="1" ht="10.199999999999999">
      <c r="A35" s="180" t="s">
        <v>54</v>
      </c>
      <c r="B35" s="217">
        <v>5335938.672143382</v>
      </c>
      <c r="C35" s="128">
        <v>5830220.299218839</v>
      </c>
      <c r="D35" s="128">
        <v>295079.71140046144</v>
      </c>
      <c r="E35" s="238">
        <v>-5231246.6925432999</v>
      </c>
      <c r="F35" s="134">
        <v>6229991.9902193844</v>
      </c>
      <c r="G35" s="138">
        <f>B35*VLOOKUP(G$4,'GI Factors'!A:M,4,FALSE)+C35*VLOOKUP(G$4,'GI Factors'!A:M,7,FALSE)+D35*VLOOKUP(G$4,'GI Factors'!A:M,10,FALSE)+E35*VLOOKUP(G$4,'GI Factors'!A:M,13,FALSE)</f>
        <v>6502836.9109847248</v>
      </c>
      <c r="H35" s="267">
        <v>5479696</v>
      </c>
      <c r="I35" s="191">
        <v>342017</v>
      </c>
      <c r="J35" s="112"/>
      <c r="K35" s="75">
        <f t="shared" si="0"/>
        <v>5821713</v>
      </c>
      <c r="L35" s="174"/>
      <c r="M35" s="89">
        <v>-5821713</v>
      </c>
      <c r="N35" s="174">
        <f t="shared" si="1"/>
        <v>7489235.19783739</v>
      </c>
      <c r="O35" s="89">
        <f t="shared" si="2"/>
        <v>-7489235.19783739</v>
      </c>
      <c r="P35" s="89">
        <f t="shared" si="3"/>
        <v>0</v>
      </c>
      <c r="Q35" s="178">
        <f t="shared" si="4"/>
        <v>-7489235.19783739</v>
      </c>
      <c r="R35" s="165">
        <f t="shared" si="5"/>
        <v>44</v>
      </c>
      <c r="S35" s="159">
        <f t="shared" si="6"/>
        <v>0</v>
      </c>
      <c r="T35" s="307">
        <v>2001</v>
      </c>
      <c r="U35" s="293">
        <v>2045</v>
      </c>
      <c r="V35" s="109">
        <f t="shared" si="17"/>
        <v>28</v>
      </c>
      <c r="W35" s="109">
        <f t="shared" si="18"/>
        <v>2050</v>
      </c>
      <c r="X35" s="144">
        <f t="shared" si="19"/>
        <v>2051</v>
      </c>
      <c r="Y35" s="71">
        <f>(B35*$Y$5)*VLOOKUP(W35,'GI Factors'!A:M,4,FALSE)+(C35*$Y$5)*VLOOKUP(W35,'GI Factors'!A:M,7,FALSE)+(D35*$Y$5)*VLOOKUP(W35,'GI Factors'!A:M,10,FALSE)+(E35*$Y$5)*VLOOKUP(W35,'GI Factors'!A:M,13,FALSE)</f>
        <v>6024299.1605755445</v>
      </c>
      <c r="Z35" s="71">
        <f>(B35*$Z$5)*VLOOKUP(X35,'GI Factors'!A:M,4,FALSE)+(C35*$Z$5)*VLOOKUP(X35,'GI Factors'!A:M,7,FALSE)+(D35*$Z$5)*VLOOKUP(X35,'GI Factors'!A:M,10,FALSE)+(E35*$Z$5)*VLOOKUP(X35,'GI Factors'!A:M,13,FALSE)</f>
        <v>14571097.633477278</v>
      </c>
      <c r="AA35" s="72">
        <f t="shared" si="10"/>
        <v>20595396.794052824</v>
      </c>
      <c r="AB35" s="72">
        <f t="shared" si="11"/>
        <v>20595396.794052824</v>
      </c>
      <c r="AC35" s="145">
        <f t="shared" si="12"/>
        <v>4.3628209905076674E-2</v>
      </c>
      <c r="AD35" s="146">
        <f t="shared" si="13"/>
        <v>6229991.9902193993</v>
      </c>
      <c r="AE35" s="72"/>
      <c r="AF35" s="314">
        <f t="shared" si="14"/>
        <v>389679.15721841587</v>
      </c>
      <c r="AG35" s="316">
        <f t="shared" si="20"/>
        <v>406680.16128517431</v>
      </c>
      <c r="AH35" s="316">
        <f t="shared" si="20"/>
        <v>424422.88872595434</v>
      </c>
      <c r="AI35" s="316">
        <f t="shared" si="20"/>
        <v>442939.69960380928</v>
      </c>
      <c r="AJ35" s="318">
        <f t="shared" si="16"/>
        <v>415930.47670833842</v>
      </c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s="76" customFormat="1" ht="10.199999999999999">
      <c r="A36" s="180" t="s">
        <v>56</v>
      </c>
      <c r="B36" s="217">
        <v>3034312.9880562942</v>
      </c>
      <c r="C36" s="128">
        <v>2525841.5143630193</v>
      </c>
      <c r="D36" s="128">
        <v>274754.18957934412</v>
      </c>
      <c r="E36" s="240">
        <v>-308372.23314467835</v>
      </c>
      <c r="F36" s="134">
        <v>5526536.4588539796</v>
      </c>
      <c r="G36" s="138">
        <f>B36*VLOOKUP(G$4,'GI Factors'!A:M,4,FALSE)+C36*VLOOKUP(G$4,'GI Factors'!A:M,7,FALSE)+D36*VLOOKUP(G$4,'GI Factors'!A:M,10,FALSE)+E36*VLOOKUP(G$4,'GI Factors'!A:M,13,FALSE)</f>
        <v>5661780.0598918563</v>
      </c>
      <c r="H36" s="257">
        <v>0</v>
      </c>
      <c r="I36" s="210">
        <v>0</v>
      </c>
      <c r="J36" s="112"/>
      <c r="K36" s="75">
        <f t="shared" si="0"/>
        <v>0</v>
      </c>
      <c r="L36" s="174"/>
      <c r="M36" s="89"/>
      <c r="N36" s="304">
        <v>0</v>
      </c>
      <c r="O36" s="89">
        <f t="shared" si="2"/>
        <v>0</v>
      </c>
      <c r="P36" s="89">
        <f t="shared" si="3"/>
        <v>0</v>
      </c>
      <c r="Q36" s="302">
        <f t="shared" si="4"/>
        <v>0</v>
      </c>
      <c r="R36" s="165">
        <f t="shared" si="5"/>
        <v>50</v>
      </c>
      <c r="S36" s="159">
        <f t="shared" si="6"/>
        <v>0</v>
      </c>
      <c r="T36" s="307">
        <v>2019</v>
      </c>
      <c r="U36" s="293">
        <f>T36+50</f>
        <v>2069</v>
      </c>
      <c r="V36" s="109">
        <f t="shared" si="17"/>
        <v>52</v>
      </c>
      <c r="W36" s="109">
        <f t="shared" si="18"/>
        <v>2074</v>
      </c>
      <c r="X36" s="144">
        <f t="shared" si="19"/>
        <v>2075</v>
      </c>
      <c r="Y36" s="71">
        <f>(B36*$Y$5)*VLOOKUP(W36,'GI Factors'!A:M,4,FALSE)+(C36*$Y$5)*VLOOKUP(W36,'GI Factors'!A:M,7,FALSE)+(D36*$Y$5)*VLOOKUP(W36,'GI Factors'!A:M,10,FALSE)+(E36*$Y$5)*VLOOKUP(W36,'GI Factors'!A:M,13,FALSE)</f>
        <v>10209789.794883413</v>
      </c>
      <c r="Z36" s="71">
        <f>(B36*$Z$5)*VLOOKUP(X36,'GI Factors'!A:M,4,FALSE)+(C36*$Z$5)*VLOOKUP(X36,'GI Factors'!A:M,7,FALSE)+(D36*$Z$5)*VLOOKUP(X36,'GI Factors'!A:M,10,FALSE)+(E36*$Z$5)*VLOOKUP(X36,'GI Factors'!A:M,13,FALSE)</f>
        <v>24655256.458045632</v>
      </c>
      <c r="AA36" s="72">
        <f t="shared" si="10"/>
        <v>34865046.252929047</v>
      </c>
      <c r="AB36" s="72">
        <f t="shared" si="11"/>
        <v>34865046.252929047</v>
      </c>
      <c r="AC36" s="145">
        <f t="shared" si="12"/>
        <v>3.6056423828139263E-2</v>
      </c>
      <c r="AD36" s="146">
        <f t="shared" si="13"/>
        <v>5526536.4588539489</v>
      </c>
      <c r="AE36" s="72"/>
      <c r="AF36" s="314">
        <f t="shared" si="14"/>
        <v>236803.37316413931</v>
      </c>
      <c r="AG36" s="316">
        <f t="shared" si="20"/>
        <v>245341.65595087854</v>
      </c>
      <c r="AH36" s="316">
        <f t="shared" si="20"/>
        <v>254187.79868054096</v>
      </c>
      <c r="AI36" s="316">
        <f t="shared" si="20"/>
        <v>263352.90168170829</v>
      </c>
      <c r="AJ36" s="318">
        <f t="shared" si="16"/>
        <v>249921.43236931678</v>
      </c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s="76" customFormat="1" ht="10.199999999999999">
      <c r="A37" s="180" t="s">
        <v>57</v>
      </c>
      <c r="B37" s="217">
        <v>5362973.0312489178</v>
      </c>
      <c r="C37" s="218">
        <v>5859758.9200535044</v>
      </c>
      <c r="D37" s="218">
        <v>296460.37133513106</v>
      </c>
      <c r="E37" s="240">
        <v>-5252031.1945600845</v>
      </c>
      <c r="F37" s="253">
        <v>6267161.1280774679</v>
      </c>
      <c r="G37" s="287">
        <f>B37*VLOOKUP(G$4,'GI Factors'!A:M,4,FALSE)+C37*VLOOKUP(G$4,'GI Factors'!A:M,7,FALSE)+D37*VLOOKUP(G$4,'GI Factors'!A:M,10,FALSE)+E37*VLOOKUP(G$4,'GI Factors'!A:M,13,FALSE)</f>
        <v>6541354.5476690819</v>
      </c>
      <c r="H37" s="257">
        <v>0</v>
      </c>
      <c r="I37" s="210">
        <v>0</v>
      </c>
      <c r="J37" s="215"/>
      <c r="K37" s="210">
        <f t="shared" si="0"/>
        <v>0</v>
      </c>
      <c r="L37" s="301"/>
      <c r="M37" s="212"/>
      <c r="N37" s="304">
        <v>0</v>
      </c>
      <c r="O37" s="212">
        <f t="shared" si="2"/>
        <v>0</v>
      </c>
      <c r="P37" s="212">
        <f t="shared" si="3"/>
        <v>0</v>
      </c>
      <c r="Q37" s="302">
        <f t="shared" si="4"/>
        <v>0</v>
      </c>
      <c r="R37" s="297">
        <f t="shared" si="5"/>
        <v>50</v>
      </c>
      <c r="S37" s="294">
        <f t="shared" si="6"/>
        <v>0</v>
      </c>
      <c r="T37" s="307">
        <v>2019</v>
      </c>
      <c r="U37" s="293">
        <f>T37+50</f>
        <v>2069</v>
      </c>
      <c r="V37" s="213">
        <f t="shared" si="17"/>
        <v>52</v>
      </c>
      <c r="W37" s="213">
        <f t="shared" si="18"/>
        <v>2074</v>
      </c>
      <c r="X37" s="289">
        <f t="shared" si="19"/>
        <v>2075</v>
      </c>
      <c r="Y37" s="71">
        <f>(B37*$Y$5)*VLOOKUP(W37,'GI Factors'!A:M,4,FALSE)+(C37*$Y$5)*VLOOKUP(W37,'GI Factors'!A:M,7,FALSE)+(D37*$Y$5)*VLOOKUP(W37,'GI Factors'!A:M,10,FALSE)+(E37*$Y$5)*VLOOKUP(W37,'GI Factors'!A:M,13,FALSE)</f>
        <v>14689180.871127289</v>
      </c>
      <c r="Z37" s="71">
        <f>(B37*$Z$5)*VLOOKUP(X37,'GI Factors'!A:M,4,FALSE)+(C37*$Z$5)*VLOOKUP(X37,'GI Factors'!A:M,7,FALSE)+(D37*$Z$5)*VLOOKUP(X37,'GI Factors'!A:M,10,FALSE)+(E37*$Z$5)*VLOOKUP(X37,'GI Factors'!A:M,13,FALSE)</f>
        <v>35591859.897372268</v>
      </c>
      <c r="AA37" s="72">
        <f t="shared" si="10"/>
        <v>50281040.768499553</v>
      </c>
      <c r="AB37" s="72">
        <f t="shared" si="11"/>
        <v>50281040.768499553</v>
      </c>
      <c r="AC37" s="145">
        <f t="shared" si="12"/>
        <v>4.085690317727695E-2</v>
      </c>
      <c r="AD37" s="146">
        <f t="shared" si="13"/>
        <v>6267161.1280774791</v>
      </c>
      <c r="AE37" s="72"/>
      <c r="AF37" s="314">
        <f t="shared" si="14"/>
        <v>292516.86681691982</v>
      </c>
      <c r="AG37" s="316">
        <f t="shared" si="20"/>
        <v>304468.20012217911</v>
      </c>
      <c r="AH37" s="316">
        <f t="shared" si="20"/>
        <v>316907.82789513079</v>
      </c>
      <c r="AI37" s="316">
        <f t="shared" si="20"/>
        <v>329855.70033556328</v>
      </c>
      <c r="AJ37" s="318">
        <f t="shared" si="16"/>
        <v>310937.14879244822</v>
      </c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s="51" customFormat="1" ht="10.199999999999999">
      <c r="A38" s="180" t="s">
        <v>58</v>
      </c>
      <c r="B38" s="217">
        <v>3310439.0371321132</v>
      </c>
      <c r="C38" s="128">
        <v>2975831.1470975876</v>
      </c>
      <c r="D38" s="128">
        <v>247383.55364390588</v>
      </c>
      <c r="E38" s="241">
        <v>-399678.80898023234</v>
      </c>
      <c r="F38" s="134">
        <v>6133974.9288933743</v>
      </c>
      <c r="G38" s="138">
        <f>B38*VLOOKUP(G$4,'GI Factors'!A:M,4,FALSE)+C38*VLOOKUP(G$4,'GI Factors'!A:M,7,FALSE)+D38*VLOOKUP(G$4,'GI Factors'!A:M,10,FALSE)+E38*VLOOKUP(G$4,'GI Factors'!A:M,13,FALSE)</f>
        <v>6282875.6295735724</v>
      </c>
      <c r="H38" s="269"/>
      <c r="I38" s="193"/>
      <c r="J38" s="112"/>
      <c r="K38" s="75">
        <f t="shared" si="0"/>
        <v>0</v>
      </c>
      <c r="L38" s="174"/>
      <c r="M38" s="89"/>
      <c r="N38" s="174">
        <f t="shared" ref="N38:N61" si="21">AA38-((V38/R38)*AA38)</f>
        <v>615578.20286622271</v>
      </c>
      <c r="O38" s="89">
        <f t="shared" si="2"/>
        <v>-615578.20286622271</v>
      </c>
      <c r="P38" s="89">
        <f t="shared" si="3"/>
        <v>0</v>
      </c>
      <c r="Q38" s="178">
        <f t="shared" si="4"/>
        <v>-615578.20286622271</v>
      </c>
      <c r="R38" s="165">
        <f t="shared" si="5"/>
        <v>40</v>
      </c>
      <c r="S38" s="159">
        <f t="shared" si="6"/>
        <v>0</v>
      </c>
      <c r="T38" s="307">
        <v>2016</v>
      </c>
      <c r="U38" s="293">
        <v>2056</v>
      </c>
      <c r="V38" s="109">
        <f t="shared" si="17"/>
        <v>39</v>
      </c>
      <c r="W38" s="109">
        <f t="shared" si="18"/>
        <v>2061</v>
      </c>
      <c r="X38" s="144">
        <f t="shared" si="19"/>
        <v>2062</v>
      </c>
      <c r="Y38" s="71">
        <f>(B38*$Y$5)*VLOOKUP(W38,'GI Factors'!A:M,4,FALSE)+(C38*$Y$5)*VLOOKUP(W38,'GI Factors'!A:M,7,FALSE)+(D38*$Y$5)*VLOOKUP(W38,'GI Factors'!A:M,10,FALSE)+(E38*$Y$5)*VLOOKUP(W38,'GI Factors'!A:M,13,FALSE)</f>
        <v>7217932.4682498956</v>
      </c>
      <c r="Z38" s="71">
        <f>(B38*$Z$5)*VLOOKUP(X38,'GI Factors'!A:M,4,FALSE)+(C38*$Z$5)*VLOOKUP(X38,'GI Factors'!A:M,7,FALSE)+(D38*$Z$5)*VLOOKUP(X38,'GI Factors'!A:M,10,FALSE)+(E38*$Z$5)*VLOOKUP(X38,'GI Factors'!A:M,13,FALSE)</f>
        <v>17405195.64639895</v>
      </c>
      <c r="AA38" s="72">
        <f t="shared" si="10"/>
        <v>24623128.114648845</v>
      </c>
      <c r="AB38" s="72">
        <f t="shared" si="11"/>
        <v>24623128.114648845</v>
      </c>
      <c r="AC38" s="145">
        <f t="shared" si="12"/>
        <v>3.6279613760404214E-2</v>
      </c>
      <c r="AD38" s="146">
        <f t="shared" si="13"/>
        <v>6133974.9288933584</v>
      </c>
      <c r="AE38" s="72"/>
      <c r="AF38" s="314">
        <f t="shared" si="14"/>
        <v>296367.69025152136</v>
      </c>
      <c r="AG38" s="316">
        <f t="shared" si="20"/>
        <v>307119.79558490968</v>
      </c>
      <c r="AH38" s="316">
        <f t="shared" si="20"/>
        <v>318261.9831469045</v>
      </c>
      <c r="AI38" s="316">
        <f t="shared" si="20"/>
        <v>329808.4049700945</v>
      </c>
      <c r="AJ38" s="318">
        <f t="shared" si="16"/>
        <v>312889.4684883575</v>
      </c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s="51" customFormat="1" ht="10.199999999999999">
      <c r="A39" s="180" t="s">
        <v>60</v>
      </c>
      <c r="B39" s="217">
        <v>1742481.7507691137</v>
      </c>
      <c r="C39" s="128">
        <v>1903892.2856044939</v>
      </c>
      <c r="D39" s="128">
        <v>115652.68261007073</v>
      </c>
      <c r="E39" s="243">
        <v>-1930856.7801224294</v>
      </c>
      <c r="F39" s="134">
        <v>1831169.9388612492</v>
      </c>
      <c r="G39" s="138">
        <f>B39*VLOOKUP(G$4,'GI Factors'!A:M,4,FALSE)+C39*VLOOKUP(G$4,'GI Factors'!A:M,7,FALSE)+D39*VLOOKUP(G$4,'GI Factors'!A:M,10,FALSE)+E39*VLOOKUP(G$4,'GI Factors'!A:M,13,FALSE)</f>
        <v>1921876.4682595332</v>
      </c>
      <c r="H39" s="271">
        <v>401299</v>
      </c>
      <c r="I39" s="195">
        <v>13273</v>
      </c>
      <c r="J39" s="112"/>
      <c r="K39" s="75">
        <f t="shared" si="0"/>
        <v>414572</v>
      </c>
      <c r="L39" s="174"/>
      <c r="M39" s="89"/>
      <c r="N39" s="174">
        <f t="shared" si="21"/>
        <v>2010248.3308328718</v>
      </c>
      <c r="O39" s="89">
        <f t="shared" si="2"/>
        <v>-1595676.3308328718</v>
      </c>
      <c r="P39" s="89">
        <f t="shared" si="3"/>
        <v>0</v>
      </c>
      <c r="Q39" s="178">
        <f t="shared" si="4"/>
        <v>-1595676.3308328718</v>
      </c>
      <c r="R39" s="165">
        <f t="shared" si="5"/>
        <v>46</v>
      </c>
      <c r="S39" s="159">
        <f t="shared" si="6"/>
        <v>414572</v>
      </c>
      <c r="T39" s="307">
        <v>1971</v>
      </c>
      <c r="U39" s="293">
        <v>2017</v>
      </c>
      <c r="V39" s="213">
        <v>1</v>
      </c>
      <c r="W39" s="213">
        <f>U39</f>
        <v>2017</v>
      </c>
      <c r="X39" s="289">
        <f>U39+1</f>
        <v>2018</v>
      </c>
      <c r="Y39" s="71">
        <f>(B39*$Y$5)*VLOOKUP(W39,'GI Factors'!A:M,4,FALSE)+(C39*$Y$5)*VLOOKUP(W39,'GI Factors'!A:M,7,FALSE)+(D39*$Y$5)*VLOOKUP(W39,'GI Factors'!A:M,10,FALSE)+(E39*$Y$5)*VLOOKUP(W39,'GI Factors'!A:M,13,FALSE)</f>
        <v>601973.42328352039</v>
      </c>
      <c r="Z39" s="71">
        <f>(B39*$Z$5)*VLOOKUP(X39,'GI Factors'!A:M,4,FALSE)+(C39*$Z$5)*VLOOKUP(X39,'GI Factors'!A:M,7,FALSE)+(D39*$Z$5)*VLOOKUP(X39,'GI Factors'!A:M,10,FALSE)+(E39*$Z$5)*VLOOKUP(X39,'GI Factors'!A:M,13,FALSE)</f>
        <v>1452947.0926789709</v>
      </c>
      <c r="AA39" s="72">
        <f t="shared" si="10"/>
        <v>2054920.5159624913</v>
      </c>
      <c r="AB39" s="72">
        <f t="shared" si="11"/>
        <v>1640348.5159624913</v>
      </c>
      <c r="AC39" s="145">
        <f t="shared" si="12"/>
        <v>0.12218995755270301</v>
      </c>
      <c r="AD39" s="146">
        <f t="shared" si="13"/>
        <v>1461738.7233974184</v>
      </c>
      <c r="AE39" s="72"/>
      <c r="AF39" s="314">
        <f t="shared" si="14"/>
        <v>1640348.515962491</v>
      </c>
      <c r="AG39" s="316">
        <f t="shared" si="20"/>
        <v>1840782.6314995871</v>
      </c>
      <c r="AH39" s="316">
        <f t="shared" si="20"/>
        <v>2065707.7831062747</v>
      </c>
      <c r="AI39" s="316">
        <f t="shared" si="20"/>
        <v>2318116.5294403187</v>
      </c>
      <c r="AJ39" s="318">
        <f t="shared" si="16"/>
        <v>1966238.8650021679</v>
      </c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s="51" customFormat="1" ht="10.199999999999999">
      <c r="A40" s="180" t="s">
        <v>59</v>
      </c>
      <c r="B40" s="217">
        <v>5017105.8010564577</v>
      </c>
      <c r="C40" s="128">
        <v>5481853.1249907082</v>
      </c>
      <c r="D40" s="128">
        <v>214306.21858655347</v>
      </c>
      <c r="E40" s="242">
        <v>-4986252.8894319041</v>
      </c>
      <c r="F40" s="134">
        <v>5727012.2552018138</v>
      </c>
      <c r="G40" s="138">
        <f>B40*VLOOKUP(G$4,'GI Factors'!A:M,4,FALSE)+C40*VLOOKUP(G$4,'GI Factors'!A:M,7,FALSE)+D40*VLOOKUP(G$4,'GI Factors'!A:M,10,FALSE)+E40*VLOOKUP(G$4,'GI Factors'!A:M,13,FALSE)</f>
        <v>5982695.127298343</v>
      </c>
      <c r="H40" s="270"/>
      <c r="I40" s="194"/>
      <c r="J40" s="112"/>
      <c r="K40" s="75">
        <f t="shared" si="0"/>
        <v>0</v>
      </c>
      <c r="L40" s="174"/>
      <c r="M40" s="89"/>
      <c r="N40" s="174">
        <f t="shared" si="21"/>
        <v>714944.29497271404</v>
      </c>
      <c r="O40" s="89">
        <f t="shared" si="2"/>
        <v>-714944.29497271404</v>
      </c>
      <c r="P40" s="89">
        <f t="shared" si="3"/>
        <v>0</v>
      </c>
      <c r="Q40" s="302">
        <f t="shared" si="4"/>
        <v>-714944.29497271404</v>
      </c>
      <c r="R40" s="165">
        <f t="shared" si="5"/>
        <v>40</v>
      </c>
      <c r="S40" s="159">
        <f t="shared" si="6"/>
        <v>0</v>
      </c>
      <c r="T40" s="307">
        <v>2016</v>
      </c>
      <c r="U40" s="293">
        <v>2056</v>
      </c>
      <c r="V40" s="109">
        <f t="shared" ref="V40:V61" si="22">U40-2017</f>
        <v>39</v>
      </c>
      <c r="W40" s="109">
        <f t="shared" ref="W40:W61" si="23">U40+5</f>
        <v>2061</v>
      </c>
      <c r="X40" s="144">
        <f t="shared" ref="X40:X61" si="24">U40+6</f>
        <v>2062</v>
      </c>
      <c r="Y40" s="71">
        <f>(B40*$Y$5)*VLOOKUP(W40,'GI Factors'!A:M,4,FALSE)+(C40*$Y$5)*VLOOKUP(W40,'GI Factors'!A:M,7,FALSE)+(D40*$Y$5)*VLOOKUP(W40,'GI Factors'!A:M,10,FALSE)+(E40*$Y$5)*VLOOKUP(W40,'GI Factors'!A:M,13,FALSE)</f>
        <v>8358026.8613966592</v>
      </c>
      <c r="Z40" s="71">
        <f>(B40*$Z$5)*VLOOKUP(X40,'GI Factors'!A:M,4,FALSE)+(C40*$Z$5)*VLOOKUP(X40,'GI Factors'!A:M,7,FALSE)+(D40*$Z$5)*VLOOKUP(X40,'GI Factors'!A:M,10,FALSE)+(E40*$Z$5)*VLOOKUP(X40,'GI Factors'!A:M,13,FALSE)</f>
        <v>20239744.937511824</v>
      </c>
      <c r="AA40" s="72">
        <f t="shared" si="10"/>
        <v>28597771.798908483</v>
      </c>
      <c r="AB40" s="72">
        <f t="shared" si="11"/>
        <v>28597771.798908483</v>
      </c>
      <c r="AC40" s="145">
        <f t="shared" si="12"/>
        <v>4.2096163468340213E-2</v>
      </c>
      <c r="AD40" s="146">
        <f t="shared" si="13"/>
        <v>5727012.2552018072</v>
      </c>
      <c r="AE40" s="72"/>
      <c r="AF40" s="314">
        <f t="shared" si="14"/>
        <v>301454.82405658852</v>
      </c>
      <c r="AG40" s="316">
        <f t="shared" si="20"/>
        <v>314144.91560839437</v>
      </c>
      <c r="AH40" s="316">
        <f t="shared" si="20"/>
        <v>327369.21132859326</v>
      </c>
      <c r="AI40" s="316">
        <f t="shared" si="20"/>
        <v>341150.19916318328</v>
      </c>
      <c r="AJ40" s="318">
        <f t="shared" si="16"/>
        <v>321029.78753918986</v>
      </c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s="51" customFormat="1" ht="10.199999999999999">
      <c r="A41" s="180" t="s">
        <v>61</v>
      </c>
      <c r="B41" s="217">
        <v>2880517.3224814348</v>
      </c>
      <c r="C41" s="218">
        <v>3564736.5607925709</v>
      </c>
      <c r="D41" s="218">
        <v>228879.10797462874</v>
      </c>
      <c r="E41" s="244">
        <v>-363284.61340347707</v>
      </c>
      <c r="F41" s="253">
        <v>6310848.3778451579</v>
      </c>
      <c r="G41" s="287">
        <f>B41*VLOOKUP(G$4,'GI Factors'!A:M,4,FALSE)+C41*VLOOKUP(G$4,'GI Factors'!A:M,7,FALSE)+D41*VLOOKUP(G$4,'GI Factors'!A:M,10,FALSE)+E41*VLOOKUP(G$4,'GI Factors'!A:M,13,FALSE)</f>
        <v>6449724.8422452696</v>
      </c>
      <c r="H41" s="272">
        <v>0</v>
      </c>
      <c r="I41" s="196">
        <v>0</v>
      </c>
      <c r="J41" s="215"/>
      <c r="K41" s="210">
        <f t="shared" ref="K41:K61" si="25">H41+I41+J41</f>
        <v>0</v>
      </c>
      <c r="L41" s="301"/>
      <c r="M41" s="212"/>
      <c r="N41" s="301">
        <f t="shared" si="21"/>
        <v>1631376.9407596439</v>
      </c>
      <c r="O41" s="212">
        <f t="shared" ref="O41:O72" si="26">S41-N41</f>
        <v>-1631376.9407596439</v>
      </c>
      <c r="P41" s="212">
        <f t="shared" ref="P41:P61" si="27">IF(O41&lt;0,0,+O41)</f>
        <v>0</v>
      </c>
      <c r="Q41" s="178">
        <f t="shared" ref="Q41:Q61" si="28">+IF(O41&gt;0,0,+O41)</f>
        <v>-1631376.9407596439</v>
      </c>
      <c r="R41" s="297">
        <f t="shared" ref="R41:R61" si="29">U41-T41</f>
        <v>40</v>
      </c>
      <c r="S41" s="294">
        <f t="shared" ref="S41:S61" si="30">K41+L41+M41</f>
        <v>0</v>
      </c>
      <c r="T41" s="307">
        <v>2014</v>
      </c>
      <c r="U41" s="293">
        <v>2054</v>
      </c>
      <c r="V41" s="109">
        <f t="shared" si="22"/>
        <v>37</v>
      </c>
      <c r="W41" s="109">
        <f t="shared" si="23"/>
        <v>2059</v>
      </c>
      <c r="X41" s="144">
        <f t="shared" si="24"/>
        <v>2060</v>
      </c>
      <c r="Y41" s="71">
        <f>(B41*$Y$5)*VLOOKUP(W41,'GI Factors'!A:M,4,FALSE)+(C41*$Y$5)*VLOOKUP(W41,'GI Factors'!A:M,7,FALSE)+(D41*$Y$5)*VLOOKUP(W41,'GI Factors'!A:M,10,FALSE)+(E41*$Y$5)*VLOOKUP(W41,'GI Factors'!A:M,13,FALSE)</f>
        <v>6384526.5152181312</v>
      </c>
      <c r="Z41" s="71">
        <f>(B41*$Z$5)*VLOOKUP(X41,'GI Factors'!A:M,4,FALSE)+(C41*$Z$5)*VLOOKUP(X41,'GI Factors'!A:M,7,FALSE)+(D41*$Z$5)*VLOOKUP(X41,'GI Factors'!A:M,10,FALSE)+(E41*$Z$5)*VLOOKUP(X41,'GI Factors'!A:M,13,FALSE)</f>
        <v>15367166.028243804</v>
      </c>
      <c r="AA41" s="72">
        <f t="shared" ref="AA41:AA61" si="31">SUM(Y41:Z41)</f>
        <v>21751692.543461934</v>
      </c>
      <c r="AB41" s="72">
        <f t="shared" ref="AB41:AB61" si="32">AA41-S41</f>
        <v>21751692.543461934</v>
      </c>
      <c r="AC41" s="145">
        <f t="shared" ref="AC41:AC61" si="33">RATE(V41,,-F41,AA41)</f>
        <v>3.4009354672541382E-2</v>
      </c>
      <c r="AD41" s="146">
        <f t="shared" ref="AD41:AD61" si="34">AB41/((1+AC41)^(V41))</f>
        <v>6310848.3778451812</v>
      </c>
      <c r="AE41" s="72"/>
      <c r="AF41" s="314">
        <f t="shared" ref="AF41:AF61" si="35">PMT((1+AC41)-1,V41,-AD41)</f>
        <v>302348.73324408574</v>
      </c>
      <c r="AG41" s="316">
        <f t="shared" si="20"/>
        <v>312631.41854777746</v>
      </c>
      <c r="AH41" s="316">
        <f t="shared" si="20"/>
        <v>323263.81134294852</v>
      </c>
      <c r="AI41" s="316">
        <f t="shared" si="20"/>
        <v>334257.80495570833</v>
      </c>
      <c r="AJ41" s="318">
        <f t="shared" ref="AJ41:AJ61" si="36">SUM(AF41:AI41)/4</f>
        <v>318125.44202263001</v>
      </c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s="51" customFormat="1" ht="10.199999999999999">
      <c r="A42" s="180" t="s">
        <v>62</v>
      </c>
      <c r="B42" s="217">
        <v>5045179.3181707775</v>
      </c>
      <c r="C42" s="128">
        <v>5512527.1636944963</v>
      </c>
      <c r="D42" s="128">
        <v>216310.46559399637</v>
      </c>
      <c r="E42" s="245">
        <v>-4024241.2901203092</v>
      </c>
      <c r="F42" s="134">
        <v>6749775.6573389601</v>
      </c>
      <c r="G42" s="138">
        <f>B42*VLOOKUP(G$4,'GI Factors'!A:M,4,FALSE)+C42*VLOOKUP(G$4,'GI Factors'!A:M,7,FALSE)+D42*VLOOKUP(G$4,'GI Factors'!A:M,10,FALSE)+E42*VLOOKUP(G$4,'GI Factors'!A:M,13,FALSE)</f>
        <v>7001430.7214899128</v>
      </c>
      <c r="H42" s="273">
        <v>0</v>
      </c>
      <c r="I42" s="197">
        <v>0</v>
      </c>
      <c r="J42" s="112"/>
      <c r="K42" s="75">
        <f t="shared" si="25"/>
        <v>0</v>
      </c>
      <c r="L42" s="174"/>
      <c r="M42" s="89"/>
      <c r="N42" s="174">
        <f t="shared" si="21"/>
        <v>2166302.3379357718</v>
      </c>
      <c r="O42" s="89">
        <f t="shared" si="26"/>
        <v>-2166302.3379357718</v>
      </c>
      <c r="P42" s="89">
        <f t="shared" si="27"/>
        <v>0</v>
      </c>
      <c r="Q42" s="178">
        <f t="shared" si="28"/>
        <v>-2166302.3379357718</v>
      </c>
      <c r="R42" s="165">
        <f t="shared" si="29"/>
        <v>40</v>
      </c>
      <c r="S42" s="159">
        <f t="shared" si="30"/>
        <v>0</v>
      </c>
      <c r="T42" s="307">
        <v>2014</v>
      </c>
      <c r="U42" s="293">
        <v>2054</v>
      </c>
      <c r="V42" s="109">
        <f t="shared" si="22"/>
        <v>37</v>
      </c>
      <c r="W42" s="109">
        <f t="shared" si="23"/>
        <v>2059</v>
      </c>
      <c r="X42" s="144">
        <f t="shared" si="24"/>
        <v>2060</v>
      </c>
      <c r="Y42" s="71">
        <f>(B42*$Y$5)*VLOOKUP(W42,'GI Factors'!A:M,4,FALSE)+(C42*$Y$5)*VLOOKUP(W42,'GI Factors'!A:M,7,FALSE)+(D42*$Y$5)*VLOOKUP(W42,'GI Factors'!A:M,10,FALSE)+(E42*$Y$5)*VLOOKUP(W42,'GI Factors'!A:M,13,FALSE)</f>
        <v>8451343.4255850315</v>
      </c>
      <c r="Z42" s="71">
        <f>(B42*$Z$5)*VLOOKUP(X42,'GI Factors'!A:M,4,FALSE)+(C42*$Z$5)*VLOOKUP(X42,'GI Factors'!A:M,7,FALSE)+(D42*$Z$5)*VLOOKUP(X42,'GI Factors'!A:M,10,FALSE)+(E42*$Z$5)*VLOOKUP(X42,'GI Factors'!A:M,13,FALSE)</f>
        <v>20432687.746891931</v>
      </c>
      <c r="AA42" s="72">
        <f t="shared" si="31"/>
        <v>28884031.172476962</v>
      </c>
      <c r="AB42" s="72">
        <f t="shared" si="32"/>
        <v>28884031.172476962</v>
      </c>
      <c r="AC42" s="145">
        <f t="shared" si="33"/>
        <v>4.0073455623035263E-2</v>
      </c>
      <c r="AD42" s="146">
        <f t="shared" si="34"/>
        <v>6749775.6573389694</v>
      </c>
      <c r="AE42" s="72"/>
      <c r="AF42" s="314">
        <f t="shared" si="35"/>
        <v>352970.99449921725</v>
      </c>
      <c r="AG42" s="316">
        <f t="shared" si="20"/>
        <v>367115.76198350027</v>
      </c>
      <c r="AH42" s="316">
        <f t="shared" si="20"/>
        <v>381827.35917986289</v>
      </c>
      <c r="AI42" s="316">
        <f t="shared" si="20"/>
        <v>397128.5009136179</v>
      </c>
      <c r="AJ42" s="318">
        <f t="shared" si="36"/>
        <v>374760.65414404956</v>
      </c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s="51" customFormat="1" ht="10.199999999999999">
      <c r="A43" s="180" t="s">
        <v>63</v>
      </c>
      <c r="B43" s="217">
        <v>4563820.8334146757</v>
      </c>
      <c r="C43" s="128">
        <v>5422384.5044135991</v>
      </c>
      <c r="D43" s="128">
        <v>586238.65373034903</v>
      </c>
      <c r="E43" s="246">
        <v>-560475.78684312862</v>
      </c>
      <c r="F43" s="134">
        <v>10011968.204715496</v>
      </c>
      <c r="G43" s="138">
        <f>B43*VLOOKUP(G$4,'GI Factors'!A:M,4,FALSE)+C43*VLOOKUP(G$4,'GI Factors'!A:M,7,FALSE)+D43*VLOOKUP(G$4,'GI Factors'!A:M,10,FALSE)+E43*VLOOKUP(G$4,'GI Factors'!A:M,13,FALSE)</f>
        <v>10234210.979358369</v>
      </c>
      <c r="H43" s="274">
        <v>10432013.74</v>
      </c>
      <c r="I43" s="198">
        <v>306085</v>
      </c>
      <c r="J43" s="112"/>
      <c r="K43" s="75">
        <f t="shared" si="25"/>
        <v>10738098.74</v>
      </c>
      <c r="L43" s="174">
        <v>-2043028.31</v>
      </c>
      <c r="M43" s="89">
        <v>-324654.82</v>
      </c>
      <c r="N43" s="174">
        <f t="shared" si="21"/>
        <v>8695070.4286393765</v>
      </c>
      <c r="O43" s="89">
        <f t="shared" si="26"/>
        <v>-324654.81863937713</v>
      </c>
      <c r="P43" s="89">
        <f t="shared" si="27"/>
        <v>0</v>
      </c>
      <c r="Q43" s="178">
        <f t="shared" si="28"/>
        <v>-324654.81863937713</v>
      </c>
      <c r="R43" s="165">
        <f t="shared" si="29"/>
        <v>40</v>
      </c>
      <c r="S43" s="159">
        <f t="shared" si="30"/>
        <v>8370415.6099999994</v>
      </c>
      <c r="T43" s="307">
        <v>2003</v>
      </c>
      <c r="U43" s="293">
        <v>2043</v>
      </c>
      <c r="V43" s="109">
        <f t="shared" si="22"/>
        <v>26</v>
      </c>
      <c r="W43" s="109">
        <f t="shared" si="23"/>
        <v>2048</v>
      </c>
      <c r="X43" s="144">
        <f t="shared" si="24"/>
        <v>2049</v>
      </c>
      <c r="Y43" s="71">
        <f>(B43*$Y$5)*VLOOKUP(W43,'GI Factors'!A:M,4,FALSE)+(C43*$Y$5)*VLOOKUP(W43,'GI Factors'!A:M,7,FALSE)+(D43*$Y$5)*VLOOKUP(W43,'GI Factors'!A:M,10,FALSE)+(E43*$Y$5)*VLOOKUP(W43,'GI Factors'!A:M,13,FALSE)</f>
        <v>7299619.8835116923</v>
      </c>
      <c r="Z43" s="71">
        <f>(B43*$Z$5)*VLOOKUP(X43,'GI Factors'!A:M,4,FALSE)+(C43*$Z$5)*VLOOKUP(X43,'GI Factors'!A:M,7,FALSE)+(D43*$Z$5)*VLOOKUP(X43,'GI Factors'!A:M,10,FALSE)+(E43*$Z$5)*VLOOKUP(X43,'GI Factors'!A:M,13,FALSE)</f>
        <v>17543438.484029382</v>
      </c>
      <c r="AA43" s="72">
        <f t="shared" si="31"/>
        <v>24843058.367541075</v>
      </c>
      <c r="AB43" s="72">
        <f t="shared" si="32"/>
        <v>16472642.757541075</v>
      </c>
      <c r="AC43" s="145">
        <f t="shared" si="33"/>
        <v>3.5571799524218913E-2</v>
      </c>
      <c r="AD43" s="146">
        <f t="shared" si="34"/>
        <v>6638618.0435666665</v>
      </c>
      <c r="AE43" s="72"/>
      <c r="AF43" s="314">
        <f t="shared" si="35"/>
        <v>395562.85487992538</v>
      </c>
      <c r="AG43" s="316">
        <f t="shared" si="20"/>
        <v>409633.73745294177</v>
      </c>
      <c r="AH43" s="316">
        <f t="shared" si="20"/>
        <v>424205.14663997432</v>
      </c>
      <c r="AI43" s="316">
        <f t="shared" si="20"/>
        <v>439294.88707339333</v>
      </c>
      <c r="AJ43" s="318">
        <f t="shared" si="36"/>
        <v>417174.15651155869</v>
      </c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s="51" customFormat="1" ht="10.199999999999999">
      <c r="A44" s="180" t="s">
        <v>64</v>
      </c>
      <c r="B44" s="217">
        <v>4858557.170778797</v>
      </c>
      <c r="C44" s="128">
        <v>5308617.7301605679</v>
      </c>
      <c r="D44" s="128">
        <v>215509.68562062192</v>
      </c>
      <c r="E44" s="131">
        <v>-4248016.0300417049</v>
      </c>
      <c r="F44" s="134">
        <v>6134668.5565182818</v>
      </c>
      <c r="G44" s="138">
        <f>B44*VLOOKUP(G$4,'GI Factors'!A:M,4,FALSE)+C44*VLOOKUP(G$4,'GI Factors'!A:M,7,FALSE)+D44*VLOOKUP(G$4,'GI Factors'!A:M,10,FALSE)+E44*VLOOKUP(G$4,'GI Factors'!A:M,13,FALSE)</f>
        <v>6379216.0893977052</v>
      </c>
      <c r="H44" s="275">
        <v>7095187.2800000003</v>
      </c>
      <c r="I44" s="199">
        <v>590434</v>
      </c>
      <c r="J44" s="112"/>
      <c r="K44" s="75">
        <f t="shared" si="25"/>
        <v>7685621.2800000003</v>
      </c>
      <c r="L44" s="174">
        <v>-1287885.71</v>
      </c>
      <c r="M44" s="89">
        <v>-6397735.5700000003</v>
      </c>
      <c r="N44" s="174">
        <f t="shared" si="21"/>
        <v>6397735.5716494918</v>
      </c>
      <c r="O44" s="89">
        <f t="shared" si="26"/>
        <v>-6397735.5716494918</v>
      </c>
      <c r="P44" s="89">
        <f t="shared" si="27"/>
        <v>0</v>
      </c>
      <c r="Q44" s="178">
        <f t="shared" si="28"/>
        <v>-6397735.5716494918</v>
      </c>
      <c r="R44" s="165">
        <f t="shared" si="29"/>
        <v>40</v>
      </c>
      <c r="S44" s="159">
        <f t="shared" si="30"/>
        <v>0</v>
      </c>
      <c r="T44" s="307">
        <v>2003</v>
      </c>
      <c r="U44" s="293">
        <v>2043</v>
      </c>
      <c r="V44" s="109">
        <f t="shared" si="22"/>
        <v>26</v>
      </c>
      <c r="W44" s="109">
        <f t="shared" si="23"/>
        <v>2048</v>
      </c>
      <c r="X44" s="144">
        <f t="shared" si="24"/>
        <v>2049</v>
      </c>
      <c r="Y44" s="71">
        <f>(B44*$Y$5)*VLOOKUP(W44,'GI Factors'!A:M,4,FALSE)+(C44*$Y$5)*VLOOKUP(W44,'GI Factors'!A:M,7,FALSE)+(D44*$Y$5)*VLOOKUP(W44,'GI Factors'!A:M,10,FALSE)+(E44*$Y$5)*VLOOKUP(W44,'GI Factors'!A:M,13,FALSE)</f>
        <v>5350872.8903426034</v>
      </c>
      <c r="Z44" s="71">
        <f>(B44*$Z$5)*VLOOKUP(X44,'GI Factors'!A:M,4,FALSE)+(C44*$Z$5)*VLOOKUP(X44,'GI Factors'!A:M,7,FALSE)+(D44*$Z$5)*VLOOKUP(X44,'GI Factors'!A:M,10,FALSE)+(E44*$Z$5)*VLOOKUP(X44,'GI Factors'!A:M,13,FALSE)</f>
        <v>12928371.600084517</v>
      </c>
      <c r="AA44" s="72">
        <f t="shared" si="31"/>
        <v>18279244.490427122</v>
      </c>
      <c r="AB44" s="72">
        <f t="shared" si="32"/>
        <v>18279244.490427122</v>
      </c>
      <c r="AC44" s="145">
        <f t="shared" si="33"/>
        <v>4.2886864992659139E-2</v>
      </c>
      <c r="AD44" s="146">
        <f t="shared" si="34"/>
        <v>6134668.5565182967</v>
      </c>
      <c r="AE44" s="72"/>
      <c r="AF44" s="314">
        <f t="shared" si="35"/>
        <v>395996.44891225983</v>
      </c>
      <c r="AG44" s="316">
        <f t="shared" si="20"/>
        <v>412979.49515433231</v>
      </c>
      <c r="AH44" s="316">
        <f t="shared" si="20"/>
        <v>430690.89100775262</v>
      </c>
      <c r="AI44" s="316">
        <f t="shared" si="20"/>
        <v>449161.87310397014</v>
      </c>
      <c r="AJ44" s="318">
        <f t="shared" si="36"/>
        <v>422207.17704457871</v>
      </c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s="51" customFormat="1" ht="10.199999999999999">
      <c r="A45" s="180" t="s">
        <v>65</v>
      </c>
      <c r="B45" s="217">
        <v>4839793.5311587434</v>
      </c>
      <c r="C45" s="128">
        <v>5288115.9666805686</v>
      </c>
      <c r="D45" s="128">
        <v>215509.68562062192</v>
      </c>
      <c r="E45" s="246">
        <v>-4234964.6550417049</v>
      </c>
      <c r="F45" s="134">
        <v>6108454.5284182308</v>
      </c>
      <c r="G45" s="138">
        <f>B45*VLOOKUP(G$4,'GI Factors'!A:M,4,FALSE)+C45*VLOOKUP(G$4,'GI Factors'!A:M,7,FALSE)+D45*VLOOKUP(G$4,'GI Factors'!A:M,10,FALSE)+E45*VLOOKUP(G$4,'GI Factors'!A:M,13,FALSE)</f>
        <v>6352092.4232648248</v>
      </c>
      <c r="H45" s="275">
        <v>7720192.1100000003</v>
      </c>
      <c r="I45" s="199">
        <v>584194</v>
      </c>
      <c r="J45" s="112"/>
      <c r="K45" s="75">
        <f t="shared" si="25"/>
        <v>8304386.1100000003</v>
      </c>
      <c r="L45" s="174">
        <v>-1711483.99</v>
      </c>
      <c r="M45" s="89"/>
      <c r="N45" s="174">
        <f t="shared" si="21"/>
        <v>6592902.1154550556</v>
      </c>
      <c r="O45" s="89">
        <f t="shared" si="26"/>
        <v>4.5449445024132729E-3</v>
      </c>
      <c r="P45" s="89">
        <f t="shared" si="27"/>
        <v>4.5449445024132729E-3</v>
      </c>
      <c r="Q45" s="178">
        <f t="shared" si="28"/>
        <v>0</v>
      </c>
      <c r="R45" s="165">
        <f t="shared" si="29"/>
        <v>40</v>
      </c>
      <c r="S45" s="159">
        <f t="shared" si="30"/>
        <v>6592902.1200000001</v>
      </c>
      <c r="T45" s="307">
        <v>2002</v>
      </c>
      <c r="U45" s="293">
        <v>2042</v>
      </c>
      <c r="V45" s="109">
        <f t="shared" si="22"/>
        <v>25</v>
      </c>
      <c r="W45" s="109">
        <f t="shared" si="23"/>
        <v>2047</v>
      </c>
      <c r="X45" s="144">
        <f t="shared" si="24"/>
        <v>2048</v>
      </c>
      <c r="Y45" s="71">
        <f>(B45*$Y$5)*VLOOKUP(W45,'GI Factors'!A:M,4,FALSE)+(C45*$Y$5)*VLOOKUP(W45,'GI Factors'!A:M,7,FALSE)+(D45*$Y$5)*VLOOKUP(W45,'GI Factors'!A:M,10,FALSE)+(E45*$Y$5)*VLOOKUP(W45,'GI Factors'!A:M,13,FALSE)</f>
        <v>5146939.527236281</v>
      </c>
      <c r="Z45" s="71">
        <f>(B45*$Z$5)*VLOOKUP(X45,'GI Factors'!A:M,4,FALSE)+(C45*$Z$5)*VLOOKUP(X45,'GI Factors'!A:M,7,FALSE)+(D45*$Z$5)*VLOOKUP(X45,'GI Factors'!A:M,10,FALSE)+(E45*$Z$5)*VLOOKUP(X45,'GI Factors'!A:M,13,FALSE)</f>
        <v>12434132.780643869</v>
      </c>
      <c r="AA45" s="72">
        <f t="shared" si="31"/>
        <v>17581072.307880148</v>
      </c>
      <c r="AB45" s="72">
        <f t="shared" si="32"/>
        <v>10988170.187880147</v>
      </c>
      <c r="AC45" s="145">
        <f t="shared" si="33"/>
        <v>4.3192751107496402E-2</v>
      </c>
      <c r="AD45" s="146">
        <f t="shared" si="34"/>
        <v>3817784.0786822909</v>
      </c>
      <c r="AE45" s="72"/>
      <c r="AF45" s="314">
        <f t="shared" si="35"/>
        <v>252699.89673337972</v>
      </c>
      <c r="AG45" s="316">
        <f t="shared" si="20"/>
        <v>263614.7004778746</v>
      </c>
      <c r="AH45" s="316">
        <f t="shared" si="20"/>
        <v>275000.94462389266</v>
      </c>
      <c r="AI45" s="316">
        <f t="shared" si="20"/>
        <v>286878.99197935883</v>
      </c>
      <c r="AJ45" s="318">
        <f t="shared" si="36"/>
        <v>269548.63345362642</v>
      </c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s="51" customFormat="1">
      <c r="A46" s="180" t="s">
        <v>86</v>
      </c>
      <c r="B46" s="217">
        <v>19521856.984924212</v>
      </c>
      <c r="C46" s="128">
        <v>13419790.403831013</v>
      </c>
      <c r="D46" s="128">
        <v>385968.04016833252</v>
      </c>
      <c r="E46" s="246">
        <v>-278298.92971855565</v>
      </c>
      <c r="F46" s="134">
        <v>33049316.499205001</v>
      </c>
      <c r="G46" s="138">
        <f>B46*VLOOKUP(G$4,'GI Factors'!A:M,4,FALSE)+C46*VLOOKUP(G$4,'GI Factors'!A:M,7,FALSE)+D46*VLOOKUP(G$4,'GI Factors'!A:M,10,FALSE)+E46*VLOOKUP(G$4,'GI Factors'!A:M,13,FALSE)</f>
        <v>33857016.496254727</v>
      </c>
      <c r="H46" s="276">
        <v>20717508.52</v>
      </c>
      <c r="I46" s="200">
        <v>838968</v>
      </c>
      <c r="J46" s="112"/>
      <c r="K46" s="75">
        <f t="shared" si="25"/>
        <v>21556476.52</v>
      </c>
      <c r="L46" s="174"/>
      <c r="M46" s="89"/>
      <c r="N46" s="174">
        <f t="shared" si="21"/>
        <v>44774160.68934869</v>
      </c>
      <c r="O46" s="89">
        <f t="shared" si="26"/>
        <v>-23217684.169348691</v>
      </c>
      <c r="P46" s="89">
        <f t="shared" si="27"/>
        <v>0</v>
      </c>
      <c r="Q46" s="178">
        <f t="shared" si="28"/>
        <v>-23217684.169348691</v>
      </c>
      <c r="R46" s="165">
        <f t="shared" si="29"/>
        <v>50</v>
      </c>
      <c r="S46" s="159">
        <f t="shared" si="30"/>
        <v>21556476.52</v>
      </c>
      <c r="T46" s="307">
        <v>1989</v>
      </c>
      <c r="U46" s="293">
        <v>2039</v>
      </c>
      <c r="V46" s="109">
        <f t="shared" si="22"/>
        <v>22</v>
      </c>
      <c r="W46" s="109">
        <f t="shared" si="23"/>
        <v>2044</v>
      </c>
      <c r="X46" s="144">
        <f t="shared" si="24"/>
        <v>2045</v>
      </c>
      <c r="Y46" s="71">
        <f>(B46*$Y$5)*VLOOKUP(W46,'GI Factors'!A:M,4,FALSE)+(C46*$Y$5)*VLOOKUP(W46,'GI Factors'!A:M,7,FALSE)+(D46*$Y$5)*VLOOKUP(W46,'GI Factors'!A:M,10,FALSE)+(E46*$Y$5)*VLOOKUP(W46,'GI Factors'!A:M,13,FALSE)</f>
        <v>23456139.325520515</v>
      </c>
      <c r="Z46" s="71">
        <f>(B46*$Z$5)*VLOOKUP(X46,'GI Factors'!A:M,4,FALSE)+(C46*$Z$5)*VLOOKUP(X46,'GI Factors'!A:M,7,FALSE)+(D46*$Z$5)*VLOOKUP(X46,'GI Factors'!A:M,10,FALSE)+(E46*$Z$5)*VLOOKUP(X46,'GI Factors'!A:M,13,FALSE)</f>
        <v>56497719.048316434</v>
      </c>
      <c r="AA46" s="72">
        <f t="shared" si="31"/>
        <v>79953858.373836949</v>
      </c>
      <c r="AB46" s="72">
        <f t="shared" si="32"/>
        <v>58397381.853836954</v>
      </c>
      <c r="AC46" s="145">
        <f t="shared" si="33"/>
        <v>4.0973948863536447E-2</v>
      </c>
      <c r="AD46" s="146">
        <f t="shared" si="34"/>
        <v>24138842.012957025</v>
      </c>
      <c r="AE46" s="72"/>
      <c r="AF46" s="314">
        <f t="shared" si="35"/>
        <v>1685965.8807879013</v>
      </c>
      <c r="AG46" s="316">
        <f t="shared" si="20"/>
        <v>1755046.5605729718</v>
      </c>
      <c r="AH46" s="316">
        <f t="shared" si="20"/>
        <v>1826957.748599014</v>
      </c>
      <c r="AI46" s="316">
        <f t="shared" si="20"/>
        <v>1901815.4219659516</v>
      </c>
      <c r="AJ46" s="318">
        <f t="shared" si="36"/>
        <v>1792446.4029814596</v>
      </c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s="51" customFormat="1">
      <c r="A47" s="180" t="s">
        <v>110</v>
      </c>
      <c r="B47" s="217">
        <v>556917.10282394534</v>
      </c>
      <c r="C47" s="128">
        <v>737409.10888827627</v>
      </c>
      <c r="D47" s="128">
        <v>15258.204293333336</v>
      </c>
      <c r="E47" s="246">
        <v>-342321.83930238901</v>
      </c>
      <c r="F47" s="134">
        <v>967262.57670316589</v>
      </c>
      <c r="G47" s="138">
        <f>B47*VLOOKUP(G$4,'GI Factors'!A:M,4,FALSE)+C47*VLOOKUP(G$4,'GI Factors'!A:M,7,FALSE)+D47*VLOOKUP(G$4,'GI Factors'!A:M,10,FALSE)+E47*VLOOKUP(G$4,'GI Factors'!A:M,13,FALSE)</f>
        <v>995494.32879995531</v>
      </c>
      <c r="H47" s="278">
        <v>2629244</v>
      </c>
      <c r="I47" s="202">
        <v>100217</v>
      </c>
      <c r="J47" s="112"/>
      <c r="K47" s="75">
        <f t="shared" si="25"/>
        <v>2729461</v>
      </c>
      <c r="L47" s="174">
        <v>-1476579.1</v>
      </c>
      <c r="M47" s="89"/>
      <c r="N47" s="174">
        <f t="shared" si="21"/>
        <v>1252881.9000156517</v>
      </c>
      <c r="O47" s="89">
        <f t="shared" si="26"/>
        <v>-1.5651807188987732E-5</v>
      </c>
      <c r="P47" s="89">
        <f t="shared" si="27"/>
        <v>0</v>
      </c>
      <c r="Q47" s="178">
        <f t="shared" si="28"/>
        <v>-1.5651807188987732E-5</v>
      </c>
      <c r="R47" s="165">
        <f t="shared" si="29"/>
        <v>50</v>
      </c>
      <c r="S47" s="159">
        <f t="shared" si="30"/>
        <v>1252881.8999999999</v>
      </c>
      <c r="T47" s="307">
        <v>1989</v>
      </c>
      <c r="U47" s="293">
        <v>2039</v>
      </c>
      <c r="V47" s="109">
        <f t="shared" si="22"/>
        <v>22</v>
      </c>
      <c r="W47" s="109">
        <f t="shared" si="23"/>
        <v>2044</v>
      </c>
      <c r="X47" s="144">
        <f t="shared" si="24"/>
        <v>2045</v>
      </c>
      <c r="Y47" s="71">
        <f>(B47*$Y$5)*VLOOKUP(W47,'GI Factors'!A:M,4,FALSE)+(C47*$Y$5)*VLOOKUP(W47,'GI Factors'!A:M,7,FALSE)+(D47*$Y$5)*VLOOKUP(W47,'GI Factors'!A:M,10,FALSE)+(E47*$Y$5)*VLOOKUP(W47,'GI Factors'!A:M,13,FALSE)</f>
        <v>656845.7136888135</v>
      </c>
      <c r="Z47" s="71">
        <f>(B47*$Z$5)*VLOOKUP(X47,'GI Factors'!A:M,4,FALSE)+(C47*$Z$5)*VLOOKUP(X47,'GI Factors'!A:M,7,FALSE)+(D47*$Z$5)*VLOOKUP(X47,'GI Factors'!A:M,10,FALSE)+(E47*$Z$5)*VLOOKUP(X47,'GI Factors'!A:M,13,FALSE)</f>
        <v>1580443.3934819933</v>
      </c>
      <c r="AA47" s="72">
        <f t="shared" si="31"/>
        <v>2237289.1071708067</v>
      </c>
      <c r="AB47" s="72">
        <f t="shared" si="32"/>
        <v>984407.20717080683</v>
      </c>
      <c r="AC47" s="145">
        <f t="shared" si="33"/>
        <v>3.8851647499621556E-2</v>
      </c>
      <c r="AD47" s="146">
        <f t="shared" si="34"/>
        <v>425595.53375615948</v>
      </c>
      <c r="AE47" s="72"/>
      <c r="AF47" s="314">
        <f t="shared" si="35"/>
        <v>29128.345439222983</v>
      </c>
      <c r="AG47" s="316">
        <f t="shared" si="20"/>
        <v>30260.029648474887</v>
      </c>
      <c r="AH47" s="316">
        <f t="shared" si="20"/>
        <v>31435.681653705535</v>
      </c>
      <c r="AI47" s="316">
        <f t="shared" si="20"/>
        <v>32657.009676225625</v>
      </c>
      <c r="AJ47" s="318">
        <f t="shared" si="36"/>
        <v>30870.266604407261</v>
      </c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s="51" customFormat="1">
      <c r="A48" s="180" t="s">
        <v>87</v>
      </c>
      <c r="B48" s="217">
        <v>8208158.9127589781</v>
      </c>
      <c r="C48" s="128">
        <v>10868352.073907103</v>
      </c>
      <c r="D48" s="128">
        <v>769030.6382371455</v>
      </c>
      <c r="E48" s="246">
        <v>-5554476.2440460529</v>
      </c>
      <c r="F48" s="134">
        <v>14291065.380857173</v>
      </c>
      <c r="G48" s="138">
        <f>B48*VLOOKUP(G$4,'GI Factors'!A:M,4,FALSE)+C48*VLOOKUP(G$4,'GI Factors'!A:M,7,FALSE)+D48*VLOOKUP(G$4,'GI Factors'!A:M,10,FALSE)+E48*VLOOKUP(G$4,'GI Factors'!A:M,13,FALSE)</f>
        <v>14720600.205869369</v>
      </c>
      <c r="H48" s="277">
        <v>18259841.52</v>
      </c>
      <c r="I48" s="201">
        <v>831142</v>
      </c>
      <c r="J48" s="112"/>
      <c r="K48" s="75">
        <f t="shared" si="25"/>
        <v>19090983.52</v>
      </c>
      <c r="L48" s="174">
        <v>-532908.66</v>
      </c>
      <c r="M48" s="89"/>
      <c r="N48" s="174">
        <f t="shared" si="21"/>
        <v>18558074.858303405</v>
      </c>
      <c r="O48" s="89">
        <f t="shared" si="26"/>
        <v>1.6965940594673157E-3</v>
      </c>
      <c r="P48" s="89">
        <f t="shared" si="27"/>
        <v>1.6965940594673157E-3</v>
      </c>
      <c r="Q48" s="178">
        <f t="shared" si="28"/>
        <v>0</v>
      </c>
      <c r="R48" s="165">
        <f t="shared" si="29"/>
        <v>50</v>
      </c>
      <c r="S48" s="159">
        <f t="shared" si="30"/>
        <v>18558074.859999999</v>
      </c>
      <c r="T48" s="307">
        <v>1989</v>
      </c>
      <c r="U48" s="293">
        <v>2039</v>
      </c>
      <c r="V48" s="109">
        <f t="shared" si="22"/>
        <v>22</v>
      </c>
      <c r="W48" s="109">
        <f t="shared" si="23"/>
        <v>2044</v>
      </c>
      <c r="X48" s="144">
        <f t="shared" si="24"/>
        <v>2045</v>
      </c>
      <c r="Y48" s="71">
        <f>(B48*$Y$5)*VLOOKUP(W48,'GI Factors'!A:M,4,FALSE)+(C48*$Y$5)*VLOOKUP(W48,'GI Factors'!A:M,7,FALSE)+(D48*$Y$5)*VLOOKUP(W48,'GI Factors'!A:M,10,FALSE)+(E48*$Y$5)*VLOOKUP(W48,'GI Factors'!A:M,13,FALSE)</f>
        <v>9728643.4148283098</v>
      </c>
      <c r="Z48" s="71">
        <f>(B48*$Z$5)*VLOOKUP(X48,'GI Factors'!A:M,4,FALSE)+(C48*$Z$5)*VLOOKUP(X48,'GI Factors'!A:M,7,FALSE)+(D48*$Z$5)*VLOOKUP(X48,'GI Factors'!A:M,10,FALSE)+(E48*$Z$5)*VLOOKUP(X48,'GI Factors'!A:M,13,FALSE)</f>
        <v>23410775.974999193</v>
      </c>
      <c r="AA48" s="72">
        <f t="shared" si="31"/>
        <v>33139419.389827505</v>
      </c>
      <c r="AB48" s="72">
        <f t="shared" si="32"/>
        <v>14581344.529827505</v>
      </c>
      <c r="AC48" s="145">
        <f t="shared" si="33"/>
        <v>3.8971535657435941E-2</v>
      </c>
      <c r="AD48" s="146">
        <f t="shared" si="34"/>
        <v>6288068.7668455066</v>
      </c>
      <c r="AE48" s="72"/>
      <c r="AF48" s="314">
        <f t="shared" si="35"/>
        <v>430860.08917088178</v>
      </c>
      <c r="AG48" s="316">
        <f t="shared" si="20"/>
        <v>447651.36849937076</v>
      </c>
      <c r="AH48" s="316">
        <f t="shared" si="20"/>
        <v>465097.0297689439</v>
      </c>
      <c r="AI48" s="316">
        <f t="shared" si="20"/>
        <v>483222.57524875179</v>
      </c>
      <c r="AJ48" s="318">
        <f t="shared" si="36"/>
        <v>456707.76567198709</v>
      </c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s="51" customFormat="1">
      <c r="A49" s="180" t="s">
        <v>88</v>
      </c>
      <c r="B49" s="217">
        <v>8307476.9613760356</v>
      </c>
      <c r="C49" s="128">
        <v>5786571.4222206846</v>
      </c>
      <c r="D49" s="128">
        <v>231545.8375955185</v>
      </c>
      <c r="E49" s="246">
        <v>-99201.294885700976</v>
      </c>
      <c r="F49" s="134">
        <v>14226392.926306538</v>
      </c>
      <c r="G49" s="138">
        <f>B49*VLOOKUP(G$4,'GI Factors'!A:M,4,FALSE)+C49*VLOOKUP(G$4,'GI Factors'!A:M,7,FALSE)+D49*VLOOKUP(G$4,'GI Factors'!A:M,10,FALSE)+E49*VLOOKUP(G$4,'GI Factors'!A:M,13,FALSE)</f>
        <v>14572011.756414926</v>
      </c>
      <c r="H49" s="279">
        <v>10713388.48</v>
      </c>
      <c r="I49" s="203">
        <v>395707</v>
      </c>
      <c r="J49" s="112"/>
      <c r="K49" s="75">
        <f t="shared" si="25"/>
        <v>11109095.48</v>
      </c>
      <c r="L49" s="174"/>
      <c r="M49" s="89"/>
      <c r="N49" s="174">
        <f t="shared" si="21"/>
        <v>19270515.788139109</v>
      </c>
      <c r="O49" s="89">
        <f t="shared" si="26"/>
        <v>-8161420.3081391081</v>
      </c>
      <c r="P49" s="89">
        <f t="shared" si="27"/>
        <v>0</v>
      </c>
      <c r="Q49" s="178">
        <f t="shared" si="28"/>
        <v>-8161420.3081391081</v>
      </c>
      <c r="R49" s="165">
        <f t="shared" si="29"/>
        <v>50</v>
      </c>
      <c r="S49" s="159">
        <f t="shared" si="30"/>
        <v>11109095.48</v>
      </c>
      <c r="T49" s="307">
        <v>1988</v>
      </c>
      <c r="U49" s="293">
        <v>2038</v>
      </c>
      <c r="V49" s="109">
        <f t="shared" si="22"/>
        <v>21</v>
      </c>
      <c r="W49" s="109">
        <f t="shared" si="23"/>
        <v>2043</v>
      </c>
      <c r="X49" s="144">
        <f t="shared" si="24"/>
        <v>2044</v>
      </c>
      <c r="Y49" s="71">
        <f>(B49*$Y$5)*VLOOKUP(W49,'GI Factors'!A:M,4,FALSE)+(C49*$Y$5)*VLOOKUP(W49,'GI Factors'!A:M,7,FALSE)+(D49*$Y$5)*VLOOKUP(W49,'GI Factors'!A:M,10,FALSE)+(E49*$Y$5)*VLOOKUP(W49,'GI Factors'!A:M,13,FALSE)</f>
        <v>9748444.846997058</v>
      </c>
      <c r="Z49" s="71">
        <f>(B49*$Z$5)*VLOOKUP(X49,'GI Factors'!A:M,4,FALSE)+(C49*$Z$5)*VLOOKUP(X49,'GI Factors'!A:M,7,FALSE)+(D49*$Z$5)*VLOOKUP(X49,'GI Factors'!A:M,10,FALSE)+(E49*$Z$5)*VLOOKUP(X49,'GI Factors'!A:M,13,FALSE)</f>
        <v>23476582.37393244</v>
      </c>
      <c r="AA49" s="72">
        <f t="shared" si="31"/>
        <v>33225027.220929496</v>
      </c>
      <c r="AB49" s="72">
        <f t="shared" si="32"/>
        <v>22115931.740929496</v>
      </c>
      <c r="AC49" s="145">
        <f t="shared" si="33"/>
        <v>4.1217489865609108E-2</v>
      </c>
      <c r="AD49" s="146">
        <f t="shared" si="34"/>
        <v>9469666.7300137449</v>
      </c>
      <c r="AE49" s="72"/>
      <c r="AF49" s="314">
        <f t="shared" si="35"/>
        <v>682588.86144857167</v>
      </c>
      <c r="AG49" s="316">
        <f t="shared" ref="AG49:AI61" si="37">AF49*(1+$AC49)</f>
        <v>710723.46092770575</v>
      </c>
      <c r="AH49" s="316">
        <f t="shared" si="37"/>
        <v>740017.69797574403</v>
      </c>
      <c r="AI49" s="316">
        <f t="shared" si="37"/>
        <v>770519.36994243052</v>
      </c>
      <c r="AJ49" s="318">
        <f t="shared" si="36"/>
        <v>725962.34757361293</v>
      </c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s="51" customFormat="1">
      <c r="A50" s="180" t="s">
        <v>91</v>
      </c>
      <c r="B50" s="217">
        <v>358701.68968706345</v>
      </c>
      <c r="C50" s="247">
        <v>0</v>
      </c>
      <c r="D50" s="128">
        <v>22865.723525934834</v>
      </c>
      <c r="E50" s="246">
        <v>-12837.725679812991</v>
      </c>
      <c r="F50" s="134">
        <v>368729.68753318529</v>
      </c>
      <c r="G50" s="138">
        <f>B50*VLOOKUP(G$4,'GI Factors'!A:M,4,FALSE)+C50*VLOOKUP(G$4,'GI Factors'!A:M,7,FALSE)+D50*VLOOKUP(G$4,'GI Factors'!A:M,10,FALSE)+E50*VLOOKUP(G$4,'GI Factors'!A:M,13,FALSE)</f>
        <v>381655.80905564642</v>
      </c>
      <c r="H50" s="281">
        <v>3311806.96</v>
      </c>
      <c r="I50" s="205">
        <v>134550</v>
      </c>
      <c r="J50" s="112"/>
      <c r="K50" s="75">
        <f t="shared" si="25"/>
        <v>3446356.96</v>
      </c>
      <c r="L50" s="174">
        <v>-2816081.61</v>
      </c>
      <c r="M50" s="89"/>
      <c r="N50" s="174">
        <f t="shared" si="21"/>
        <v>630275.35173304728</v>
      </c>
      <c r="O50" s="89">
        <f t="shared" si="26"/>
        <v>-1.7330471891909838E-3</v>
      </c>
      <c r="P50" s="89">
        <f t="shared" si="27"/>
        <v>0</v>
      </c>
      <c r="Q50" s="178">
        <f t="shared" si="28"/>
        <v>-1.7330471891909838E-3</v>
      </c>
      <c r="R50" s="165">
        <f t="shared" si="29"/>
        <v>50</v>
      </c>
      <c r="S50" s="159">
        <f t="shared" si="30"/>
        <v>630275.35000000009</v>
      </c>
      <c r="T50" s="307">
        <v>1988</v>
      </c>
      <c r="U50" s="293">
        <v>2038</v>
      </c>
      <c r="V50" s="109">
        <f t="shared" si="22"/>
        <v>21</v>
      </c>
      <c r="W50" s="109">
        <f t="shared" si="23"/>
        <v>2043</v>
      </c>
      <c r="X50" s="144">
        <f t="shared" si="24"/>
        <v>2044</v>
      </c>
      <c r="Y50" s="71">
        <f>(B50*$Y$5)*VLOOKUP(W50,'GI Factors'!A:M,4,FALSE)+(C50*$Y$5)*VLOOKUP(W50,'GI Factors'!A:M,7,FALSE)+(D50*$Y$5)*VLOOKUP(W50,'GI Factors'!A:M,10,FALSE)+(E50*$Y$5)*VLOOKUP(W50,'GI Factors'!A:M,13,FALSE)</f>
        <v>317383.69144089264</v>
      </c>
      <c r="Z50" s="71">
        <f>(B50*$Z$5)*VLOOKUP(X50,'GI Factors'!A:M,4,FALSE)+(C50*$Z$5)*VLOOKUP(X50,'GI Factors'!A:M,7,FALSE)+(D50*$Z$5)*VLOOKUP(X50,'GI Factors'!A:M,10,FALSE)+(E50*$Z$5)*VLOOKUP(X50,'GI Factors'!A:M,13,FALSE)</f>
        <v>769297.94947815442</v>
      </c>
      <c r="AA50" s="72">
        <f t="shared" si="31"/>
        <v>1086681.6409190469</v>
      </c>
      <c r="AB50" s="72">
        <f t="shared" si="32"/>
        <v>456406.29091904685</v>
      </c>
      <c r="AC50" s="145">
        <f t="shared" si="33"/>
        <v>5.2815101809224996E-2</v>
      </c>
      <c r="AD50" s="146">
        <f t="shared" si="34"/>
        <v>154866.4693519889</v>
      </c>
      <c r="AE50" s="72"/>
      <c r="AF50" s="314">
        <f t="shared" si="35"/>
        <v>12380.051950684445</v>
      </c>
      <c r="AG50" s="316">
        <f t="shared" si="37"/>
        <v>13033.905654863336</v>
      </c>
      <c r="AH50" s="316">
        <f t="shared" si="37"/>
        <v>13722.292708996774</v>
      </c>
      <c r="AI50" s="316">
        <f t="shared" si="37"/>
        <v>14447.036995478424</v>
      </c>
      <c r="AJ50" s="318">
        <f t="shared" si="36"/>
        <v>13395.821827505744</v>
      </c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s="51" customFormat="1">
      <c r="A51" s="180" t="s">
        <v>89</v>
      </c>
      <c r="B51" s="217">
        <v>1959622.5233882442</v>
      </c>
      <c r="C51" s="218">
        <v>2141147.3625642876</v>
      </c>
      <c r="D51" s="218">
        <v>133702.35284445135</v>
      </c>
      <c r="E51" s="246">
        <v>-1090922.3395134397</v>
      </c>
      <c r="F51" s="253">
        <v>3143549.8992835442</v>
      </c>
      <c r="G51" s="287">
        <f>B51*VLOOKUP(G$4,'GI Factors'!A:M,4,FALSE)+C51*VLOOKUP(G$4,'GI Factors'!A:M,7,FALSE)+D51*VLOOKUP(G$4,'GI Factors'!A:M,10,FALSE)+E51*VLOOKUP(G$4,'GI Factors'!A:M,13,FALSE)</f>
        <v>3239655.4750696016</v>
      </c>
      <c r="H51" s="280">
        <v>5398792.4800000004</v>
      </c>
      <c r="I51" s="204">
        <v>205647</v>
      </c>
      <c r="J51" s="215"/>
      <c r="K51" s="210">
        <f t="shared" si="25"/>
        <v>5604439.4800000004</v>
      </c>
      <c r="L51" s="301">
        <v>-1297644.69</v>
      </c>
      <c r="M51" s="212"/>
      <c r="N51" s="301">
        <f t="shared" si="21"/>
        <v>4306794.7895571068</v>
      </c>
      <c r="O51" s="212">
        <f t="shared" si="26"/>
        <v>4.4289417564868927E-4</v>
      </c>
      <c r="P51" s="212">
        <f t="shared" si="27"/>
        <v>4.4289417564868927E-4</v>
      </c>
      <c r="Q51" s="178">
        <f t="shared" si="28"/>
        <v>0</v>
      </c>
      <c r="R51" s="297">
        <f t="shared" si="29"/>
        <v>51</v>
      </c>
      <c r="S51" s="294">
        <f t="shared" si="30"/>
        <v>4306794.790000001</v>
      </c>
      <c r="T51" s="307">
        <v>1987</v>
      </c>
      <c r="U51" s="293">
        <v>2038</v>
      </c>
      <c r="V51" s="213">
        <f t="shared" si="22"/>
        <v>21</v>
      </c>
      <c r="W51" s="213">
        <f t="shared" si="23"/>
        <v>2043</v>
      </c>
      <c r="X51" s="289">
        <f t="shared" si="24"/>
        <v>2044</v>
      </c>
      <c r="Y51" s="71">
        <f>(B51*$Y$5)*VLOOKUP(W51,'GI Factors'!A:M,4,FALSE)+(C51*$Y$5)*VLOOKUP(W51,'GI Factors'!A:M,7,FALSE)+(D51*$Y$5)*VLOOKUP(W51,'GI Factors'!A:M,10,FALSE)+(E51*$Y$5)*VLOOKUP(W51,'GI Factors'!A:M,13,FALSE)</f>
        <v>2147971.1715767775</v>
      </c>
      <c r="Z51" s="71">
        <f>(B51*$Z$5)*VLOOKUP(X51,'GI Factors'!A:M,4,FALSE)+(C51*$Z$5)*VLOOKUP(X51,'GI Factors'!A:M,7,FALSE)+(D51*$Z$5)*VLOOKUP(X51,'GI Factors'!A:M,10,FALSE)+(E51*$Z$5)*VLOOKUP(X51,'GI Factors'!A:M,13,FALSE)</f>
        <v>5173579.9706703033</v>
      </c>
      <c r="AA51" s="72">
        <f t="shared" si="31"/>
        <v>7321551.1422470808</v>
      </c>
      <c r="AB51" s="72">
        <f t="shared" si="32"/>
        <v>3014756.3522470798</v>
      </c>
      <c r="AC51" s="145">
        <f t="shared" si="33"/>
        <v>4.1081891522892391E-2</v>
      </c>
      <c r="AD51" s="146">
        <f t="shared" si="34"/>
        <v>1294402.8995148297</v>
      </c>
      <c r="AE51" s="72"/>
      <c r="AF51" s="314">
        <f t="shared" si="35"/>
        <v>93186.809787740509</v>
      </c>
      <c r="AG51" s="316">
        <f t="shared" si="37"/>
        <v>97015.100198804867</v>
      </c>
      <c r="AH51" s="316">
        <f t="shared" si="37"/>
        <v>101000.66402125469</v>
      </c>
      <c r="AI51" s="316">
        <f t="shared" si="37"/>
        <v>105149.96234431597</v>
      </c>
      <c r="AJ51" s="318">
        <f t="shared" si="36"/>
        <v>99088.134088029008</v>
      </c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s="51" customFormat="1">
      <c r="A52" s="180" t="s">
        <v>90</v>
      </c>
      <c r="B52" s="217">
        <v>1959622.5233882442</v>
      </c>
      <c r="C52" s="128">
        <v>2141147.3625642876</v>
      </c>
      <c r="D52" s="128">
        <v>133702.35284445135</v>
      </c>
      <c r="E52" s="246">
        <v>-1090922.3395134397</v>
      </c>
      <c r="F52" s="134">
        <v>3143549.8992835442</v>
      </c>
      <c r="G52" s="138">
        <f>B52*VLOOKUP(G$4,'GI Factors'!A:M,4,FALSE)+C52*VLOOKUP(G$4,'GI Factors'!A:M,7,FALSE)+D52*VLOOKUP(G$4,'GI Factors'!A:M,10,FALSE)+E52*VLOOKUP(G$4,'GI Factors'!A:M,13,FALSE)</f>
        <v>3239655.4750696016</v>
      </c>
      <c r="H52" s="280">
        <v>5290580</v>
      </c>
      <c r="I52" s="204">
        <v>206154</v>
      </c>
      <c r="J52" s="112"/>
      <c r="K52" s="75">
        <f t="shared" si="25"/>
        <v>5496734</v>
      </c>
      <c r="L52" s="174">
        <v>-1250234.3400000001</v>
      </c>
      <c r="M52" s="89"/>
      <c r="N52" s="174">
        <f t="shared" si="21"/>
        <v>4246499.6625033068</v>
      </c>
      <c r="O52" s="89">
        <f t="shared" si="26"/>
        <v>-2.5033066049218178E-3</v>
      </c>
      <c r="P52" s="89">
        <f t="shared" si="27"/>
        <v>0</v>
      </c>
      <c r="Q52" s="178">
        <f t="shared" si="28"/>
        <v>-2.5033066049218178E-3</v>
      </c>
      <c r="R52" s="165">
        <f t="shared" si="29"/>
        <v>50</v>
      </c>
      <c r="S52" s="159">
        <f t="shared" si="30"/>
        <v>4246499.66</v>
      </c>
      <c r="T52" s="307">
        <v>1988</v>
      </c>
      <c r="U52" s="293">
        <v>2038</v>
      </c>
      <c r="V52" s="109">
        <f t="shared" si="22"/>
        <v>21</v>
      </c>
      <c r="W52" s="109">
        <f t="shared" si="23"/>
        <v>2043</v>
      </c>
      <c r="X52" s="144">
        <f t="shared" si="24"/>
        <v>2044</v>
      </c>
      <c r="Y52" s="71">
        <f>(B52*$Y$5)*VLOOKUP(W52,'GI Factors'!A:M,4,FALSE)+(C52*$Y$5)*VLOOKUP(W52,'GI Factors'!A:M,7,FALSE)+(D52*$Y$5)*VLOOKUP(W52,'GI Factors'!A:M,10,FALSE)+(E52*$Y$5)*VLOOKUP(W52,'GI Factors'!A:M,13,FALSE)</f>
        <v>2147971.1715767775</v>
      </c>
      <c r="Z52" s="71">
        <f>(B52*$Z$5)*VLOOKUP(X52,'GI Factors'!A:M,4,FALSE)+(C52*$Z$5)*VLOOKUP(X52,'GI Factors'!A:M,7,FALSE)+(D52*$Z$5)*VLOOKUP(X52,'GI Factors'!A:M,10,FALSE)+(E52*$Z$5)*VLOOKUP(X52,'GI Factors'!A:M,13,FALSE)</f>
        <v>5173579.9706703033</v>
      </c>
      <c r="AA52" s="72">
        <f t="shared" si="31"/>
        <v>7321551.1422470808</v>
      </c>
      <c r="AB52" s="72">
        <f t="shared" si="32"/>
        <v>3075051.4822470807</v>
      </c>
      <c r="AC52" s="145">
        <f t="shared" si="33"/>
        <v>4.1081891522892391E-2</v>
      </c>
      <c r="AD52" s="146">
        <f t="shared" si="34"/>
        <v>1320290.9587738977</v>
      </c>
      <c r="AE52" s="72"/>
      <c r="AF52" s="314">
        <f t="shared" si="35"/>
        <v>95050.546074836879</v>
      </c>
      <c r="AG52" s="316">
        <f t="shared" si="37"/>
        <v>98955.402297875</v>
      </c>
      <c r="AH52" s="316">
        <f t="shared" si="37"/>
        <v>103020.67740068048</v>
      </c>
      <c r="AI52" s="316">
        <f t="shared" si="37"/>
        <v>107252.96169427011</v>
      </c>
      <c r="AJ52" s="318">
        <f t="shared" si="36"/>
        <v>101069.89686691563</v>
      </c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s="51" customFormat="1" ht="10.199999999999999">
      <c r="A53" s="180" t="s">
        <v>66</v>
      </c>
      <c r="B53" s="217">
        <v>408720</v>
      </c>
      <c r="C53" s="128">
        <v>518080</v>
      </c>
      <c r="D53" s="128">
        <v>223200</v>
      </c>
      <c r="E53" s="246">
        <v>-409600</v>
      </c>
      <c r="F53" s="134">
        <v>740400</v>
      </c>
      <c r="G53" s="138">
        <f>B53*VLOOKUP(G$4,'GI Factors'!A:M,4,FALSE)+C53*VLOOKUP(G$4,'GI Factors'!A:M,7,FALSE)+D53*VLOOKUP(G$4,'GI Factors'!A:M,10,FALSE)+E53*VLOOKUP(G$4,'GI Factors'!A:M,13,FALSE)</f>
        <v>765921.79929207172</v>
      </c>
      <c r="H53" s="282">
        <v>198016</v>
      </c>
      <c r="I53" s="206">
        <v>37856</v>
      </c>
      <c r="J53" s="112"/>
      <c r="K53" s="75">
        <f t="shared" si="25"/>
        <v>235872</v>
      </c>
      <c r="L53" s="174"/>
      <c r="M53" s="89"/>
      <c r="N53" s="174">
        <f t="shared" si="21"/>
        <v>463487.08612286579</v>
      </c>
      <c r="O53" s="89">
        <f t="shared" si="26"/>
        <v>-227615.08612286579</v>
      </c>
      <c r="P53" s="89">
        <f t="shared" si="27"/>
        <v>0</v>
      </c>
      <c r="Q53" s="178">
        <f t="shared" si="28"/>
        <v>-227615.08612286579</v>
      </c>
      <c r="R53" s="165">
        <f t="shared" si="29"/>
        <v>31</v>
      </c>
      <c r="S53" s="159">
        <f t="shared" si="30"/>
        <v>235872</v>
      </c>
      <c r="T53" s="307">
        <v>2009</v>
      </c>
      <c r="U53" s="293">
        <v>2040</v>
      </c>
      <c r="V53" s="109">
        <f t="shared" si="22"/>
        <v>23</v>
      </c>
      <c r="W53" s="109">
        <f t="shared" si="23"/>
        <v>2045</v>
      </c>
      <c r="X53" s="144">
        <f t="shared" si="24"/>
        <v>2046</v>
      </c>
      <c r="Y53" s="71">
        <f>(B53*$Y$5)*VLOOKUP(W53,'GI Factors'!A:M,4,FALSE)+(C53*$Y$5)*VLOOKUP(W53,'GI Factors'!A:M,7,FALSE)+(D53*$Y$5)*VLOOKUP(W53,'GI Factors'!A:M,10,FALSE)+(E53*$Y$5)*VLOOKUP(W53,'GI Factors'!A:M,13,FALSE)</f>
        <v>526987.70037515671</v>
      </c>
      <c r="Z53" s="71">
        <f>(B53*$Z$5)*VLOOKUP(X53,'GI Factors'!A:M,4,FALSE)+(C53*$Z$5)*VLOOKUP(X53,'GI Factors'!A:M,7,FALSE)+(D53*$Z$5)*VLOOKUP(X53,'GI Factors'!A:M,10,FALSE)+(E53*$Z$5)*VLOOKUP(X53,'GI Factors'!A:M,13,FALSE)</f>
        <v>1269024.7583509481</v>
      </c>
      <c r="AA53" s="72">
        <f t="shared" si="31"/>
        <v>1796012.4587261048</v>
      </c>
      <c r="AB53" s="72">
        <f t="shared" si="32"/>
        <v>1560140.4587261048</v>
      </c>
      <c r="AC53" s="145">
        <f t="shared" si="33"/>
        <v>3.9279358079679978E-2</v>
      </c>
      <c r="AD53" s="146">
        <f t="shared" si="34"/>
        <v>643162.5738610574</v>
      </c>
      <c r="AE53" s="72"/>
      <c r="AF53" s="314">
        <f t="shared" si="35"/>
        <v>42982.332951425466</v>
      </c>
      <c r="AG53" s="316">
        <f t="shared" si="37"/>
        <v>44670.651398524533</v>
      </c>
      <c r="AH53" s="316">
        <f t="shared" si="37"/>
        <v>46425.285910459737</v>
      </c>
      <c r="AI53" s="316">
        <f t="shared" si="37"/>
        <v>48248.84133968821</v>
      </c>
      <c r="AJ53" s="318">
        <f t="shared" si="36"/>
        <v>45581.777900024492</v>
      </c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s="51" customFormat="1" ht="10.199999999999999">
      <c r="A54" s="180" t="s">
        <v>67</v>
      </c>
      <c r="B54" s="217">
        <v>5969672.0015046299</v>
      </c>
      <c r="C54" s="128">
        <v>7391897.1245815186</v>
      </c>
      <c r="D54" s="128">
        <v>653758.32230228465</v>
      </c>
      <c r="E54" s="246">
        <v>-570761.13812949113</v>
      </c>
      <c r="F54" s="134">
        <v>13444566.310258944</v>
      </c>
      <c r="G54" s="138">
        <f>B54*VLOOKUP(G$4,'GI Factors'!A:M,4,FALSE)+C54*VLOOKUP(G$4,'GI Factors'!A:M,7,FALSE)+D54*VLOOKUP(G$4,'GI Factors'!A:M,10,FALSE)+E54*VLOOKUP(G$4,'GI Factors'!A:M,13,FALSE)</f>
        <v>13734912.837473426</v>
      </c>
      <c r="H54" s="283">
        <v>10307951.390000001</v>
      </c>
      <c r="I54" s="207">
        <v>340067</v>
      </c>
      <c r="J54" s="112"/>
      <c r="K54" s="75">
        <f t="shared" si="25"/>
        <v>10648018.390000001</v>
      </c>
      <c r="L54" s="174"/>
      <c r="M54" s="89">
        <v>-10648018.390000001</v>
      </c>
      <c r="N54" s="174">
        <f t="shared" si="21"/>
        <v>23223503.206657849</v>
      </c>
      <c r="O54" s="89">
        <f t="shared" si="26"/>
        <v>-23223503.206657849</v>
      </c>
      <c r="P54" s="89">
        <f t="shared" si="27"/>
        <v>0</v>
      </c>
      <c r="Q54" s="178">
        <f t="shared" si="28"/>
        <v>-23223503.206657849</v>
      </c>
      <c r="R54" s="165">
        <f t="shared" si="29"/>
        <v>80</v>
      </c>
      <c r="S54" s="159">
        <f t="shared" si="30"/>
        <v>0</v>
      </c>
      <c r="T54" s="307">
        <v>1967</v>
      </c>
      <c r="U54" s="293">
        <v>2047</v>
      </c>
      <c r="V54" s="109">
        <f t="shared" si="22"/>
        <v>30</v>
      </c>
      <c r="W54" s="109">
        <f t="shared" si="23"/>
        <v>2052</v>
      </c>
      <c r="X54" s="144">
        <f t="shared" si="24"/>
        <v>2053</v>
      </c>
      <c r="Y54" s="71">
        <f>(B54*$Y$5)*VLOOKUP(W54,'GI Factors'!A:M,4,FALSE)+(C54*$Y$5)*VLOOKUP(W54,'GI Factors'!A:M,7,FALSE)+(D54*$Y$5)*VLOOKUP(W54,'GI Factors'!A:M,10,FALSE)+(E54*$Y$5)*VLOOKUP(W54,'GI Factors'!A:M,13,FALSE)</f>
        <v>10915710.478922796</v>
      </c>
      <c r="Z54" s="71">
        <f>(B54*$Z$5)*VLOOKUP(X54,'GI Factors'!A:M,4,FALSE)+(C54*$Z$5)*VLOOKUP(X54,'GI Factors'!A:M,7,FALSE)+(D54*$Z$5)*VLOOKUP(X54,'GI Factors'!A:M,10,FALSE)+(E54*$Z$5)*VLOOKUP(X54,'GI Factors'!A:M,13,FALSE)</f>
        <v>26241894.651729766</v>
      </c>
      <c r="AA54" s="72">
        <f t="shared" si="31"/>
        <v>37157605.130652562</v>
      </c>
      <c r="AB54" s="72">
        <f t="shared" si="32"/>
        <v>37157605.130652562</v>
      </c>
      <c r="AC54" s="145">
        <f t="shared" si="33"/>
        <v>3.4467133961888496E-2</v>
      </c>
      <c r="AD54" s="146">
        <f t="shared" si="34"/>
        <v>13444566.310258914</v>
      </c>
      <c r="AE54" s="72"/>
      <c r="AF54" s="314">
        <f t="shared" si="35"/>
        <v>726126.81082377257</v>
      </c>
      <c r="AG54" s="316">
        <f t="shared" si="37"/>
        <v>751154.32088575442</v>
      </c>
      <c r="AH54" s="316">
        <f t="shared" si="37"/>
        <v>777044.45748977514</v>
      </c>
      <c r="AI54" s="316">
        <f t="shared" si="37"/>
        <v>803826.9529004182</v>
      </c>
      <c r="AJ54" s="318">
        <f t="shared" si="36"/>
        <v>764538.13552493008</v>
      </c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s="51" customFormat="1" ht="10.199999999999999">
      <c r="A55" s="180" t="s">
        <v>68</v>
      </c>
      <c r="B55" s="217">
        <v>8635409.270178888</v>
      </c>
      <c r="C55" s="128">
        <v>8135427.8807388991</v>
      </c>
      <c r="D55" s="128">
        <v>319069.41912576812</v>
      </c>
      <c r="E55" s="246">
        <v>-3487936.2873023134</v>
      </c>
      <c r="F55" s="134">
        <v>13601970.282741243</v>
      </c>
      <c r="G55" s="138">
        <f>B55*VLOOKUP(G$4,'GI Factors'!A:M,4,FALSE)+C55*VLOOKUP(G$4,'GI Factors'!A:M,7,FALSE)+D55*VLOOKUP(G$4,'GI Factors'!A:M,10,FALSE)+E55*VLOOKUP(G$4,'GI Factors'!A:M,13,FALSE)</f>
        <v>14000962.712542808</v>
      </c>
      <c r="H55" s="284">
        <v>5840955.9900000002</v>
      </c>
      <c r="I55" s="208">
        <v>224640</v>
      </c>
      <c r="J55" s="112">
        <v>-486971.86</v>
      </c>
      <c r="K55" s="75">
        <f t="shared" si="25"/>
        <v>5578624.1299999999</v>
      </c>
      <c r="L55" s="174"/>
      <c r="M55" s="89"/>
      <c r="N55" s="174">
        <f t="shared" si="21"/>
        <v>26925453.423846681</v>
      </c>
      <c r="O55" s="89">
        <f t="shared" si="26"/>
        <v>-21346829.293846682</v>
      </c>
      <c r="P55" s="89">
        <f t="shared" si="27"/>
        <v>0</v>
      </c>
      <c r="Q55" s="178">
        <f t="shared" si="28"/>
        <v>-21346829.293846682</v>
      </c>
      <c r="R55" s="165">
        <f t="shared" si="29"/>
        <v>80</v>
      </c>
      <c r="S55" s="159">
        <f t="shared" si="30"/>
        <v>5578624.1299999999</v>
      </c>
      <c r="T55" s="307">
        <v>1967</v>
      </c>
      <c r="U55" s="293">
        <v>2047</v>
      </c>
      <c r="V55" s="109">
        <f t="shared" si="22"/>
        <v>30</v>
      </c>
      <c r="W55" s="109">
        <f t="shared" si="23"/>
        <v>2052</v>
      </c>
      <c r="X55" s="144">
        <f t="shared" si="24"/>
        <v>2053</v>
      </c>
      <c r="Y55" s="71">
        <f>(B55*$Y$5)*VLOOKUP(W55,'GI Factors'!A:M,4,FALSE)+(C55*$Y$5)*VLOOKUP(W55,'GI Factors'!A:M,7,FALSE)+(D55*$Y$5)*VLOOKUP(W55,'GI Factors'!A:M,10,FALSE)+(E55*$Y$5)*VLOOKUP(W55,'GI Factors'!A:M,13,FALSE)</f>
        <v>12625339.857951663</v>
      </c>
      <c r="Z55" s="71">
        <f>(B55*$Z$5)*VLOOKUP(X55,'GI Factors'!A:M,4,FALSE)+(C55*$Z$5)*VLOOKUP(X55,'GI Factors'!A:M,7,FALSE)+(D55*$Z$5)*VLOOKUP(X55,'GI Factors'!A:M,10,FALSE)+(E55*$Z$5)*VLOOKUP(X55,'GI Factors'!A:M,13,FALSE)</f>
        <v>30455385.620203022</v>
      </c>
      <c r="AA55" s="72">
        <f t="shared" si="31"/>
        <v>43080725.478154689</v>
      </c>
      <c r="AB55" s="72">
        <f t="shared" si="32"/>
        <v>37502101.348154686</v>
      </c>
      <c r="AC55" s="145">
        <f t="shared" si="33"/>
        <v>3.9176633684194752E-2</v>
      </c>
      <c r="AD55" s="146">
        <f t="shared" si="34"/>
        <v>11840619.265722677</v>
      </c>
      <c r="AE55" s="72"/>
      <c r="AF55" s="314">
        <f t="shared" si="35"/>
        <v>677915.24441312579</v>
      </c>
      <c r="AG55" s="316">
        <f t="shared" si="37"/>
        <v>704473.68161243014</v>
      </c>
      <c r="AH55" s="316">
        <f t="shared" si="37"/>
        <v>732072.58897711639</v>
      </c>
      <c r="AI55" s="316">
        <f t="shared" si="37"/>
        <v>760752.72862571292</v>
      </c>
      <c r="AJ55" s="318">
        <f t="shared" si="36"/>
        <v>718803.56090709637</v>
      </c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s="51" customFormat="1" ht="10.199999999999999">
      <c r="A56" s="180" t="s">
        <v>69</v>
      </c>
      <c r="B56" s="217">
        <v>8635409.270178888</v>
      </c>
      <c r="C56" s="218">
        <v>8135427.8807388991</v>
      </c>
      <c r="D56" s="218">
        <v>319069.41912576812</v>
      </c>
      <c r="E56" s="246">
        <v>-3487936.2873023134</v>
      </c>
      <c r="F56" s="134">
        <v>13601970.282741243</v>
      </c>
      <c r="G56" s="138">
        <f>B56*VLOOKUP(G$4,'GI Factors'!A:M,4,FALSE)+C56*VLOOKUP(G$4,'GI Factors'!A:M,7,FALSE)+D56*VLOOKUP(G$4,'GI Factors'!A:M,10,FALSE)+E56*VLOOKUP(G$4,'GI Factors'!A:M,13,FALSE)</f>
        <v>14000962.712542808</v>
      </c>
      <c r="H56" s="284">
        <v>-9612609.9099999983</v>
      </c>
      <c r="I56" s="208">
        <v>222014</v>
      </c>
      <c r="J56" s="112">
        <v>-6533132.2599999998</v>
      </c>
      <c r="K56" s="75">
        <f t="shared" si="25"/>
        <v>-15923728.169999998</v>
      </c>
      <c r="L56" s="174"/>
      <c r="M56" s="89"/>
      <c r="N56" s="174">
        <f t="shared" si="21"/>
        <v>3916429.5889231563</v>
      </c>
      <c r="O56" s="89">
        <f t="shared" si="26"/>
        <v>-19840157.758923154</v>
      </c>
      <c r="P56" s="89">
        <f t="shared" si="27"/>
        <v>0</v>
      </c>
      <c r="Q56" s="178">
        <f t="shared" si="28"/>
        <v>-19840157.758923154</v>
      </c>
      <c r="R56" s="165">
        <f t="shared" si="29"/>
        <v>33</v>
      </c>
      <c r="S56" s="159">
        <f t="shared" si="30"/>
        <v>-15923728.169999998</v>
      </c>
      <c r="T56" s="307">
        <v>2014</v>
      </c>
      <c r="U56" s="293">
        <v>2047</v>
      </c>
      <c r="V56" s="109">
        <f t="shared" si="22"/>
        <v>30</v>
      </c>
      <c r="W56" s="109">
        <f t="shared" si="23"/>
        <v>2052</v>
      </c>
      <c r="X56" s="144">
        <f t="shared" si="24"/>
        <v>2053</v>
      </c>
      <c r="Y56" s="71">
        <f>(B56*$Y$5)*VLOOKUP(W56,'GI Factors'!A:M,4,FALSE)+(C56*$Y$5)*VLOOKUP(W56,'GI Factors'!A:M,7,FALSE)+(D56*$Y$5)*VLOOKUP(W56,'GI Factors'!A:M,10,FALSE)+(E56*$Y$5)*VLOOKUP(W56,'GI Factors'!A:M,13,FALSE)</f>
        <v>12625339.857951663</v>
      </c>
      <c r="Z56" s="71">
        <f>(B56*$Z$5)*VLOOKUP(X56,'GI Factors'!A:M,4,FALSE)+(C56*$Z$5)*VLOOKUP(X56,'GI Factors'!A:M,7,FALSE)+(D56*$Z$5)*VLOOKUP(X56,'GI Factors'!A:M,10,FALSE)+(E56*$Z$5)*VLOOKUP(X56,'GI Factors'!A:M,13,FALSE)</f>
        <v>30455385.620203022</v>
      </c>
      <c r="AA56" s="72">
        <f t="shared" si="31"/>
        <v>43080725.478154689</v>
      </c>
      <c r="AB56" s="72">
        <f t="shared" si="32"/>
        <v>59004453.648154691</v>
      </c>
      <c r="AC56" s="145">
        <f t="shared" si="33"/>
        <v>3.9176633684194752E-2</v>
      </c>
      <c r="AD56" s="146">
        <f t="shared" si="34"/>
        <v>18629603.28926098</v>
      </c>
      <c r="AE56" s="72"/>
      <c r="AF56" s="314">
        <f t="shared" si="35"/>
        <v>1066607.3947432274</v>
      </c>
      <c r="AG56" s="316">
        <f t="shared" si="37"/>
        <v>1108393.4819319362</v>
      </c>
      <c r="AH56" s="316">
        <f t="shared" si="37"/>
        <v>1151816.6073515329</v>
      </c>
      <c r="AI56" s="316">
        <f t="shared" si="37"/>
        <v>1196940.9046491159</v>
      </c>
      <c r="AJ56" s="318">
        <f t="shared" si="36"/>
        <v>1130939.5971689532</v>
      </c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s="51" customFormat="1" ht="10.199999999999999">
      <c r="A57" s="180" t="s">
        <v>70</v>
      </c>
      <c r="B57" s="217">
        <v>7146901.1164609352</v>
      </c>
      <c r="C57" s="128">
        <v>7808936.8199134134</v>
      </c>
      <c r="D57" s="128">
        <v>201000.18535723892</v>
      </c>
      <c r="E57" s="248">
        <v>-6130061.7267366266</v>
      </c>
      <c r="F57" s="134">
        <v>9026776.3949949592</v>
      </c>
      <c r="G57" s="138">
        <f>B57*VLOOKUP(G$4,'GI Factors'!A:M,4,FALSE)+C57*VLOOKUP(G$4,'GI Factors'!A:M,7,FALSE)+D57*VLOOKUP(G$4,'GI Factors'!A:M,10,FALSE)+E57*VLOOKUP(G$4,'GI Factors'!A:M,13,FALSE)</f>
        <v>9383582.3582903259</v>
      </c>
      <c r="H57" s="284">
        <v>3260062</v>
      </c>
      <c r="I57" s="208">
        <v>417079</v>
      </c>
      <c r="J57" s="112"/>
      <c r="K57" s="75">
        <f t="shared" si="25"/>
        <v>3677141</v>
      </c>
      <c r="L57" s="174"/>
      <c r="M57" s="89">
        <v>-3677141</v>
      </c>
      <c r="N57" s="174">
        <f t="shared" si="21"/>
        <v>7728302.6863088831</v>
      </c>
      <c r="O57" s="89">
        <f t="shared" si="26"/>
        <v>-7728302.6863088831</v>
      </c>
      <c r="P57" s="89">
        <f t="shared" si="27"/>
        <v>0</v>
      </c>
      <c r="Q57" s="178">
        <f t="shared" si="28"/>
        <v>-7728302.6863088831</v>
      </c>
      <c r="R57" s="165">
        <f t="shared" si="29"/>
        <v>40</v>
      </c>
      <c r="S57" s="159">
        <f t="shared" si="30"/>
        <v>0</v>
      </c>
      <c r="T57" s="307">
        <v>2007</v>
      </c>
      <c r="U57" s="293">
        <v>2047</v>
      </c>
      <c r="V57" s="109">
        <f t="shared" si="22"/>
        <v>30</v>
      </c>
      <c r="W57" s="109">
        <f t="shared" si="23"/>
        <v>2052</v>
      </c>
      <c r="X57" s="144">
        <f t="shared" si="24"/>
        <v>2053</v>
      </c>
      <c r="Y57" s="71">
        <f>(B57*$Y$5)*VLOOKUP(W57,'GI Factors'!A:M,4,FALSE)+(C57*$Y$5)*VLOOKUP(W57,'GI Factors'!A:M,7,FALSE)+(D57*$Y$5)*VLOOKUP(W57,'GI Factors'!A:M,10,FALSE)+(E57*$Y$5)*VLOOKUP(W57,'GI Factors'!A:M,13,FALSE)</f>
        <v>9046374.4754249882</v>
      </c>
      <c r="Z57" s="71">
        <f>(B57*$Z$5)*VLOOKUP(X57,'GI Factors'!A:M,4,FALSE)+(C57*$Z$5)*VLOOKUP(X57,'GI Factors'!A:M,7,FALSE)+(D57*$Z$5)*VLOOKUP(X57,'GI Factors'!A:M,10,FALSE)+(E57*$Z$5)*VLOOKUP(X57,'GI Factors'!A:M,13,FALSE)</f>
        <v>21866836.26981055</v>
      </c>
      <c r="AA57" s="72">
        <f t="shared" si="31"/>
        <v>30913210.74523554</v>
      </c>
      <c r="AB57" s="72">
        <f t="shared" si="32"/>
        <v>30913210.74523554</v>
      </c>
      <c r="AC57" s="145">
        <f t="shared" si="33"/>
        <v>4.1886428519364111E-2</v>
      </c>
      <c r="AD57" s="146">
        <f t="shared" si="34"/>
        <v>9026776.3949949797</v>
      </c>
      <c r="AE57" s="72"/>
      <c r="AF57" s="314">
        <f t="shared" si="35"/>
        <v>534041.63496016222</v>
      </c>
      <c r="AG57" s="316">
        <f t="shared" si="37"/>
        <v>556410.73172928533</v>
      </c>
      <c r="AH57" s="316">
        <f t="shared" si="37"/>
        <v>579716.79007127113</v>
      </c>
      <c r="AI57" s="316">
        <f t="shared" si="37"/>
        <v>603999.05596006662</v>
      </c>
      <c r="AJ57" s="318">
        <f t="shared" si="36"/>
        <v>568542.05318019632</v>
      </c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s="51" customFormat="1" ht="10.199999999999999">
      <c r="A58" s="180" t="s">
        <v>71</v>
      </c>
      <c r="B58" s="217">
        <v>8033950.4653593153</v>
      </c>
      <c r="C58" s="128">
        <v>11322445.506756185</v>
      </c>
      <c r="D58" s="128">
        <v>893651.66410219937</v>
      </c>
      <c r="E58" s="249">
        <v>-976809.62883638474</v>
      </c>
      <c r="F58" s="134">
        <v>19273238.007381316</v>
      </c>
      <c r="G58" s="138">
        <f>B58*VLOOKUP(G$4,'GI Factors'!A:M,4,FALSE)+C58*VLOOKUP(G$4,'GI Factors'!A:M,7,FALSE)+D58*VLOOKUP(G$4,'GI Factors'!A:M,10,FALSE)+E58*VLOOKUP(G$4,'GI Factors'!A:M,13,FALSE)</f>
        <v>19678037.062944606</v>
      </c>
      <c r="H58" s="257">
        <v>0</v>
      </c>
      <c r="I58" s="210">
        <v>0</v>
      </c>
      <c r="J58" s="112"/>
      <c r="K58" s="75">
        <f t="shared" si="25"/>
        <v>0</v>
      </c>
      <c r="L58" s="174"/>
      <c r="M58" s="89"/>
      <c r="N58" s="174">
        <f t="shared" si="21"/>
        <v>11107259.025207549</v>
      </c>
      <c r="O58" s="89">
        <f t="shared" si="26"/>
        <v>-11107259.025207549</v>
      </c>
      <c r="P58" s="89">
        <f t="shared" si="27"/>
        <v>0</v>
      </c>
      <c r="Q58" s="178">
        <f t="shared" si="28"/>
        <v>-11107259.025207549</v>
      </c>
      <c r="R58" s="165">
        <f t="shared" si="29"/>
        <v>42</v>
      </c>
      <c r="S58" s="159">
        <f t="shared" si="30"/>
        <v>0</v>
      </c>
      <c r="T58" s="307">
        <v>2009</v>
      </c>
      <c r="U58" s="293">
        <v>2051</v>
      </c>
      <c r="V58" s="109">
        <f t="shared" si="22"/>
        <v>34</v>
      </c>
      <c r="W58" s="109">
        <f t="shared" si="23"/>
        <v>2056</v>
      </c>
      <c r="X58" s="144">
        <f t="shared" si="24"/>
        <v>2057</v>
      </c>
      <c r="Y58" s="71">
        <f>(B58*$Y$5)*VLOOKUP(W58,'GI Factors'!A:M,4,FALSE)+(C58*$Y$5)*VLOOKUP(W58,'GI Factors'!A:M,7,FALSE)+(D58*$Y$5)*VLOOKUP(W58,'GI Factors'!A:M,10,FALSE)+(E58*$Y$5)*VLOOKUP(W58,'GI Factors'!A:M,13,FALSE)</f>
        <v>17131283.124060746</v>
      </c>
      <c r="Z58" s="71">
        <f>(B58*$Z$5)*VLOOKUP(X58,'GI Factors'!A:M,4,FALSE)+(C58*$Z$5)*VLOOKUP(X58,'GI Factors'!A:M,7,FALSE)+(D58*$Z$5)*VLOOKUP(X58,'GI Factors'!A:M,10,FALSE)+(E58*$Z$5)*VLOOKUP(X58,'GI Factors'!A:M,13,FALSE)</f>
        <v>41181826.758278899</v>
      </c>
      <c r="AA58" s="72">
        <f t="shared" si="31"/>
        <v>58313109.882339641</v>
      </c>
      <c r="AB58" s="72">
        <f t="shared" si="32"/>
        <v>58313109.882339641</v>
      </c>
      <c r="AC58" s="145">
        <f t="shared" si="33"/>
        <v>3.3097986849141559E-2</v>
      </c>
      <c r="AD58" s="146">
        <f t="shared" si="34"/>
        <v>19273238.00738126</v>
      </c>
      <c r="AE58" s="72"/>
      <c r="AF58" s="314">
        <f t="shared" si="35"/>
        <v>952827.06171091052</v>
      </c>
      <c r="AG58" s="316">
        <f t="shared" si="37"/>
        <v>984363.71926892456</v>
      </c>
      <c r="AH58" s="316">
        <f t="shared" si="37"/>
        <v>1016944.1767040596</v>
      </c>
      <c r="AI58" s="316">
        <f t="shared" si="37"/>
        <v>1050602.9816909218</v>
      </c>
      <c r="AJ58" s="318">
        <f t="shared" si="36"/>
        <v>1001184.4848437042</v>
      </c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s="51" customFormat="1" ht="10.199999999999999">
      <c r="A59" s="180" t="s">
        <v>72</v>
      </c>
      <c r="B59" s="217">
        <v>5211569.5680606859</v>
      </c>
      <c r="C59" s="128">
        <v>5694330.567388895</v>
      </c>
      <c r="D59" s="128">
        <v>290700.96678240376</v>
      </c>
      <c r="E59" s="249">
        <v>-5046891.4185842089</v>
      </c>
      <c r="F59" s="134">
        <v>6149709.683647776</v>
      </c>
      <c r="G59" s="138">
        <f>B59*VLOOKUP(G$4,'GI Factors'!A:M,4,FALSE)+C59*VLOOKUP(G$4,'GI Factors'!A:M,7,FALSE)+D59*VLOOKUP(G$4,'GI Factors'!A:M,10,FALSE)+E59*VLOOKUP(G$4,'GI Factors'!A:M,13,FALSE)</f>
        <v>6415898.7545077344</v>
      </c>
      <c r="H59" s="285">
        <v>3000744</v>
      </c>
      <c r="I59" s="209">
        <v>549432</v>
      </c>
      <c r="J59" s="112"/>
      <c r="K59" s="75">
        <f t="shared" si="25"/>
        <v>3550176</v>
      </c>
      <c r="L59" s="174"/>
      <c r="M59" s="89">
        <v>-3550176</v>
      </c>
      <c r="N59" s="174">
        <f t="shared" si="21"/>
        <v>4675668.036346186</v>
      </c>
      <c r="O59" s="89">
        <f t="shared" si="26"/>
        <v>-4675668.036346186</v>
      </c>
      <c r="P59" s="89">
        <f t="shared" si="27"/>
        <v>0</v>
      </c>
      <c r="Q59" s="178">
        <f t="shared" si="28"/>
        <v>-4675668.036346186</v>
      </c>
      <c r="R59" s="165">
        <f t="shared" si="29"/>
        <v>40</v>
      </c>
      <c r="S59" s="159">
        <f t="shared" si="30"/>
        <v>0</v>
      </c>
      <c r="T59" s="307">
        <v>2009</v>
      </c>
      <c r="U59" s="293">
        <v>2049</v>
      </c>
      <c r="V59" s="109">
        <f t="shared" si="22"/>
        <v>32</v>
      </c>
      <c r="W59" s="109">
        <f t="shared" si="23"/>
        <v>2054</v>
      </c>
      <c r="X59" s="144">
        <f t="shared" si="24"/>
        <v>2055</v>
      </c>
      <c r="Y59" s="71">
        <f>(B59*$Y$5)*VLOOKUP(W59,'GI Factors'!A:M,4,FALSE)+(C59*$Y$5)*VLOOKUP(W59,'GI Factors'!A:M,7,FALSE)+(D59*$Y$5)*VLOOKUP(W59,'GI Factors'!A:M,10,FALSE)+(E59*$Y$5)*VLOOKUP(W59,'GI Factors'!A:M,13,FALSE)</f>
        <v>6836873.8753700312</v>
      </c>
      <c r="Z59" s="71">
        <f>(B59*$Z$5)*VLOOKUP(X59,'GI Factors'!A:M,4,FALSE)+(C59*$Z$5)*VLOOKUP(X59,'GI Factors'!A:M,7,FALSE)+(D59*$Z$5)*VLOOKUP(X59,'GI Factors'!A:M,10,FALSE)+(E59*$Z$5)*VLOOKUP(X59,'GI Factors'!A:M,13,FALSE)</f>
        <v>16541466.306360895</v>
      </c>
      <c r="AA59" s="72">
        <f t="shared" si="31"/>
        <v>23378340.181730926</v>
      </c>
      <c r="AB59" s="72">
        <f t="shared" si="32"/>
        <v>23378340.181730926</v>
      </c>
      <c r="AC59" s="145">
        <f t="shared" si="33"/>
        <v>4.2614404217612561E-2</v>
      </c>
      <c r="AD59" s="146">
        <f t="shared" si="34"/>
        <v>6149709.6836477788</v>
      </c>
      <c r="AE59" s="72"/>
      <c r="AF59" s="314">
        <f t="shared" si="35"/>
        <v>355609.98932888586</v>
      </c>
      <c r="AG59" s="316">
        <f t="shared" si="37"/>
        <v>370764.09715796792</v>
      </c>
      <c r="AH59" s="316">
        <f t="shared" si="37"/>
        <v>386563.98826363578</v>
      </c>
      <c r="AI59" s="316">
        <f t="shared" si="37"/>
        <v>403037.18231547484</v>
      </c>
      <c r="AJ59" s="318">
        <f t="shared" si="36"/>
        <v>378993.8142664911</v>
      </c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s="51" customFormat="1" ht="10.199999999999999">
      <c r="A60" s="180" t="s">
        <v>73</v>
      </c>
      <c r="B60" s="217">
        <v>5211569.5680606859</v>
      </c>
      <c r="C60" s="128">
        <v>5694330.567388895</v>
      </c>
      <c r="D60" s="128">
        <v>290701.17843622196</v>
      </c>
      <c r="E60" s="249">
        <v>-5060497.6222042087</v>
      </c>
      <c r="F60" s="134">
        <v>6136103.6916815937</v>
      </c>
      <c r="G60" s="138">
        <f>B60*VLOOKUP(G$4,'GI Factors'!A:M,4,FALSE)+C60*VLOOKUP(G$4,'GI Factors'!A:M,7,FALSE)+D60*VLOOKUP(G$4,'GI Factors'!A:M,10,FALSE)+E60*VLOOKUP(G$4,'GI Factors'!A:M,13,FALSE)</f>
        <v>6402368.0089665167</v>
      </c>
      <c r="H60" s="285">
        <v>3000744</v>
      </c>
      <c r="I60" s="209">
        <v>549432</v>
      </c>
      <c r="J60" s="112"/>
      <c r="K60" s="75">
        <f t="shared" si="25"/>
        <v>3550176</v>
      </c>
      <c r="L60" s="174"/>
      <c r="M60" s="89">
        <v>-3550176</v>
      </c>
      <c r="N60" s="301">
        <f t="shared" si="21"/>
        <v>4670183.9676900879</v>
      </c>
      <c r="O60" s="89">
        <f t="shared" si="26"/>
        <v>-4670183.9676900879</v>
      </c>
      <c r="P60" s="89">
        <f t="shared" si="27"/>
        <v>0</v>
      </c>
      <c r="Q60" s="178">
        <f t="shared" si="28"/>
        <v>-4670183.9676900879</v>
      </c>
      <c r="R60" s="165">
        <f t="shared" si="29"/>
        <v>40</v>
      </c>
      <c r="S60" s="159">
        <f t="shared" si="30"/>
        <v>0</v>
      </c>
      <c r="T60" s="307">
        <v>2009</v>
      </c>
      <c r="U60" s="293">
        <v>2049</v>
      </c>
      <c r="V60" s="109">
        <f t="shared" si="22"/>
        <v>32</v>
      </c>
      <c r="W60" s="109">
        <f t="shared" si="23"/>
        <v>2054</v>
      </c>
      <c r="X60" s="144">
        <f t="shared" si="24"/>
        <v>2055</v>
      </c>
      <c r="Y60" s="71">
        <f>(B60*$Y$5)*VLOOKUP(W60,'GI Factors'!A:M,4,FALSE)+(C60*$Y$5)*VLOOKUP(W60,'GI Factors'!A:M,7,FALSE)+(D60*$Y$5)*VLOOKUP(W60,'GI Factors'!A:M,10,FALSE)+(E60*$Y$5)*VLOOKUP(W60,'GI Factors'!A:M,13,FALSE)</f>
        <v>6828749.0285295574</v>
      </c>
      <c r="Z60" s="71">
        <f>(B60*$Z$5)*VLOOKUP(X60,'GI Factors'!A:M,4,FALSE)+(C60*$Z$5)*VLOOKUP(X60,'GI Factors'!A:M,7,FALSE)+(D60*$Z$5)*VLOOKUP(X60,'GI Factors'!A:M,10,FALSE)+(E60*$Z$5)*VLOOKUP(X60,'GI Factors'!A:M,13,FALSE)</f>
        <v>16522170.809920879</v>
      </c>
      <c r="AA60" s="72">
        <f t="shared" si="31"/>
        <v>23350919.838450436</v>
      </c>
      <c r="AB60" s="72">
        <f t="shared" si="32"/>
        <v>23350919.838450436</v>
      </c>
      <c r="AC60" s="145">
        <f t="shared" si="33"/>
        <v>4.2648333018456989E-2</v>
      </c>
      <c r="AD60" s="146">
        <f t="shared" si="34"/>
        <v>6136103.6916815946</v>
      </c>
      <c r="AE60" s="72"/>
      <c r="AF60" s="314">
        <f t="shared" si="35"/>
        <v>354973.84503245476</v>
      </c>
      <c r="AG60" s="316">
        <f t="shared" si="37"/>
        <v>370112.88778824103</v>
      </c>
      <c r="AH60" s="316">
        <f t="shared" si="37"/>
        <v>385897.58548105677</v>
      </c>
      <c r="AI60" s="316">
        <f t="shared" si="37"/>
        <v>402355.47421767138</v>
      </c>
      <c r="AJ60" s="318">
        <f t="shared" si="36"/>
        <v>378334.94812985597</v>
      </c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s="51" customFormat="1" ht="10.199999999999999">
      <c r="A61" s="312" t="s">
        <v>74</v>
      </c>
      <c r="B61" s="250">
        <v>5211569.5680606859</v>
      </c>
      <c r="C61" s="251">
        <v>5694330.567388895</v>
      </c>
      <c r="D61" s="251">
        <v>290701.39009004011</v>
      </c>
      <c r="E61" s="132">
        <v>-5073234.8425842077</v>
      </c>
      <c r="F61" s="255">
        <v>6123366.6829554141</v>
      </c>
      <c r="G61" s="288">
        <f>B61*VLOOKUP(G$4,'GI Factors'!A:M,4,FALSE)+C61*VLOOKUP(G$4,'GI Factors'!A:M,7,FALSE)+D61*VLOOKUP(G$4,'GI Factors'!A:M,10,FALSE)+E61*VLOOKUP(G$4,'GI Factors'!A:M,13,FALSE)</f>
        <v>6389701.4411888337</v>
      </c>
      <c r="H61" s="137">
        <v>1457555</v>
      </c>
      <c r="I61" s="53">
        <v>344513</v>
      </c>
      <c r="J61" s="216"/>
      <c r="K61" s="211">
        <f t="shared" si="25"/>
        <v>1802068</v>
      </c>
      <c r="L61" s="298"/>
      <c r="M61" s="303">
        <v>-1802068</v>
      </c>
      <c r="N61" s="298">
        <f t="shared" si="21"/>
        <v>3762978.3472125903</v>
      </c>
      <c r="O61" s="303">
        <f t="shared" si="26"/>
        <v>-3762978.3472125903</v>
      </c>
      <c r="P61" s="303">
        <f t="shared" si="27"/>
        <v>0</v>
      </c>
      <c r="Q61" s="311">
        <f t="shared" si="28"/>
        <v>-3762978.3472125903</v>
      </c>
      <c r="R61" s="295">
        <f t="shared" si="29"/>
        <v>40</v>
      </c>
      <c r="S61" s="306">
        <f t="shared" si="30"/>
        <v>0</v>
      </c>
      <c r="T61" s="359">
        <v>2011</v>
      </c>
      <c r="U61" s="324">
        <v>2051</v>
      </c>
      <c r="V61" s="290">
        <f t="shared" si="22"/>
        <v>34</v>
      </c>
      <c r="W61" s="291">
        <f t="shared" si="23"/>
        <v>2056</v>
      </c>
      <c r="X61" s="292">
        <f t="shared" si="24"/>
        <v>2057</v>
      </c>
      <c r="Y61" s="71">
        <f>(B61*$Y$5)*VLOOKUP(W61,'GI Factors'!A:M,4,FALSE)+(C61*$Y$5)*VLOOKUP(W61,'GI Factors'!A:M,7,FALSE)+(D61*$Y$5)*VLOOKUP(W61,'GI Factors'!A:M,10,FALSE)+(E61*$Y$5)*VLOOKUP(W61,'GI Factors'!A:M,13,FALSE)</f>
        <v>7335239.5101845218</v>
      </c>
      <c r="Z61" s="71">
        <f>(B61*$Z$5)*VLOOKUP(X61,'GI Factors'!A:M,4,FALSE)+(C61*$Z$5)*VLOOKUP(X61,'GI Factors'!A:M,7,FALSE)+(D61*$Z$5)*VLOOKUP(X61,'GI Factors'!A:M,10,FALSE)+(E61*$Z$5)*VLOOKUP(X61,'GI Factors'!A:M,13,FALSE)</f>
        <v>17751282.804566074</v>
      </c>
      <c r="AA61" s="72">
        <f t="shared" si="31"/>
        <v>25086522.314750597</v>
      </c>
      <c r="AB61" s="72">
        <f t="shared" si="32"/>
        <v>25086522.314750597</v>
      </c>
      <c r="AC61" s="145">
        <f t="shared" si="33"/>
        <v>4.2349208559727229E-2</v>
      </c>
      <c r="AD61" s="146">
        <f t="shared" si="34"/>
        <v>6123366.6829554215</v>
      </c>
      <c r="AE61" s="72"/>
      <c r="AF61" s="315">
        <f t="shared" si="35"/>
        <v>343056.31343520206</v>
      </c>
      <c r="AG61" s="317">
        <f t="shared" si="37"/>
        <v>357584.47680060059</v>
      </c>
      <c r="AH61" s="317">
        <f t="shared" si="37"/>
        <v>372727.89638635016</v>
      </c>
      <c r="AI61" s="317">
        <f t="shared" si="37"/>
        <v>388512.62780644413</v>
      </c>
      <c r="AJ61" s="319">
        <f t="shared" si="36"/>
        <v>365470.32860714925</v>
      </c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s="51" customFormat="1" ht="10.199999999999999">
      <c r="B62" s="17"/>
      <c r="C62" s="17"/>
      <c r="D62" s="17"/>
      <c r="E62" s="17"/>
      <c r="F62" s="17"/>
      <c r="G62" s="17"/>
      <c r="H62" s="79"/>
      <c r="I62" s="79"/>
      <c r="J62" s="113"/>
      <c r="K62" s="79"/>
      <c r="L62" s="77"/>
      <c r="M62" s="77"/>
      <c r="N62" s="77"/>
      <c r="O62" s="77"/>
      <c r="P62" s="77"/>
      <c r="Q62" s="77"/>
      <c r="R62" s="158"/>
      <c r="S62" s="80"/>
      <c r="T62" s="119"/>
      <c r="U62" s="78"/>
      <c r="V62" s="150"/>
      <c r="W62" s="150"/>
      <c r="X62" s="150"/>
      <c r="Y62" s="151"/>
      <c r="Z62" s="151"/>
      <c r="AA62" s="72"/>
      <c r="AB62" s="72"/>
      <c r="AC62" s="145"/>
      <c r="AD62" s="146"/>
      <c r="AE62" s="72"/>
      <c r="AF62" s="72"/>
      <c r="AG62" s="146"/>
      <c r="AH62" s="146"/>
      <c r="AI62" s="14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s="51" customFormat="1" ht="10.8" thickBot="1">
      <c r="B63" s="166">
        <f>SUM(B9:B62)</f>
        <v>277594901.23267537</v>
      </c>
      <c r="C63" s="166">
        <f>SUM(C9:C62)</f>
        <v>297514820.18956912</v>
      </c>
      <c r="D63" s="166">
        <f t="shared" ref="D63:G63" si="38">SUM(D9:D62)</f>
        <v>23479638.835715402</v>
      </c>
      <c r="E63" s="166">
        <f t="shared" si="38"/>
        <v>-139781026.481309</v>
      </c>
      <c r="F63" s="166">
        <f t="shared" si="38"/>
        <v>458808333.77665091</v>
      </c>
      <c r="G63" s="166">
        <f t="shared" si="38"/>
        <v>472376186.25515652</v>
      </c>
      <c r="H63" s="81">
        <f>SUM(H9:H62)</f>
        <v>316259490.75999999</v>
      </c>
      <c r="I63" s="81">
        <f>SUM(I9:I62)</f>
        <v>15644577</v>
      </c>
      <c r="J63" s="81">
        <f>SUM(J9:J62)</f>
        <v>-7020104.1200000001</v>
      </c>
      <c r="K63" s="81">
        <f>SUM(K9:K62)</f>
        <v>324883963.63999999</v>
      </c>
      <c r="L63" s="170">
        <f t="shared" ref="L63:S63" si="39">SUM(L9:L62)</f>
        <v>-54327648.356999993</v>
      </c>
      <c r="M63" s="170">
        <f t="shared" si="39"/>
        <v>-42018471.390000001</v>
      </c>
      <c r="N63" s="170">
        <f t="shared" si="39"/>
        <v>473670767.5397895</v>
      </c>
      <c r="O63" s="81">
        <f t="shared" si="39"/>
        <v>-245132923.6467897</v>
      </c>
      <c r="P63" s="81">
        <f t="shared" si="39"/>
        <v>1.5676767099648714E-2</v>
      </c>
      <c r="Q63" s="81">
        <f t="shared" si="39"/>
        <v>-245132923.66246644</v>
      </c>
      <c r="R63" s="156"/>
      <c r="S63" s="81">
        <f t="shared" si="39"/>
        <v>228537843.89300004</v>
      </c>
      <c r="T63" s="81"/>
      <c r="U63" s="81"/>
      <c r="V63" s="81"/>
      <c r="W63" s="81"/>
      <c r="X63" s="81"/>
      <c r="Y63" s="81">
        <f t="shared" ref="Y63:AB63" si="40">SUM(Y9:Y62)</f>
        <v>368838493.90686959</v>
      </c>
      <c r="Z63" s="81">
        <f t="shared" si="40"/>
        <v>888842689.11165309</v>
      </c>
      <c r="AA63" s="81">
        <f t="shared" si="40"/>
        <v>1257681183.018523</v>
      </c>
      <c r="AB63" s="81">
        <f t="shared" si="40"/>
        <v>1029143339.1255227</v>
      </c>
      <c r="AC63" s="81"/>
      <c r="AD63" s="81">
        <f t="shared" ref="AD63" si="41">SUM(AD9:AD62)</f>
        <v>345884690.16926581</v>
      </c>
      <c r="AF63" s="81">
        <f t="shared" ref="AF63:AI63" si="42">SUM(AF9:AF62)</f>
        <v>24691739.664840255</v>
      </c>
      <c r="AG63" s="81">
        <f t="shared" si="42"/>
        <v>25832202.112125002</v>
      </c>
      <c r="AH63" s="81">
        <f t="shared" si="42"/>
        <v>27036055.372515518</v>
      </c>
      <c r="AI63" s="81">
        <f t="shared" si="42"/>
        <v>28307936.131671406</v>
      </c>
      <c r="AJ63" s="81">
        <f>SUM(AJ9:AJ62)</f>
        <v>26466983.32028804</v>
      </c>
    </row>
    <row r="64" spans="1:90" s="51" customFormat="1" ht="10.8" thickTop="1">
      <c r="J64" s="74"/>
      <c r="L64" s="74"/>
      <c r="M64" s="74"/>
      <c r="N64" s="74"/>
      <c r="O64" s="74"/>
      <c r="P64" s="74"/>
      <c r="Q64" s="74"/>
      <c r="R64" s="164"/>
      <c r="T64" s="120"/>
      <c r="AL64" s="84" t="s">
        <v>114</v>
      </c>
    </row>
    <row r="65" spans="1:39" s="51" customFormat="1">
      <c r="A65" s="18" t="s">
        <v>80</v>
      </c>
      <c r="F65" s="61" t="s">
        <v>95</v>
      </c>
      <c r="H65" s="55">
        <v>3548353.07</v>
      </c>
      <c r="I65" s="55">
        <v>273208</v>
      </c>
      <c r="J65" s="114"/>
      <c r="K65" s="82">
        <f t="shared" ref="K65:K70" si="43">H65+I65+J65</f>
        <v>3821561.07</v>
      </c>
      <c r="L65" s="114">
        <f>-K65</f>
        <v>-3821561.07</v>
      </c>
      <c r="M65" s="114"/>
      <c r="N65" s="114"/>
      <c r="O65" s="114"/>
      <c r="P65" s="114"/>
      <c r="Q65" s="114"/>
      <c r="R65" s="161"/>
      <c r="S65" s="83"/>
      <c r="T65" s="121"/>
      <c r="AA65" s="84"/>
      <c r="AB65" s="73"/>
      <c r="AF65" s="85"/>
      <c r="AG65" s="86" t="s">
        <v>13</v>
      </c>
      <c r="AH65" s="87"/>
      <c r="AI65" s="87"/>
      <c r="AJ65" s="88"/>
      <c r="AL65" s="169">
        <f>(4520250/4)</f>
        <v>1130062.5</v>
      </c>
      <c r="AM65" s="4"/>
    </row>
    <row r="66" spans="1:39" s="51" customFormat="1">
      <c r="A66" s="18" t="s">
        <v>81</v>
      </c>
      <c r="F66" s="62" t="s">
        <v>97</v>
      </c>
      <c r="H66" s="56">
        <v>5752698.1600000001</v>
      </c>
      <c r="I66" s="56">
        <v>361621</v>
      </c>
      <c r="J66" s="74"/>
      <c r="K66" s="82">
        <f t="shared" si="43"/>
        <v>6114319.1600000001</v>
      </c>
      <c r="L66" s="114">
        <f t="shared" ref="L66:L70" si="44">-K66</f>
        <v>-6114319.1600000001</v>
      </c>
      <c r="M66" s="114"/>
      <c r="N66" s="114"/>
      <c r="O66" s="114"/>
      <c r="P66" s="114"/>
      <c r="Q66" s="114"/>
      <c r="R66" s="161"/>
      <c r="S66" s="89"/>
      <c r="T66" s="118"/>
      <c r="AF66" s="90"/>
      <c r="AG66" s="91"/>
      <c r="AH66" s="92" t="s">
        <v>12</v>
      </c>
      <c r="AI66" s="93">
        <f>AVERAGE(AF63:AI63)+AL65</f>
        <v>27597045.820288047</v>
      </c>
      <c r="AJ66" s="94"/>
      <c r="AL66" s="4"/>
      <c r="AM66" s="4"/>
    </row>
    <row r="67" spans="1:39" s="51" customFormat="1">
      <c r="A67" s="18" t="s">
        <v>111</v>
      </c>
      <c r="F67" s="63" t="s">
        <v>96</v>
      </c>
      <c r="H67" s="60">
        <v>34167539.129999995</v>
      </c>
      <c r="I67" s="60">
        <v>3022617</v>
      </c>
      <c r="J67" s="74">
        <v>-300150</v>
      </c>
      <c r="K67" s="82">
        <f t="shared" si="43"/>
        <v>36890006.129999995</v>
      </c>
      <c r="L67" s="114">
        <f t="shared" si="44"/>
        <v>-36890006.129999995</v>
      </c>
      <c r="M67" s="114"/>
      <c r="N67" s="114"/>
      <c r="O67" s="114"/>
      <c r="P67" s="114"/>
      <c r="Q67" s="114"/>
      <c r="R67" s="161"/>
      <c r="T67" s="120"/>
      <c r="AF67" s="90"/>
      <c r="AG67" s="91"/>
      <c r="AH67" s="91"/>
      <c r="AI67" s="95"/>
      <c r="AJ67" s="94"/>
      <c r="AL67" s="4"/>
      <c r="AM67" s="4"/>
    </row>
    <row r="68" spans="1:39" s="51" customFormat="1" ht="12.6">
      <c r="A68" s="51" t="s">
        <v>85</v>
      </c>
      <c r="F68" s="64" t="s">
        <v>98</v>
      </c>
      <c r="H68" s="57">
        <v>5743621.75</v>
      </c>
      <c r="I68" s="57">
        <v>439075</v>
      </c>
      <c r="J68" s="74">
        <v>-4031999.99</v>
      </c>
      <c r="K68" s="82">
        <f t="shared" si="43"/>
        <v>2150696.7599999998</v>
      </c>
      <c r="L68" s="114">
        <f t="shared" si="44"/>
        <v>-2150696.7599999998</v>
      </c>
      <c r="M68" s="114"/>
      <c r="N68" s="114"/>
      <c r="O68" s="114"/>
      <c r="P68" s="114"/>
      <c r="Q68" s="114"/>
      <c r="R68" s="161"/>
      <c r="T68" s="120"/>
      <c r="AB68" s="73"/>
      <c r="AF68" s="90"/>
      <c r="AG68" s="91"/>
      <c r="AH68" s="96" t="s">
        <v>11</v>
      </c>
      <c r="AI68" s="97">
        <v>18468387</v>
      </c>
      <c r="AJ68" s="94"/>
      <c r="AL68" s="4"/>
      <c r="AM68" s="4"/>
    </row>
    <row r="69" spans="1:39" s="51" customFormat="1">
      <c r="F69" s="65" t="s">
        <v>99</v>
      </c>
      <c r="H69" s="58">
        <v>4277511.21</v>
      </c>
      <c r="I69" s="58">
        <v>96616</v>
      </c>
      <c r="J69" s="74"/>
      <c r="K69" s="82">
        <f t="shared" si="43"/>
        <v>4374127.21</v>
      </c>
      <c r="L69" s="114">
        <f t="shared" si="44"/>
        <v>-4374127.21</v>
      </c>
      <c r="M69" s="114"/>
      <c r="N69" s="114"/>
      <c r="O69" s="114"/>
      <c r="P69" s="114"/>
      <c r="Q69" s="114"/>
      <c r="R69" s="161"/>
      <c r="T69" s="120"/>
      <c r="AB69" s="98"/>
      <c r="AF69" s="90"/>
      <c r="AG69" s="91"/>
      <c r="AH69" s="96"/>
      <c r="AI69" s="97"/>
      <c r="AJ69" s="94"/>
      <c r="AL69" s="4"/>
      <c r="AM69" s="4"/>
    </row>
    <row r="70" spans="1:39" s="51" customFormat="1">
      <c r="F70" s="66" t="s">
        <v>94</v>
      </c>
      <c r="H70" s="59">
        <v>-3819732.77</v>
      </c>
      <c r="I70" s="59">
        <v>137137</v>
      </c>
      <c r="J70" s="74"/>
      <c r="K70" s="82">
        <f t="shared" si="43"/>
        <v>-3682595.77</v>
      </c>
      <c r="L70" s="114">
        <f t="shared" si="44"/>
        <v>3682595.77</v>
      </c>
      <c r="M70" s="114"/>
      <c r="N70" s="114"/>
      <c r="O70" s="114"/>
      <c r="P70" s="114"/>
      <c r="Q70" s="114"/>
      <c r="R70" s="161"/>
      <c r="S70" s="99"/>
      <c r="T70" s="122"/>
      <c r="AF70" s="100"/>
      <c r="AG70" s="101"/>
      <c r="AH70" s="102" t="s">
        <v>14</v>
      </c>
      <c r="AI70" s="103">
        <f>AI66-AI68</f>
        <v>9128658.8202880472</v>
      </c>
      <c r="AJ70" s="104">
        <f>AI70/AI68</f>
        <v>0.49428565798886753</v>
      </c>
      <c r="AL70" s="4"/>
      <c r="AM70" s="4"/>
    </row>
    <row r="71" spans="1:39" s="51" customFormat="1" ht="10.8" thickBot="1">
      <c r="H71" s="105">
        <f>SUM(H65:H70)</f>
        <v>49669990.549999997</v>
      </c>
      <c r="I71" s="105">
        <f>SUM(I65:I70)</f>
        <v>4330274</v>
      </c>
      <c r="J71" s="105">
        <f>SUM(J65:J70)</f>
        <v>-4332149.99</v>
      </c>
      <c r="K71" s="105">
        <f>SUM(K65:K70)</f>
        <v>49668114.559999995</v>
      </c>
      <c r="L71" s="171">
        <f>SUM(L65:L70)</f>
        <v>-49668114.559999995</v>
      </c>
      <c r="M71" s="107"/>
      <c r="N71" s="153"/>
      <c r="O71" s="153"/>
      <c r="P71" s="153"/>
      <c r="Q71" s="153"/>
      <c r="R71" s="162"/>
      <c r="S71" s="106"/>
      <c r="T71" s="123"/>
    </row>
    <row r="72" spans="1:39" s="51" customFormat="1" ht="12.6" thickTop="1">
      <c r="J72" s="74"/>
      <c r="L72" s="74"/>
      <c r="M72" s="74"/>
      <c r="N72" s="74"/>
      <c r="O72" s="74"/>
      <c r="P72" s="74"/>
      <c r="Q72" s="74"/>
      <c r="R72" s="164"/>
      <c r="S72" s="84"/>
      <c r="T72" s="116"/>
      <c r="AD72" s="4"/>
      <c r="AE72" s="4"/>
      <c r="AF72" s="4"/>
      <c r="AG72" s="4"/>
      <c r="AH72" s="4"/>
      <c r="AI72" s="4"/>
      <c r="AJ72" s="4"/>
    </row>
    <row r="73" spans="1:39" s="51" customFormat="1">
      <c r="H73" s="82">
        <f>H63+H71</f>
        <v>365929481.31</v>
      </c>
      <c r="I73" s="82">
        <f>I63+I71</f>
        <v>19974851</v>
      </c>
      <c r="J73" s="82">
        <f>J63+J71</f>
        <v>-11352254.109999999</v>
      </c>
      <c r="K73" s="82">
        <f>K63+K71</f>
        <v>374552078.19999999</v>
      </c>
      <c r="L73" s="74">
        <f>176014234.31-30000000</f>
        <v>146014234.31</v>
      </c>
      <c r="M73" s="74">
        <f>L63+M63+L71</f>
        <v>-146014234.30699998</v>
      </c>
      <c r="N73" s="74"/>
      <c r="O73" s="74"/>
      <c r="P73" s="74"/>
      <c r="Q73" s="74"/>
      <c r="R73" s="164"/>
      <c r="S73" s="107"/>
      <c r="T73" s="124"/>
      <c r="AD73" s="4"/>
      <c r="AE73" s="4"/>
      <c r="AF73" s="4"/>
      <c r="AG73" s="4"/>
      <c r="AH73" s="4"/>
      <c r="AI73" s="4"/>
      <c r="AJ73" s="4"/>
    </row>
    <row r="74" spans="1:39">
      <c r="L74" s="74"/>
      <c r="M74" s="74"/>
      <c r="N74" s="74"/>
      <c r="O74" s="74"/>
      <c r="P74" s="74"/>
      <c r="Q74" s="74"/>
    </row>
    <row r="75" spans="1:39">
      <c r="H75" s="51" t="s">
        <v>103</v>
      </c>
      <c r="I75" s="108">
        <f>H73+I73</f>
        <v>385904332.31</v>
      </c>
    </row>
    <row r="76" spans="1:39">
      <c r="I76" s="1"/>
    </row>
    <row r="78" spans="1:39">
      <c r="AL78" s="309"/>
    </row>
  </sheetData>
  <autoFilter ref="A8:AJ61">
    <sortState ref="A6:AN58">
      <sortCondition ref="A5:A58"/>
    </sortState>
  </autoFilter>
  <mergeCells count="5">
    <mergeCell ref="U4:X4"/>
    <mergeCell ref="Y4:AB4"/>
    <mergeCell ref="B6:F6"/>
    <mergeCell ref="B7:F7"/>
    <mergeCell ref="AF7:AJ7"/>
  </mergeCells>
  <pageMargins left="0.7" right="0.7" top="0.75" bottom="0.75" header="0.3" footer="0.3"/>
  <pageSetup scale="2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A2" sqref="A1:A2"/>
    </sheetView>
  </sheetViews>
  <sheetFormatPr defaultColWidth="8.88671875" defaultRowHeight="12"/>
  <cols>
    <col min="1" max="1" width="10.77734375" style="11" customWidth="1"/>
    <col min="2" max="2" width="2.33203125" style="8" customWidth="1"/>
    <col min="3" max="4" width="14.44140625" style="8" customWidth="1"/>
    <col min="5" max="5" width="2.33203125" style="8" customWidth="1"/>
    <col min="6" max="7" width="14.44140625" style="8" customWidth="1"/>
    <col min="8" max="8" width="2.33203125" style="8" customWidth="1"/>
    <col min="9" max="10" width="14.44140625" style="8" customWidth="1"/>
    <col min="11" max="11" width="2.33203125" style="8" customWidth="1"/>
    <col min="12" max="13" width="14.44140625" style="8" customWidth="1"/>
    <col min="14" max="16384" width="8.88671875" style="9"/>
  </cols>
  <sheetData>
    <row r="1" spans="1:16" ht="12.6">
      <c r="A1" s="375" t="s">
        <v>137</v>
      </c>
    </row>
    <row r="2" spans="1:16" ht="12.6">
      <c r="A2" s="375" t="s">
        <v>134</v>
      </c>
    </row>
    <row r="4" spans="1:16" ht="13.8">
      <c r="A4" s="22" t="s">
        <v>1</v>
      </c>
      <c r="B4" s="24"/>
      <c r="C4" s="25"/>
      <c r="D4" s="24"/>
      <c r="E4" s="24"/>
      <c r="F4" s="24"/>
      <c r="G4" s="24"/>
      <c r="H4" s="24"/>
      <c r="I4" s="24"/>
      <c r="J4" s="24"/>
      <c r="K4" s="24"/>
      <c r="L4" s="24"/>
      <c r="M4" s="24"/>
      <c r="O4" s="10"/>
      <c r="P4" s="7"/>
    </row>
    <row r="5" spans="1:16" ht="13.8">
      <c r="A5" s="21" t="s">
        <v>2</v>
      </c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6" ht="13.8">
      <c r="A6" s="20" t="s">
        <v>3</v>
      </c>
      <c r="B6" s="24"/>
      <c r="C6" s="25"/>
      <c r="D6" s="25"/>
      <c r="E6" s="24"/>
      <c r="F6" s="24"/>
      <c r="G6" s="24"/>
      <c r="H6" s="24"/>
      <c r="I6" s="24"/>
      <c r="J6" s="24"/>
      <c r="K6" s="24"/>
      <c r="L6" s="24"/>
      <c r="M6" s="24"/>
    </row>
    <row r="7" spans="1:16" ht="13.8">
      <c r="A7" s="19" t="s">
        <v>118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6">
      <c r="A8" s="26"/>
      <c r="B8" s="25"/>
      <c r="C8" s="374" t="s">
        <v>83</v>
      </c>
      <c r="D8" s="374"/>
      <c r="E8" s="25"/>
      <c r="F8" s="374" t="s">
        <v>20</v>
      </c>
      <c r="G8" s="374"/>
      <c r="H8" s="25"/>
      <c r="I8" s="374" t="s">
        <v>21</v>
      </c>
      <c r="J8" s="374"/>
      <c r="K8" s="25"/>
      <c r="L8" s="374" t="s">
        <v>22</v>
      </c>
      <c r="M8" s="374"/>
    </row>
    <row r="9" spans="1:16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6">
      <c r="A10" s="27" t="s">
        <v>23</v>
      </c>
      <c r="B10" s="25"/>
      <c r="C10" s="42" t="s">
        <v>24</v>
      </c>
      <c r="D10" s="28" t="s">
        <v>25</v>
      </c>
      <c r="E10" s="25"/>
      <c r="F10" s="42" t="s">
        <v>24</v>
      </c>
      <c r="G10" s="28" t="s">
        <v>25</v>
      </c>
      <c r="H10" s="25"/>
      <c r="I10" s="42" t="s">
        <v>24</v>
      </c>
      <c r="J10" s="28" t="s">
        <v>25</v>
      </c>
      <c r="K10" s="25"/>
      <c r="L10" s="42" t="s">
        <v>24</v>
      </c>
      <c r="M10" s="28" t="s">
        <v>25</v>
      </c>
    </row>
    <row r="11" spans="1:16">
      <c r="A11" s="29"/>
      <c r="B11" s="25"/>
      <c r="C11" s="43" t="s">
        <v>26</v>
      </c>
      <c r="D11" s="30" t="s">
        <v>27</v>
      </c>
      <c r="E11" s="25"/>
      <c r="F11" s="43" t="s">
        <v>26</v>
      </c>
      <c r="G11" s="30" t="s">
        <v>27</v>
      </c>
      <c r="H11" s="25"/>
      <c r="I11" s="43" t="s">
        <v>26</v>
      </c>
      <c r="J11" s="30" t="s">
        <v>27</v>
      </c>
      <c r="K11" s="25"/>
      <c r="L11" s="43" t="s">
        <v>26</v>
      </c>
      <c r="M11" s="30" t="s">
        <v>27</v>
      </c>
    </row>
    <row r="12" spans="1:16">
      <c r="A12" s="31" t="s">
        <v>7</v>
      </c>
      <c r="B12" s="32"/>
      <c r="C12" s="44" t="s">
        <v>28</v>
      </c>
      <c r="D12" s="33" t="s">
        <v>84</v>
      </c>
      <c r="E12" s="32"/>
      <c r="F12" s="44" t="s">
        <v>28</v>
      </c>
      <c r="G12" s="33" t="s">
        <v>84</v>
      </c>
      <c r="H12" s="32"/>
      <c r="I12" s="44" t="s">
        <v>28</v>
      </c>
      <c r="J12" s="33" t="s">
        <v>84</v>
      </c>
      <c r="K12" s="32"/>
      <c r="L12" s="44" t="s">
        <v>28</v>
      </c>
      <c r="M12" s="33" t="s">
        <v>84</v>
      </c>
    </row>
    <row r="13" spans="1:16">
      <c r="A13" s="36">
        <v>2015</v>
      </c>
      <c r="B13" s="37"/>
      <c r="C13" s="38">
        <v>2.6559291740199553E-2</v>
      </c>
      <c r="D13" s="23">
        <v>1</v>
      </c>
      <c r="E13" s="37"/>
      <c r="F13" s="38">
        <v>-7.2742768722919959E-2</v>
      </c>
      <c r="G13" s="23">
        <v>1</v>
      </c>
      <c r="H13" s="37"/>
      <c r="I13" s="38">
        <v>1.0544245163047306E-2</v>
      </c>
      <c r="J13" s="23">
        <v>1</v>
      </c>
      <c r="K13" s="37"/>
      <c r="L13" s="38">
        <v>-4.9713993396270251E-2</v>
      </c>
      <c r="M13" s="23">
        <v>1</v>
      </c>
    </row>
    <row r="14" spans="1:16">
      <c r="A14" s="34">
        <v>2016</v>
      </c>
      <c r="B14" s="25"/>
      <c r="C14" s="35">
        <v>3.4593385014100031E-2</v>
      </c>
      <c r="D14" s="41">
        <f t="shared" ref="D14:D73" si="0">D13*(1+C14)</f>
        <v>1.0345933850141</v>
      </c>
      <c r="E14" s="25"/>
      <c r="F14" s="35">
        <v>9.18780144907827E-3</v>
      </c>
      <c r="G14" s="41">
        <f t="shared" ref="G14:G73" si="1">G13*(1+F14)</f>
        <v>1.0091878014490783</v>
      </c>
      <c r="H14" s="25"/>
      <c r="I14" s="35">
        <v>1.9523688150854257E-2</v>
      </c>
      <c r="J14" s="41">
        <f t="shared" ref="J14:J73" si="2">J13*(1+I14)</f>
        <v>1.0195236881508543</v>
      </c>
      <c r="K14" s="25"/>
      <c r="L14" s="35">
        <v>-5.5299990212392958E-3</v>
      </c>
      <c r="M14" s="41">
        <f t="shared" ref="M14:M73" si="3">M13*(1+L14)</f>
        <v>0.9944700009787607</v>
      </c>
    </row>
    <row r="15" spans="1:16">
      <c r="A15" s="34">
        <v>2017</v>
      </c>
      <c r="B15" s="25"/>
      <c r="C15" s="35">
        <v>3.7070677146157971E-2</v>
      </c>
      <c r="D15" s="41">
        <f t="shared" si="0"/>
        <v>1.0729464623675085</v>
      </c>
      <c r="E15" s="25"/>
      <c r="F15" s="35">
        <v>2.6233557809785646E-2</v>
      </c>
      <c r="G15" s="41">
        <f t="shared" si="1"/>
        <v>1.0356623879793232</v>
      </c>
      <c r="H15" s="25"/>
      <c r="I15" s="35">
        <v>1.9803044830150718E-2</v>
      </c>
      <c r="J15" s="41">
        <f t="shared" si="2"/>
        <v>1.0397133614527063</v>
      </c>
      <c r="K15" s="25"/>
      <c r="L15" s="35">
        <v>1.8158555189213166E-2</v>
      </c>
      <c r="M15" s="41">
        <f t="shared" si="3"/>
        <v>1.0125281393755503</v>
      </c>
    </row>
    <row r="16" spans="1:16" s="13" customFormat="1">
      <c r="A16" s="34">
        <v>2018</v>
      </c>
      <c r="B16" s="25"/>
      <c r="C16" s="35">
        <v>3.9061796584809239E-2</v>
      </c>
      <c r="D16" s="41">
        <f t="shared" si="0"/>
        <v>1.1148576788268987</v>
      </c>
      <c r="E16" s="25"/>
      <c r="F16" s="35">
        <v>2.440992189954172E-2</v>
      </c>
      <c r="G16" s="41">
        <f t="shared" si="1"/>
        <v>1.0609428259841913</v>
      </c>
      <c r="H16" s="25"/>
      <c r="I16" s="35">
        <v>1.9355894525037609E-2</v>
      </c>
      <c r="J16" s="41">
        <f t="shared" si="2"/>
        <v>1.0598379436132572</v>
      </c>
      <c r="K16" s="25"/>
      <c r="L16" s="35">
        <v>2.7839536007733034E-2</v>
      </c>
      <c r="M16" s="41">
        <f t="shared" si="3"/>
        <v>1.0407164529705388</v>
      </c>
    </row>
    <row r="17" spans="1:13" s="13" customFormat="1">
      <c r="A17" s="34">
        <v>2019</v>
      </c>
      <c r="B17" s="25"/>
      <c r="C17" s="35">
        <v>3.8906510387844095E-2</v>
      </c>
      <c r="D17" s="41">
        <f t="shared" si="0"/>
        <v>1.1582329006891452</v>
      </c>
      <c r="E17" s="25"/>
      <c r="F17" s="35">
        <v>1.9807738502015226E-2</v>
      </c>
      <c r="G17" s="41">
        <f t="shared" si="1"/>
        <v>1.0819577040468753</v>
      </c>
      <c r="H17" s="25"/>
      <c r="I17" s="35">
        <v>1.9601010672398722E-2</v>
      </c>
      <c r="J17" s="41">
        <f t="shared" si="2"/>
        <v>1.0806118384570338</v>
      </c>
      <c r="K17" s="25"/>
      <c r="L17" s="35">
        <v>1.6552243017022628E-2</v>
      </c>
      <c r="M17" s="41">
        <f t="shared" si="3"/>
        <v>1.0579426446119209</v>
      </c>
    </row>
    <row r="18" spans="1:13">
      <c r="A18" s="34">
        <v>2020</v>
      </c>
      <c r="B18" s="25"/>
      <c r="C18" s="35">
        <v>3.8717272127567703E-2</v>
      </c>
      <c r="D18" s="41">
        <f t="shared" si="0"/>
        <v>1.203076519092229</v>
      </c>
      <c r="E18" s="25"/>
      <c r="F18" s="35">
        <v>5.4803357051100843E-3</v>
      </c>
      <c r="G18" s="41">
        <f t="shared" si="1"/>
        <v>1.0878871954837823</v>
      </c>
      <c r="H18" s="25"/>
      <c r="I18" s="35">
        <v>1.9326491572426496E-2</v>
      </c>
      <c r="J18" s="41">
        <f t="shared" si="2"/>
        <v>1.1014962740460379</v>
      </c>
      <c r="K18" s="25"/>
      <c r="L18" s="35">
        <v>1.3923582200018547E-2</v>
      </c>
      <c r="M18" s="41">
        <f t="shared" si="3"/>
        <v>1.07267299598708</v>
      </c>
    </row>
    <row r="19" spans="1:13">
      <c r="A19" s="34">
        <v>2021</v>
      </c>
      <c r="B19" s="25"/>
      <c r="C19" s="35">
        <v>3.8522576423023258E-2</v>
      </c>
      <c r="D19" s="41">
        <f t="shared" si="0"/>
        <v>1.2494221262417042</v>
      </c>
      <c r="E19" s="25"/>
      <c r="F19" s="35">
        <v>1.0928786730296292E-2</v>
      </c>
      <c r="G19" s="41">
        <f t="shared" si="1"/>
        <v>1.0997764826298446</v>
      </c>
      <c r="H19" s="25"/>
      <c r="I19" s="35">
        <v>2.0044475546225016E-2</v>
      </c>
      <c r="J19" s="41">
        <f t="shared" si="2"/>
        <v>1.1235751891754118</v>
      </c>
      <c r="K19" s="25"/>
      <c r="L19" s="35">
        <v>1.4462338610337966E-2</v>
      </c>
      <c r="M19" s="41">
        <f t="shared" si="3"/>
        <v>1.0881863560732108</v>
      </c>
    </row>
    <row r="20" spans="1:13">
      <c r="A20" s="34">
        <v>2022</v>
      </c>
      <c r="B20" s="25"/>
      <c r="C20" s="35">
        <v>3.8789924460338687E-2</v>
      </c>
      <c r="D20" s="41">
        <f t="shared" si="0"/>
        <v>1.2978871161376957</v>
      </c>
      <c r="E20" s="25"/>
      <c r="F20" s="35">
        <v>1.9001132301573076E-2</v>
      </c>
      <c r="G20" s="41">
        <f t="shared" si="1"/>
        <v>1.1206734810784529</v>
      </c>
      <c r="H20" s="25"/>
      <c r="I20" s="35">
        <v>2.1086697616670813E-2</v>
      </c>
      <c r="J20" s="41">
        <f t="shared" si="2"/>
        <v>1.1472676794391474</v>
      </c>
      <c r="K20" s="25"/>
      <c r="L20" s="35">
        <v>1.3941356359057355E-2</v>
      </c>
      <c r="M20" s="41">
        <f t="shared" si="3"/>
        <v>1.1033571498482915</v>
      </c>
    </row>
    <row r="21" spans="1:13">
      <c r="A21" s="34">
        <v>2023</v>
      </c>
      <c r="B21" s="25"/>
      <c r="C21" s="35">
        <v>3.9296152362057413E-2</v>
      </c>
      <c r="D21" s="41">
        <f t="shared" si="0"/>
        <v>1.3488890860021938</v>
      </c>
      <c r="E21" s="25"/>
      <c r="F21" s="35">
        <v>2.0324919969585187E-2</v>
      </c>
      <c r="G21" s="41">
        <f t="shared" si="1"/>
        <v>1.1434510798934088</v>
      </c>
      <c r="H21" s="25"/>
      <c r="I21" s="35">
        <v>2.155084203879376E-2</v>
      </c>
      <c r="J21" s="41">
        <f t="shared" si="2"/>
        <v>1.171992263974954</v>
      </c>
      <c r="K21" s="25"/>
      <c r="L21" s="35">
        <v>1.3882728643661801E-2</v>
      </c>
      <c r="M21" s="41">
        <f t="shared" si="3"/>
        <v>1.1186747577566793</v>
      </c>
    </row>
    <row r="22" spans="1:13">
      <c r="A22" s="36">
        <v>2024</v>
      </c>
      <c r="B22" s="37"/>
      <c r="C22" s="38">
        <v>3.9500866580464367E-2</v>
      </c>
      <c r="D22" s="41">
        <f t="shared" si="0"/>
        <v>1.4021713738202111</v>
      </c>
      <c r="E22" s="37"/>
      <c r="F22" s="38">
        <v>1.4319737179607772E-2</v>
      </c>
      <c r="G22" s="41">
        <f t="shared" si="1"/>
        <v>1.1598249988352212</v>
      </c>
      <c r="H22" s="37"/>
      <c r="I22" s="38">
        <v>2.1202796821227166E-2</v>
      </c>
      <c r="J22" s="41">
        <f t="shared" si="2"/>
        <v>1.196841777824065</v>
      </c>
      <c r="K22" s="37"/>
      <c r="L22" s="38">
        <v>1.2730215669976896E-2</v>
      </c>
      <c r="M22" s="41">
        <f t="shared" si="3"/>
        <v>1.1329157286874811</v>
      </c>
    </row>
    <row r="23" spans="1:13">
      <c r="A23" s="34">
        <v>2025</v>
      </c>
      <c r="B23" s="25"/>
      <c r="C23" s="35">
        <v>3.9805247708048164E-2</v>
      </c>
      <c r="D23" s="41">
        <f t="shared" si="0"/>
        <v>1.4579851526842587</v>
      </c>
      <c r="E23" s="25"/>
      <c r="F23" s="35">
        <v>8.84575811419408E-3</v>
      </c>
      <c r="G23" s="41">
        <f t="shared" si="1"/>
        <v>1.1700845302297129</v>
      </c>
      <c r="H23" s="25"/>
      <c r="I23" s="35">
        <v>2.1006067732589173E-2</v>
      </c>
      <c r="J23" s="41">
        <f t="shared" si="2"/>
        <v>1.2219827172742297</v>
      </c>
      <c r="K23" s="25"/>
      <c r="L23" s="35">
        <v>1.3520518358531186E-2</v>
      </c>
      <c r="M23" s="41">
        <f t="shared" si="3"/>
        <v>1.148233336595869</v>
      </c>
    </row>
    <row r="24" spans="1:13">
      <c r="A24" s="34">
        <v>2026</v>
      </c>
      <c r="B24" s="25"/>
      <c r="C24" s="35">
        <v>3.8957139286026177E-2</v>
      </c>
      <c r="D24" s="41">
        <f t="shared" si="0"/>
        <v>1.5147840833543376</v>
      </c>
      <c r="E24" s="25"/>
      <c r="F24" s="35">
        <v>7.7536776887037195E-3</v>
      </c>
      <c r="G24" s="41">
        <f t="shared" si="1"/>
        <v>1.1791569885456523</v>
      </c>
      <c r="H24" s="25"/>
      <c r="I24" s="35">
        <v>2.0789762003819545E-2</v>
      </c>
      <c r="J24" s="41">
        <f t="shared" si="2"/>
        <v>1.2473874471391417</v>
      </c>
      <c r="K24" s="25"/>
      <c r="L24" s="35">
        <v>1.7133358905510709E-2</v>
      </c>
      <c r="M24" s="41">
        <f t="shared" si="3"/>
        <v>1.1679064304590381</v>
      </c>
    </row>
    <row r="25" spans="1:13">
      <c r="A25" s="34">
        <v>2027</v>
      </c>
      <c r="B25" s="25"/>
      <c r="C25" s="35">
        <v>3.8758693300951164E-2</v>
      </c>
      <c r="D25" s="41">
        <f t="shared" si="0"/>
        <v>1.5734951350582307</v>
      </c>
      <c r="E25" s="25"/>
      <c r="F25" s="35">
        <v>9.8725158085808395E-3</v>
      </c>
      <c r="G25" s="41">
        <f t="shared" si="1"/>
        <v>1.1907982345558679</v>
      </c>
      <c r="H25" s="25"/>
      <c r="I25" s="35">
        <v>2.0582585208588799E-2</v>
      </c>
      <c r="J25" s="41">
        <f t="shared" si="2"/>
        <v>1.2730619055580072</v>
      </c>
      <c r="K25" s="25"/>
      <c r="L25" s="35">
        <v>2.0657867169495026E-2</v>
      </c>
      <c r="M25" s="41">
        <f t="shared" si="3"/>
        <v>1.19203288636586</v>
      </c>
    </row>
    <row r="26" spans="1:13">
      <c r="A26" s="34">
        <v>2028</v>
      </c>
      <c r="B26" s="25"/>
      <c r="C26" s="35">
        <v>3.8633622100036513E-2</v>
      </c>
      <c r="D26" s="41">
        <f t="shared" si="0"/>
        <v>1.6342849514823163</v>
      </c>
      <c r="E26" s="25"/>
      <c r="F26" s="35">
        <v>1.1846764270108556E-2</v>
      </c>
      <c r="G26" s="41">
        <f t="shared" si="1"/>
        <v>1.2049053405339127</v>
      </c>
      <c r="H26" s="25"/>
      <c r="I26" s="35">
        <v>2.0718250628669832E-2</v>
      </c>
      <c r="J26" s="41">
        <f t="shared" si="2"/>
        <v>1.2994375211831701</v>
      </c>
      <c r="K26" s="25"/>
      <c r="L26" s="35">
        <v>2.1881927908695253E-2</v>
      </c>
      <c r="M26" s="41">
        <f t="shared" si="3"/>
        <v>1.2181168640501117</v>
      </c>
    </row>
    <row r="27" spans="1:13">
      <c r="A27" s="34">
        <v>2029</v>
      </c>
      <c r="B27" s="25"/>
      <c r="C27" s="35">
        <v>3.8493677756342493E-2</v>
      </c>
      <c r="D27" s="41">
        <f t="shared" si="0"/>
        <v>1.6971945897667164</v>
      </c>
      <c r="E27" s="25"/>
      <c r="F27" s="35">
        <v>1.0746682538599339E-2</v>
      </c>
      <c r="G27" s="41">
        <f t="shared" si="1"/>
        <v>1.2178540757176937</v>
      </c>
      <c r="H27" s="25"/>
      <c r="I27" s="35">
        <v>2.1138204808951677E-2</v>
      </c>
      <c r="J27" s="41">
        <f t="shared" si="2"/>
        <v>1.3269052976423765</v>
      </c>
      <c r="K27" s="25"/>
      <c r="L27" s="35">
        <v>2.2056164878871964E-2</v>
      </c>
      <c r="M27" s="41">
        <f t="shared" si="3"/>
        <v>1.2449838504453354</v>
      </c>
    </row>
    <row r="28" spans="1:13">
      <c r="A28" s="34">
        <v>2030</v>
      </c>
      <c r="B28" s="25"/>
      <c r="C28" s="35">
        <v>3.8487520843871081E-2</v>
      </c>
      <c r="D28" s="41">
        <f t="shared" si="0"/>
        <v>1.7625154019164682</v>
      </c>
      <c r="E28" s="25"/>
      <c r="F28" s="35">
        <v>9.6923334441574305E-3</v>
      </c>
      <c r="G28" s="41">
        <f t="shared" si="1"/>
        <v>1.2296579235058758</v>
      </c>
      <c r="H28" s="25"/>
      <c r="I28" s="35">
        <v>2.1451944405191048E-2</v>
      </c>
      <c r="J28" s="41">
        <f t="shared" si="2"/>
        <v>1.3553699963183543</v>
      </c>
      <c r="K28" s="25"/>
      <c r="L28" s="35">
        <v>2.1422955974842672E-2</v>
      </c>
      <c r="M28" s="41">
        <f t="shared" si="3"/>
        <v>1.2716550846628161</v>
      </c>
    </row>
    <row r="29" spans="1:13">
      <c r="A29" s="34">
        <v>2031</v>
      </c>
      <c r="B29" s="25"/>
      <c r="C29" s="35">
        <v>3.8691006355322521E-2</v>
      </c>
      <c r="D29" s="41">
        <f t="shared" si="0"/>
        <v>1.830708896533372</v>
      </c>
      <c r="E29" s="25"/>
      <c r="F29" s="35">
        <v>1.1963969128182539E-2</v>
      </c>
      <c r="G29" s="41">
        <f t="shared" si="1"/>
        <v>1.2443695129409251</v>
      </c>
      <c r="H29" s="25"/>
      <c r="I29" s="35">
        <v>2.2149127426191573E-2</v>
      </c>
      <c r="J29" s="41">
        <f t="shared" si="2"/>
        <v>1.3853902590764464</v>
      </c>
      <c r="K29" s="25"/>
      <c r="L29" s="35">
        <v>2.2089667115643641E-2</v>
      </c>
      <c r="M29" s="41">
        <f t="shared" si="3"/>
        <v>1.2997455221689334</v>
      </c>
    </row>
    <row r="30" spans="1:13">
      <c r="A30" s="34">
        <v>2032</v>
      </c>
      <c r="B30" s="25"/>
      <c r="C30" s="35">
        <v>3.870956290555827E-2</v>
      </c>
      <c r="D30" s="41">
        <f t="shared" si="0"/>
        <v>1.9015748377254957</v>
      </c>
      <c r="E30" s="25"/>
      <c r="F30" s="35">
        <v>9.4439658455627296E-3</v>
      </c>
      <c r="G30" s="41">
        <f t="shared" si="1"/>
        <v>1.2561212961203987</v>
      </c>
      <c r="H30" s="25"/>
      <c r="I30" s="35">
        <v>2.2070598615407055E-2</v>
      </c>
      <c r="J30" s="41">
        <f t="shared" si="2"/>
        <v>1.4159666514102174</v>
      </c>
      <c r="K30" s="25"/>
      <c r="L30" s="35">
        <v>2.0934523137166261E-2</v>
      </c>
      <c r="M30" s="41">
        <f t="shared" si="3"/>
        <v>1.326955074875207</v>
      </c>
    </row>
    <row r="31" spans="1:13">
      <c r="A31" s="34">
        <v>2033</v>
      </c>
      <c r="B31" s="25"/>
      <c r="C31" s="35">
        <v>3.8738865849375248E-2</v>
      </c>
      <c r="D31" s="41">
        <f t="shared" si="0"/>
        <v>1.9752396902666913</v>
      </c>
      <c r="E31" s="25"/>
      <c r="F31" s="35">
        <v>9.9434395139490483E-3</v>
      </c>
      <c r="G31" s="41">
        <f t="shared" si="1"/>
        <v>1.2686114622505551</v>
      </c>
      <c r="H31" s="25"/>
      <c r="I31" s="35">
        <v>2.222628688520345E-2</v>
      </c>
      <c r="J31" s="41">
        <f t="shared" si="2"/>
        <v>1.4474383324243418</v>
      </c>
      <c r="K31" s="25"/>
      <c r="L31" s="35">
        <v>2.0689655172413834E-2</v>
      </c>
      <c r="M31" s="41">
        <f t="shared" si="3"/>
        <v>1.3544093178036596</v>
      </c>
    </row>
    <row r="32" spans="1:13">
      <c r="A32" s="34">
        <v>2034</v>
      </c>
      <c r="B32" s="25"/>
      <c r="C32" s="35">
        <v>3.8844517223510122E-2</v>
      </c>
      <c r="D32" s="41">
        <f t="shared" si="0"/>
        <v>2.0519669224358168</v>
      </c>
      <c r="E32" s="25"/>
      <c r="F32" s="35">
        <v>1.1105277729809293E-2</v>
      </c>
      <c r="G32" s="41">
        <f t="shared" si="1"/>
        <v>1.282699744870067</v>
      </c>
      <c r="H32" s="25"/>
      <c r="I32" s="35">
        <v>2.2379383656901064E-2</v>
      </c>
      <c r="J32" s="41">
        <f t="shared" si="2"/>
        <v>1.4798311101853712</v>
      </c>
      <c r="K32" s="25"/>
      <c r="L32" s="35">
        <v>2.0487064604711724E-2</v>
      </c>
      <c r="M32" s="41">
        <f t="shared" si="3"/>
        <v>1.3821571889987267</v>
      </c>
    </row>
    <row r="33" spans="1:13">
      <c r="A33" s="34">
        <v>2035</v>
      </c>
      <c r="B33" s="25"/>
      <c r="C33" s="35">
        <v>3.8751347375642897E-2</v>
      </c>
      <c r="D33" s="41">
        <f t="shared" si="0"/>
        <v>2.1314834054504561</v>
      </c>
      <c r="E33" s="25"/>
      <c r="F33" s="35">
        <v>1.012737932060892E-2</v>
      </c>
      <c r="G33" s="41">
        <f t="shared" si="1"/>
        <v>1.2956901317408145</v>
      </c>
      <c r="H33" s="25"/>
      <c r="I33" s="35">
        <v>2.2105733473984035E-2</v>
      </c>
      <c r="J33" s="41">
        <f t="shared" si="2"/>
        <v>1.5125438622936389</v>
      </c>
      <c r="K33" s="25"/>
      <c r="L33" s="35">
        <v>1.9650886945437707E-2</v>
      </c>
      <c r="M33" s="41">
        <f t="shared" si="3"/>
        <v>1.4093178036605647</v>
      </c>
    </row>
    <row r="34" spans="1:13">
      <c r="A34" s="34">
        <v>2036</v>
      </c>
      <c r="B34" s="25"/>
      <c r="C34" s="35">
        <v>3.8744600650548522E-2</v>
      </c>
      <c r="D34" s="41">
        <f t="shared" si="0"/>
        <v>2.2140668787879054</v>
      </c>
      <c r="E34" s="25"/>
      <c r="F34" s="35">
        <v>1.0245407375955473E-2</v>
      </c>
      <c r="G34" s="41">
        <f t="shared" si="1"/>
        <v>1.3089650049735047</v>
      </c>
      <c r="H34" s="25"/>
      <c r="I34" s="35">
        <v>2.2168661818547486E-2</v>
      </c>
      <c r="J34" s="41">
        <f t="shared" si="2"/>
        <v>1.5460749356625463</v>
      </c>
      <c r="K34" s="25"/>
      <c r="L34" s="35">
        <v>1.9480519480519654E-2</v>
      </c>
      <c r="M34" s="41">
        <f t="shared" si="3"/>
        <v>1.4367720465890175</v>
      </c>
    </row>
    <row r="35" spans="1:13" s="13" customFormat="1">
      <c r="A35" s="34">
        <v>2037</v>
      </c>
      <c r="B35" s="25"/>
      <c r="C35" s="35">
        <v>3.8802485182092283E-2</v>
      </c>
      <c r="D35" s="41">
        <f t="shared" si="0"/>
        <v>2.2999781760442346</v>
      </c>
      <c r="E35" s="25"/>
      <c r="F35" s="35">
        <v>1.0860724391653198E-2</v>
      </c>
      <c r="G35" s="41">
        <f t="shared" si="1"/>
        <v>1.3231813131308408</v>
      </c>
      <c r="H35" s="25"/>
      <c r="I35" s="35">
        <v>2.2254829489890771E-2</v>
      </c>
      <c r="J35" s="41">
        <f t="shared" si="2"/>
        <v>1.5804825697343101</v>
      </c>
      <c r="K35" s="25"/>
      <c r="L35" s="35">
        <v>1.9414830205388478E-2</v>
      </c>
      <c r="M35" s="41">
        <f t="shared" si="3"/>
        <v>1.4646667319173918</v>
      </c>
    </row>
    <row r="36" spans="1:13">
      <c r="A36" s="34">
        <v>2038</v>
      </c>
      <c r="B36" s="25"/>
      <c r="C36" s="35">
        <v>3.8938212761245428E-2</v>
      </c>
      <c r="D36" s="41">
        <f t="shared" si="0"/>
        <v>2.3895352156092664</v>
      </c>
      <c r="E36" s="25"/>
      <c r="F36" s="35">
        <v>1.1193310427385361E-2</v>
      </c>
      <c r="G36" s="41">
        <f t="shared" si="1"/>
        <v>1.3379920923204296</v>
      </c>
      <c r="H36" s="25"/>
      <c r="I36" s="35">
        <v>2.2474514476297669E-2</v>
      </c>
      <c r="J36" s="41">
        <f t="shared" si="2"/>
        <v>1.61600314812734</v>
      </c>
      <c r="K36" s="25"/>
      <c r="L36" s="35">
        <v>1.9312372615189144E-2</v>
      </c>
      <c r="M36" s="41">
        <f t="shared" si="3"/>
        <v>1.4929529216012518</v>
      </c>
    </row>
    <row r="37" spans="1:13">
      <c r="A37" s="34">
        <v>2039</v>
      </c>
      <c r="B37" s="25"/>
      <c r="C37" s="35">
        <v>3.8851672319901498E-2</v>
      </c>
      <c r="D37" s="41">
        <f t="shared" si="0"/>
        <v>2.4823726548029827</v>
      </c>
      <c r="E37" s="25"/>
      <c r="F37" s="35">
        <v>1.188307733568772E-2</v>
      </c>
      <c r="G37" s="41">
        <f t="shared" si="1"/>
        <v>1.3538915558280118</v>
      </c>
      <c r="H37" s="25"/>
      <c r="I37" s="35">
        <v>2.2728290946772089E-2</v>
      </c>
      <c r="J37" s="41">
        <f t="shared" si="2"/>
        <v>1.6527321378488777</v>
      </c>
      <c r="K37" s="25"/>
      <c r="L37" s="35">
        <v>1.9241485560691052E-2</v>
      </c>
      <c r="M37" s="41">
        <f t="shared" si="3"/>
        <v>1.5216795536850338</v>
      </c>
    </row>
    <row r="38" spans="1:13">
      <c r="A38" s="34">
        <v>2040</v>
      </c>
      <c r="B38" s="25"/>
      <c r="C38" s="35">
        <v>3.8887224131288312E-2</v>
      </c>
      <c r="D38" s="41">
        <f t="shared" si="0"/>
        <v>2.5789052366076874</v>
      </c>
      <c r="E38" s="25"/>
      <c r="F38" s="35">
        <v>1.165912313912254E-2</v>
      </c>
      <c r="G38" s="41">
        <f t="shared" si="1"/>
        <v>1.3696767441944289</v>
      </c>
      <c r="H38" s="25"/>
      <c r="I38" s="35">
        <v>2.2741129349647782E-2</v>
      </c>
      <c r="J38" s="41">
        <f t="shared" si="2"/>
        <v>1.6903171331760189</v>
      </c>
      <c r="K38" s="25"/>
      <c r="L38" s="35">
        <v>1.881391908406771E-2</v>
      </c>
      <c r="M38" s="41">
        <f t="shared" si="3"/>
        <v>1.5503083096799444</v>
      </c>
    </row>
    <row r="39" spans="1:13">
      <c r="A39" s="34">
        <v>2041</v>
      </c>
      <c r="B39" s="25"/>
      <c r="C39" s="35">
        <v>3.905072333843651E-2</v>
      </c>
      <c r="D39" s="41">
        <f t="shared" si="0"/>
        <v>2.6796133515184994</v>
      </c>
      <c r="E39" s="25"/>
      <c r="F39" s="35">
        <v>1.1725927569156136E-2</v>
      </c>
      <c r="G39" s="41">
        <f t="shared" si="1"/>
        <v>1.3857374744900104</v>
      </c>
      <c r="H39" s="25"/>
      <c r="I39" s="35">
        <v>2.3003877982649135E-2</v>
      </c>
      <c r="J39" s="41">
        <f t="shared" si="2"/>
        <v>1.7292009822595813</v>
      </c>
      <c r="K39" s="25"/>
      <c r="L39" s="35">
        <v>1.8939991792670252E-2</v>
      </c>
      <c r="M39" s="41">
        <f t="shared" si="3"/>
        <v>1.5796711363413911</v>
      </c>
    </row>
    <row r="40" spans="1:13">
      <c r="A40" s="34">
        <v>2042</v>
      </c>
      <c r="B40" s="25"/>
      <c r="C40" s="35">
        <v>3.8978365772629697E-2</v>
      </c>
      <c r="D40" s="41">
        <f t="shared" si="0"/>
        <v>2.7840603008632097</v>
      </c>
      <c r="E40" s="25"/>
      <c r="F40" s="35">
        <v>1.1638770751899896E-2</v>
      </c>
      <c r="G40" s="41">
        <f t="shared" si="1"/>
        <v>1.4018657552779163</v>
      </c>
      <c r="H40" s="25"/>
      <c r="I40" s="35">
        <v>2.3201935211619285E-2</v>
      </c>
      <c r="J40" s="41">
        <f t="shared" si="2"/>
        <v>1.7693217914178365</v>
      </c>
      <c r="K40" s="25"/>
      <c r="L40" s="35">
        <v>1.8587936429257379E-2</v>
      </c>
      <c r="M40" s="41">
        <f t="shared" si="3"/>
        <v>1.6090339630028376</v>
      </c>
    </row>
    <row r="41" spans="1:13">
      <c r="A41" s="36">
        <v>2043</v>
      </c>
      <c r="B41" s="37"/>
      <c r="C41" s="38">
        <v>3.8986120187922024E-2</v>
      </c>
      <c r="D41" s="41">
        <f t="shared" si="0"/>
        <v>2.8926000103630849</v>
      </c>
      <c r="E41" s="37"/>
      <c r="F41" s="38">
        <v>1.1824458482121436E-2</v>
      </c>
      <c r="G41" s="41">
        <f t="shared" si="1"/>
        <v>1.4184420586987079</v>
      </c>
      <c r="H41" s="37"/>
      <c r="I41" s="38">
        <v>2.3367182858041957E-2</v>
      </c>
      <c r="J41" s="41">
        <f t="shared" si="2"/>
        <v>1.8106658572526155</v>
      </c>
      <c r="K41" s="37"/>
      <c r="L41" s="38">
        <v>1.8431217494449426E-2</v>
      </c>
      <c r="M41" s="41">
        <f t="shared" si="3"/>
        <v>1.6386904179308988</v>
      </c>
    </row>
    <row r="42" spans="1:13">
      <c r="A42" s="34">
        <v>2044</v>
      </c>
      <c r="B42" s="25"/>
      <c r="C42" s="35">
        <v>3.8994993213137041E-2</v>
      </c>
      <c r="D42" s="41">
        <f t="shared" si="0"/>
        <v>3.0053969281355135</v>
      </c>
      <c r="E42" s="25"/>
      <c r="F42" s="35">
        <v>1.2085705621605713E-2</v>
      </c>
      <c r="G42" s="41">
        <f t="shared" si="1"/>
        <v>1.4355849318614449</v>
      </c>
      <c r="H42" s="25"/>
      <c r="I42" s="35">
        <v>2.3515516040261142E-2</v>
      </c>
      <c r="J42" s="41">
        <f t="shared" si="2"/>
        <v>1.8532445992623927</v>
      </c>
      <c r="K42" s="25"/>
      <c r="L42" s="35">
        <v>1.8187248021502178E-2</v>
      </c>
      <c r="M42" s="41">
        <f t="shared" si="3"/>
        <v>1.6684936869922671</v>
      </c>
    </row>
    <row r="43" spans="1:13">
      <c r="A43" s="46">
        <v>2045</v>
      </c>
      <c r="B43" s="47"/>
      <c r="C43" s="48">
        <v>3.8977197224086213E-2</v>
      </c>
      <c r="D43" s="49">
        <f t="shared" si="0"/>
        <v>3.1225388769401143</v>
      </c>
      <c r="E43" s="47"/>
      <c r="F43" s="48">
        <v>1.1859272949170219E-2</v>
      </c>
      <c r="G43" s="41">
        <f t="shared" si="1"/>
        <v>1.4526099254101057</v>
      </c>
      <c r="H43" s="47"/>
      <c r="I43" s="48">
        <v>2.3574793758296186E-2</v>
      </c>
      <c r="J43" s="49">
        <f t="shared" si="2"/>
        <v>1.8969344584736798</v>
      </c>
      <c r="K43" s="47"/>
      <c r="L43" s="48">
        <v>1.7803719129465545E-2</v>
      </c>
      <c r="M43" s="41">
        <f t="shared" si="3"/>
        <v>1.6981990799647637</v>
      </c>
    </row>
    <row r="44" spans="1:13">
      <c r="A44" s="34">
        <v>2046</v>
      </c>
      <c r="B44" s="25"/>
      <c r="C44" s="35">
        <f>C43</f>
        <v>3.8977197224086213E-2</v>
      </c>
      <c r="D44" s="41">
        <f t="shared" si="0"/>
        <v>3.2442466905864857</v>
      </c>
      <c r="E44" s="25"/>
      <c r="F44" s="35">
        <f>F43</f>
        <v>1.1859272949170219E-2</v>
      </c>
      <c r="G44" s="41">
        <f t="shared" si="1"/>
        <v>1.469836823004218</v>
      </c>
      <c r="H44" s="25"/>
      <c r="I44" s="35">
        <f>I43</f>
        <v>2.3574793758296186E-2</v>
      </c>
      <c r="J44" s="41">
        <f t="shared" si="2"/>
        <v>1.941654297105202</v>
      </c>
      <c r="K44" s="25"/>
      <c r="L44" s="35">
        <f>L43</f>
        <v>1.7803719129465545E-2</v>
      </c>
      <c r="M44" s="41">
        <f t="shared" si="3"/>
        <v>1.7284333394103732</v>
      </c>
    </row>
    <row r="45" spans="1:13">
      <c r="A45" s="34">
        <v>2047</v>
      </c>
      <c r="B45" s="25"/>
      <c r="C45" s="35">
        <f t="shared" ref="C45:C73" si="4">C44</f>
        <v>3.8977197224086213E-2</v>
      </c>
      <c r="D45" s="41">
        <f t="shared" si="0"/>
        <v>3.3706983336890644</v>
      </c>
      <c r="E45" s="25"/>
      <c r="F45" s="35">
        <f t="shared" ref="F45:F73" si="5">F44</f>
        <v>1.1859272949170219E-2</v>
      </c>
      <c r="G45" s="41">
        <f t="shared" si="1"/>
        <v>1.4872680190789662</v>
      </c>
      <c r="H45" s="25"/>
      <c r="I45" s="35">
        <f t="shared" ref="I45:I73" si="6">I44</f>
        <v>2.3574793758296186E-2</v>
      </c>
      <c r="J45" s="41">
        <f t="shared" si="2"/>
        <v>1.9874283967093667</v>
      </c>
      <c r="K45" s="25"/>
      <c r="L45" s="35">
        <f t="shared" ref="L45:L73" si="7">L44</f>
        <v>1.7803719129465545E-2</v>
      </c>
      <c r="M45" s="41">
        <f t="shared" si="3"/>
        <v>1.7592058811192397</v>
      </c>
    </row>
    <row r="46" spans="1:13">
      <c r="A46" s="34">
        <v>2048</v>
      </c>
      <c r="B46" s="25"/>
      <c r="C46" s="35">
        <f t="shared" si="4"/>
        <v>3.8977197224086213E-2</v>
      </c>
      <c r="D46" s="41">
        <f t="shared" si="0"/>
        <v>3.5020787074241619</v>
      </c>
      <c r="E46" s="25"/>
      <c r="F46" s="35">
        <f t="shared" si="5"/>
        <v>1.1859272949170219E-2</v>
      </c>
      <c r="G46" s="41">
        <f t="shared" si="1"/>
        <v>1.5049059364657953</v>
      </c>
      <c r="H46" s="25"/>
      <c r="I46" s="35">
        <f t="shared" si="6"/>
        <v>2.3574793758296186E-2</v>
      </c>
      <c r="J46" s="41">
        <f t="shared" si="2"/>
        <v>2.034281611271171</v>
      </c>
      <c r="K46" s="25"/>
      <c r="L46" s="35">
        <f t="shared" si="7"/>
        <v>1.7803719129465545E-2</v>
      </c>
      <c r="M46" s="41">
        <f t="shared" si="3"/>
        <v>1.7905262885175905</v>
      </c>
    </row>
    <row r="47" spans="1:13">
      <c r="A47" s="34">
        <v>2049</v>
      </c>
      <c r="B47" s="25"/>
      <c r="C47" s="35">
        <f t="shared" si="4"/>
        <v>3.8977197224086213E-2</v>
      </c>
      <c r="D47" s="41">
        <f t="shared" si="0"/>
        <v>3.6385799198977065</v>
      </c>
      <c r="E47" s="25"/>
      <c r="F47" s="35">
        <f t="shared" si="5"/>
        <v>1.1859272949170219E-2</v>
      </c>
      <c r="G47" s="41">
        <f t="shared" si="1"/>
        <v>1.5227530267291698</v>
      </c>
      <c r="H47" s="25"/>
      <c r="I47" s="35">
        <f t="shared" si="6"/>
        <v>2.3574793758296186E-2</v>
      </c>
      <c r="J47" s="41">
        <f t="shared" si="2"/>
        <v>2.0822393807031832</v>
      </c>
      <c r="K47" s="25"/>
      <c r="L47" s="35">
        <f t="shared" si="7"/>
        <v>1.7803719129465545E-2</v>
      </c>
      <c r="M47" s="41">
        <f t="shared" si="3"/>
        <v>1.8224043156522822</v>
      </c>
    </row>
    <row r="48" spans="1:13">
      <c r="A48" s="34">
        <v>2050</v>
      </c>
      <c r="B48" s="25"/>
      <c r="C48" s="35">
        <f t="shared" si="4"/>
        <v>3.8977197224086213E-2</v>
      </c>
      <c r="D48" s="41">
        <f t="shared" si="0"/>
        <v>3.7804015670511593</v>
      </c>
      <c r="E48" s="25"/>
      <c r="F48" s="35">
        <f t="shared" si="5"/>
        <v>1.1859272949170219E-2</v>
      </c>
      <c r="G48" s="41">
        <f t="shared" si="1"/>
        <v>1.5408117705073261</v>
      </c>
      <c r="H48" s="25"/>
      <c r="I48" s="35">
        <f t="shared" si="6"/>
        <v>2.3574793758296186E-2</v>
      </c>
      <c r="J48" s="41">
        <f t="shared" si="2"/>
        <v>2.1313277446586629</v>
      </c>
      <c r="K48" s="25"/>
      <c r="L48" s="35">
        <f t="shared" si="7"/>
        <v>1.7803719129465545E-2</v>
      </c>
      <c r="M48" s="41">
        <f t="shared" si="3"/>
        <v>1.8548498902284813</v>
      </c>
    </row>
    <row r="49" spans="1:13">
      <c r="A49" s="34">
        <v>2051</v>
      </c>
      <c r="B49" s="25"/>
      <c r="C49" s="35">
        <f t="shared" si="4"/>
        <v>3.8977197224086213E-2</v>
      </c>
      <c r="D49" s="41">
        <f t="shared" si="0"/>
        <v>3.9277510245163567</v>
      </c>
      <c r="E49" s="25"/>
      <c r="F49" s="35">
        <f t="shared" si="5"/>
        <v>1.1859272949170219E-2</v>
      </c>
      <c r="G49" s="41">
        <f t="shared" si="1"/>
        <v>1.5590846778570666</v>
      </c>
      <c r="H49" s="25"/>
      <c r="I49" s="35">
        <f t="shared" si="6"/>
        <v>2.3574793758296186E-2</v>
      </c>
      <c r="J49" s="41">
        <f t="shared" si="2"/>
        <v>2.1815733566703255</v>
      </c>
      <c r="K49" s="25"/>
      <c r="L49" s="35">
        <f t="shared" si="7"/>
        <v>1.7803719129465545E-2</v>
      </c>
      <c r="M49" s="41">
        <f t="shared" si="3"/>
        <v>1.8878731167014293</v>
      </c>
    </row>
    <row r="50" spans="1:13" s="14" customFormat="1">
      <c r="A50" s="34">
        <v>2052</v>
      </c>
      <c r="B50" s="25"/>
      <c r="C50" s="35">
        <f t="shared" si="4"/>
        <v>3.8977197224086213E-2</v>
      </c>
      <c r="D50" s="41">
        <f t="shared" si="0"/>
        <v>4.0808437508460376</v>
      </c>
      <c r="E50" s="25"/>
      <c r="F50" s="35">
        <f t="shared" si="5"/>
        <v>1.1859272949170219E-2</v>
      </c>
      <c r="G50" s="41">
        <f t="shared" si="1"/>
        <v>1.5775742886026427</v>
      </c>
      <c r="H50" s="25"/>
      <c r="I50" s="35">
        <f t="shared" si="6"/>
        <v>2.3574793758296186E-2</v>
      </c>
      <c r="J50" s="41">
        <f t="shared" si="2"/>
        <v>2.2330034986224225</v>
      </c>
      <c r="K50" s="25"/>
      <c r="L50" s="35">
        <f t="shared" si="7"/>
        <v>1.7803719129465545E-2</v>
      </c>
      <c r="M50" s="41">
        <f t="shared" si="3"/>
        <v>1.9214842794232503</v>
      </c>
    </row>
    <row r="51" spans="1:13" s="13" customFormat="1">
      <c r="A51" s="34">
        <v>2053</v>
      </c>
      <c r="B51" s="25"/>
      <c r="C51" s="35">
        <f t="shared" si="4"/>
        <v>3.8977197224086213E-2</v>
      </c>
      <c r="D51" s="41">
        <f t="shared" si="0"/>
        <v>4.2399036025634436</v>
      </c>
      <c r="E51" s="25"/>
      <c r="F51" s="35">
        <f t="shared" si="5"/>
        <v>1.1859272949170219E-2</v>
      </c>
      <c r="G51" s="41">
        <f t="shared" si="1"/>
        <v>1.5962831726887745</v>
      </c>
      <c r="H51" s="25"/>
      <c r="I51" s="35">
        <f t="shared" si="6"/>
        <v>2.3574793758296186E-2</v>
      </c>
      <c r="J51" s="41">
        <f t="shared" si="2"/>
        <v>2.2856460955640001</v>
      </c>
      <c r="K51" s="25"/>
      <c r="L51" s="35">
        <f t="shared" si="7"/>
        <v>1.7803719129465545E-2</v>
      </c>
      <c r="M51" s="41">
        <f t="shared" si="3"/>
        <v>1.9556938458457853</v>
      </c>
    </row>
    <row r="52" spans="1:13" s="13" customFormat="1">
      <c r="A52" s="34">
        <v>2054</v>
      </c>
      <c r="B52" s="25"/>
      <c r="C52" s="35">
        <f t="shared" si="4"/>
        <v>3.8977197224086213E-2</v>
      </c>
      <c r="D52" s="41">
        <f t="shared" si="0"/>
        <v>4.4051631614916724</v>
      </c>
      <c r="E52" s="25"/>
      <c r="F52" s="35">
        <f t="shared" si="5"/>
        <v>1.1859272949170219E-2</v>
      </c>
      <c r="G52" s="41">
        <f t="shared" si="1"/>
        <v>1.6152139305378581</v>
      </c>
      <c r="H52" s="25"/>
      <c r="I52" s="35">
        <f t="shared" si="6"/>
        <v>2.3574793758296186E-2</v>
      </c>
      <c r="J52" s="41">
        <f t="shared" si="2"/>
        <v>2.3395297308713765</v>
      </c>
      <c r="K52" s="25"/>
      <c r="L52" s="35">
        <f t="shared" si="7"/>
        <v>1.7803719129465545E-2</v>
      </c>
      <c r="M52" s="41">
        <f t="shared" si="3"/>
        <v>1.9905124697804479</v>
      </c>
    </row>
    <row r="53" spans="1:13" s="13" customFormat="1">
      <c r="A53" s="34">
        <v>2055</v>
      </c>
      <c r="B53" s="25"/>
      <c r="C53" s="35">
        <f t="shared" si="4"/>
        <v>3.8977197224086213E-2</v>
      </c>
      <c r="D53" s="41">
        <f t="shared" si="0"/>
        <v>4.5768640748414127</v>
      </c>
      <c r="E53" s="25"/>
      <c r="F53" s="35">
        <f t="shared" si="5"/>
        <v>1.1859272949170219E-2</v>
      </c>
      <c r="G53" s="41">
        <f t="shared" si="1"/>
        <v>1.6343691934114086</v>
      </c>
      <c r="H53" s="25"/>
      <c r="I53" s="35">
        <f t="shared" si="6"/>
        <v>2.3574793758296186E-2</v>
      </c>
      <c r="J53" s="41">
        <f t="shared" si="2"/>
        <v>2.3946836617680716</v>
      </c>
      <c r="K53" s="25"/>
      <c r="L53" s="35">
        <f t="shared" si="7"/>
        <v>1.7803719129465545E-2</v>
      </c>
      <c r="M53" s="41">
        <f t="shared" si="3"/>
        <v>2.0259509947161178</v>
      </c>
    </row>
    <row r="54" spans="1:13" s="13" customFormat="1">
      <c r="A54" s="34">
        <v>2056</v>
      </c>
      <c r="B54" s="25"/>
      <c r="C54" s="35">
        <f t="shared" si="4"/>
        <v>3.8977197224086213E-2</v>
      </c>
      <c r="D54" s="41">
        <f t="shared" si="0"/>
        <v>4.7552574085543409</v>
      </c>
      <c r="E54" s="25"/>
      <c r="F54" s="35">
        <f t="shared" si="5"/>
        <v>1.1859272949170219E-2</v>
      </c>
      <c r="G54" s="41">
        <f t="shared" si="1"/>
        <v>1.6537516237757897</v>
      </c>
      <c r="H54" s="25"/>
      <c r="I54" s="35">
        <f t="shared" si="6"/>
        <v>2.3574793758296186E-2</v>
      </c>
      <c r="J54" s="41">
        <f t="shared" si="2"/>
        <v>2.4511378352106155</v>
      </c>
      <c r="K54" s="25"/>
      <c r="L54" s="35">
        <f t="shared" si="7"/>
        <v>1.7803719129465545E-2</v>
      </c>
      <c r="M54" s="41">
        <f t="shared" si="3"/>
        <v>2.0620204571961049</v>
      </c>
    </row>
    <row r="55" spans="1:13" s="13" customFormat="1">
      <c r="A55" s="34">
        <v>2057</v>
      </c>
      <c r="B55" s="25"/>
      <c r="C55" s="35">
        <f t="shared" si="4"/>
        <v>3.8977197224086213E-2</v>
      </c>
      <c r="D55" s="41">
        <f t="shared" si="0"/>
        <v>4.9406040144188603</v>
      </c>
      <c r="E55" s="25"/>
      <c r="F55" s="35">
        <f t="shared" si="5"/>
        <v>1.1859272949170219E-2</v>
      </c>
      <c r="G55" s="41">
        <f t="shared" si="1"/>
        <v>1.6733639156722802</v>
      </c>
      <c r="H55" s="25"/>
      <c r="I55" s="35">
        <f t="shared" si="6"/>
        <v>2.3574793758296186E-2</v>
      </c>
      <c r="J55" s="41">
        <f t="shared" si="2"/>
        <v>2.5089229041488621</v>
      </c>
      <c r="K55" s="25"/>
      <c r="L55" s="35">
        <f t="shared" si="7"/>
        <v>1.7803719129465545E-2</v>
      </c>
      <c r="M55" s="41">
        <f t="shared" si="3"/>
        <v>2.0987320902552367</v>
      </c>
    </row>
    <row r="56" spans="1:13" s="13" customFormat="1">
      <c r="A56" s="34">
        <v>2058</v>
      </c>
      <c r="B56" s="25"/>
      <c r="C56" s="35">
        <f t="shared" si="4"/>
        <v>3.8977197224086213E-2</v>
      </c>
      <c r="D56" s="41">
        <f t="shared" si="0"/>
        <v>5.1331749114949767</v>
      </c>
      <c r="E56" s="25"/>
      <c r="F56" s="35">
        <f t="shared" si="5"/>
        <v>1.1859272949170219E-2</v>
      </c>
      <c r="G56" s="41">
        <f t="shared" si="1"/>
        <v>1.69320879509153</v>
      </c>
      <c r="H56" s="25"/>
      <c r="I56" s="35">
        <f t="shared" si="6"/>
        <v>2.3574793758296186E-2</v>
      </c>
      <c r="J56" s="41">
        <f t="shared" si="2"/>
        <v>2.568070244169637</v>
      </c>
      <c r="K56" s="25"/>
      <c r="L56" s="35">
        <f t="shared" si="7"/>
        <v>1.7803719129465545E-2</v>
      </c>
      <c r="M56" s="41">
        <f t="shared" si="3"/>
        <v>2.1360973269181369</v>
      </c>
    </row>
    <row r="57" spans="1:13" s="13" customFormat="1">
      <c r="A57" s="34">
        <v>2059</v>
      </c>
      <c r="B57" s="12"/>
      <c r="C57" s="35">
        <f t="shared" si="4"/>
        <v>3.8977197224086213E-2</v>
      </c>
      <c r="D57" s="41">
        <f t="shared" si="0"/>
        <v>5.3332516824060479</v>
      </c>
      <c r="E57" s="12"/>
      <c r="F57" s="35">
        <f t="shared" si="5"/>
        <v>1.1859272949170219E-2</v>
      </c>
      <c r="G57" s="41">
        <f t="shared" si="1"/>
        <v>1.713289020352456</v>
      </c>
      <c r="H57" s="12"/>
      <c r="I57" s="35">
        <f t="shared" si="6"/>
        <v>2.3574793758296186E-2</v>
      </c>
      <c r="J57" s="41">
        <f t="shared" si="2"/>
        <v>2.6286119705327535</v>
      </c>
      <c r="K57" s="12"/>
      <c r="L57" s="35">
        <f t="shared" si="7"/>
        <v>1.7803719129465545E-2</v>
      </c>
      <c r="M57" s="41">
        <f t="shared" si="3"/>
        <v>2.1741278037597898</v>
      </c>
    </row>
    <row r="58" spans="1:13" s="13" customFormat="1">
      <c r="A58" s="34">
        <v>2060</v>
      </c>
      <c r="B58" s="12"/>
      <c r="C58" s="35">
        <f t="shared" si="4"/>
        <v>3.8977197224086213E-2</v>
      </c>
      <c r="D58" s="41">
        <f t="shared" si="0"/>
        <v>5.5411268850768778</v>
      </c>
      <c r="E58" s="12"/>
      <c r="F58" s="35">
        <f t="shared" si="5"/>
        <v>1.1859272949170219E-2</v>
      </c>
      <c r="G58" s="41">
        <f t="shared" si="1"/>
        <v>1.7336073824856322</v>
      </c>
      <c r="H58" s="12"/>
      <c r="I58" s="35">
        <f t="shared" si="6"/>
        <v>2.3574793758296186E-2</v>
      </c>
      <c r="J58" s="41">
        <f t="shared" si="2"/>
        <v>2.6905809556086515</v>
      </c>
      <c r="K58" s="12"/>
      <c r="L58" s="35">
        <f t="shared" si="7"/>
        <v>1.7803719129465545E-2</v>
      </c>
      <c r="M58" s="41">
        <f t="shared" si="3"/>
        <v>2.2128353645294907</v>
      </c>
    </row>
    <row r="59" spans="1:13" s="13" customFormat="1">
      <c r="A59" s="34">
        <v>2061</v>
      </c>
      <c r="B59" s="50"/>
      <c r="C59" s="35">
        <f t="shared" si="4"/>
        <v>3.8977197224086213E-2</v>
      </c>
      <c r="D59" s="41">
        <f t="shared" si="0"/>
        <v>5.7571044805202058</v>
      </c>
      <c r="E59" s="50"/>
      <c r="F59" s="35">
        <f t="shared" si="5"/>
        <v>1.1859272949170219E-2</v>
      </c>
      <c r="G59" s="41">
        <f t="shared" si="1"/>
        <v>1.7541667056212258</v>
      </c>
      <c r="H59" s="50"/>
      <c r="I59" s="35">
        <f t="shared" si="6"/>
        <v>2.3574793758296186E-2</v>
      </c>
      <c r="J59" s="41">
        <f t="shared" si="2"/>
        <v>2.7540108467271249</v>
      </c>
      <c r="K59" s="50"/>
      <c r="L59" s="35">
        <f t="shared" si="7"/>
        <v>1.7803719129465545E-2</v>
      </c>
      <c r="M59" s="41">
        <f t="shared" si="3"/>
        <v>2.2522320638393221</v>
      </c>
    </row>
    <row r="60" spans="1:13">
      <c r="A60" s="34">
        <v>2062</v>
      </c>
      <c r="B60" s="12"/>
      <c r="C60" s="35">
        <f t="shared" si="4"/>
        <v>3.8977197224086213E-2</v>
      </c>
      <c r="D60" s="41">
        <f t="shared" si="0"/>
        <v>5.981500277297112</v>
      </c>
      <c r="E60" s="12"/>
      <c r="F60" s="35">
        <f t="shared" si="5"/>
        <v>1.1859272949170219E-2</v>
      </c>
      <c r="G60" s="41">
        <f t="shared" si="1"/>
        <v>1.7749698473815347</v>
      </c>
      <c r="H60" s="12"/>
      <c r="I60" s="35">
        <f t="shared" si="6"/>
        <v>2.3574793758296186E-2</v>
      </c>
      <c r="J60" s="41">
        <f t="shared" si="2"/>
        <v>2.8189360844468276</v>
      </c>
      <c r="K60" s="12"/>
      <c r="L60" s="35">
        <f t="shared" si="7"/>
        <v>1.7803719129465545E-2</v>
      </c>
      <c r="M60" s="41">
        <f t="shared" si="3"/>
        <v>2.2923301709182939</v>
      </c>
    </row>
    <row r="61" spans="1:13">
      <c r="A61" s="34">
        <v>2063</v>
      </c>
      <c r="C61" s="35">
        <f t="shared" si="4"/>
        <v>3.8977197224086213E-2</v>
      </c>
      <c r="D61" s="41">
        <f t="shared" si="0"/>
        <v>6.214642393301248</v>
      </c>
      <c r="F61" s="35">
        <f t="shared" si="5"/>
        <v>1.1859272949170219E-2</v>
      </c>
      <c r="G61" s="41">
        <f t="shared" si="1"/>
        <v>1.7960196992781794</v>
      </c>
      <c r="I61" s="35">
        <f t="shared" si="6"/>
        <v>2.3574793758296186E-2</v>
      </c>
      <c r="J61" s="41">
        <f t="shared" si="2"/>
        <v>2.8853919212554806</v>
      </c>
      <c r="L61" s="35">
        <f t="shared" si="7"/>
        <v>1.7803719129465545E-2</v>
      </c>
      <c r="M61" s="41">
        <f t="shared" si="3"/>
        <v>2.3331421734333229</v>
      </c>
    </row>
    <row r="62" spans="1:13">
      <c r="A62" s="34">
        <v>2064</v>
      </c>
      <c r="C62" s="35">
        <f t="shared" si="4"/>
        <v>3.8977197224086213E-2</v>
      </c>
      <c r="D62" s="41">
        <f t="shared" si="0"/>
        <v>6.4568717355421184</v>
      </c>
      <c r="F62" s="35">
        <f t="shared" si="5"/>
        <v>1.1859272949170219E-2</v>
      </c>
      <c r="G62" s="41">
        <f t="shared" si="1"/>
        <v>1.817319187114006</v>
      </c>
      <c r="I62" s="35">
        <f t="shared" si="6"/>
        <v>2.3574793758296186E-2</v>
      </c>
      <c r="J62" s="41">
        <f t="shared" si="2"/>
        <v>2.9534144407109326</v>
      </c>
      <c r="L62" s="35">
        <f t="shared" si="7"/>
        <v>1.7803719129465545E-2</v>
      </c>
      <c r="M62" s="41">
        <f t="shared" si="3"/>
        <v>2.3746807813782405</v>
      </c>
    </row>
    <row r="63" spans="1:13">
      <c r="A63" s="34">
        <v>2065</v>
      </c>
      <c r="C63" s="35">
        <f t="shared" si="4"/>
        <v>3.8977197224086213E-2</v>
      </c>
      <c r="D63" s="41">
        <f t="shared" si="0"/>
        <v>6.7085424986289715</v>
      </c>
      <c r="F63" s="35">
        <f t="shared" si="5"/>
        <v>1.1859272949170219E-2</v>
      </c>
      <c r="G63" s="41">
        <f t="shared" si="1"/>
        <v>1.838871271389755</v>
      </c>
      <c r="I63" s="35">
        <f t="shared" si="6"/>
        <v>2.3574793758296186E-2</v>
      </c>
      <c r="J63" s="41">
        <f t="shared" si="2"/>
        <v>3.0230405770334667</v>
      </c>
      <c r="L63" s="35">
        <f t="shared" si="7"/>
        <v>1.7803719129465545E-2</v>
      </c>
      <c r="M63" s="41">
        <f t="shared" si="3"/>
        <v>2.4169589310320383</v>
      </c>
    </row>
    <row r="64" spans="1:13">
      <c r="A64" s="34">
        <v>2066</v>
      </c>
      <c r="C64" s="35">
        <f t="shared" si="4"/>
        <v>3.8977197224086213E-2</v>
      </c>
      <c r="D64" s="41">
        <f t="shared" si="0"/>
        <v>6.9700226826841973</v>
      </c>
      <c r="F64" s="35">
        <f t="shared" si="5"/>
        <v>1.1859272949170219E-2</v>
      </c>
      <c r="G64" s="41">
        <f t="shared" si="1"/>
        <v>1.8606789477155539</v>
      </c>
      <c r="I64" s="35">
        <f t="shared" si="6"/>
        <v>2.3574793758296186E-2</v>
      </c>
      <c r="J64" s="41">
        <f t="shared" si="2"/>
        <v>3.0943081351599915</v>
      </c>
      <c r="L64" s="35">
        <f t="shared" si="7"/>
        <v>1.7803719129465545E-2</v>
      </c>
      <c r="M64" s="41">
        <f t="shared" si="3"/>
        <v>2.4599897889875861</v>
      </c>
    </row>
    <row r="65" spans="1:13">
      <c r="A65" s="34">
        <v>2067</v>
      </c>
      <c r="C65" s="35">
        <f t="shared" si="4"/>
        <v>3.8977197224086213E-2</v>
      </c>
      <c r="D65" s="41">
        <f t="shared" si="0"/>
        <v>7.2416946314435338</v>
      </c>
      <c r="F65" s="35">
        <f t="shared" si="5"/>
        <v>1.1859272949170219E-2</v>
      </c>
      <c r="G65" s="41">
        <f t="shared" si="1"/>
        <v>1.8827452472272874</v>
      </c>
      <c r="I65" s="35">
        <f t="shared" si="6"/>
        <v>2.3574793758296186E-2</v>
      </c>
      <c r="J65" s="41">
        <f t="shared" si="2"/>
        <v>3.1672558112710063</v>
      </c>
      <c r="L65" s="35">
        <f t="shared" si="7"/>
        <v>1.7803719129465545E-2</v>
      </c>
      <c r="M65" s="41">
        <f t="shared" si="3"/>
        <v>2.5037867562520741</v>
      </c>
    </row>
    <row r="66" spans="1:13">
      <c r="A66" s="34">
        <v>2068</v>
      </c>
      <c r="C66" s="35">
        <f t="shared" si="4"/>
        <v>3.8977197224086213E-2</v>
      </c>
      <c r="D66" s="41">
        <f t="shared" si="0"/>
        <v>7.5239555913299148</v>
      </c>
      <c r="F66" s="35">
        <f t="shared" si="5"/>
        <v>1.1859272949170219E-2</v>
      </c>
      <c r="G66" s="41">
        <f t="shared" si="1"/>
        <v>1.9050732370079089</v>
      </c>
      <c r="I66" s="35">
        <f t="shared" si="6"/>
        <v>2.3574793758296186E-2</v>
      </c>
      <c r="J66" s="41">
        <f t="shared" si="2"/>
        <v>3.2419232138014853</v>
      </c>
      <c r="L66" s="35">
        <f t="shared" si="7"/>
        <v>1.7803719129465545E-2</v>
      </c>
      <c r="M66" s="41">
        <f t="shared" si="3"/>
        <v>2.5483634724204616</v>
      </c>
    </row>
    <row r="67" spans="1:13">
      <c r="A67" s="34">
        <v>2069</v>
      </c>
      <c r="C67" s="35">
        <f t="shared" si="4"/>
        <v>3.8977197224086213E-2</v>
      </c>
      <c r="D67" s="41">
        <f t="shared" si="0"/>
        <v>7.8172182923184472</v>
      </c>
      <c r="F67" s="35">
        <f t="shared" si="5"/>
        <v>1.1859272949170219E-2</v>
      </c>
      <c r="G67" s="41">
        <f t="shared" si="1"/>
        <v>1.9276660205137448</v>
      </c>
      <c r="I67" s="35">
        <f t="shared" si="6"/>
        <v>2.3574793758296186E-2</v>
      </c>
      <c r="J67" s="41">
        <f t="shared" si="2"/>
        <v>3.3183508849470882</v>
      </c>
      <c r="L67" s="35">
        <f t="shared" si="7"/>
        <v>1.7803719129465545E-2</v>
      </c>
      <c r="M67" s="41">
        <f t="shared" si="3"/>
        <v>2.5937338199232252</v>
      </c>
    </row>
    <row r="68" spans="1:13">
      <c r="A68" s="34">
        <v>2070</v>
      </c>
      <c r="C68" s="35">
        <f t="shared" si="4"/>
        <v>3.8977197224086213E-2</v>
      </c>
      <c r="D68" s="41">
        <f t="shared" si="0"/>
        <v>8.1219115514418778</v>
      </c>
      <c r="F68" s="35">
        <f t="shared" si="5"/>
        <v>1.1859272949170219E-2</v>
      </c>
      <c r="G68" s="41">
        <f t="shared" si="1"/>
        <v>1.950526738005858</v>
      </c>
      <c r="I68" s="35">
        <f t="shared" si="6"/>
        <v>2.3574793758296186E-2</v>
      </c>
      <c r="J68" s="41">
        <f t="shared" si="2"/>
        <v>3.3965803226773756</v>
      </c>
      <c r="L68" s="35">
        <f t="shared" si="7"/>
        <v>1.7803719129465545E-2</v>
      </c>
      <c r="M68" s="41">
        <f t="shared" si="3"/>
        <v>2.6399119283497341</v>
      </c>
    </row>
    <row r="69" spans="1:13">
      <c r="A69" s="34">
        <v>2071</v>
      </c>
      <c r="C69" s="35">
        <f t="shared" si="4"/>
        <v>3.8977197224086213E-2</v>
      </c>
      <c r="D69" s="41">
        <f t="shared" si="0"/>
        <v>8.4384808998190124</v>
      </c>
      <c r="F69" s="35">
        <f t="shared" si="5"/>
        <v>1.1859272949170219E-2</v>
      </c>
      <c r="G69" s="41">
        <f t="shared" si="1"/>
        <v>1.9736585669865241</v>
      </c>
      <c r="I69" s="35">
        <f t="shared" si="6"/>
        <v>2.3574793758296186E-2</v>
      </c>
      <c r="J69" s="41">
        <f t="shared" si="2"/>
        <v>3.4766540032679818</v>
      </c>
      <c r="L69" s="35">
        <f t="shared" si="7"/>
        <v>1.7803719129465545E-2</v>
      </c>
      <c r="M69" s="41">
        <f t="shared" si="3"/>
        <v>2.6869121788485986</v>
      </c>
    </row>
    <row r="70" spans="1:13">
      <c r="A70" s="34">
        <v>2072</v>
      </c>
      <c r="C70" s="35">
        <f t="shared" si="4"/>
        <v>3.8977197224086213E-2</v>
      </c>
      <c r="D70" s="41">
        <f t="shared" si="0"/>
        <v>8.7673892341229429</v>
      </c>
      <c r="F70" s="35">
        <f t="shared" si="5"/>
        <v>1.1859272949170219E-2</v>
      </c>
      <c r="G70" s="41">
        <f t="shared" si="1"/>
        <v>1.9970647226408855</v>
      </c>
      <c r="I70" s="35">
        <f t="shared" si="6"/>
        <v>2.3574793758296186E-2</v>
      </c>
      <c r="J70" s="41">
        <f t="shared" si="2"/>
        <v>3.5586154043639793</v>
      </c>
      <c r="L70" s="35">
        <f t="shared" si="7"/>
        <v>1.7803719129465545E-2</v>
      </c>
      <c r="M70" s="41">
        <f t="shared" si="3"/>
        <v>2.7347492086063592</v>
      </c>
    </row>
    <row r="71" spans="1:13" ht="409.6">
      <c r="A71" s="34">
        <v>2073</v>
      </c>
      <c r="C71" s="35">
        <f t="shared" si="4"/>
        <v>3.8977197224086213E-2</v>
      </c>
      <c r="D71" s="41">
        <f t="shared" si="0"/>
        <v>9.1091174934416834</v>
      </c>
      <c r="F71" s="35">
        <f t="shared" si="5"/>
        <v>1.1859272949170219E-2</v>
      </c>
      <c r="G71" s="41">
        <f t="shared" si="1"/>
        <v>2.0207484582838426</v>
      </c>
      <c r="I71" s="35">
        <f t="shared" si="6"/>
        <v>2.3574793758296186E-2</v>
      </c>
      <c r="J71" s="41">
        <f t="shared" si="2"/>
        <v>3.6425090285869559</v>
      </c>
      <c r="L71" s="35">
        <f t="shared" si="7"/>
        <v>1.7803719129465545E-2</v>
      </c>
      <c r="M71" s="41">
        <f t="shared" si="3"/>
        <v>2.7834379154059148</v>
      </c>
    </row>
    <row r="72" spans="1:13" ht="409.6">
      <c r="A72" s="34">
        <v>2074</v>
      </c>
      <c r="C72" s="35">
        <f t="shared" si="4"/>
        <v>3.8977197224086213E-2</v>
      </c>
      <c r="D72" s="41">
        <f t="shared" si="0"/>
        <v>9.4641653625209337</v>
      </c>
      <c r="F72" s="35">
        <f t="shared" si="5"/>
        <v>1.1859272949170219E-2</v>
      </c>
      <c r="G72" s="41">
        <f t="shared" si="1"/>
        <v>2.0447130658122457</v>
      </c>
      <c r="I72" s="35">
        <f t="shared" si="6"/>
        <v>2.3574793758296186E-2</v>
      </c>
      <c r="J72" s="41">
        <f t="shared" si="2"/>
        <v>3.728380427698625</v>
      </c>
      <c r="L72" s="35">
        <f t="shared" si="7"/>
        <v>1.7803719129465545E-2</v>
      </c>
      <c r="M72" s="41">
        <f t="shared" si="3"/>
        <v>2.8329934622661068</v>
      </c>
    </row>
    <row r="73" spans="1:13">
      <c r="A73" s="39">
        <v>2075</v>
      </c>
      <c r="C73" s="40">
        <f t="shared" si="4"/>
        <v>3.8977197224086213E-2</v>
      </c>
      <c r="D73" s="45">
        <f t="shared" si="0"/>
        <v>9.8330520024172774</v>
      </c>
      <c r="F73" s="40">
        <f t="shared" si="5"/>
        <v>1.1859272949170219E-2</v>
      </c>
      <c r="G73" s="45">
        <f t="shared" si="1"/>
        <v>2.0689618761624478</v>
      </c>
      <c r="I73" s="40">
        <f t="shared" si="6"/>
        <v>2.3574793758296186E-2</v>
      </c>
      <c r="J73" s="45">
        <f t="shared" si="2"/>
        <v>3.8162762273340882</v>
      </c>
      <c r="L73" s="40">
        <f t="shared" si="7"/>
        <v>1.7803719129465545E-2</v>
      </c>
      <c r="M73" s="45">
        <f t="shared" si="3"/>
        <v>2.8834312821639045</v>
      </c>
    </row>
  </sheetData>
  <mergeCells count="4">
    <mergeCell ref="C8:D8"/>
    <mergeCell ref="F8:G8"/>
    <mergeCell ref="I8:J8"/>
    <mergeCell ref="L8:M8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6077AA5-45F2-4C35-8776-2F7DB3188F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5F0634-C6D8-4050-8E02-6180EBB76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7AED52-FDCC-4656-A3B5-3DF3AD9119D2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DISM REPORT</vt:lpstr>
      <vt:lpstr>Accrual - Realloc (Final Alloc)</vt:lpstr>
      <vt:lpstr>GI Factors</vt:lpstr>
      <vt:lpstr>'Accrual - Realloc (Final Alloc)'!Print_Area</vt:lpstr>
      <vt:lpstr>'DISM REPORT'!Print_Area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spm0ol8</dc:creator>
  <cp:lastModifiedBy>FPL_User</cp:lastModifiedBy>
  <cp:lastPrinted>2016-02-11T20:33:18Z</cp:lastPrinted>
  <dcterms:created xsi:type="dcterms:W3CDTF">2015-09-08T19:22:33Z</dcterms:created>
  <dcterms:modified xsi:type="dcterms:W3CDTF">2016-04-13T15:33:54Z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