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hidePivotFieldList="1" defaultThemeVersion="124226"/>
  <bookViews>
    <workbookView xWindow="-12" yWindow="6072" windowWidth="19236" windowHeight="6120" tabRatio="994"/>
  </bookViews>
  <sheets>
    <sheet name="Data" sheetId="17" r:id="rId1"/>
    <sheet name="Manatee Heavy Oil" sheetId="28" r:id="rId2"/>
    <sheet name="Martin Heavy Oil" sheetId="29" r:id="rId3"/>
    <sheet name="Turkey Point Heavy Oil" sheetId="30" r:id="rId4"/>
    <sheet name="Heavy Oil Summary" sheetId="33" r:id="rId5"/>
    <sheet name="Putnam Light Oil" sheetId="34" r:id="rId6"/>
    <sheet name="Turkey Point Light Oil" sheetId="35" r:id="rId7"/>
    <sheet name="West County Light Oil" sheetId="36" r:id="rId8"/>
    <sheet name="Martin Light Oil" sheetId="37" r:id="rId9"/>
    <sheet name="Fort Myers Light Oil" sheetId="38" r:id="rId10"/>
    <sheet name="Port GT's Jet Fuel" sheetId="39" r:id="rId11"/>
    <sheet name="Lauderdale Jet Fuel" sheetId="40" r:id="rId12"/>
    <sheet name="Cape Canaveral Light Oil" sheetId="41" r:id="rId13"/>
    <sheet name="Riviera Light Oil" sheetId="42" r:id="rId14"/>
    <sheet name="PEEC Light Oil" sheetId="43" r:id="rId15"/>
    <sheet name="Cedar Bay Light Oil" sheetId="70" r:id="rId16"/>
    <sheet name="Light Oil Summary" sheetId="44" r:id="rId17"/>
    <sheet name="Scherer Coal" sheetId="47" r:id="rId18"/>
    <sheet name="SJRPP Coal" sheetId="48" r:id="rId19"/>
    <sheet name="Cedar Bay Coal" sheetId="71" r:id="rId20"/>
    <sheet name="Natural Gas " sheetId="75" r:id="rId21"/>
  </sheets>
  <calcPr calcId="145621"/>
</workbook>
</file>

<file path=xl/calcChain.xml><?xml version="1.0" encoding="utf-8"?>
<calcChain xmlns="http://schemas.openxmlformats.org/spreadsheetml/2006/main">
  <c r="C30" i="75" l="1"/>
  <c r="L30" i="75" s="1"/>
  <c r="C31" i="75" s="1"/>
  <c r="L31" i="75" s="1"/>
  <c r="C32" i="75" s="1"/>
  <c r="L32" i="75" s="1"/>
  <c r="C33" i="75" s="1"/>
  <c r="L33" i="75" s="1"/>
  <c r="C34" i="75" s="1"/>
  <c r="L34" i="75" s="1"/>
  <c r="C35" i="75" s="1"/>
  <c r="L35" i="75" s="1"/>
  <c r="C36" i="75" s="1"/>
  <c r="L36" i="75" s="1"/>
  <c r="C37" i="75" s="1"/>
  <c r="L37" i="75" s="1"/>
  <c r="C38" i="75" s="1"/>
  <c r="L38" i="75" s="1"/>
  <c r="C39" i="75" s="1"/>
  <c r="L39" i="75" s="1"/>
  <c r="C40" i="75" s="1"/>
  <c r="L40" i="75" s="1"/>
  <c r="C41" i="75" s="1"/>
  <c r="L41" i="75" s="1"/>
  <c r="C42" i="75" s="1"/>
  <c r="L42" i="75" s="1"/>
  <c r="C43" i="75" s="1"/>
  <c r="L43" i="75" s="1"/>
  <c r="C44" i="75" s="1"/>
  <c r="L44" i="75" s="1"/>
  <c r="C45" i="75" s="1"/>
  <c r="L45" i="75" s="1"/>
  <c r="C46" i="75" s="1"/>
  <c r="L46" i="75" s="1"/>
  <c r="C47" i="75" s="1"/>
  <c r="L47" i="75" s="1"/>
  <c r="C48" i="75" s="1"/>
  <c r="L48" i="75" s="1"/>
  <c r="C49" i="75" s="1"/>
  <c r="L49" i="75" s="1"/>
  <c r="C50" i="75" s="1"/>
  <c r="L50" i="75" s="1"/>
  <c r="C51" i="75" s="1"/>
  <c r="L51" i="75" s="1"/>
  <c r="C52" i="75" s="1"/>
  <c r="L52" i="75" s="1"/>
  <c r="C53" i="75" s="1"/>
  <c r="L53" i="75" s="1"/>
  <c r="C54" i="75" s="1"/>
  <c r="L54" i="75" s="1"/>
  <c r="C55" i="75" s="1"/>
  <c r="L55" i="75" s="1"/>
  <c r="C56" i="75" s="1"/>
  <c r="L56" i="75" s="1"/>
  <c r="C57" i="75" s="1"/>
  <c r="L57" i="75" s="1"/>
  <c r="C58" i="75" s="1"/>
  <c r="L58" i="75" s="1"/>
  <c r="C59" i="75" s="1"/>
  <c r="L59" i="75" s="1"/>
  <c r="C60" i="75" s="1"/>
  <c r="L60" i="75" s="1"/>
  <c r="C61" i="75" s="1"/>
  <c r="L61" i="75" s="1"/>
  <c r="C62" i="75" s="1"/>
  <c r="L62" i="75" s="1"/>
  <c r="C63" i="75" s="1"/>
  <c r="L63" i="75" s="1"/>
  <c r="C64" i="75" s="1"/>
  <c r="L64" i="75" s="1"/>
  <c r="C65" i="75" s="1"/>
  <c r="L65" i="75" s="1"/>
  <c r="C66" i="75" s="1"/>
  <c r="L66" i="75" s="1"/>
  <c r="C67" i="75" s="1"/>
  <c r="L67" i="75" s="1"/>
  <c r="C68" i="75" s="1"/>
  <c r="L68" i="75" s="1"/>
  <c r="C69" i="75" s="1"/>
  <c r="L69" i="75" s="1"/>
  <c r="C70" i="75" s="1"/>
  <c r="L70" i="75" s="1"/>
  <c r="C71" i="75" s="1"/>
  <c r="L71" i="75" s="1"/>
  <c r="C72" i="75" s="1"/>
  <c r="L72" i="75" s="1"/>
  <c r="C73" i="75" s="1"/>
  <c r="L73" i="75" s="1"/>
  <c r="C74" i="75" s="1"/>
  <c r="L74" i="75" s="1"/>
  <c r="C75" i="75" s="1"/>
  <c r="L75" i="75" s="1"/>
  <c r="C76" i="75" s="1"/>
  <c r="L76" i="75" s="1"/>
  <c r="C77" i="75" s="1"/>
  <c r="L77" i="75" s="1"/>
  <c r="C78" i="75" s="1"/>
  <c r="L78" i="75" s="1"/>
  <c r="C79" i="75" s="1"/>
  <c r="L79" i="75" s="1"/>
  <c r="C80" i="75" s="1"/>
  <c r="L80" i="75" s="1"/>
  <c r="C81" i="75" s="1"/>
  <c r="L81" i="75" s="1"/>
  <c r="C82" i="75" s="1"/>
  <c r="L82" i="75" s="1"/>
  <c r="C83" i="75" s="1"/>
  <c r="L83" i="75" s="1"/>
  <c r="C84" i="75" s="1"/>
  <c r="L84" i="75" s="1"/>
  <c r="C85" i="75" s="1"/>
  <c r="L85" i="75" s="1"/>
  <c r="C86" i="75" s="1"/>
  <c r="L86" i="75" s="1"/>
  <c r="C87" i="75" s="1"/>
  <c r="L87" i="75" s="1"/>
  <c r="C88" i="75" s="1"/>
  <c r="L88" i="75" s="1"/>
  <c r="C89" i="75" s="1"/>
  <c r="L89" i="75" s="1"/>
  <c r="B30" i="75"/>
  <c r="K30" i="75" s="1"/>
  <c r="B31" i="75" s="1"/>
  <c r="K31" i="75" s="1"/>
  <c r="B32" i="75" s="1"/>
  <c r="N18" i="75"/>
  <c r="K32" i="75" l="1"/>
  <c r="B33" i="75" s="1"/>
  <c r="D6" i="33"/>
  <c r="K33" i="75" l="1"/>
  <c r="B34" i="75" s="1"/>
  <c r="K42" i="30"/>
  <c r="J42" i="30"/>
  <c r="M42" i="30" s="1"/>
  <c r="O42" i="30" s="1"/>
  <c r="J89" i="75"/>
  <c r="J88" i="75"/>
  <c r="J87" i="75"/>
  <c r="J86" i="75"/>
  <c r="J85" i="75"/>
  <c r="J84" i="75"/>
  <c r="J83" i="75"/>
  <c r="J82" i="75"/>
  <c r="J81" i="75"/>
  <c r="J80" i="75"/>
  <c r="J79" i="75"/>
  <c r="J78" i="75"/>
  <c r="J77" i="75"/>
  <c r="J76" i="75"/>
  <c r="J75" i="75"/>
  <c r="J74" i="75"/>
  <c r="J73" i="75"/>
  <c r="J72" i="75"/>
  <c r="J71" i="75"/>
  <c r="J70" i="75"/>
  <c r="J69" i="75"/>
  <c r="J68" i="75"/>
  <c r="J67" i="75"/>
  <c r="J66" i="75"/>
  <c r="J65" i="75"/>
  <c r="J64" i="75"/>
  <c r="J63" i="75"/>
  <c r="J62" i="75"/>
  <c r="J61" i="75"/>
  <c r="J60" i="75"/>
  <c r="J59" i="75"/>
  <c r="J58" i="75"/>
  <c r="J57" i="75"/>
  <c r="J56" i="75"/>
  <c r="J55" i="75"/>
  <c r="J54" i="75"/>
  <c r="J53" i="75"/>
  <c r="J52" i="75"/>
  <c r="J51" i="75"/>
  <c r="J50" i="75"/>
  <c r="J49" i="75"/>
  <c r="J48" i="75"/>
  <c r="J47" i="75"/>
  <c r="J46" i="75"/>
  <c r="J45" i="75"/>
  <c r="J44" i="75"/>
  <c r="J43" i="75"/>
  <c r="J42" i="75"/>
  <c r="J41" i="75"/>
  <c r="J40" i="75"/>
  <c r="J39" i="75"/>
  <c r="J38" i="75"/>
  <c r="J37" i="75"/>
  <c r="J36" i="75"/>
  <c r="J35" i="75"/>
  <c r="J34" i="75"/>
  <c r="J33" i="75"/>
  <c r="J32" i="75"/>
  <c r="J31" i="75"/>
  <c r="J30" i="75"/>
  <c r="K34" i="75" l="1"/>
  <c r="B35" i="75" s="1"/>
  <c r="K35" i="75" l="1"/>
  <c r="B36" i="75" s="1"/>
  <c r="K36" i="75" l="1"/>
  <c r="B37" i="75" s="1"/>
  <c r="K37" i="75" l="1"/>
  <c r="B38" i="75" s="1"/>
  <c r="K38" i="75" l="1"/>
  <c r="B39" i="75" s="1"/>
  <c r="K39" i="75" l="1"/>
  <c r="B40" i="75" s="1"/>
  <c r="K40" i="75" l="1"/>
  <c r="B41" i="75" s="1"/>
  <c r="K41" i="75" l="1"/>
  <c r="B42" i="75" s="1"/>
  <c r="K42" i="75" l="1"/>
  <c r="B43" i="75" s="1"/>
  <c r="K43" i="75" l="1"/>
  <c r="B44" i="75" s="1"/>
  <c r="K44" i="75" l="1"/>
  <c r="B45" i="75" s="1"/>
  <c r="K45" i="75" l="1"/>
  <c r="B46" i="75" s="1"/>
  <c r="K46" i="75" l="1"/>
  <c r="B47" i="75" s="1"/>
  <c r="K47" i="75" l="1"/>
  <c r="B48" i="75" s="1"/>
  <c r="K48" i="75" l="1"/>
  <c r="B49" i="75" s="1"/>
  <c r="K49" i="75" l="1"/>
  <c r="B50" i="75" s="1"/>
  <c r="K50" i="75" l="1"/>
  <c r="B51" i="75" s="1"/>
  <c r="K51" i="75" l="1"/>
  <c r="B52" i="75" s="1"/>
  <c r="K52" i="75" l="1"/>
  <c r="B53" i="75" s="1"/>
  <c r="K53" i="75" l="1"/>
  <c r="B54" i="75" s="1"/>
  <c r="K54" i="75" l="1"/>
  <c r="B55" i="75" s="1"/>
  <c r="K55" i="75" l="1"/>
  <c r="B56" i="75" s="1"/>
  <c r="O18" i="75"/>
  <c r="K56" i="75" l="1"/>
  <c r="B57" i="75" s="1"/>
  <c r="K57" i="75" l="1"/>
  <c r="B58" i="75" s="1"/>
  <c r="O19" i="75"/>
  <c r="K58" i="75" l="1"/>
  <c r="B59" i="75" s="1"/>
  <c r="P18" i="75"/>
  <c r="K59" i="75" l="1"/>
  <c r="B60" i="75" s="1"/>
  <c r="O20" i="75"/>
  <c r="N21" i="75"/>
  <c r="K60" i="75" l="1"/>
  <c r="B61" i="75" s="1"/>
  <c r="N19" i="75"/>
  <c r="P19" i="75" s="1"/>
  <c r="N20" i="75"/>
  <c r="P20" i="75"/>
  <c r="K61" i="75" l="1"/>
  <c r="B62" i="75" s="1"/>
  <c r="O21" i="75"/>
  <c r="P21" i="75" s="1"/>
  <c r="N22" i="75"/>
  <c r="K62" i="75" l="1"/>
  <c r="B63" i="75" s="1"/>
  <c r="K63" i="75" l="1"/>
  <c r="B64" i="75" s="1"/>
  <c r="N23" i="75"/>
  <c r="O22" i="75"/>
  <c r="P22" i="75" s="1"/>
  <c r="K64" i="75" l="1"/>
  <c r="B65" i="75" s="1"/>
  <c r="K65" i="75" l="1"/>
  <c r="B66" i="75" s="1"/>
  <c r="N24" i="75"/>
  <c r="O23" i="75"/>
  <c r="P23" i="75" s="1"/>
  <c r="K66" i="75" l="1"/>
  <c r="B67" i="75" s="1"/>
  <c r="K67" i="75" l="1"/>
  <c r="B68" i="75" s="1"/>
  <c r="N25" i="75"/>
  <c r="O24" i="75"/>
  <c r="P24" i="75" s="1"/>
  <c r="K68" i="75" l="1"/>
  <c r="B69" i="75" s="1"/>
  <c r="K69" i="75" l="1"/>
  <c r="B70" i="75" s="1"/>
  <c r="O25" i="75"/>
  <c r="P25" i="75" s="1"/>
  <c r="N26" i="75"/>
  <c r="K70" i="75" l="1"/>
  <c r="B71" i="75" s="1"/>
  <c r="K71" i="75" l="1"/>
  <c r="B72" i="75" s="1"/>
  <c r="O26" i="75"/>
  <c r="P26" i="75" s="1"/>
  <c r="N27" i="75"/>
  <c r="K72" i="75" l="1"/>
  <c r="B73" i="75" s="1"/>
  <c r="K73" i="75" l="1"/>
  <c r="B74" i="75" s="1"/>
  <c r="O27" i="75"/>
  <c r="P27" i="75" s="1"/>
  <c r="N28" i="75"/>
  <c r="K74" i="75" l="1"/>
  <c r="B75" i="75" s="1"/>
  <c r="K75" i="75" l="1"/>
  <c r="B76" i="75" s="1"/>
  <c r="N29" i="75"/>
  <c r="O28" i="75"/>
  <c r="P28" i="75" s="1"/>
  <c r="K76" i="75" l="1"/>
  <c r="B77" i="75" s="1"/>
  <c r="K77" i="75" l="1"/>
  <c r="B78" i="75" s="1"/>
  <c r="D30" i="75"/>
  <c r="G30" i="75"/>
  <c r="N30" i="75"/>
  <c r="O29" i="75"/>
  <c r="P29" i="75" s="1"/>
  <c r="K78" i="75" l="1"/>
  <c r="B79" i="75" s="1"/>
  <c r="K79" i="75" l="1"/>
  <c r="B80" i="75" s="1"/>
  <c r="G31" i="75"/>
  <c r="N31" i="75"/>
  <c r="K80" i="75" l="1"/>
  <c r="B81" i="75" s="1"/>
  <c r="D31" i="75"/>
  <c r="O30" i="75"/>
  <c r="P30" i="75" s="1"/>
  <c r="M30" i="75"/>
  <c r="K81" i="75" l="1"/>
  <c r="B82" i="75" s="1"/>
  <c r="G32" i="75"/>
  <c r="N32" i="75"/>
  <c r="K82" i="75" l="1"/>
  <c r="B83" i="75" s="1"/>
  <c r="O31" i="75"/>
  <c r="P31" i="75" s="1"/>
  <c r="M31" i="75"/>
  <c r="D32" i="75"/>
  <c r="K83" i="75" l="1"/>
  <c r="B84" i="75" s="1"/>
  <c r="G33" i="75"/>
  <c r="K84" i="75" l="1"/>
  <c r="B85" i="75" s="1"/>
  <c r="N33" i="75"/>
  <c r="D33" i="75"/>
  <c r="O32" i="75"/>
  <c r="P32" i="75" s="1"/>
  <c r="M32" i="75"/>
  <c r="K85" i="75" l="1"/>
  <c r="B86" i="75" s="1"/>
  <c r="K86" i="75" l="1"/>
  <c r="B87" i="75" s="1"/>
  <c r="G34" i="75"/>
  <c r="K87" i="75" l="1"/>
  <c r="B88" i="75" s="1"/>
  <c r="O33" i="75"/>
  <c r="P33" i="75" s="1"/>
  <c r="M33" i="75"/>
  <c r="D34" i="75"/>
  <c r="N34" i="75"/>
  <c r="K88" i="75" l="1"/>
  <c r="B89" i="75" s="1"/>
  <c r="K89" i="75" s="1"/>
  <c r="G35" i="75"/>
  <c r="D35" i="75" l="1"/>
  <c r="N35" i="75"/>
  <c r="O34" i="75"/>
  <c r="P34" i="75" s="1"/>
  <c r="M34" i="75"/>
  <c r="G36" i="75" l="1"/>
  <c r="N36" i="75" l="1"/>
  <c r="D36" i="75" l="1"/>
  <c r="G37" i="75"/>
  <c r="O35" i="75"/>
  <c r="P35" i="75" s="1"/>
  <c r="M35" i="75"/>
  <c r="N37" i="75" l="1"/>
  <c r="O36" i="75" l="1"/>
  <c r="P36" i="75" s="1"/>
  <c r="M36" i="75"/>
  <c r="D37" i="75"/>
  <c r="G38" i="75"/>
  <c r="N38" i="75" l="1"/>
  <c r="G39" i="75" l="1"/>
  <c r="O37" i="75" l="1"/>
  <c r="P37" i="75" s="1"/>
  <c r="M37" i="75"/>
  <c r="N39" i="75"/>
  <c r="D38" i="75"/>
  <c r="G40" i="75" l="1"/>
  <c r="D39" i="75" l="1"/>
  <c r="O38" i="75"/>
  <c r="P38" i="75" s="1"/>
  <c r="M38" i="75"/>
  <c r="N40" i="75"/>
  <c r="G41" i="75" l="1"/>
  <c r="N41" i="75" l="1"/>
  <c r="G42" i="75" l="1"/>
  <c r="O39" i="75"/>
  <c r="P39" i="75" s="1"/>
  <c r="M39" i="75"/>
  <c r="D40" i="75"/>
  <c r="N42" i="75" l="1"/>
  <c r="G43" i="75" l="1"/>
  <c r="D41" i="75"/>
  <c r="O40" i="75"/>
  <c r="P40" i="75" s="1"/>
  <c r="M40" i="75"/>
  <c r="N43" i="75" l="1"/>
  <c r="G44" i="75" l="1"/>
  <c r="D42" i="75" l="1"/>
  <c r="O41" i="75"/>
  <c r="P41" i="75" s="1"/>
  <c r="M41" i="75"/>
  <c r="N44" i="75" l="1"/>
  <c r="G45" i="75" l="1"/>
  <c r="N45" i="75" l="1"/>
  <c r="D43" i="75"/>
  <c r="O42" i="75"/>
  <c r="P42" i="75" s="1"/>
  <c r="M42" i="75"/>
  <c r="G46" i="75" l="1"/>
  <c r="D44" i="75" l="1"/>
  <c r="O43" i="75"/>
  <c r="P43" i="75" s="1"/>
  <c r="M43" i="75"/>
  <c r="N46" i="75"/>
  <c r="G47" i="75" l="1"/>
  <c r="D45" i="75" l="1"/>
  <c r="O44" i="75"/>
  <c r="P44" i="75" s="1"/>
  <c r="M44" i="75"/>
  <c r="N47" i="75"/>
  <c r="G48" i="75" l="1"/>
  <c r="O45" i="75" l="1"/>
  <c r="P45" i="75" s="1"/>
  <c r="M45" i="75"/>
  <c r="N48" i="75"/>
  <c r="D46" i="75"/>
  <c r="G49" i="75" l="1"/>
  <c r="D47" i="75" l="1"/>
  <c r="O46" i="75"/>
  <c r="P46" i="75" s="1"/>
  <c r="M46" i="75"/>
  <c r="N49" i="75" l="1"/>
  <c r="G50" i="75" l="1"/>
  <c r="D48" i="75" l="1"/>
  <c r="O47" i="75"/>
  <c r="P47" i="75" s="1"/>
  <c r="M47" i="75"/>
  <c r="N50" i="75" l="1"/>
  <c r="G51" i="75" l="1"/>
  <c r="O48" i="75" l="1"/>
  <c r="P48" i="75" s="1"/>
  <c r="M48" i="75"/>
  <c r="N51" i="75"/>
  <c r="D49" i="75"/>
  <c r="G52" i="75" l="1"/>
  <c r="D50" i="75" l="1"/>
  <c r="N52" i="75"/>
  <c r="O49" i="75"/>
  <c r="P49" i="75" s="1"/>
  <c r="M49" i="75"/>
  <c r="G53" i="75" l="1"/>
  <c r="N53" i="75" l="1"/>
  <c r="G54" i="75" l="1"/>
  <c r="O50" i="75"/>
  <c r="P50" i="75" s="1"/>
  <c r="M50" i="75"/>
  <c r="D51" i="75"/>
  <c r="N54" i="75" l="1"/>
  <c r="G55" i="75" l="1"/>
  <c r="D52" i="75"/>
  <c r="O51" i="75"/>
  <c r="P51" i="75" s="1"/>
  <c r="M51" i="75"/>
  <c r="N55" i="75" l="1"/>
  <c r="G56" i="75" l="1"/>
  <c r="D53" i="75"/>
  <c r="O52" i="75"/>
  <c r="P52" i="75" s="1"/>
  <c r="M52" i="75"/>
  <c r="N56" i="75" l="1"/>
  <c r="G57" i="75" l="1"/>
  <c r="D54" i="75" l="1"/>
  <c r="N57" i="75"/>
  <c r="O53" i="75"/>
  <c r="P53" i="75" s="1"/>
  <c r="M53" i="75"/>
  <c r="G58" i="75" l="1"/>
  <c r="N58" i="75" l="1"/>
  <c r="G59" i="75" l="1"/>
  <c r="O54" i="75"/>
  <c r="P54" i="75" s="1"/>
  <c r="M54" i="75"/>
  <c r="D55" i="75"/>
  <c r="N59" i="75" l="1"/>
  <c r="G60" i="75" l="1"/>
  <c r="O55" i="75" l="1"/>
  <c r="P55" i="75" s="1"/>
  <c r="M55" i="75"/>
  <c r="D56" i="75"/>
  <c r="N60" i="75"/>
  <c r="G61" i="75" l="1"/>
  <c r="N61" i="75" l="1"/>
  <c r="O56" i="75" l="1"/>
  <c r="P56" i="75" s="1"/>
  <c r="M56" i="75"/>
  <c r="D57" i="75"/>
  <c r="G62" i="75"/>
  <c r="N62" i="75" l="1"/>
  <c r="G63" i="75" l="1"/>
  <c r="D58" i="75"/>
  <c r="O57" i="75"/>
  <c r="P57" i="75" s="1"/>
  <c r="M57" i="75"/>
  <c r="N63" i="75" l="1"/>
  <c r="D59" i="75" l="1"/>
  <c r="O58" i="75"/>
  <c r="P58" i="75" s="1"/>
  <c r="M58" i="75"/>
  <c r="G64" i="75"/>
  <c r="N64" i="75" l="1"/>
  <c r="G65" i="75" l="1"/>
  <c r="O59" i="75" l="1"/>
  <c r="P59" i="75" s="1"/>
  <c r="M59" i="75"/>
  <c r="D60" i="75"/>
  <c r="N65" i="75" l="1"/>
  <c r="G66" i="75" l="1"/>
  <c r="O60" i="75" l="1"/>
  <c r="P60" i="75" s="1"/>
  <c r="M60" i="75"/>
  <c r="D61" i="75"/>
  <c r="N66" i="75" l="1"/>
  <c r="G67" i="75" l="1"/>
  <c r="O61" i="75" l="1"/>
  <c r="P61" i="75" s="1"/>
  <c r="M61" i="75"/>
  <c r="D62" i="75"/>
  <c r="N67" i="75" l="1"/>
  <c r="O62" i="75" l="1"/>
  <c r="P62" i="75" s="1"/>
  <c r="M62" i="75"/>
  <c r="G68" i="75"/>
  <c r="D63" i="75"/>
  <c r="N68" i="75" l="1"/>
  <c r="G69" i="75" l="1"/>
  <c r="D64" i="75"/>
  <c r="O63" i="75"/>
  <c r="P63" i="75" s="1"/>
  <c r="M63" i="75"/>
  <c r="N69" i="75" l="1"/>
  <c r="D65" i="75" l="1"/>
  <c r="O64" i="75"/>
  <c r="P64" i="75" s="1"/>
  <c r="M64" i="75"/>
  <c r="G70" i="75"/>
  <c r="N70" i="75" l="1"/>
  <c r="G71" i="75" l="1"/>
  <c r="O65" i="75" l="1"/>
  <c r="P65" i="75" s="1"/>
  <c r="M65" i="75"/>
  <c r="N71" i="75"/>
  <c r="D66" i="75"/>
  <c r="G72" i="75" l="1"/>
  <c r="D67" i="75" l="1"/>
  <c r="O66" i="75"/>
  <c r="P66" i="75" s="1"/>
  <c r="M66" i="75"/>
  <c r="N72" i="75"/>
  <c r="G73" i="75" l="1"/>
  <c r="D68" i="75" l="1"/>
  <c r="O67" i="75"/>
  <c r="P67" i="75" s="1"/>
  <c r="M67" i="75"/>
  <c r="N73" i="75"/>
  <c r="G74" i="75" l="1"/>
  <c r="N74" i="75" l="1"/>
  <c r="O68" i="75" l="1"/>
  <c r="P68" i="75" s="1"/>
  <c r="M68" i="75"/>
  <c r="G75" i="75"/>
  <c r="D69" i="75"/>
  <c r="N75" i="75" l="1"/>
  <c r="G76" i="75" l="1"/>
  <c r="O69" i="75" l="1"/>
  <c r="P69" i="75" s="1"/>
  <c r="M69" i="75"/>
  <c r="D70" i="75"/>
  <c r="N76" i="75" l="1"/>
  <c r="G77" i="75" l="1"/>
  <c r="N77" i="75" l="1"/>
  <c r="D71" i="75"/>
  <c r="O70" i="75"/>
  <c r="P70" i="75" s="1"/>
  <c r="M70" i="75"/>
  <c r="G78" i="75" l="1"/>
  <c r="N78" i="75" l="1"/>
  <c r="O71" i="75"/>
  <c r="P71" i="75" s="1"/>
  <c r="M71" i="75"/>
  <c r="D72" i="75"/>
  <c r="G79" i="75" l="1"/>
  <c r="N79" i="75" l="1"/>
  <c r="O72" i="75"/>
  <c r="P72" i="75" s="1"/>
  <c r="M72" i="75"/>
  <c r="D73" i="75"/>
  <c r="G80" i="75" l="1"/>
  <c r="D74" i="75" l="1"/>
  <c r="N80" i="75"/>
  <c r="O73" i="75"/>
  <c r="P73" i="75" s="1"/>
  <c r="M73" i="75"/>
  <c r="G81" i="75" l="1"/>
  <c r="N81" i="75" l="1"/>
  <c r="O74" i="75"/>
  <c r="P74" i="75" s="1"/>
  <c r="M74" i="75"/>
  <c r="D75" i="75"/>
  <c r="G82" i="75" l="1"/>
  <c r="O75" i="75" l="1"/>
  <c r="P75" i="75" s="1"/>
  <c r="M75" i="75"/>
  <c r="D76" i="75"/>
  <c r="N82" i="75" l="1"/>
  <c r="G83" i="75" l="1"/>
  <c r="D77" i="75" l="1"/>
  <c r="N83" i="75"/>
  <c r="O76" i="75"/>
  <c r="P76" i="75" s="1"/>
  <c r="M76" i="75"/>
  <c r="G84" i="75" l="1"/>
  <c r="O77" i="75" l="1"/>
  <c r="P77" i="75" s="1"/>
  <c r="M77" i="75"/>
  <c r="D78" i="75"/>
  <c r="N84" i="75"/>
  <c r="G85" i="75" l="1"/>
  <c r="O78" i="75" l="1"/>
  <c r="P78" i="75" s="1"/>
  <c r="M78" i="75"/>
  <c r="D79" i="75"/>
  <c r="N85" i="75"/>
  <c r="G86" i="75" l="1"/>
  <c r="N86" i="75" l="1"/>
  <c r="O79" i="75"/>
  <c r="P79" i="75" s="1"/>
  <c r="M79" i="75"/>
  <c r="D80" i="75"/>
  <c r="G87" i="75" l="1"/>
  <c r="D81" i="75" l="1"/>
  <c r="N87" i="75"/>
  <c r="O80" i="75"/>
  <c r="P80" i="75" s="1"/>
  <c r="M80" i="75"/>
  <c r="G88" i="75" l="1"/>
  <c r="N88" i="75" l="1"/>
  <c r="G89" i="75" l="1"/>
  <c r="O81" i="75"/>
  <c r="P81" i="75" s="1"/>
  <c r="M81" i="75"/>
  <c r="D82" i="75"/>
  <c r="N89" i="75" l="1"/>
  <c r="D83" i="75" l="1"/>
  <c r="O82" i="75"/>
  <c r="P82" i="75" s="1"/>
  <c r="M82" i="75"/>
  <c r="O83" i="75" l="1"/>
  <c r="P83" i="75" s="1"/>
  <c r="M83" i="75"/>
  <c r="D84" i="75"/>
  <c r="O84" i="75" l="1"/>
  <c r="P84" i="75" s="1"/>
  <c r="M84" i="75"/>
  <c r="D85" i="75"/>
  <c r="O85" i="75" l="1"/>
  <c r="P85" i="75" s="1"/>
  <c r="M85" i="75"/>
  <c r="D86" i="75"/>
  <c r="D87" i="75" l="1"/>
  <c r="O86" i="75"/>
  <c r="P86" i="75" s="1"/>
  <c r="M86" i="75"/>
  <c r="D88" i="75" l="1"/>
  <c r="O87" i="75"/>
  <c r="P87" i="75" s="1"/>
  <c r="M87" i="75"/>
  <c r="O88" i="75" l="1"/>
  <c r="P88" i="75" s="1"/>
  <c r="M88" i="75"/>
  <c r="D89" i="75"/>
  <c r="O89" i="75" l="1"/>
  <c r="P89" i="75" s="1"/>
  <c r="M89" i="75"/>
  <c r="N42" i="34" l="1"/>
  <c r="P42" i="34" s="1"/>
  <c r="O42" i="34"/>
  <c r="Q42" i="34"/>
  <c r="S42" i="34" s="1"/>
  <c r="R42" i="34"/>
  <c r="O43" i="34"/>
  <c r="L42" i="34"/>
  <c r="M42" i="34"/>
  <c r="L43" i="34"/>
  <c r="M43" i="34"/>
  <c r="L44" i="34"/>
  <c r="M44" i="34"/>
  <c r="M46" i="34"/>
  <c r="M47" i="34"/>
  <c r="M48" i="34"/>
  <c r="M50" i="34"/>
  <c r="M51" i="34"/>
  <c r="M52" i="34"/>
  <c r="M54" i="34"/>
  <c r="M55" i="34"/>
  <c r="M56" i="34"/>
  <c r="M58" i="34"/>
  <c r="M59" i="34"/>
  <c r="M60" i="34"/>
  <c r="M62" i="34"/>
  <c r="M63" i="34"/>
  <c r="M64" i="34"/>
  <c r="M66" i="34"/>
  <c r="M67" i="34"/>
  <c r="M68" i="34"/>
  <c r="M70" i="34"/>
  <c r="M71" i="34"/>
  <c r="M72" i="34"/>
  <c r="M74" i="34"/>
  <c r="M75" i="34"/>
  <c r="M76" i="34"/>
  <c r="M78" i="34"/>
  <c r="M79" i="34"/>
  <c r="M80" i="34"/>
  <c r="M82" i="34"/>
  <c r="M83" i="34"/>
  <c r="M84" i="34"/>
  <c r="M86" i="34"/>
  <c r="M87" i="34"/>
  <c r="M88" i="34"/>
  <c r="E42" i="34"/>
  <c r="F42" i="34"/>
  <c r="G42" i="34"/>
  <c r="E43" i="34"/>
  <c r="N43" i="34" s="1"/>
  <c r="F43" i="34"/>
  <c r="G43" i="34"/>
  <c r="E44" i="34"/>
  <c r="N44" i="34" s="1"/>
  <c r="R43" i="34" l="1"/>
  <c r="F44" i="34"/>
  <c r="O44" i="34" s="1"/>
  <c r="E45" i="34"/>
  <c r="P44" i="34"/>
  <c r="G45" i="34" s="1"/>
  <c r="Q44" i="34"/>
  <c r="S44" i="34" s="1"/>
  <c r="P43" i="34"/>
  <c r="G44" i="34" s="1"/>
  <c r="Q43" i="34"/>
  <c r="S43" i="34" s="1"/>
  <c r="F45" i="34" l="1"/>
  <c r="R44" i="34"/>
  <c r="L45" i="34"/>
  <c r="M45" i="34" s="1"/>
  <c r="N45" i="34"/>
  <c r="P45" i="34" l="1"/>
  <c r="G46" i="34" s="1"/>
  <c r="E46" i="34"/>
  <c r="Q45" i="34"/>
  <c r="S45" i="34" s="1"/>
  <c r="O45" i="34"/>
  <c r="N46" i="34" l="1"/>
  <c r="L46" i="34"/>
  <c r="F46" i="34"/>
  <c r="O46" i="34" s="1"/>
  <c r="R45" i="34"/>
  <c r="R46" i="34" l="1"/>
  <c r="F47" i="34"/>
  <c r="P46" i="34"/>
  <c r="G47" i="34" s="1"/>
  <c r="E47" i="34"/>
  <c r="Q46" i="34"/>
  <c r="S46" i="34" s="1"/>
  <c r="N47" i="34" l="1"/>
  <c r="L47" i="34"/>
  <c r="O47" i="34" s="1"/>
  <c r="F48" i="34" l="1"/>
  <c r="R47" i="34"/>
  <c r="P47" i="34"/>
  <c r="G48" i="34" s="1"/>
  <c r="E48" i="34"/>
  <c r="Q47" i="34"/>
  <c r="S47" i="34" s="1"/>
  <c r="N48" i="34" l="1"/>
  <c r="L48" i="34"/>
  <c r="O48" i="34" s="1"/>
  <c r="F49" i="34" l="1"/>
  <c r="R48" i="34"/>
  <c r="P48" i="34"/>
  <c r="G49" i="34" s="1"/>
  <c r="E49" i="34"/>
  <c r="Q48" i="34"/>
  <c r="S48" i="34" s="1"/>
  <c r="L49" i="34" l="1"/>
  <c r="M49" i="34" s="1"/>
  <c r="N49" i="34"/>
  <c r="O49" i="34"/>
  <c r="F50" i="34" l="1"/>
  <c r="R49" i="34"/>
  <c r="P49" i="34"/>
  <c r="G50" i="34" s="1"/>
  <c r="E50" i="34"/>
  <c r="Q49" i="34"/>
  <c r="S49" i="34" s="1"/>
  <c r="N50" i="34" l="1"/>
  <c r="L50" i="34"/>
  <c r="O50" i="34"/>
  <c r="F51" i="34" l="1"/>
  <c r="R50" i="34"/>
  <c r="E51" i="34"/>
  <c r="P50" i="34"/>
  <c r="G51" i="34" s="1"/>
  <c r="Q50" i="34"/>
  <c r="S50" i="34" s="1"/>
  <c r="N51" i="34" l="1"/>
  <c r="L51" i="34"/>
  <c r="O51" i="34" s="1"/>
  <c r="F52" i="34" l="1"/>
  <c r="R51" i="34"/>
  <c r="P51" i="34"/>
  <c r="G52" i="34" s="1"/>
  <c r="E52" i="34"/>
  <c r="Q51" i="34"/>
  <c r="S51" i="34" s="1"/>
  <c r="N52" i="34" l="1"/>
  <c r="L52" i="34"/>
  <c r="O52" i="34" s="1"/>
  <c r="F53" i="34" l="1"/>
  <c r="R52" i="34"/>
  <c r="E53" i="34"/>
  <c r="P52" i="34"/>
  <c r="G53" i="34" s="1"/>
  <c r="Q52" i="34"/>
  <c r="S52" i="34" s="1"/>
  <c r="N53" i="34" l="1"/>
  <c r="L53" i="34"/>
  <c r="M53" i="34" s="1"/>
  <c r="O53" i="34"/>
  <c r="F54" i="34" l="1"/>
  <c r="R53" i="34"/>
  <c r="P53" i="34"/>
  <c r="G54" i="34" s="1"/>
  <c r="E54" i="34"/>
  <c r="Q53" i="34"/>
  <c r="S53" i="34" s="1"/>
  <c r="L54" i="34" l="1"/>
  <c r="N54" i="34"/>
  <c r="O54" i="34"/>
  <c r="F55" i="34" l="1"/>
  <c r="R54" i="34"/>
  <c r="P54" i="34"/>
  <c r="G55" i="34" s="1"/>
  <c r="E55" i="34"/>
  <c r="Q54" i="34"/>
  <c r="S54" i="34" s="1"/>
  <c r="N55" i="34" l="1"/>
  <c r="L55" i="34"/>
  <c r="O55" i="34"/>
  <c r="F56" i="34" l="1"/>
  <c r="R55" i="34"/>
  <c r="P55" i="34"/>
  <c r="G56" i="34" s="1"/>
  <c r="E56" i="34"/>
  <c r="Q55" i="34"/>
  <c r="S55" i="34" s="1"/>
  <c r="N56" i="34" l="1"/>
  <c r="L56" i="34"/>
  <c r="O56" i="34"/>
  <c r="F57" i="34" l="1"/>
  <c r="R56" i="34"/>
  <c r="P56" i="34"/>
  <c r="G57" i="34" s="1"/>
  <c r="E57" i="34"/>
  <c r="Q56" i="34"/>
  <c r="S56" i="34" s="1"/>
  <c r="N57" i="34" l="1"/>
  <c r="L57" i="34"/>
  <c r="M57" i="34" s="1"/>
  <c r="O57" i="34"/>
  <c r="F58" i="34" l="1"/>
  <c r="R57" i="34"/>
  <c r="P57" i="34"/>
  <c r="G58" i="34" s="1"/>
  <c r="E58" i="34"/>
  <c r="Q57" i="34"/>
  <c r="S57" i="34" s="1"/>
  <c r="N58" i="34" l="1"/>
  <c r="L58" i="34"/>
  <c r="O58" i="34" s="1"/>
  <c r="F59" i="34" l="1"/>
  <c r="R58" i="34"/>
  <c r="P58" i="34"/>
  <c r="G59" i="34" s="1"/>
  <c r="E59" i="34"/>
  <c r="Q58" i="34"/>
  <c r="S58" i="34" s="1"/>
  <c r="N59" i="34" l="1"/>
  <c r="L59" i="34"/>
  <c r="O59" i="34" s="1"/>
  <c r="F60" i="34" l="1"/>
  <c r="R59" i="34"/>
  <c r="E60" i="34"/>
  <c r="P59" i="34"/>
  <c r="G60" i="34" s="1"/>
  <c r="Q59" i="34"/>
  <c r="S59" i="34" s="1"/>
  <c r="L60" i="34" l="1"/>
  <c r="N60" i="34"/>
  <c r="O60" i="34"/>
  <c r="F61" i="34" l="1"/>
  <c r="R60" i="34"/>
  <c r="E61" i="34"/>
  <c r="P60" i="34"/>
  <c r="G61" i="34" s="1"/>
  <c r="Q60" i="34"/>
  <c r="S60" i="34" s="1"/>
  <c r="L61" i="34" l="1"/>
  <c r="M61" i="34" s="1"/>
  <c r="N61" i="34"/>
  <c r="P61" i="34" l="1"/>
  <c r="G62" i="34" s="1"/>
  <c r="E62" i="34"/>
  <c r="Q61" i="34"/>
  <c r="S61" i="34" s="1"/>
  <c r="O61" i="34"/>
  <c r="N62" i="34" l="1"/>
  <c r="L62" i="34"/>
  <c r="F62" i="34"/>
  <c r="O62" i="34" s="1"/>
  <c r="R61" i="34"/>
  <c r="F63" i="34" l="1"/>
  <c r="R62" i="34"/>
  <c r="E63" i="34"/>
  <c r="P62" i="34"/>
  <c r="G63" i="34" s="1"/>
  <c r="Q62" i="34"/>
  <c r="S62" i="34" s="1"/>
  <c r="L63" i="34" l="1"/>
  <c r="N63" i="34"/>
  <c r="O63" i="34"/>
  <c r="P63" i="34" l="1"/>
  <c r="G64" i="34" s="1"/>
  <c r="E64" i="34"/>
  <c r="Q63" i="34"/>
  <c r="S63" i="34" s="1"/>
  <c r="F64" i="34"/>
  <c r="R63" i="34"/>
  <c r="N64" i="34" l="1"/>
  <c r="L64" i="34"/>
  <c r="O64" i="34" s="1"/>
  <c r="F65" i="34" l="1"/>
  <c r="R64" i="34"/>
  <c r="P64" i="34"/>
  <c r="G65" i="34" s="1"/>
  <c r="E65" i="34"/>
  <c r="Q64" i="34"/>
  <c r="S64" i="34" s="1"/>
  <c r="N65" i="34" l="1"/>
  <c r="L65" i="34"/>
  <c r="M65" i="34" s="1"/>
  <c r="E66" i="34" l="1"/>
  <c r="P65" i="34"/>
  <c r="G66" i="34" s="1"/>
  <c r="Q65" i="34"/>
  <c r="S65" i="34" s="1"/>
  <c r="O65" i="34"/>
  <c r="L66" i="34" l="1"/>
  <c r="N66" i="34"/>
  <c r="F66" i="34"/>
  <c r="O66" i="34" s="1"/>
  <c r="R65" i="34"/>
  <c r="F67" i="34" l="1"/>
  <c r="R66" i="34"/>
  <c r="E67" i="34"/>
  <c r="P66" i="34"/>
  <c r="G67" i="34" s="1"/>
  <c r="Q66" i="34"/>
  <c r="S66" i="34" s="1"/>
  <c r="N67" i="34" l="1"/>
  <c r="L67" i="34"/>
  <c r="O67" i="34" s="1"/>
  <c r="F68" i="34" l="1"/>
  <c r="R67" i="34"/>
  <c r="P67" i="34"/>
  <c r="G68" i="34" s="1"/>
  <c r="E68" i="34"/>
  <c r="Q67" i="34"/>
  <c r="S67" i="34" s="1"/>
  <c r="N68" i="34" l="1"/>
  <c r="L68" i="34"/>
  <c r="O68" i="34" s="1"/>
  <c r="F69" i="34" l="1"/>
  <c r="R68" i="34"/>
  <c r="E69" i="34"/>
  <c r="P68" i="34"/>
  <c r="G69" i="34" s="1"/>
  <c r="Q68" i="34"/>
  <c r="S68" i="34" s="1"/>
  <c r="L69" i="34" l="1"/>
  <c r="M69" i="34" s="1"/>
  <c r="N69" i="34"/>
  <c r="O69" i="34"/>
  <c r="E70" i="34" l="1"/>
  <c r="P69" i="34"/>
  <c r="G70" i="34" s="1"/>
  <c r="Q69" i="34"/>
  <c r="S69" i="34" s="1"/>
  <c r="F70" i="34"/>
  <c r="R69" i="34"/>
  <c r="L70" i="34" l="1"/>
  <c r="N70" i="34"/>
  <c r="O70" i="34"/>
  <c r="P70" i="34" l="1"/>
  <c r="G71" i="34" s="1"/>
  <c r="E71" i="34"/>
  <c r="Q70" i="34"/>
  <c r="S70" i="34" s="1"/>
  <c r="F71" i="34"/>
  <c r="R70" i="34"/>
  <c r="J43" i="30"/>
  <c r="L43" i="30" s="1"/>
  <c r="J44" i="30"/>
  <c r="L44" i="30" s="1"/>
  <c r="J45" i="30"/>
  <c r="L45" i="30" s="1"/>
  <c r="J46" i="30"/>
  <c r="L46" i="30" s="1"/>
  <c r="J47" i="30"/>
  <c r="L47" i="30" s="1"/>
  <c r="J48" i="30"/>
  <c r="L48" i="30" s="1"/>
  <c r="J49" i="30"/>
  <c r="L49" i="30" s="1"/>
  <c r="J50" i="30"/>
  <c r="L50" i="30" s="1"/>
  <c r="J51" i="30"/>
  <c r="L51" i="30" s="1"/>
  <c r="J52" i="30"/>
  <c r="L52" i="30" s="1"/>
  <c r="J53" i="30"/>
  <c r="L53" i="30" s="1"/>
  <c r="J54" i="30"/>
  <c r="L54" i="30" s="1"/>
  <c r="J55" i="30"/>
  <c r="L55" i="30" s="1"/>
  <c r="J56" i="30"/>
  <c r="L56" i="30" s="1"/>
  <c r="J57" i="30"/>
  <c r="L57" i="30" s="1"/>
  <c r="J58" i="30"/>
  <c r="L58" i="30" s="1"/>
  <c r="J59" i="30"/>
  <c r="L59" i="30" s="1"/>
  <c r="J60" i="30"/>
  <c r="L60" i="30" s="1"/>
  <c r="J61" i="30"/>
  <c r="L61" i="30" s="1"/>
  <c r="J62" i="30"/>
  <c r="L62" i="30" s="1"/>
  <c r="J63" i="30"/>
  <c r="L63" i="30" s="1"/>
  <c r="J64" i="30"/>
  <c r="L64" i="30" s="1"/>
  <c r="J65" i="30"/>
  <c r="L65" i="30" s="1"/>
  <c r="J66" i="30"/>
  <c r="L66" i="30" s="1"/>
  <c r="J67" i="30"/>
  <c r="L67" i="30" s="1"/>
  <c r="J68" i="30"/>
  <c r="L68" i="30" s="1"/>
  <c r="J69" i="30"/>
  <c r="L69" i="30" s="1"/>
  <c r="J70" i="30"/>
  <c r="L70" i="30" s="1"/>
  <c r="J71" i="30"/>
  <c r="L71" i="30" s="1"/>
  <c r="J72" i="30"/>
  <c r="L72" i="30" s="1"/>
  <c r="J73" i="30"/>
  <c r="L73" i="30" s="1"/>
  <c r="J74" i="30"/>
  <c r="L74" i="30" s="1"/>
  <c r="J75" i="30"/>
  <c r="L75" i="30" s="1"/>
  <c r="J76" i="30"/>
  <c r="L76" i="30" s="1"/>
  <c r="J77" i="30"/>
  <c r="L77" i="30" s="1"/>
  <c r="J78" i="30"/>
  <c r="L78" i="30" s="1"/>
  <c r="J79" i="30"/>
  <c r="L79" i="30" s="1"/>
  <c r="J80" i="30"/>
  <c r="L80" i="30" s="1"/>
  <c r="J81" i="30"/>
  <c r="L81" i="30" s="1"/>
  <c r="J82" i="30"/>
  <c r="L82" i="30" s="1"/>
  <c r="J83" i="30"/>
  <c r="L83" i="30" s="1"/>
  <c r="J84" i="30"/>
  <c r="L84" i="30" s="1"/>
  <c r="J85" i="30"/>
  <c r="L85" i="30" s="1"/>
  <c r="J86" i="30"/>
  <c r="L86" i="30" s="1"/>
  <c r="J87" i="30"/>
  <c r="L87" i="30" s="1"/>
  <c r="J88" i="30"/>
  <c r="L88" i="30" s="1"/>
  <c r="J89" i="30"/>
  <c r="L89" i="30" s="1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H70" i="30" s="1"/>
  <c r="I71" i="30"/>
  <c r="H71" i="30" s="1"/>
  <c r="I72" i="30"/>
  <c r="H72" i="30" s="1"/>
  <c r="I73" i="30"/>
  <c r="H73" i="30" s="1"/>
  <c r="I74" i="30"/>
  <c r="H74" i="30" s="1"/>
  <c r="I75" i="30"/>
  <c r="H75" i="30" s="1"/>
  <c r="I76" i="30"/>
  <c r="H76" i="30" s="1"/>
  <c r="I77" i="30"/>
  <c r="H77" i="30" s="1"/>
  <c r="I78" i="30"/>
  <c r="H78" i="30" s="1"/>
  <c r="I79" i="30"/>
  <c r="H79" i="30" s="1"/>
  <c r="I80" i="30"/>
  <c r="H80" i="30" s="1"/>
  <c r="I81" i="30"/>
  <c r="H81" i="30" s="1"/>
  <c r="I82" i="30"/>
  <c r="H82" i="30" s="1"/>
  <c r="I83" i="30"/>
  <c r="H83" i="30" s="1"/>
  <c r="I84" i="30"/>
  <c r="H84" i="30" s="1"/>
  <c r="I85" i="30"/>
  <c r="H85" i="30" s="1"/>
  <c r="I86" i="30"/>
  <c r="H86" i="30" s="1"/>
  <c r="I87" i="30"/>
  <c r="H87" i="30" s="1"/>
  <c r="I88" i="30"/>
  <c r="H88" i="30" s="1"/>
  <c r="I89" i="30"/>
  <c r="H89" i="30" s="1"/>
  <c r="H42" i="30"/>
  <c r="N42" i="30" s="1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N71" i="34" l="1"/>
  <c r="L71" i="34"/>
  <c r="O71" i="34" s="1"/>
  <c r="E43" i="30"/>
  <c r="F43" i="30"/>
  <c r="D43" i="30"/>
  <c r="S42" i="30"/>
  <c r="F72" i="34" l="1"/>
  <c r="R71" i="34"/>
  <c r="E72" i="34"/>
  <c r="P71" i="34"/>
  <c r="G72" i="34" s="1"/>
  <c r="Q71" i="34"/>
  <c r="S71" i="34" s="1"/>
  <c r="M43" i="30"/>
  <c r="K43" i="30"/>
  <c r="N43" i="30" s="1"/>
  <c r="U42" i="30"/>
  <c r="L72" i="34" l="1"/>
  <c r="N72" i="34"/>
  <c r="O72" i="34"/>
  <c r="O43" i="30"/>
  <c r="F44" i="30" s="1"/>
  <c r="E44" i="30"/>
  <c r="D44" i="30"/>
  <c r="M44" i="30" s="1"/>
  <c r="S43" i="30"/>
  <c r="F73" i="34" l="1"/>
  <c r="R72" i="34"/>
  <c r="P72" i="34"/>
  <c r="G73" i="34" s="1"/>
  <c r="E73" i="34"/>
  <c r="Q72" i="34"/>
  <c r="S72" i="34" s="1"/>
  <c r="U43" i="30"/>
  <c r="D45" i="30"/>
  <c r="M45" i="30" s="1"/>
  <c r="S44" i="30"/>
  <c r="K44" i="30"/>
  <c r="N44" i="30" s="1"/>
  <c r="O44" i="30" s="1"/>
  <c r="F45" i="30" s="1"/>
  <c r="N73" i="34" l="1"/>
  <c r="L73" i="34"/>
  <c r="M73" i="34" s="1"/>
  <c r="E45" i="30"/>
  <c r="U44" i="30"/>
  <c r="S45" i="30"/>
  <c r="D46" i="30"/>
  <c r="M46" i="30" s="1"/>
  <c r="K45" i="30"/>
  <c r="E74" i="34" l="1"/>
  <c r="P73" i="34"/>
  <c r="G74" i="34" s="1"/>
  <c r="Q73" i="34"/>
  <c r="S73" i="34" s="1"/>
  <c r="O73" i="34"/>
  <c r="N45" i="30"/>
  <c r="E46" i="30" s="1"/>
  <c r="S46" i="30"/>
  <c r="D47" i="30"/>
  <c r="M47" i="30" s="1"/>
  <c r="S47" i="30" s="1"/>
  <c r="U45" i="30"/>
  <c r="O45" i="30"/>
  <c r="F46" i="30" s="1"/>
  <c r="N74" i="34" l="1"/>
  <c r="L74" i="34"/>
  <c r="F74" i="34"/>
  <c r="O74" i="34" s="1"/>
  <c r="R73" i="34"/>
  <c r="D48" i="30"/>
  <c r="M48" i="30" s="1"/>
  <c r="U46" i="30"/>
  <c r="U47" i="30"/>
  <c r="K46" i="30"/>
  <c r="N46" i="30" s="1"/>
  <c r="F75" i="34" l="1"/>
  <c r="R74" i="34"/>
  <c r="E75" i="34"/>
  <c r="P74" i="34"/>
  <c r="G75" i="34" s="1"/>
  <c r="Q74" i="34"/>
  <c r="S74" i="34" s="1"/>
  <c r="E47" i="30"/>
  <c r="O46" i="30"/>
  <c r="F47" i="30" s="1"/>
  <c r="S48" i="30"/>
  <c r="D49" i="30"/>
  <c r="N75" i="34" l="1"/>
  <c r="L75" i="34"/>
  <c r="O75" i="34" s="1"/>
  <c r="M49" i="30"/>
  <c r="U48" i="30"/>
  <c r="K47" i="30"/>
  <c r="N47" i="30" s="1"/>
  <c r="F76" i="34" l="1"/>
  <c r="R75" i="34"/>
  <c r="P75" i="34"/>
  <c r="G76" i="34" s="1"/>
  <c r="E76" i="34"/>
  <c r="Q75" i="34"/>
  <c r="S75" i="34" s="1"/>
  <c r="E48" i="30"/>
  <c r="O47" i="30"/>
  <c r="F48" i="30" s="1"/>
  <c r="S49" i="30"/>
  <c r="D50" i="30"/>
  <c r="N76" i="34" l="1"/>
  <c r="L76" i="34"/>
  <c r="O76" i="34" s="1"/>
  <c r="K48" i="30"/>
  <c r="N48" i="30" s="1"/>
  <c r="M50" i="30"/>
  <c r="U49" i="30"/>
  <c r="F77" i="34" l="1"/>
  <c r="R76" i="34"/>
  <c r="E77" i="34"/>
  <c r="P76" i="34"/>
  <c r="G77" i="34" s="1"/>
  <c r="Q76" i="34"/>
  <c r="S76" i="34" s="1"/>
  <c r="E49" i="30"/>
  <c r="O48" i="30"/>
  <c r="F49" i="30" s="1"/>
  <c r="S50" i="30"/>
  <c r="D51" i="30"/>
  <c r="L77" i="34" l="1"/>
  <c r="M77" i="34" s="1"/>
  <c r="N77" i="34"/>
  <c r="O77" i="34"/>
  <c r="M51" i="30"/>
  <c r="U50" i="30"/>
  <c r="K49" i="30"/>
  <c r="N49" i="30" s="1"/>
  <c r="E78" i="34" l="1"/>
  <c r="P77" i="34"/>
  <c r="G78" i="34" s="1"/>
  <c r="Q77" i="34"/>
  <c r="S77" i="34" s="1"/>
  <c r="F78" i="34"/>
  <c r="R77" i="34"/>
  <c r="E50" i="30"/>
  <c r="O49" i="30"/>
  <c r="F50" i="30" s="1"/>
  <c r="S51" i="30"/>
  <c r="D52" i="30"/>
  <c r="L78" i="34" l="1"/>
  <c r="N78" i="34"/>
  <c r="O78" i="34"/>
  <c r="U51" i="30"/>
  <c r="M52" i="30"/>
  <c r="K50" i="30"/>
  <c r="N50" i="30" s="1"/>
  <c r="F79" i="34" l="1"/>
  <c r="R78" i="34"/>
  <c r="P78" i="34"/>
  <c r="G79" i="34" s="1"/>
  <c r="E79" i="34"/>
  <c r="Q78" i="34"/>
  <c r="S78" i="34" s="1"/>
  <c r="E51" i="30"/>
  <c r="O50" i="30"/>
  <c r="F51" i="30" s="1"/>
  <c r="S52" i="30"/>
  <c r="D53" i="30"/>
  <c r="L79" i="34" l="1"/>
  <c r="N79" i="34"/>
  <c r="O79" i="34"/>
  <c r="K51" i="30"/>
  <c r="N51" i="30" s="1"/>
  <c r="U52" i="30"/>
  <c r="M53" i="30"/>
  <c r="F80" i="34" l="1"/>
  <c r="R79" i="34"/>
  <c r="P79" i="34"/>
  <c r="G80" i="34" s="1"/>
  <c r="E80" i="34"/>
  <c r="Q79" i="34"/>
  <c r="S79" i="34" s="1"/>
  <c r="S53" i="30"/>
  <c r="D54" i="30"/>
  <c r="E52" i="30"/>
  <c r="O51" i="30"/>
  <c r="F52" i="30" s="1"/>
  <c r="L80" i="34" l="1"/>
  <c r="N80" i="34"/>
  <c r="O80" i="34"/>
  <c r="M54" i="30"/>
  <c r="K52" i="30"/>
  <c r="N52" i="30" s="1"/>
  <c r="U53" i="30"/>
  <c r="F81" i="34" l="1"/>
  <c r="R80" i="34"/>
  <c r="P80" i="34"/>
  <c r="G81" i="34" s="1"/>
  <c r="E81" i="34"/>
  <c r="Q80" i="34"/>
  <c r="S80" i="34" s="1"/>
  <c r="E53" i="30"/>
  <c r="O52" i="30"/>
  <c r="F53" i="30" s="1"/>
  <c r="S54" i="30"/>
  <c r="D55" i="30"/>
  <c r="P54" i="30"/>
  <c r="L81" i="34" l="1"/>
  <c r="M81" i="34" s="1"/>
  <c r="N81" i="34"/>
  <c r="O81" i="34"/>
  <c r="U54" i="30"/>
  <c r="M55" i="30"/>
  <c r="K53" i="30"/>
  <c r="N53" i="30" s="1"/>
  <c r="E82" i="34" l="1"/>
  <c r="P81" i="34"/>
  <c r="G82" i="34" s="1"/>
  <c r="Q81" i="34"/>
  <c r="S81" i="34" s="1"/>
  <c r="F82" i="34"/>
  <c r="R81" i="34"/>
  <c r="E54" i="30"/>
  <c r="O53" i="30"/>
  <c r="F54" i="30" s="1"/>
  <c r="S55" i="30"/>
  <c r="D56" i="30"/>
  <c r="P55" i="30"/>
  <c r="N82" i="34" l="1"/>
  <c r="L82" i="34"/>
  <c r="O82" i="34" s="1"/>
  <c r="U55" i="30"/>
  <c r="M56" i="30"/>
  <c r="K54" i="30"/>
  <c r="N54" i="30" s="1"/>
  <c r="F83" i="34" l="1"/>
  <c r="R82" i="34"/>
  <c r="P82" i="34"/>
  <c r="G83" i="34" s="1"/>
  <c r="E83" i="34"/>
  <c r="Q82" i="34"/>
  <c r="S82" i="34" s="1"/>
  <c r="E55" i="30"/>
  <c r="Q54" i="30"/>
  <c r="R54" i="30" s="1"/>
  <c r="O54" i="30"/>
  <c r="F55" i="30" s="1"/>
  <c r="S56" i="30"/>
  <c r="D57" i="30"/>
  <c r="P56" i="30"/>
  <c r="N83" i="34" l="1"/>
  <c r="L83" i="34"/>
  <c r="O83" i="34" s="1"/>
  <c r="U56" i="30"/>
  <c r="M57" i="30"/>
  <c r="K55" i="30"/>
  <c r="N55" i="30" s="1"/>
  <c r="F84" i="34" l="1"/>
  <c r="R83" i="34"/>
  <c r="P83" i="34"/>
  <c r="G84" i="34" s="1"/>
  <c r="E84" i="34"/>
  <c r="Q83" i="34"/>
  <c r="S83" i="34" s="1"/>
  <c r="E56" i="30"/>
  <c r="Q55" i="30"/>
  <c r="R55" i="30" s="1"/>
  <c r="O55" i="30"/>
  <c r="F56" i="30" s="1"/>
  <c r="S57" i="30"/>
  <c r="D58" i="30"/>
  <c r="P57" i="30"/>
  <c r="L84" i="34" l="1"/>
  <c r="N84" i="34"/>
  <c r="O84" i="34"/>
  <c r="M58" i="30"/>
  <c r="K56" i="30"/>
  <c r="N56" i="30" s="1"/>
  <c r="U57" i="30"/>
  <c r="F85" i="34" l="1"/>
  <c r="R84" i="34"/>
  <c r="E85" i="34"/>
  <c r="P84" i="34"/>
  <c r="G85" i="34" s="1"/>
  <c r="Q84" i="34"/>
  <c r="S84" i="34" s="1"/>
  <c r="E57" i="30"/>
  <c r="Q56" i="30"/>
  <c r="R56" i="30" s="1"/>
  <c r="O56" i="30"/>
  <c r="F57" i="30" s="1"/>
  <c r="D59" i="30"/>
  <c r="S58" i="30"/>
  <c r="P58" i="30"/>
  <c r="N85" i="34" l="1"/>
  <c r="L85" i="34"/>
  <c r="M85" i="34" s="1"/>
  <c r="O85" i="34"/>
  <c r="U58" i="30"/>
  <c r="M59" i="30"/>
  <c r="K57" i="30"/>
  <c r="N57" i="30" s="1"/>
  <c r="F86" i="34" l="1"/>
  <c r="R85" i="34"/>
  <c r="P85" i="34"/>
  <c r="G86" i="34" s="1"/>
  <c r="E86" i="34"/>
  <c r="Q85" i="34"/>
  <c r="S85" i="34" s="1"/>
  <c r="E58" i="30"/>
  <c r="Q57" i="30"/>
  <c r="R57" i="30" s="1"/>
  <c r="O57" i="30"/>
  <c r="F58" i="30" s="1"/>
  <c r="S59" i="30"/>
  <c r="D60" i="30"/>
  <c r="P59" i="30"/>
  <c r="L86" i="34" l="1"/>
  <c r="N86" i="34"/>
  <c r="O86" i="34"/>
  <c r="K58" i="30"/>
  <c r="N58" i="30" s="1"/>
  <c r="M60" i="30"/>
  <c r="U59" i="30"/>
  <c r="F87" i="34" l="1"/>
  <c r="R86" i="34"/>
  <c r="P86" i="34"/>
  <c r="G87" i="34" s="1"/>
  <c r="E87" i="34"/>
  <c r="Q86" i="34"/>
  <c r="S86" i="34" s="1"/>
  <c r="E59" i="30"/>
  <c r="Q58" i="30"/>
  <c r="R58" i="30" s="1"/>
  <c r="O58" i="30"/>
  <c r="F59" i="30" s="1"/>
  <c r="D61" i="30"/>
  <c r="S60" i="30"/>
  <c r="P60" i="30"/>
  <c r="N87" i="34" l="1"/>
  <c r="L87" i="34"/>
  <c r="O87" i="34"/>
  <c r="U60" i="30"/>
  <c r="M61" i="30"/>
  <c r="K59" i="30"/>
  <c r="N59" i="30" s="1"/>
  <c r="F88" i="34" l="1"/>
  <c r="R87" i="34"/>
  <c r="E88" i="34"/>
  <c r="P87" i="34"/>
  <c r="G88" i="34" s="1"/>
  <c r="Q87" i="34"/>
  <c r="S87" i="34" s="1"/>
  <c r="E60" i="30"/>
  <c r="Q59" i="30"/>
  <c r="R59" i="30" s="1"/>
  <c r="O59" i="30"/>
  <c r="F60" i="30" s="1"/>
  <c r="D62" i="30"/>
  <c r="S61" i="30"/>
  <c r="P61" i="30"/>
  <c r="N88" i="34" l="1"/>
  <c r="L88" i="34"/>
  <c r="O88" i="34" s="1"/>
  <c r="U61" i="30"/>
  <c r="M62" i="30"/>
  <c r="K60" i="30"/>
  <c r="N60" i="30" s="1"/>
  <c r="F89" i="34" l="1"/>
  <c r="R88" i="34"/>
  <c r="P88" i="34"/>
  <c r="G89" i="34" s="1"/>
  <c r="E89" i="34"/>
  <c r="Q88" i="34"/>
  <c r="S88" i="34" s="1"/>
  <c r="E61" i="30"/>
  <c r="Q60" i="30"/>
  <c r="R60" i="30" s="1"/>
  <c r="O60" i="30"/>
  <c r="F61" i="30" s="1"/>
  <c r="S62" i="30"/>
  <c r="D63" i="30"/>
  <c r="P62" i="30"/>
  <c r="L89" i="34" l="1"/>
  <c r="M89" i="34" s="1"/>
  <c r="N89" i="34"/>
  <c r="O89" i="34"/>
  <c r="R89" i="34" s="1"/>
  <c r="M63" i="30"/>
  <c r="U62" i="30"/>
  <c r="K61" i="30"/>
  <c r="N61" i="30" s="1"/>
  <c r="P89" i="34" l="1"/>
  <c r="Q89" i="34"/>
  <c r="S89" i="34" s="1"/>
  <c r="E62" i="30"/>
  <c r="Q61" i="30"/>
  <c r="R61" i="30" s="1"/>
  <c r="O61" i="30"/>
  <c r="F62" i="30" s="1"/>
  <c r="S63" i="30"/>
  <c r="D64" i="30"/>
  <c r="P63" i="30"/>
  <c r="K62" i="30" l="1"/>
  <c r="N62" i="30" s="1"/>
  <c r="M64" i="30"/>
  <c r="U63" i="30"/>
  <c r="E63" i="30" l="1"/>
  <c r="Q62" i="30"/>
  <c r="R62" i="30" s="1"/>
  <c r="O62" i="30"/>
  <c r="F63" i="30" s="1"/>
  <c r="D65" i="30"/>
  <c r="S64" i="30"/>
  <c r="P64" i="30"/>
  <c r="M65" i="30" l="1"/>
  <c r="U64" i="30"/>
  <c r="K63" i="30"/>
  <c r="N63" i="30" s="1"/>
  <c r="E64" i="30" l="1"/>
  <c r="Q63" i="30"/>
  <c r="R63" i="30" s="1"/>
  <c r="O63" i="30"/>
  <c r="F64" i="30" s="1"/>
  <c r="S65" i="30"/>
  <c r="D66" i="30"/>
  <c r="P65" i="30"/>
  <c r="M66" i="30" l="1"/>
  <c r="K64" i="30"/>
  <c r="N64" i="30" s="1"/>
  <c r="U65" i="30"/>
  <c r="E65" i="30" l="1"/>
  <c r="Q64" i="30"/>
  <c r="R64" i="30" s="1"/>
  <c r="O64" i="30"/>
  <c r="F65" i="30" s="1"/>
  <c r="S66" i="30"/>
  <c r="D67" i="30"/>
  <c r="P66" i="30"/>
  <c r="M67" i="30" l="1"/>
  <c r="K65" i="30"/>
  <c r="N65" i="30" s="1"/>
  <c r="U66" i="30"/>
  <c r="E66" i="30" l="1"/>
  <c r="Q65" i="30"/>
  <c r="R65" i="30" s="1"/>
  <c r="O65" i="30"/>
  <c r="F66" i="30" s="1"/>
  <c r="D68" i="30"/>
  <c r="S67" i="30"/>
  <c r="P67" i="30"/>
  <c r="U67" i="30" l="1"/>
  <c r="M68" i="30"/>
  <c r="K66" i="30"/>
  <c r="N66" i="30" s="1"/>
  <c r="E67" i="30" l="1"/>
  <c r="Q66" i="30"/>
  <c r="R66" i="30" s="1"/>
  <c r="O66" i="30"/>
  <c r="F67" i="30" s="1"/>
  <c r="S68" i="30"/>
  <c r="D69" i="30"/>
  <c r="P68" i="30"/>
  <c r="M69" i="30" l="1"/>
  <c r="K67" i="30"/>
  <c r="N67" i="30" s="1"/>
  <c r="U68" i="30"/>
  <c r="E68" i="30" l="1"/>
  <c r="Q67" i="30"/>
  <c r="R67" i="30" s="1"/>
  <c r="O67" i="30"/>
  <c r="F68" i="30" s="1"/>
  <c r="S69" i="30"/>
  <c r="D70" i="30"/>
  <c r="P69" i="30"/>
  <c r="M70" i="30" l="1"/>
  <c r="U69" i="30"/>
  <c r="K68" i="30"/>
  <c r="N68" i="30" s="1"/>
  <c r="E69" i="30" l="1"/>
  <c r="Q68" i="30"/>
  <c r="R68" i="30" s="1"/>
  <c r="O68" i="30"/>
  <c r="F69" i="30" s="1"/>
  <c r="D71" i="30"/>
  <c r="S70" i="30"/>
  <c r="P70" i="30"/>
  <c r="U70" i="30" l="1"/>
  <c r="M71" i="30"/>
  <c r="K69" i="30"/>
  <c r="N69" i="30" s="1"/>
  <c r="E70" i="30" l="1"/>
  <c r="Q69" i="30"/>
  <c r="R69" i="30" s="1"/>
  <c r="O69" i="30"/>
  <c r="F70" i="30" s="1"/>
  <c r="S71" i="30"/>
  <c r="D72" i="30"/>
  <c r="P71" i="30"/>
  <c r="K70" i="30" l="1"/>
  <c r="N70" i="30" s="1"/>
  <c r="M72" i="30"/>
  <c r="U71" i="30"/>
  <c r="E71" i="30" l="1"/>
  <c r="Q70" i="30"/>
  <c r="R70" i="30" s="1"/>
  <c r="O70" i="30"/>
  <c r="F71" i="30" s="1"/>
  <c r="S72" i="30"/>
  <c r="D73" i="30"/>
  <c r="P72" i="30"/>
  <c r="I32" i="71"/>
  <c r="I33" i="71"/>
  <c r="I34" i="71"/>
  <c r="I35" i="71"/>
  <c r="I36" i="71"/>
  <c r="I37" i="71"/>
  <c r="I38" i="71"/>
  <c r="I39" i="71"/>
  <c r="I40" i="71"/>
  <c r="I41" i="71"/>
  <c r="I42" i="71"/>
  <c r="I43" i="71"/>
  <c r="I44" i="71"/>
  <c r="I45" i="71"/>
  <c r="I46" i="71"/>
  <c r="I47" i="71"/>
  <c r="I48" i="71"/>
  <c r="I49" i="71"/>
  <c r="I50" i="71"/>
  <c r="I51" i="71"/>
  <c r="I52" i="71"/>
  <c r="I53" i="71"/>
  <c r="I54" i="71"/>
  <c r="I55" i="71"/>
  <c r="I56" i="71"/>
  <c r="I57" i="71"/>
  <c r="I58" i="71"/>
  <c r="I59" i="71"/>
  <c r="I60" i="71"/>
  <c r="I61" i="71"/>
  <c r="I62" i="71"/>
  <c r="I63" i="71"/>
  <c r="I64" i="71"/>
  <c r="I65" i="71"/>
  <c r="I66" i="71"/>
  <c r="I67" i="71"/>
  <c r="I68" i="71"/>
  <c r="I69" i="71"/>
  <c r="I70" i="71"/>
  <c r="I71" i="71"/>
  <c r="I72" i="71"/>
  <c r="I73" i="71"/>
  <c r="I74" i="71"/>
  <c r="I75" i="71"/>
  <c r="I76" i="71"/>
  <c r="I77" i="71"/>
  <c r="I78" i="71"/>
  <c r="I79" i="71"/>
  <c r="I80" i="71"/>
  <c r="I81" i="71"/>
  <c r="I82" i="71"/>
  <c r="I83" i="71"/>
  <c r="I84" i="71"/>
  <c r="I85" i="71"/>
  <c r="I86" i="71"/>
  <c r="I87" i="71"/>
  <c r="I88" i="71"/>
  <c r="I89" i="71"/>
  <c r="I90" i="71"/>
  <c r="H24" i="48"/>
  <c r="H25" i="48"/>
  <c r="H26" i="48"/>
  <c r="H27" i="48"/>
  <c r="H28" i="48"/>
  <c r="H29" i="48"/>
  <c r="H30" i="48"/>
  <c r="H26" i="47"/>
  <c r="H27" i="47"/>
  <c r="H28" i="47"/>
  <c r="H29" i="47"/>
  <c r="H30" i="47"/>
  <c r="I26" i="70"/>
  <c r="K31" i="70"/>
  <c r="K32" i="70"/>
  <c r="K33" i="70"/>
  <c r="K34" i="70"/>
  <c r="K35" i="70"/>
  <c r="K36" i="70"/>
  <c r="K37" i="70"/>
  <c r="K38" i="70"/>
  <c r="K39" i="70"/>
  <c r="K40" i="70"/>
  <c r="K41" i="70"/>
  <c r="K42" i="70"/>
  <c r="K43" i="70"/>
  <c r="K44" i="70"/>
  <c r="K45" i="70"/>
  <c r="K46" i="70"/>
  <c r="K47" i="70"/>
  <c r="K48" i="70"/>
  <c r="K49" i="70"/>
  <c r="K50" i="70"/>
  <c r="K51" i="70"/>
  <c r="K52" i="70"/>
  <c r="K53" i="70"/>
  <c r="K54" i="70"/>
  <c r="K55" i="70"/>
  <c r="K56" i="70"/>
  <c r="K57" i="70"/>
  <c r="K58" i="70"/>
  <c r="K59" i="70"/>
  <c r="K60" i="70"/>
  <c r="K61" i="70"/>
  <c r="K62" i="70"/>
  <c r="K63" i="70"/>
  <c r="K64" i="70"/>
  <c r="K65" i="70"/>
  <c r="K66" i="70"/>
  <c r="K67" i="70"/>
  <c r="K68" i="70"/>
  <c r="K69" i="70"/>
  <c r="K70" i="70"/>
  <c r="K71" i="70"/>
  <c r="K72" i="70"/>
  <c r="K73" i="70"/>
  <c r="K74" i="70"/>
  <c r="K75" i="70"/>
  <c r="K76" i="70"/>
  <c r="K77" i="70"/>
  <c r="K78" i="70"/>
  <c r="K79" i="70"/>
  <c r="K80" i="70"/>
  <c r="K81" i="70"/>
  <c r="K82" i="70"/>
  <c r="K83" i="70"/>
  <c r="K84" i="70"/>
  <c r="K85" i="70"/>
  <c r="K86" i="70"/>
  <c r="K87" i="70"/>
  <c r="K88" i="70"/>
  <c r="K89" i="70"/>
  <c r="I31" i="70"/>
  <c r="I32" i="70"/>
  <c r="I33" i="70"/>
  <c r="I34" i="70"/>
  <c r="I39" i="70"/>
  <c r="I40" i="70"/>
  <c r="I41" i="70"/>
  <c r="I42" i="70"/>
  <c r="I47" i="70"/>
  <c r="I48" i="70"/>
  <c r="I49" i="70"/>
  <c r="I50" i="70"/>
  <c r="I55" i="70"/>
  <c r="I56" i="70"/>
  <c r="I57" i="70"/>
  <c r="I58" i="70"/>
  <c r="I63" i="70"/>
  <c r="I64" i="70"/>
  <c r="I65" i="70"/>
  <c r="I66" i="70"/>
  <c r="I71" i="70"/>
  <c r="I72" i="70"/>
  <c r="I73" i="70"/>
  <c r="I74" i="70"/>
  <c r="I79" i="70"/>
  <c r="I80" i="70"/>
  <c r="I81" i="70"/>
  <c r="I82" i="70"/>
  <c r="I87" i="70"/>
  <c r="I88" i="70"/>
  <c r="I89" i="70"/>
  <c r="J30" i="70"/>
  <c r="I30" i="70" s="1"/>
  <c r="J31" i="70"/>
  <c r="J32" i="70"/>
  <c r="J33" i="70"/>
  <c r="J34" i="70"/>
  <c r="J35" i="70"/>
  <c r="I35" i="70" s="1"/>
  <c r="J36" i="70"/>
  <c r="I36" i="70" s="1"/>
  <c r="J37" i="70"/>
  <c r="I37" i="70" s="1"/>
  <c r="J38" i="70"/>
  <c r="I38" i="70" s="1"/>
  <c r="J39" i="70"/>
  <c r="J40" i="70"/>
  <c r="J41" i="70"/>
  <c r="J42" i="70"/>
  <c r="J43" i="70"/>
  <c r="I43" i="70" s="1"/>
  <c r="J44" i="70"/>
  <c r="I44" i="70" s="1"/>
  <c r="J45" i="70"/>
  <c r="I45" i="70" s="1"/>
  <c r="J46" i="70"/>
  <c r="I46" i="70" s="1"/>
  <c r="J47" i="70"/>
  <c r="J48" i="70"/>
  <c r="J49" i="70"/>
  <c r="J50" i="70"/>
  <c r="J51" i="70"/>
  <c r="I51" i="70" s="1"/>
  <c r="J52" i="70"/>
  <c r="I52" i="70" s="1"/>
  <c r="J53" i="70"/>
  <c r="I53" i="70" s="1"/>
  <c r="J54" i="70"/>
  <c r="I54" i="70" s="1"/>
  <c r="J55" i="70"/>
  <c r="J56" i="70"/>
  <c r="J57" i="70"/>
  <c r="J58" i="70"/>
  <c r="J59" i="70"/>
  <c r="I59" i="70" s="1"/>
  <c r="J60" i="70"/>
  <c r="I60" i="70" s="1"/>
  <c r="J61" i="70"/>
  <c r="I61" i="70" s="1"/>
  <c r="J62" i="70"/>
  <c r="I62" i="70" s="1"/>
  <c r="J63" i="70"/>
  <c r="J64" i="70"/>
  <c r="J65" i="70"/>
  <c r="J66" i="70"/>
  <c r="J67" i="70"/>
  <c r="I67" i="70" s="1"/>
  <c r="J68" i="70"/>
  <c r="I68" i="70" s="1"/>
  <c r="J69" i="70"/>
  <c r="I69" i="70" s="1"/>
  <c r="J70" i="70"/>
  <c r="I70" i="70" s="1"/>
  <c r="J71" i="70"/>
  <c r="J72" i="70"/>
  <c r="J73" i="70"/>
  <c r="J74" i="70"/>
  <c r="J75" i="70"/>
  <c r="I75" i="70" s="1"/>
  <c r="J76" i="70"/>
  <c r="I76" i="70" s="1"/>
  <c r="J77" i="70"/>
  <c r="I77" i="70" s="1"/>
  <c r="J78" i="70"/>
  <c r="I78" i="70" s="1"/>
  <c r="J79" i="70"/>
  <c r="J80" i="70"/>
  <c r="J81" i="70"/>
  <c r="J82" i="70"/>
  <c r="J83" i="70"/>
  <c r="I83" i="70" s="1"/>
  <c r="J84" i="70"/>
  <c r="I84" i="70" s="1"/>
  <c r="J85" i="70"/>
  <c r="I85" i="70" s="1"/>
  <c r="J86" i="70"/>
  <c r="I86" i="70" s="1"/>
  <c r="J87" i="70"/>
  <c r="J88" i="70"/>
  <c r="J89" i="70"/>
  <c r="J26" i="43"/>
  <c r="J27" i="43"/>
  <c r="J28" i="43"/>
  <c r="J29" i="43"/>
  <c r="J30" i="43"/>
  <c r="K32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5" i="42"/>
  <c r="K46" i="42"/>
  <c r="K47" i="42"/>
  <c r="K48" i="42"/>
  <c r="K49" i="42"/>
  <c r="K50" i="42"/>
  <c r="K51" i="42"/>
  <c r="K52" i="42"/>
  <c r="K53" i="42"/>
  <c r="K54" i="42"/>
  <c r="K55" i="42"/>
  <c r="K56" i="42"/>
  <c r="K57" i="42"/>
  <c r="K58" i="42"/>
  <c r="K59" i="42"/>
  <c r="K60" i="42"/>
  <c r="K61" i="42"/>
  <c r="K62" i="42"/>
  <c r="K63" i="42"/>
  <c r="K64" i="42"/>
  <c r="K65" i="42"/>
  <c r="K66" i="42"/>
  <c r="K67" i="42"/>
  <c r="K68" i="42"/>
  <c r="K69" i="42"/>
  <c r="K70" i="42"/>
  <c r="K71" i="42"/>
  <c r="K72" i="42"/>
  <c r="K73" i="42"/>
  <c r="K74" i="42"/>
  <c r="K75" i="42"/>
  <c r="K76" i="42"/>
  <c r="K77" i="42"/>
  <c r="K78" i="42"/>
  <c r="K79" i="42"/>
  <c r="K80" i="42"/>
  <c r="K81" i="42"/>
  <c r="K82" i="42"/>
  <c r="K83" i="42"/>
  <c r="K84" i="42"/>
  <c r="K85" i="42"/>
  <c r="K86" i="42"/>
  <c r="K87" i="42"/>
  <c r="K88" i="42"/>
  <c r="K89" i="42"/>
  <c r="K90" i="42"/>
  <c r="J30" i="42"/>
  <c r="J29" i="42"/>
  <c r="J28" i="42"/>
  <c r="J27" i="42"/>
  <c r="J26" i="42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0" i="41"/>
  <c r="K51" i="41"/>
  <c r="K52" i="41"/>
  <c r="K53" i="41"/>
  <c r="K54" i="41"/>
  <c r="K55" i="41"/>
  <c r="K56" i="41"/>
  <c r="K57" i="41"/>
  <c r="K58" i="41"/>
  <c r="K59" i="41"/>
  <c r="K60" i="41"/>
  <c r="K61" i="41"/>
  <c r="K62" i="41"/>
  <c r="K63" i="41"/>
  <c r="K64" i="41"/>
  <c r="K65" i="41"/>
  <c r="K66" i="41"/>
  <c r="K67" i="41"/>
  <c r="K68" i="41"/>
  <c r="K69" i="41"/>
  <c r="K70" i="41"/>
  <c r="K71" i="41"/>
  <c r="K72" i="41"/>
  <c r="K73" i="41"/>
  <c r="K74" i="41"/>
  <c r="K75" i="41"/>
  <c r="K76" i="41"/>
  <c r="K77" i="41"/>
  <c r="K78" i="41"/>
  <c r="K79" i="41"/>
  <c r="K80" i="41"/>
  <c r="K81" i="41"/>
  <c r="K82" i="41"/>
  <c r="K83" i="41"/>
  <c r="K84" i="41"/>
  <c r="K85" i="41"/>
  <c r="K86" i="41"/>
  <c r="K87" i="41"/>
  <c r="K88" i="41"/>
  <c r="K89" i="41"/>
  <c r="K90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U72" i="30" l="1"/>
  <c r="M73" i="30"/>
  <c r="K71" i="30"/>
  <c r="N71" i="30" s="1"/>
  <c r="J26" i="41"/>
  <c r="J27" i="41"/>
  <c r="J28" i="41"/>
  <c r="J29" i="41"/>
  <c r="J30" i="41"/>
  <c r="J28" i="40"/>
  <c r="J29" i="40"/>
  <c r="J30" i="40"/>
  <c r="J27" i="40"/>
  <c r="J26" i="40"/>
  <c r="K32" i="39"/>
  <c r="K33" i="39"/>
  <c r="K34" i="39"/>
  <c r="K35" i="39"/>
  <c r="K36" i="39"/>
  <c r="K37" i="39"/>
  <c r="K38" i="39"/>
  <c r="K39" i="39"/>
  <c r="K40" i="39"/>
  <c r="K41" i="39"/>
  <c r="K42" i="39"/>
  <c r="K43" i="39"/>
  <c r="K44" i="39"/>
  <c r="K45" i="39"/>
  <c r="K46" i="39"/>
  <c r="K47" i="39"/>
  <c r="K48" i="39"/>
  <c r="K49" i="39"/>
  <c r="K50" i="39"/>
  <c r="K51" i="39"/>
  <c r="K52" i="39"/>
  <c r="K53" i="39"/>
  <c r="K54" i="39"/>
  <c r="K55" i="39"/>
  <c r="K56" i="39"/>
  <c r="K57" i="39"/>
  <c r="K58" i="39"/>
  <c r="K59" i="39"/>
  <c r="K60" i="39"/>
  <c r="K61" i="39"/>
  <c r="K62" i="39"/>
  <c r="K63" i="39"/>
  <c r="K64" i="39"/>
  <c r="K65" i="39"/>
  <c r="K66" i="39"/>
  <c r="K67" i="39"/>
  <c r="K68" i="39"/>
  <c r="K69" i="39"/>
  <c r="K70" i="39"/>
  <c r="K71" i="39"/>
  <c r="K72" i="39"/>
  <c r="K73" i="39"/>
  <c r="K74" i="39"/>
  <c r="K75" i="39"/>
  <c r="K76" i="39"/>
  <c r="K77" i="39"/>
  <c r="K78" i="39"/>
  <c r="K79" i="39"/>
  <c r="K80" i="39"/>
  <c r="K81" i="39"/>
  <c r="K82" i="39"/>
  <c r="K83" i="39"/>
  <c r="K84" i="39"/>
  <c r="K85" i="39"/>
  <c r="K86" i="39"/>
  <c r="K87" i="39"/>
  <c r="K88" i="39"/>
  <c r="K89" i="39"/>
  <c r="K90" i="39"/>
  <c r="J32" i="39"/>
  <c r="J33" i="39"/>
  <c r="J34" i="39"/>
  <c r="J35" i="39"/>
  <c r="J36" i="39"/>
  <c r="J37" i="39"/>
  <c r="J38" i="39"/>
  <c r="J39" i="39"/>
  <c r="J40" i="39"/>
  <c r="J41" i="39"/>
  <c r="J42" i="39"/>
  <c r="J43" i="39"/>
  <c r="J44" i="39"/>
  <c r="J45" i="39"/>
  <c r="J46" i="39"/>
  <c r="J47" i="39"/>
  <c r="J48" i="39"/>
  <c r="J49" i="39"/>
  <c r="J50" i="39"/>
  <c r="J51" i="39"/>
  <c r="J52" i="39"/>
  <c r="J53" i="39"/>
  <c r="J54" i="39"/>
  <c r="J55" i="39"/>
  <c r="J56" i="39"/>
  <c r="J57" i="39"/>
  <c r="J58" i="39"/>
  <c r="J59" i="39"/>
  <c r="J60" i="39"/>
  <c r="J61" i="39"/>
  <c r="J62" i="39"/>
  <c r="J63" i="39"/>
  <c r="J64" i="39"/>
  <c r="J65" i="39"/>
  <c r="J66" i="39"/>
  <c r="J67" i="39"/>
  <c r="J68" i="39"/>
  <c r="J69" i="39"/>
  <c r="J70" i="39"/>
  <c r="J71" i="39"/>
  <c r="J72" i="39"/>
  <c r="J73" i="39"/>
  <c r="J74" i="39"/>
  <c r="J75" i="39"/>
  <c r="J76" i="39"/>
  <c r="J77" i="39"/>
  <c r="J78" i="39"/>
  <c r="J79" i="39"/>
  <c r="J80" i="39"/>
  <c r="J81" i="39"/>
  <c r="J82" i="39"/>
  <c r="J83" i="39"/>
  <c r="J84" i="39"/>
  <c r="J85" i="39"/>
  <c r="J86" i="39"/>
  <c r="J87" i="39"/>
  <c r="J88" i="39"/>
  <c r="J89" i="39"/>
  <c r="J90" i="39"/>
  <c r="K32" i="38"/>
  <c r="K33" i="38"/>
  <c r="K34" i="38"/>
  <c r="K35" i="38"/>
  <c r="K36" i="38"/>
  <c r="K37" i="38"/>
  <c r="K38" i="38"/>
  <c r="K39" i="38"/>
  <c r="K40" i="38"/>
  <c r="K41" i="38"/>
  <c r="K42" i="38"/>
  <c r="K43" i="38"/>
  <c r="K44" i="38"/>
  <c r="K45" i="38"/>
  <c r="K46" i="38"/>
  <c r="K47" i="38"/>
  <c r="K48" i="38"/>
  <c r="K49" i="38"/>
  <c r="K50" i="38"/>
  <c r="K51" i="38"/>
  <c r="K52" i="38"/>
  <c r="K53" i="38"/>
  <c r="K54" i="38"/>
  <c r="K55" i="38"/>
  <c r="K56" i="38"/>
  <c r="K57" i="38"/>
  <c r="K58" i="38"/>
  <c r="K59" i="38"/>
  <c r="K60" i="38"/>
  <c r="K61" i="38"/>
  <c r="K62" i="38"/>
  <c r="K63" i="38"/>
  <c r="K64" i="38"/>
  <c r="K65" i="38"/>
  <c r="K66" i="38"/>
  <c r="K67" i="38"/>
  <c r="K68" i="38"/>
  <c r="K69" i="38"/>
  <c r="K70" i="38"/>
  <c r="K71" i="38"/>
  <c r="K72" i="38"/>
  <c r="K73" i="38"/>
  <c r="K74" i="38"/>
  <c r="K75" i="38"/>
  <c r="K76" i="38"/>
  <c r="K77" i="38"/>
  <c r="K78" i="38"/>
  <c r="K79" i="38"/>
  <c r="K80" i="38"/>
  <c r="K81" i="38"/>
  <c r="K82" i="38"/>
  <c r="K83" i="38"/>
  <c r="K84" i="38"/>
  <c r="K85" i="38"/>
  <c r="K86" i="38"/>
  <c r="K87" i="38"/>
  <c r="K88" i="38"/>
  <c r="K89" i="38"/>
  <c r="K90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5" i="38"/>
  <c r="J46" i="38"/>
  <c r="J47" i="38"/>
  <c r="J48" i="38"/>
  <c r="J49" i="38"/>
  <c r="J50" i="38"/>
  <c r="J51" i="38"/>
  <c r="J52" i="38"/>
  <c r="J53" i="38"/>
  <c r="J54" i="38"/>
  <c r="J55" i="38"/>
  <c r="J56" i="38"/>
  <c r="J57" i="38"/>
  <c r="J58" i="38"/>
  <c r="J59" i="38"/>
  <c r="J60" i="38"/>
  <c r="J61" i="38"/>
  <c r="J62" i="38"/>
  <c r="J63" i="38"/>
  <c r="J64" i="38"/>
  <c r="J65" i="38"/>
  <c r="J66" i="38"/>
  <c r="J67" i="38"/>
  <c r="J68" i="38"/>
  <c r="J69" i="38"/>
  <c r="J70" i="38"/>
  <c r="J71" i="38"/>
  <c r="J72" i="38"/>
  <c r="J73" i="38"/>
  <c r="J74" i="38"/>
  <c r="J75" i="38"/>
  <c r="J76" i="38"/>
  <c r="J77" i="38"/>
  <c r="J78" i="38"/>
  <c r="J79" i="38"/>
  <c r="J80" i="38"/>
  <c r="J81" i="38"/>
  <c r="J82" i="38"/>
  <c r="J83" i="38"/>
  <c r="J84" i="38"/>
  <c r="J85" i="38"/>
  <c r="J86" i="38"/>
  <c r="J87" i="38"/>
  <c r="J88" i="38"/>
  <c r="J89" i="38"/>
  <c r="J90" i="38"/>
  <c r="K31" i="37"/>
  <c r="K32" i="37"/>
  <c r="K33" i="37"/>
  <c r="K34" i="37"/>
  <c r="K35" i="37"/>
  <c r="K36" i="37"/>
  <c r="K37" i="37"/>
  <c r="K38" i="37"/>
  <c r="K39" i="37"/>
  <c r="K40" i="37"/>
  <c r="K41" i="37"/>
  <c r="K42" i="37"/>
  <c r="K43" i="37"/>
  <c r="K44" i="37"/>
  <c r="K45" i="37"/>
  <c r="K46" i="37"/>
  <c r="K47" i="37"/>
  <c r="K48" i="37"/>
  <c r="K49" i="37"/>
  <c r="K50" i="37"/>
  <c r="K51" i="37"/>
  <c r="K52" i="37"/>
  <c r="K53" i="37"/>
  <c r="K54" i="37"/>
  <c r="K55" i="37"/>
  <c r="K56" i="37"/>
  <c r="K57" i="37"/>
  <c r="K58" i="37"/>
  <c r="K59" i="37"/>
  <c r="K60" i="37"/>
  <c r="K61" i="37"/>
  <c r="K62" i="37"/>
  <c r="K63" i="37"/>
  <c r="K64" i="37"/>
  <c r="K65" i="37"/>
  <c r="K66" i="37"/>
  <c r="K67" i="37"/>
  <c r="K68" i="37"/>
  <c r="K69" i="37"/>
  <c r="K70" i="37"/>
  <c r="K71" i="37"/>
  <c r="K72" i="37"/>
  <c r="K73" i="37"/>
  <c r="K74" i="37"/>
  <c r="K75" i="37"/>
  <c r="K76" i="37"/>
  <c r="K77" i="37"/>
  <c r="K78" i="37"/>
  <c r="K79" i="37"/>
  <c r="K80" i="37"/>
  <c r="K81" i="37"/>
  <c r="K82" i="37"/>
  <c r="K83" i="37"/>
  <c r="K84" i="37"/>
  <c r="K85" i="37"/>
  <c r="K86" i="37"/>
  <c r="K87" i="37"/>
  <c r="K88" i="37"/>
  <c r="K89" i="37"/>
  <c r="J31" i="37"/>
  <c r="J32" i="37"/>
  <c r="J33" i="37"/>
  <c r="J34" i="37"/>
  <c r="J35" i="37"/>
  <c r="J36" i="37"/>
  <c r="J37" i="37"/>
  <c r="J38" i="37"/>
  <c r="J39" i="37"/>
  <c r="J40" i="37"/>
  <c r="J41" i="37"/>
  <c r="J42" i="37"/>
  <c r="J43" i="37"/>
  <c r="J44" i="37"/>
  <c r="J45" i="37"/>
  <c r="J46" i="37"/>
  <c r="J47" i="37"/>
  <c r="J48" i="37"/>
  <c r="J49" i="37"/>
  <c r="J50" i="37"/>
  <c r="J51" i="37"/>
  <c r="J52" i="37"/>
  <c r="J53" i="37"/>
  <c r="J54" i="37"/>
  <c r="J55" i="37"/>
  <c r="J56" i="37"/>
  <c r="J57" i="37"/>
  <c r="J58" i="37"/>
  <c r="J59" i="37"/>
  <c r="J60" i="37"/>
  <c r="J61" i="37"/>
  <c r="J62" i="37"/>
  <c r="J63" i="37"/>
  <c r="J64" i="37"/>
  <c r="J65" i="37"/>
  <c r="J66" i="37"/>
  <c r="J67" i="37"/>
  <c r="J68" i="37"/>
  <c r="J69" i="37"/>
  <c r="J70" i="37"/>
  <c r="J71" i="37"/>
  <c r="J72" i="37"/>
  <c r="J73" i="37"/>
  <c r="J74" i="37"/>
  <c r="J75" i="37"/>
  <c r="J76" i="37"/>
  <c r="J77" i="37"/>
  <c r="J78" i="37"/>
  <c r="J79" i="37"/>
  <c r="J80" i="37"/>
  <c r="J81" i="37"/>
  <c r="J82" i="37"/>
  <c r="J83" i="37"/>
  <c r="J84" i="37"/>
  <c r="J85" i="37"/>
  <c r="J86" i="37"/>
  <c r="J87" i="37"/>
  <c r="J88" i="37"/>
  <c r="J89" i="37"/>
  <c r="M30" i="39"/>
  <c r="J30" i="39"/>
  <c r="M29" i="39"/>
  <c r="J29" i="39"/>
  <c r="M28" i="39"/>
  <c r="J28" i="39"/>
  <c r="M27" i="39"/>
  <c r="J27" i="39"/>
  <c r="M26" i="39"/>
  <c r="J26" i="39"/>
  <c r="M25" i="39"/>
  <c r="J25" i="39"/>
  <c r="M24" i="39"/>
  <c r="J24" i="39"/>
  <c r="M23" i="39"/>
  <c r="J23" i="39"/>
  <c r="M22" i="39"/>
  <c r="J22" i="39"/>
  <c r="M21" i="39"/>
  <c r="J21" i="39"/>
  <c r="M20" i="39"/>
  <c r="J20" i="39"/>
  <c r="M19" i="39"/>
  <c r="J19" i="39"/>
  <c r="G19" i="39"/>
  <c r="F19" i="39"/>
  <c r="O19" i="39" s="1"/>
  <c r="E19" i="39"/>
  <c r="N19" i="39" s="1"/>
  <c r="M30" i="38"/>
  <c r="J30" i="38"/>
  <c r="M29" i="38"/>
  <c r="J29" i="38"/>
  <c r="M28" i="38"/>
  <c r="J28" i="38"/>
  <c r="M27" i="38"/>
  <c r="J27" i="38"/>
  <c r="M26" i="38"/>
  <c r="J26" i="38"/>
  <c r="M25" i="38"/>
  <c r="J25" i="38"/>
  <c r="M24" i="38"/>
  <c r="J24" i="38"/>
  <c r="M23" i="38"/>
  <c r="J23" i="38"/>
  <c r="M22" i="38"/>
  <c r="J22" i="38"/>
  <c r="M21" i="38"/>
  <c r="J21" i="38"/>
  <c r="M20" i="38"/>
  <c r="J20" i="38"/>
  <c r="O19" i="38"/>
  <c r="M19" i="38"/>
  <c r="J19" i="38"/>
  <c r="G19" i="38"/>
  <c r="F19" i="38"/>
  <c r="E19" i="38"/>
  <c r="N19" i="38" s="1"/>
  <c r="M29" i="37"/>
  <c r="J29" i="37"/>
  <c r="M28" i="37"/>
  <c r="J28" i="37"/>
  <c r="M27" i="37"/>
  <c r="J27" i="37"/>
  <c r="M26" i="37"/>
  <c r="J26" i="37"/>
  <c r="M25" i="37"/>
  <c r="J25" i="37"/>
  <c r="M24" i="37"/>
  <c r="J24" i="37"/>
  <c r="M23" i="37"/>
  <c r="J23" i="37"/>
  <c r="M22" i="37"/>
  <c r="J22" i="37"/>
  <c r="M21" i="37"/>
  <c r="J21" i="37"/>
  <c r="M20" i="37"/>
  <c r="J20" i="37"/>
  <c r="M19" i="37"/>
  <c r="J19" i="37"/>
  <c r="O18" i="37"/>
  <c r="N18" i="37"/>
  <c r="M18" i="37"/>
  <c r="J18" i="37"/>
  <c r="G18" i="37"/>
  <c r="F18" i="37"/>
  <c r="E18" i="37"/>
  <c r="M29" i="36"/>
  <c r="J29" i="36"/>
  <c r="M28" i="36"/>
  <c r="J28" i="36"/>
  <c r="M27" i="36"/>
  <c r="J27" i="36"/>
  <c r="M26" i="36"/>
  <c r="J26" i="36"/>
  <c r="M25" i="36"/>
  <c r="J25" i="36"/>
  <c r="M24" i="36"/>
  <c r="J24" i="36"/>
  <c r="M23" i="36"/>
  <c r="J23" i="36"/>
  <c r="M22" i="36"/>
  <c r="J22" i="36"/>
  <c r="M21" i="36"/>
  <c r="J21" i="36"/>
  <c r="M20" i="36"/>
  <c r="J20" i="36"/>
  <c r="M19" i="36"/>
  <c r="J19" i="36"/>
  <c r="T18" i="36"/>
  <c r="V18" i="36" s="1"/>
  <c r="N18" i="36"/>
  <c r="M18" i="36"/>
  <c r="J18" i="36"/>
  <c r="G18" i="36"/>
  <c r="F18" i="36"/>
  <c r="O18" i="36" s="1"/>
  <c r="E18" i="36"/>
  <c r="M29" i="35"/>
  <c r="J29" i="35"/>
  <c r="M28" i="35"/>
  <c r="J28" i="35"/>
  <c r="M27" i="35"/>
  <c r="J27" i="35"/>
  <c r="M26" i="35"/>
  <c r="J26" i="35"/>
  <c r="M25" i="35"/>
  <c r="J25" i="35"/>
  <c r="M24" i="35"/>
  <c r="J24" i="35"/>
  <c r="M23" i="35"/>
  <c r="J23" i="35"/>
  <c r="M22" i="35"/>
  <c r="J22" i="35"/>
  <c r="M21" i="35"/>
  <c r="J21" i="35"/>
  <c r="M20" i="35"/>
  <c r="J20" i="35"/>
  <c r="M19" i="35"/>
  <c r="J19" i="35"/>
  <c r="O18" i="35"/>
  <c r="M18" i="35"/>
  <c r="J18" i="35"/>
  <c r="G18" i="35"/>
  <c r="F18" i="35"/>
  <c r="E18" i="35"/>
  <c r="N18" i="35" s="1"/>
  <c r="E72" i="30" l="1"/>
  <c r="Q71" i="30"/>
  <c r="R71" i="30" s="1"/>
  <c r="O71" i="30"/>
  <c r="F72" i="30" s="1"/>
  <c r="S73" i="30"/>
  <c r="D74" i="30"/>
  <c r="P73" i="30"/>
  <c r="T19" i="39"/>
  <c r="V19" i="39" s="1"/>
  <c r="Q19" i="39"/>
  <c r="S19" i="39" s="1"/>
  <c r="P19" i="39"/>
  <c r="G20" i="39" s="1"/>
  <c r="E20" i="39"/>
  <c r="N20" i="39" s="1"/>
  <c r="R25" i="39"/>
  <c r="R24" i="39"/>
  <c r="R27" i="39"/>
  <c r="R19" i="39"/>
  <c r="F20" i="39"/>
  <c r="O20" i="39" s="1"/>
  <c r="F21" i="39" s="1"/>
  <c r="O21" i="39" s="1"/>
  <c r="F22" i="39" s="1"/>
  <c r="O22" i="39" s="1"/>
  <c r="F23" i="39" s="1"/>
  <c r="O23" i="39" s="1"/>
  <c r="F24" i="39" s="1"/>
  <c r="O24" i="39" s="1"/>
  <c r="F25" i="39" s="1"/>
  <c r="O25" i="39" s="1"/>
  <c r="F26" i="39" s="1"/>
  <c r="O26" i="39" s="1"/>
  <c r="F27" i="39" s="1"/>
  <c r="O27" i="39" s="1"/>
  <c r="F28" i="39" s="1"/>
  <c r="O28" i="39" s="1"/>
  <c r="F29" i="39" s="1"/>
  <c r="O29" i="39" s="1"/>
  <c r="F30" i="39" s="1"/>
  <c r="O30" i="39" s="1"/>
  <c r="R23" i="39"/>
  <c r="R26" i="39"/>
  <c r="R30" i="39"/>
  <c r="Q19" i="38"/>
  <c r="E20" i="38"/>
  <c r="N20" i="38" s="1"/>
  <c r="T19" i="38"/>
  <c r="V19" i="38" s="1"/>
  <c r="P19" i="38"/>
  <c r="G20" i="38" s="1"/>
  <c r="R19" i="38"/>
  <c r="R26" i="38"/>
  <c r="F20" i="38"/>
  <c r="O20" i="38" s="1"/>
  <c r="F21" i="38" s="1"/>
  <c r="O21" i="38" s="1"/>
  <c r="F22" i="38" s="1"/>
  <c r="O22" i="38" s="1"/>
  <c r="F23" i="38" s="1"/>
  <c r="O23" i="38" s="1"/>
  <c r="F24" i="38" s="1"/>
  <c r="O24" i="38" s="1"/>
  <c r="F25" i="38" s="1"/>
  <c r="O25" i="38" s="1"/>
  <c r="F26" i="38" s="1"/>
  <c r="O26" i="38" s="1"/>
  <c r="F27" i="38" s="1"/>
  <c r="O27" i="38" s="1"/>
  <c r="F28" i="38" s="1"/>
  <c r="O28" i="38" s="1"/>
  <c r="F29" i="38" s="1"/>
  <c r="O29" i="38" s="1"/>
  <c r="F30" i="38" s="1"/>
  <c r="Q19" i="37"/>
  <c r="R18" i="37"/>
  <c r="E19" i="37"/>
  <c r="N19" i="37" s="1"/>
  <c r="F19" i="37"/>
  <c r="O19" i="37" s="1"/>
  <c r="P18" i="37"/>
  <c r="G19" i="37" s="1"/>
  <c r="Q18" i="37"/>
  <c r="S18" i="37" s="1"/>
  <c r="T18" i="37"/>
  <c r="V18" i="37" s="1"/>
  <c r="R28" i="36"/>
  <c r="R23" i="36"/>
  <c r="R18" i="36"/>
  <c r="R20" i="36"/>
  <c r="R29" i="36"/>
  <c r="R21" i="36"/>
  <c r="R24" i="36"/>
  <c r="R27" i="36"/>
  <c r="R19" i="36"/>
  <c r="F19" i="36"/>
  <c r="O19" i="36" s="1"/>
  <c r="F20" i="36" s="1"/>
  <c r="O20" i="36" s="1"/>
  <c r="F21" i="36" s="1"/>
  <c r="O21" i="36" s="1"/>
  <c r="F22" i="36" s="1"/>
  <c r="O22" i="36" s="1"/>
  <c r="F23" i="36" s="1"/>
  <c r="O23" i="36" s="1"/>
  <c r="F24" i="36" s="1"/>
  <c r="O24" i="36" s="1"/>
  <c r="F25" i="36" s="1"/>
  <c r="O25" i="36" s="1"/>
  <c r="F26" i="36" s="1"/>
  <c r="O26" i="36" s="1"/>
  <c r="F27" i="36" s="1"/>
  <c r="O27" i="36" s="1"/>
  <c r="F28" i="36" s="1"/>
  <c r="O28" i="36" s="1"/>
  <c r="F29" i="36" s="1"/>
  <c r="O29" i="36" s="1"/>
  <c r="R22" i="36"/>
  <c r="R25" i="36"/>
  <c r="E19" i="36"/>
  <c r="N19" i="36" s="1"/>
  <c r="Q19" i="36"/>
  <c r="P18" i="36"/>
  <c r="G19" i="36" s="1"/>
  <c r="Q18" i="36"/>
  <c r="S18" i="36" s="1"/>
  <c r="E19" i="35"/>
  <c r="N19" i="35" s="1"/>
  <c r="T18" i="35"/>
  <c r="V18" i="35" s="1"/>
  <c r="Q18" i="35"/>
  <c r="S18" i="35" s="1"/>
  <c r="P18" i="35"/>
  <c r="G19" i="35" s="1"/>
  <c r="R18" i="35"/>
  <c r="F19" i="35"/>
  <c r="O19" i="35" s="1"/>
  <c r="F20" i="35" s="1"/>
  <c r="O20" i="35" s="1"/>
  <c r="F21" i="35" s="1"/>
  <c r="O21" i="35" s="1"/>
  <c r="F22" i="35" s="1"/>
  <c r="O22" i="35" s="1"/>
  <c r="F23" i="35" s="1"/>
  <c r="O23" i="35" s="1"/>
  <c r="F24" i="35" s="1"/>
  <c r="O24" i="35" s="1"/>
  <c r="F25" i="35" s="1"/>
  <c r="O25" i="35" s="1"/>
  <c r="F26" i="35" s="1"/>
  <c r="O26" i="35" s="1"/>
  <c r="F27" i="35" s="1"/>
  <c r="O27" i="35" s="1"/>
  <c r="F28" i="35" s="1"/>
  <c r="O28" i="35" s="1"/>
  <c r="F29" i="35" s="1"/>
  <c r="O29" i="35" s="1"/>
  <c r="M29" i="34"/>
  <c r="J29" i="34"/>
  <c r="M28" i="34"/>
  <c r="J28" i="34"/>
  <c r="M27" i="34"/>
  <c r="J27" i="34"/>
  <c r="M26" i="34"/>
  <c r="J26" i="34"/>
  <c r="M25" i="34"/>
  <c r="J25" i="34"/>
  <c r="M24" i="34"/>
  <c r="J24" i="34"/>
  <c r="M23" i="34"/>
  <c r="J23" i="34"/>
  <c r="M22" i="34"/>
  <c r="J22" i="34"/>
  <c r="M21" i="34"/>
  <c r="J21" i="34"/>
  <c r="M20" i="34"/>
  <c r="J20" i="34"/>
  <c r="M19" i="34"/>
  <c r="J19" i="34"/>
  <c r="M18" i="34"/>
  <c r="J18" i="34"/>
  <c r="J30" i="30"/>
  <c r="M30" i="30" s="1"/>
  <c r="J31" i="30"/>
  <c r="J32" i="30"/>
  <c r="J33" i="30"/>
  <c r="J34" i="30"/>
  <c r="J35" i="30"/>
  <c r="J36" i="30"/>
  <c r="I30" i="30"/>
  <c r="H30" i="30" s="1"/>
  <c r="I31" i="30"/>
  <c r="H31" i="30" s="1"/>
  <c r="I32" i="30"/>
  <c r="H32" i="30" s="1"/>
  <c r="I33" i="30"/>
  <c r="H33" i="30" s="1"/>
  <c r="I34" i="30"/>
  <c r="H34" i="30" s="1"/>
  <c r="I35" i="30"/>
  <c r="H35" i="30" s="1"/>
  <c r="I36" i="30"/>
  <c r="H36" i="30" s="1"/>
  <c r="F30" i="30"/>
  <c r="E30" i="30"/>
  <c r="D30" i="30"/>
  <c r="L29" i="30"/>
  <c r="I29" i="30"/>
  <c r="L28" i="30"/>
  <c r="I28" i="30"/>
  <c r="L27" i="30"/>
  <c r="I27" i="30"/>
  <c r="L26" i="30"/>
  <c r="I26" i="30"/>
  <c r="N25" i="30"/>
  <c r="E26" i="30" s="1"/>
  <c r="N26" i="30" s="1"/>
  <c r="E27" i="30" s="1"/>
  <c r="N27" i="30" s="1"/>
  <c r="E28" i="30" s="1"/>
  <c r="N28" i="30" s="1"/>
  <c r="E29" i="30" s="1"/>
  <c r="N29" i="30" s="1"/>
  <c r="L25" i="30"/>
  <c r="I25" i="30"/>
  <c r="L24" i="30"/>
  <c r="I24" i="30"/>
  <c r="L23" i="30"/>
  <c r="I23" i="30"/>
  <c r="L22" i="30"/>
  <c r="I22" i="30"/>
  <c r="L21" i="30"/>
  <c r="I21" i="30"/>
  <c r="L20" i="30"/>
  <c r="I20" i="30"/>
  <c r="L19" i="30"/>
  <c r="I19" i="30"/>
  <c r="L18" i="30"/>
  <c r="I18" i="30"/>
  <c r="F18" i="30"/>
  <c r="E18" i="30"/>
  <c r="N18" i="30" s="1"/>
  <c r="D18" i="30"/>
  <c r="M18" i="30" s="1"/>
  <c r="P30" i="30" l="1"/>
  <c r="M74" i="30"/>
  <c r="K72" i="30"/>
  <c r="N72" i="30" s="1"/>
  <c r="U73" i="30"/>
  <c r="Q21" i="39"/>
  <c r="Q20" i="39"/>
  <c r="S20" i="39" s="1"/>
  <c r="R21" i="39"/>
  <c r="R20" i="39"/>
  <c r="R29" i="39"/>
  <c r="R28" i="39"/>
  <c r="R22" i="39"/>
  <c r="T20" i="39"/>
  <c r="V20" i="39" s="1"/>
  <c r="E21" i="39"/>
  <c r="N21" i="39" s="1"/>
  <c r="P20" i="39"/>
  <c r="G21" i="39" s="1"/>
  <c r="R29" i="38"/>
  <c r="R27" i="38"/>
  <c r="R21" i="38"/>
  <c r="R25" i="38"/>
  <c r="T20" i="38"/>
  <c r="V20" i="38" s="1"/>
  <c r="P20" i="38"/>
  <c r="G21" i="38" s="1"/>
  <c r="E21" i="38"/>
  <c r="N21" i="38" s="1"/>
  <c r="Q21" i="38"/>
  <c r="R28" i="38"/>
  <c r="R30" i="38"/>
  <c r="Q20" i="38"/>
  <c r="R20" i="38"/>
  <c r="R24" i="38"/>
  <c r="R22" i="38"/>
  <c r="R23" i="38"/>
  <c r="S19" i="38"/>
  <c r="F20" i="37"/>
  <c r="O20" i="37" s="1"/>
  <c r="E20" i="37"/>
  <c r="N20" i="37" s="1"/>
  <c r="Q20" i="37" s="1"/>
  <c r="T19" i="37"/>
  <c r="V19" i="37" s="1"/>
  <c r="P19" i="37"/>
  <c r="G20" i="37" s="1"/>
  <c r="R19" i="37"/>
  <c r="S19" i="37" s="1"/>
  <c r="S19" i="36"/>
  <c r="E20" i="36"/>
  <c r="N20" i="36" s="1"/>
  <c r="T19" i="36"/>
  <c r="V19" i="36" s="1"/>
  <c r="P19" i="36"/>
  <c r="G20" i="36" s="1"/>
  <c r="R26" i="36"/>
  <c r="R25" i="35"/>
  <c r="R28" i="35"/>
  <c r="R20" i="35"/>
  <c r="R23" i="35"/>
  <c r="R26" i="35"/>
  <c r="P19" i="35"/>
  <c r="G20" i="35" s="1"/>
  <c r="E20" i="35"/>
  <c r="N20" i="35" s="1"/>
  <c r="T19" i="35"/>
  <c r="V19" i="35" s="1"/>
  <c r="R21" i="35"/>
  <c r="R29" i="35"/>
  <c r="Q19" i="35"/>
  <c r="S19" i="35" s="1"/>
  <c r="R27" i="35"/>
  <c r="R24" i="35"/>
  <c r="R19" i="35"/>
  <c r="R22" i="35"/>
  <c r="K30" i="30"/>
  <c r="N30" i="30" s="1"/>
  <c r="S30" i="30"/>
  <c r="D19" i="30"/>
  <c r="M19" i="30" s="1"/>
  <c r="S18" i="30"/>
  <c r="P18" i="30"/>
  <c r="O18" i="30"/>
  <c r="F19" i="30" s="1"/>
  <c r="Q18" i="30"/>
  <c r="Q20" i="30"/>
  <c r="E19" i="30"/>
  <c r="N19" i="30" s="1"/>
  <c r="E20" i="30" s="1"/>
  <c r="N20" i="30" s="1"/>
  <c r="E21" i="30" s="1"/>
  <c r="N21" i="30" s="1"/>
  <c r="E22" i="30" s="1"/>
  <c r="N22" i="30" s="1"/>
  <c r="E23" i="30" s="1"/>
  <c r="N23" i="30" s="1"/>
  <c r="E24" i="30" s="1"/>
  <c r="N24" i="30" s="1"/>
  <c r="Q30" i="30" l="1"/>
  <c r="R30" i="30" s="1"/>
  <c r="E73" i="30"/>
  <c r="Q72" i="30"/>
  <c r="R72" i="30" s="1"/>
  <c r="O72" i="30"/>
  <c r="F73" i="30" s="1"/>
  <c r="S74" i="30"/>
  <c r="D75" i="30"/>
  <c r="P74" i="30"/>
  <c r="O30" i="30"/>
  <c r="S21" i="39"/>
  <c r="E22" i="39"/>
  <c r="N22" i="39" s="1"/>
  <c r="P21" i="39"/>
  <c r="G22" i="39" s="1"/>
  <c r="T21" i="39"/>
  <c r="V21" i="39" s="1"/>
  <c r="S20" i="38"/>
  <c r="S21" i="38"/>
  <c r="P21" i="38"/>
  <c r="G22" i="38" s="1"/>
  <c r="E22" i="38"/>
  <c r="N22" i="38" s="1"/>
  <c r="T21" i="38"/>
  <c r="V21" i="38" s="1"/>
  <c r="S20" i="37"/>
  <c r="R25" i="37"/>
  <c r="F21" i="37"/>
  <c r="O21" i="37" s="1"/>
  <c r="F22" i="37" s="1"/>
  <c r="O22" i="37" s="1"/>
  <c r="F23" i="37" s="1"/>
  <c r="O23" i="37" s="1"/>
  <c r="F24" i="37" s="1"/>
  <c r="O24" i="37" s="1"/>
  <c r="F25" i="37" s="1"/>
  <c r="O25" i="37" s="1"/>
  <c r="F26" i="37" s="1"/>
  <c r="O26" i="37" s="1"/>
  <c r="F27" i="37" s="1"/>
  <c r="O27" i="37" s="1"/>
  <c r="F28" i="37" s="1"/>
  <c r="O28" i="37" s="1"/>
  <c r="F29" i="37" s="1"/>
  <c r="O29" i="37" s="1"/>
  <c r="R26" i="37"/>
  <c r="R23" i="37"/>
  <c r="R21" i="37"/>
  <c r="R29" i="37"/>
  <c r="R20" i="37"/>
  <c r="E21" i="37"/>
  <c r="N21" i="37" s="1"/>
  <c r="P20" i="37"/>
  <c r="G21" i="37" s="1"/>
  <c r="T20" i="37"/>
  <c r="V20" i="37" s="1"/>
  <c r="P20" i="36"/>
  <c r="G21" i="36" s="1"/>
  <c r="E21" i="36"/>
  <c r="N21" i="36" s="1"/>
  <c r="T20" i="36"/>
  <c r="V20" i="36" s="1"/>
  <c r="Q20" i="36"/>
  <c r="S20" i="36" s="1"/>
  <c r="T20" i="35"/>
  <c r="V20" i="35" s="1"/>
  <c r="P20" i="35"/>
  <c r="G21" i="35" s="1"/>
  <c r="E21" i="35"/>
  <c r="N21" i="35" s="1"/>
  <c r="Q21" i="35"/>
  <c r="S21" i="35" s="1"/>
  <c r="Q20" i="35"/>
  <c r="S20" i="35" s="1"/>
  <c r="L30" i="30"/>
  <c r="T30" i="30"/>
  <c r="U30" i="30" s="1"/>
  <c r="E31" i="30"/>
  <c r="Q24" i="30"/>
  <c r="Q22" i="30"/>
  <c r="Q19" i="30"/>
  <c r="O19" i="30"/>
  <c r="F20" i="30" s="1"/>
  <c r="S19" i="30"/>
  <c r="D20" i="30"/>
  <c r="M20" i="30" s="1"/>
  <c r="Q25" i="30"/>
  <c r="Q26" i="30"/>
  <c r="T18" i="30"/>
  <c r="U18" i="30" s="1"/>
  <c r="P19" i="30"/>
  <c r="R19" i="30" s="1"/>
  <c r="Q29" i="30"/>
  <c r="Q21" i="30"/>
  <c r="Q27" i="30"/>
  <c r="P20" i="30"/>
  <c r="R20" i="30" s="1"/>
  <c r="Q28" i="30"/>
  <c r="Q23" i="30"/>
  <c r="R18" i="30"/>
  <c r="M75" i="30" l="1"/>
  <c r="K73" i="30"/>
  <c r="N73" i="30" s="1"/>
  <c r="U74" i="30"/>
  <c r="T22" i="39"/>
  <c r="V22" i="39" s="1"/>
  <c r="P22" i="39"/>
  <c r="G23" i="39" s="1"/>
  <c r="E23" i="39"/>
  <c r="N23" i="39" s="1"/>
  <c r="Q22" i="39"/>
  <c r="S22" i="39" s="1"/>
  <c r="T22" i="38"/>
  <c r="V22" i="38" s="1"/>
  <c r="P22" i="38"/>
  <c r="G23" i="38" s="1"/>
  <c r="E23" i="38"/>
  <c r="N23" i="38" s="1"/>
  <c r="Q22" i="38"/>
  <c r="S22" i="38" s="1"/>
  <c r="R22" i="37"/>
  <c r="P21" i="37"/>
  <c r="G22" i="37" s="1"/>
  <c r="T21" i="37"/>
  <c r="V21" i="37" s="1"/>
  <c r="E22" i="37"/>
  <c r="N22" i="37" s="1"/>
  <c r="Q22" i="37"/>
  <c r="S22" i="37" s="1"/>
  <c r="R27" i="37"/>
  <c r="Q21" i="37"/>
  <c r="S21" i="37" s="1"/>
  <c r="R24" i="37"/>
  <c r="R28" i="37"/>
  <c r="T21" i="36"/>
  <c r="V21" i="36" s="1"/>
  <c r="P21" i="36"/>
  <c r="G22" i="36" s="1"/>
  <c r="E22" i="36"/>
  <c r="N22" i="36" s="1"/>
  <c r="Q21" i="36"/>
  <c r="S21" i="36" s="1"/>
  <c r="T21" i="35"/>
  <c r="V21" i="35" s="1"/>
  <c r="P21" i="35"/>
  <c r="G22" i="35" s="1"/>
  <c r="E22" i="35"/>
  <c r="N22" i="35" s="1"/>
  <c r="Q22" i="35"/>
  <c r="S22" i="35" s="1"/>
  <c r="O20" i="30"/>
  <c r="F21" i="30" s="1"/>
  <c r="D21" i="30"/>
  <c r="M21" i="30" s="1"/>
  <c r="S20" i="30"/>
  <c r="T19" i="30"/>
  <c r="U19" i="30" s="1"/>
  <c r="E74" i="30" l="1"/>
  <c r="Q73" i="30"/>
  <c r="R73" i="30" s="1"/>
  <c r="O73" i="30"/>
  <c r="F74" i="30" s="1"/>
  <c r="S75" i="30"/>
  <c r="D76" i="30"/>
  <c r="P75" i="30"/>
  <c r="P23" i="39"/>
  <c r="G24" i="39" s="1"/>
  <c r="T23" i="39"/>
  <c r="V23" i="39" s="1"/>
  <c r="E24" i="39"/>
  <c r="N24" i="39" s="1"/>
  <c r="Q23" i="39"/>
  <c r="S23" i="39" s="1"/>
  <c r="E24" i="38"/>
  <c r="N24" i="38" s="1"/>
  <c r="T23" i="38"/>
  <c r="V23" i="38" s="1"/>
  <c r="P23" i="38"/>
  <c r="G24" i="38" s="1"/>
  <c r="Q23" i="38"/>
  <c r="S23" i="38" s="1"/>
  <c r="Q24" i="38"/>
  <c r="S24" i="38" s="1"/>
  <c r="P22" i="37"/>
  <c r="G23" i="37" s="1"/>
  <c r="T22" i="37"/>
  <c r="V22" i="37" s="1"/>
  <c r="E23" i="37"/>
  <c r="N23" i="37" s="1"/>
  <c r="P22" i="36"/>
  <c r="G23" i="36" s="1"/>
  <c r="E23" i="36"/>
  <c r="N23" i="36" s="1"/>
  <c r="T22" i="36"/>
  <c r="V22" i="36" s="1"/>
  <c r="Q22" i="36"/>
  <c r="S22" i="36" s="1"/>
  <c r="T22" i="35"/>
  <c r="V22" i="35" s="1"/>
  <c r="P22" i="35"/>
  <c r="G23" i="35" s="1"/>
  <c r="E23" i="35"/>
  <c r="N23" i="35" s="1"/>
  <c r="T20" i="30"/>
  <c r="U20" i="30" s="1"/>
  <c r="S21" i="30"/>
  <c r="O21" i="30"/>
  <c r="F22" i="30" s="1"/>
  <c r="D22" i="30"/>
  <c r="M22" i="30" s="1"/>
  <c r="P21" i="30"/>
  <c r="R21" i="30" s="1"/>
  <c r="M76" i="30" l="1"/>
  <c r="U75" i="30"/>
  <c r="K74" i="30"/>
  <c r="N74" i="30" s="1"/>
  <c r="P24" i="39"/>
  <c r="G25" i="39" s="1"/>
  <c r="E25" i="39"/>
  <c r="N25" i="39" s="1"/>
  <c r="T24" i="39"/>
  <c r="V24" i="39" s="1"/>
  <c r="Q24" i="39"/>
  <c r="S24" i="39" s="1"/>
  <c r="E25" i="38"/>
  <c r="N25" i="38" s="1"/>
  <c r="P24" i="38"/>
  <c r="G25" i="38" s="1"/>
  <c r="T24" i="38"/>
  <c r="V24" i="38" s="1"/>
  <c r="P23" i="37"/>
  <c r="G24" i="37" s="1"/>
  <c r="E24" i="37"/>
  <c r="N24" i="37" s="1"/>
  <c r="T23" i="37"/>
  <c r="V23" i="37" s="1"/>
  <c r="Q23" i="37"/>
  <c r="S23" i="37" s="1"/>
  <c r="T23" i="36"/>
  <c r="V23" i="36" s="1"/>
  <c r="P23" i="36"/>
  <c r="G24" i="36" s="1"/>
  <c r="E24" i="36"/>
  <c r="N24" i="36" s="1"/>
  <c r="Q23" i="36"/>
  <c r="S23" i="36" s="1"/>
  <c r="Q24" i="36"/>
  <c r="S24" i="36" s="1"/>
  <c r="T23" i="35"/>
  <c r="V23" i="35" s="1"/>
  <c r="P23" i="35"/>
  <c r="G24" i="35" s="1"/>
  <c r="E24" i="35"/>
  <c r="N24" i="35" s="1"/>
  <c r="Q23" i="35"/>
  <c r="S23" i="35" s="1"/>
  <c r="D23" i="30"/>
  <c r="M23" i="30" s="1"/>
  <c r="S22" i="30"/>
  <c r="O22" i="30"/>
  <c r="F23" i="30" s="1"/>
  <c r="P22" i="30"/>
  <c r="R22" i="30" s="1"/>
  <c r="T21" i="30"/>
  <c r="U21" i="30"/>
  <c r="P23" i="30"/>
  <c r="R23" i="30" s="1"/>
  <c r="E75" i="30" l="1"/>
  <c r="Q74" i="30"/>
  <c r="R74" i="30" s="1"/>
  <c r="O74" i="30"/>
  <c r="F75" i="30" s="1"/>
  <c r="D77" i="30"/>
  <c r="S76" i="30"/>
  <c r="P76" i="30"/>
  <c r="E26" i="39"/>
  <c r="N26" i="39" s="1"/>
  <c r="T25" i="39"/>
  <c r="V25" i="39" s="1"/>
  <c r="P25" i="39"/>
  <c r="G26" i="39" s="1"/>
  <c r="Q25" i="39"/>
  <c r="S25" i="39" s="1"/>
  <c r="T25" i="38"/>
  <c r="V25" i="38" s="1"/>
  <c r="P25" i="38"/>
  <c r="G26" i="38" s="1"/>
  <c r="E26" i="38"/>
  <c r="N26" i="38" s="1"/>
  <c r="Q25" i="38"/>
  <c r="S25" i="38" s="1"/>
  <c r="E25" i="37"/>
  <c r="N25" i="37" s="1"/>
  <c r="T24" i="37"/>
  <c r="V24" i="37" s="1"/>
  <c r="P24" i="37"/>
  <c r="G25" i="37" s="1"/>
  <c r="Q24" i="37"/>
  <c r="S24" i="37" s="1"/>
  <c r="E25" i="36"/>
  <c r="N25" i="36" s="1"/>
  <c r="T24" i="36"/>
  <c r="V24" i="36" s="1"/>
  <c r="P24" i="36"/>
  <c r="G25" i="36" s="1"/>
  <c r="P24" i="35"/>
  <c r="G25" i="35" s="1"/>
  <c r="E25" i="35"/>
  <c r="N25" i="35" s="1"/>
  <c r="T24" i="35"/>
  <c r="V24" i="35" s="1"/>
  <c r="Q24" i="35"/>
  <c r="S24" i="35" s="1"/>
  <c r="T22" i="30"/>
  <c r="U22" i="30" s="1"/>
  <c r="O23" i="30"/>
  <c r="F24" i="30" s="1"/>
  <c r="D24" i="30"/>
  <c r="M24" i="30" s="1"/>
  <c r="S23" i="30"/>
  <c r="U76" i="30" l="1"/>
  <c r="K75" i="30"/>
  <c r="N75" i="30" s="1"/>
  <c r="M77" i="30"/>
  <c r="P26" i="39"/>
  <c r="G27" i="39" s="1"/>
  <c r="T26" i="39"/>
  <c r="V26" i="39" s="1"/>
  <c r="E27" i="39"/>
  <c r="N27" i="39" s="1"/>
  <c r="Q26" i="39"/>
  <c r="S26" i="39" s="1"/>
  <c r="P26" i="38"/>
  <c r="G27" i="38" s="1"/>
  <c r="E27" i="38"/>
  <c r="N27" i="38" s="1"/>
  <c r="T26" i="38"/>
  <c r="V26" i="38" s="1"/>
  <c r="Q26" i="38"/>
  <c r="S26" i="38" s="1"/>
  <c r="Q27" i="38"/>
  <c r="S27" i="38" s="1"/>
  <c r="P25" i="37"/>
  <c r="G26" i="37" s="1"/>
  <c r="E26" i="37"/>
  <c r="N26" i="37" s="1"/>
  <c r="T25" i="37"/>
  <c r="V25" i="37" s="1"/>
  <c r="Q25" i="37"/>
  <c r="S25" i="37" s="1"/>
  <c r="P25" i="36"/>
  <c r="G26" i="36" s="1"/>
  <c r="E26" i="36"/>
  <c r="N26" i="36" s="1"/>
  <c r="T25" i="36"/>
  <c r="V25" i="36" s="1"/>
  <c r="Q25" i="36"/>
  <c r="S25" i="36" s="1"/>
  <c r="T25" i="35"/>
  <c r="V25" i="35" s="1"/>
  <c r="P25" i="35"/>
  <c r="G26" i="35" s="1"/>
  <c r="E26" i="35"/>
  <c r="N26" i="35" s="1"/>
  <c r="Q25" i="35"/>
  <c r="S25" i="35" s="1"/>
  <c r="T23" i="30"/>
  <c r="U23" i="30" s="1"/>
  <c r="S24" i="30"/>
  <c r="O24" i="30"/>
  <c r="F25" i="30" s="1"/>
  <c r="D25" i="30"/>
  <c r="M25" i="30" s="1"/>
  <c r="P24" i="30"/>
  <c r="R24" i="30" s="1"/>
  <c r="E76" i="30" l="1"/>
  <c r="Q75" i="30"/>
  <c r="R75" i="30" s="1"/>
  <c r="O75" i="30"/>
  <c r="F76" i="30" s="1"/>
  <c r="S77" i="30"/>
  <c r="D78" i="30"/>
  <c r="P77" i="30"/>
  <c r="T27" i="39"/>
  <c r="V27" i="39" s="1"/>
  <c r="P27" i="39"/>
  <c r="G28" i="39" s="1"/>
  <c r="E28" i="39"/>
  <c r="N28" i="39" s="1"/>
  <c r="Q27" i="39"/>
  <c r="S27" i="39" s="1"/>
  <c r="E28" i="38"/>
  <c r="N28" i="38" s="1"/>
  <c r="T27" i="38"/>
  <c r="V27" i="38" s="1"/>
  <c r="P27" i="38"/>
  <c r="G28" i="38" s="1"/>
  <c r="T26" i="37"/>
  <c r="V26" i="37" s="1"/>
  <c r="P26" i="37"/>
  <c r="G27" i="37" s="1"/>
  <c r="E27" i="37"/>
  <c r="N27" i="37" s="1"/>
  <c r="Q26" i="37"/>
  <c r="S26" i="37" s="1"/>
  <c r="T26" i="36"/>
  <c r="V26" i="36" s="1"/>
  <c r="P26" i="36"/>
  <c r="G27" i="36" s="1"/>
  <c r="E27" i="36"/>
  <c r="N27" i="36" s="1"/>
  <c r="Q26" i="36"/>
  <c r="S26" i="36" s="1"/>
  <c r="E27" i="35"/>
  <c r="N27" i="35" s="1"/>
  <c r="P26" i="35"/>
  <c r="G27" i="35" s="1"/>
  <c r="T26" i="35"/>
  <c r="V26" i="35" s="1"/>
  <c r="Q26" i="35"/>
  <c r="S26" i="35" s="1"/>
  <c r="D26" i="30"/>
  <c r="M26" i="30" s="1"/>
  <c r="S25" i="30"/>
  <c r="O25" i="30"/>
  <c r="F26" i="30" s="1"/>
  <c r="P25" i="30"/>
  <c r="R25" i="30" s="1"/>
  <c r="T24" i="30"/>
  <c r="U24" i="30"/>
  <c r="P26" i="30"/>
  <c r="R26" i="30" s="1"/>
  <c r="M78" i="30" l="1"/>
  <c r="U77" i="30"/>
  <c r="K76" i="30"/>
  <c r="N76" i="30" s="1"/>
  <c r="T28" i="39"/>
  <c r="V28" i="39" s="1"/>
  <c r="E29" i="39"/>
  <c r="N29" i="39" s="1"/>
  <c r="P28" i="39"/>
  <c r="G29" i="39" s="1"/>
  <c r="Q28" i="39"/>
  <c r="S28" i="39" s="1"/>
  <c r="E29" i="38"/>
  <c r="N29" i="38" s="1"/>
  <c r="T28" i="38"/>
  <c r="V28" i="38" s="1"/>
  <c r="P28" i="38"/>
  <c r="G29" i="38" s="1"/>
  <c r="Q28" i="38"/>
  <c r="S28" i="38" s="1"/>
  <c r="E28" i="37"/>
  <c r="N28" i="37" s="1"/>
  <c r="T27" i="37"/>
  <c r="V27" i="37" s="1"/>
  <c r="P27" i="37"/>
  <c r="G28" i="37" s="1"/>
  <c r="Q27" i="37"/>
  <c r="S27" i="37" s="1"/>
  <c r="E28" i="36"/>
  <c r="N28" i="36" s="1"/>
  <c r="T27" i="36"/>
  <c r="V27" i="36" s="1"/>
  <c r="P27" i="36"/>
  <c r="G28" i="36" s="1"/>
  <c r="Q27" i="36"/>
  <c r="S27" i="36" s="1"/>
  <c r="T27" i="35"/>
  <c r="V27" i="35" s="1"/>
  <c r="P27" i="35"/>
  <c r="G28" i="35" s="1"/>
  <c r="E28" i="35"/>
  <c r="N28" i="35" s="1"/>
  <c r="Q27" i="35"/>
  <c r="S27" i="35" s="1"/>
  <c r="T25" i="30"/>
  <c r="U25" i="30" s="1"/>
  <c r="O26" i="30"/>
  <c r="F27" i="30" s="1"/>
  <c r="D27" i="30"/>
  <c r="M27" i="30" s="1"/>
  <c r="S26" i="30"/>
  <c r="E77" i="30" l="1"/>
  <c r="Q76" i="30"/>
  <c r="R76" i="30" s="1"/>
  <c r="O76" i="30"/>
  <c r="F77" i="30" s="1"/>
  <c r="S78" i="30"/>
  <c r="D79" i="30"/>
  <c r="P78" i="30"/>
  <c r="E30" i="39"/>
  <c r="N30" i="39" s="1"/>
  <c r="P29" i="39"/>
  <c r="G30" i="39" s="1"/>
  <c r="T29" i="39"/>
  <c r="V29" i="39" s="1"/>
  <c r="Q29" i="39"/>
  <c r="S29" i="39" s="1"/>
  <c r="P29" i="38"/>
  <c r="G30" i="38" s="1"/>
  <c r="E30" i="38"/>
  <c r="N30" i="38" s="1"/>
  <c r="T29" i="38"/>
  <c r="V29" i="38" s="1"/>
  <c r="Q29" i="38"/>
  <c r="S29" i="38" s="1"/>
  <c r="P28" i="37"/>
  <c r="G29" i="37" s="1"/>
  <c r="E29" i="37"/>
  <c r="N29" i="37" s="1"/>
  <c r="T28" i="37"/>
  <c r="V28" i="37" s="1"/>
  <c r="Q28" i="37"/>
  <c r="S28" i="37" s="1"/>
  <c r="P28" i="36"/>
  <c r="G29" i="36" s="1"/>
  <c r="E29" i="36"/>
  <c r="N29" i="36" s="1"/>
  <c r="T28" i="36"/>
  <c r="V28" i="36" s="1"/>
  <c r="Q28" i="36"/>
  <c r="S28" i="36" s="1"/>
  <c r="T28" i="35"/>
  <c r="V28" i="35" s="1"/>
  <c r="P28" i="35"/>
  <c r="G29" i="35" s="1"/>
  <c r="E29" i="35"/>
  <c r="N29" i="35" s="1"/>
  <c r="Q28" i="35"/>
  <c r="S28" i="35" s="1"/>
  <c r="T26" i="30"/>
  <c r="U26" i="30" s="1"/>
  <c r="O27" i="30"/>
  <c r="F28" i="30" s="1"/>
  <c r="D28" i="30"/>
  <c r="M28" i="30" s="1"/>
  <c r="S27" i="30"/>
  <c r="P27" i="30"/>
  <c r="R27" i="30" s="1"/>
  <c r="M79" i="30" l="1"/>
  <c r="U78" i="30"/>
  <c r="K77" i="30"/>
  <c r="N77" i="30" s="1"/>
  <c r="T30" i="39"/>
  <c r="V30" i="39" s="1"/>
  <c r="P30" i="39"/>
  <c r="Q30" i="39"/>
  <c r="S30" i="39" s="1"/>
  <c r="T30" i="38"/>
  <c r="V30" i="38" s="1"/>
  <c r="P30" i="38"/>
  <c r="Q30" i="38"/>
  <c r="S30" i="38" s="1"/>
  <c r="P29" i="37"/>
  <c r="T29" i="37"/>
  <c r="V29" i="37" s="1"/>
  <c r="Q29" i="37"/>
  <c r="S29" i="37" s="1"/>
  <c r="T29" i="36"/>
  <c r="V29" i="36" s="1"/>
  <c r="P29" i="36"/>
  <c r="Q29" i="36"/>
  <c r="S29" i="36" s="1"/>
  <c r="P29" i="35"/>
  <c r="T29" i="35"/>
  <c r="V29" i="35" s="1"/>
  <c r="Q29" i="35"/>
  <c r="S29" i="35" s="1"/>
  <c r="T27" i="30"/>
  <c r="U27" i="30" s="1"/>
  <c r="S28" i="30"/>
  <c r="O28" i="30"/>
  <c r="F29" i="30" s="1"/>
  <c r="D29" i="30"/>
  <c r="M29" i="30" s="1"/>
  <c r="P28" i="30"/>
  <c r="R28" i="30" s="1"/>
  <c r="E78" i="30" l="1"/>
  <c r="Q77" i="30"/>
  <c r="R77" i="30" s="1"/>
  <c r="O77" i="30"/>
  <c r="F78" i="30" s="1"/>
  <c r="D80" i="30"/>
  <c r="S79" i="30"/>
  <c r="P79" i="30"/>
  <c r="S29" i="30"/>
  <c r="O29" i="30"/>
  <c r="D31" i="30"/>
  <c r="P29" i="30"/>
  <c r="R29" i="30" s="1"/>
  <c r="T28" i="30"/>
  <c r="U28" i="30"/>
  <c r="U79" i="30" l="1"/>
  <c r="M80" i="30"/>
  <c r="K78" i="30"/>
  <c r="N78" i="30" s="1"/>
  <c r="M31" i="30"/>
  <c r="K31" i="30"/>
  <c r="F31" i="30"/>
  <c r="U29" i="30"/>
  <c r="T29" i="30"/>
  <c r="D32" i="30" l="1"/>
  <c r="M32" i="30" s="1"/>
  <c r="P32" i="30" s="1"/>
  <c r="E79" i="30"/>
  <c r="Q78" i="30"/>
  <c r="R78" i="30" s="1"/>
  <c r="O78" i="30"/>
  <c r="F79" i="30" s="1"/>
  <c r="S80" i="30"/>
  <c r="D81" i="30"/>
  <c r="P80" i="30"/>
  <c r="L31" i="30"/>
  <c r="N31" i="30"/>
  <c r="S31" i="30"/>
  <c r="P31" i="30"/>
  <c r="D33" i="30" l="1"/>
  <c r="O31" i="30"/>
  <c r="F32" i="30" s="1"/>
  <c r="U80" i="30"/>
  <c r="M81" i="30"/>
  <c r="K79" i="30"/>
  <c r="N79" i="30" s="1"/>
  <c r="Q31" i="30"/>
  <c r="R31" i="30" s="1"/>
  <c r="E32" i="30"/>
  <c r="T31" i="30"/>
  <c r="U31" i="30" s="1"/>
  <c r="M33" i="30"/>
  <c r="S32" i="30"/>
  <c r="E80" i="30" l="1"/>
  <c r="Q79" i="30"/>
  <c r="R79" i="30" s="1"/>
  <c r="O79" i="30"/>
  <c r="F80" i="30" s="1"/>
  <c r="S81" i="30"/>
  <c r="D82" i="30"/>
  <c r="P81" i="30"/>
  <c r="T32" i="30"/>
  <c r="U32" i="30" s="1"/>
  <c r="K32" i="30"/>
  <c r="L32" i="30" s="1"/>
  <c r="S33" i="30"/>
  <c r="P33" i="30"/>
  <c r="D34" i="30"/>
  <c r="M82" i="30" l="1"/>
  <c r="U81" i="30"/>
  <c r="K80" i="30"/>
  <c r="N80" i="30" s="1"/>
  <c r="T33" i="30"/>
  <c r="U33" i="30" s="1"/>
  <c r="M34" i="30"/>
  <c r="N32" i="30"/>
  <c r="E81" i="30" l="1"/>
  <c r="Q80" i="30"/>
  <c r="R80" i="30" s="1"/>
  <c r="O80" i="30"/>
  <c r="F81" i="30" s="1"/>
  <c r="S82" i="30"/>
  <c r="D83" i="30"/>
  <c r="P82" i="30"/>
  <c r="S34" i="30"/>
  <c r="D35" i="30"/>
  <c r="P34" i="30"/>
  <c r="E33" i="30"/>
  <c r="O32" i="30"/>
  <c r="F33" i="30" s="1"/>
  <c r="Q32" i="30"/>
  <c r="R32" i="30" s="1"/>
  <c r="U82" i="30" l="1"/>
  <c r="M83" i="30"/>
  <c r="K81" i="30"/>
  <c r="N81" i="30" s="1"/>
  <c r="K33" i="30"/>
  <c r="L33" i="30" s="1"/>
  <c r="M35" i="30"/>
  <c r="T34" i="30"/>
  <c r="U34" i="30" s="1"/>
  <c r="E82" i="30" l="1"/>
  <c r="Q81" i="30"/>
  <c r="R81" i="30" s="1"/>
  <c r="O81" i="30"/>
  <c r="F82" i="30" s="1"/>
  <c r="S83" i="30"/>
  <c r="D84" i="30"/>
  <c r="P83" i="30"/>
  <c r="S35" i="30"/>
  <c r="D36" i="30"/>
  <c r="P35" i="30"/>
  <c r="N33" i="30"/>
  <c r="M84" i="30" l="1"/>
  <c r="U83" i="30"/>
  <c r="K82" i="30"/>
  <c r="N82" i="30" s="1"/>
  <c r="E34" i="30"/>
  <c r="O33" i="30"/>
  <c r="F34" i="30" s="1"/>
  <c r="Q33" i="30"/>
  <c r="R33" i="30" s="1"/>
  <c r="M36" i="30"/>
  <c r="T35" i="30"/>
  <c r="U35" i="30" s="1"/>
  <c r="E83" i="30" l="1"/>
  <c r="Q82" i="30"/>
  <c r="R82" i="30" s="1"/>
  <c r="O82" i="30"/>
  <c r="F83" i="30" s="1"/>
  <c r="S84" i="30"/>
  <c r="D85" i="30"/>
  <c r="P84" i="30"/>
  <c r="S36" i="30"/>
  <c r="P36" i="30"/>
  <c r="K34" i="30"/>
  <c r="L34" i="30" s="1"/>
  <c r="M85" i="30" l="1"/>
  <c r="U84" i="30"/>
  <c r="K83" i="30"/>
  <c r="N83" i="30" s="1"/>
  <c r="N34" i="30"/>
  <c r="T36" i="30"/>
  <c r="U36" i="30" s="1"/>
  <c r="E84" i="30" l="1"/>
  <c r="Q83" i="30"/>
  <c r="R83" i="30" s="1"/>
  <c r="O83" i="30"/>
  <c r="F84" i="30" s="1"/>
  <c r="S85" i="30"/>
  <c r="D86" i="30"/>
  <c r="P85" i="30"/>
  <c r="E35" i="30"/>
  <c r="O34" i="30"/>
  <c r="F35" i="30" s="1"/>
  <c r="Q34" i="30"/>
  <c r="R34" i="30" s="1"/>
  <c r="M86" i="30" l="1"/>
  <c r="U85" i="30"/>
  <c r="K84" i="30"/>
  <c r="N84" i="30" s="1"/>
  <c r="K35" i="30"/>
  <c r="L35" i="30" s="1"/>
  <c r="E85" i="30" l="1"/>
  <c r="Q84" i="30"/>
  <c r="R84" i="30" s="1"/>
  <c r="O84" i="30"/>
  <c r="F85" i="30" s="1"/>
  <c r="S86" i="30"/>
  <c r="D87" i="30"/>
  <c r="P86" i="30"/>
  <c r="N35" i="30"/>
  <c r="M87" i="30" l="1"/>
  <c r="U86" i="30"/>
  <c r="K85" i="30"/>
  <c r="N85" i="30" s="1"/>
  <c r="E36" i="30"/>
  <c r="O35" i="30"/>
  <c r="F36" i="30" s="1"/>
  <c r="Q35" i="30"/>
  <c r="R35" i="30" s="1"/>
  <c r="E86" i="30" l="1"/>
  <c r="Q85" i="30"/>
  <c r="R85" i="30" s="1"/>
  <c r="O85" i="30"/>
  <c r="F86" i="30" s="1"/>
  <c r="S87" i="30"/>
  <c r="D88" i="30"/>
  <c r="P87" i="30"/>
  <c r="K36" i="30"/>
  <c r="L36" i="30" s="1"/>
  <c r="M88" i="30" l="1"/>
  <c r="U87" i="30"/>
  <c r="K86" i="30"/>
  <c r="N86" i="30" s="1"/>
  <c r="N36" i="30"/>
  <c r="E87" i="30" l="1"/>
  <c r="Q86" i="30"/>
  <c r="R86" i="30" s="1"/>
  <c r="O86" i="30"/>
  <c r="F87" i="30" s="1"/>
  <c r="S88" i="30"/>
  <c r="D89" i="30"/>
  <c r="P88" i="30"/>
  <c r="O36" i="30"/>
  <c r="Q36" i="30"/>
  <c r="R36" i="30" s="1"/>
  <c r="M89" i="30" l="1"/>
  <c r="U88" i="30"/>
  <c r="K87" i="30"/>
  <c r="N87" i="30" s="1"/>
  <c r="M29" i="29"/>
  <c r="J29" i="29"/>
  <c r="M28" i="29"/>
  <c r="J28" i="29"/>
  <c r="M27" i="29"/>
  <c r="J27" i="29"/>
  <c r="M26" i="29"/>
  <c r="J26" i="29"/>
  <c r="M25" i="29"/>
  <c r="J25" i="29"/>
  <c r="M24" i="29"/>
  <c r="J24" i="29"/>
  <c r="M23" i="29"/>
  <c r="J23" i="29"/>
  <c r="M22" i="29"/>
  <c r="J22" i="29"/>
  <c r="M21" i="29"/>
  <c r="J21" i="29"/>
  <c r="M20" i="29"/>
  <c r="J20" i="29"/>
  <c r="M19" i="29"/>
  <c r="J19" i="29"/>
  <c r="T18" i="29"/>
  <c r="V18" i="29" s="1"/>
  <c r="O18" i="29"/>
  <c r="N18" i="29"/>
  <c r="M18" i="29"/>
  <c r="J18" i="29"/>
  <c r="G18" i="29"/>
  <c r="F18" i="29"/>
  <c r="E18" i="29"/>
  <c r="J18" i="28"/>
  <c r="M18" i="28"/>
  <c r="J19" i="28"/>
  <c r="M19" i="28"/>
  <c r="J20" i="28"/>
  <c r="M20" i="28"/>
  <c r="J21" i="28"/>
  <c r="M21" i="28"/>
  <c r="J22" i="28"/>
  <c r="M22" i="28"/>
  <c r="J23" i="28"/>
  <c r="M23" i="28"/>
  <c r="J24" i="28"/>
  <c r="M24" i="28"/>
  <c r="J25" i="28"/>
  <c r="M25" i="28"/>
  <c r="J26" i="28"/>
  <c r="M26" i="28"/>
  <c r="J27" i="28"/>
  <c r="M27" i="28"/>
  <c r="J28" i="28"/>
  <c r="M28" i="28"/>
  <c r="J29" i="28"/>
  <c r="M29" i="28"/>
  <c r="E88" i="30" l="1"/>
  <c r="Q87" i="30"/>
  <c r="R87" i="30" s="1"/>
  <c r="O87" i="30"/>
  <c r="F88" i="30" s="1"/>
  <c r="S89" i="30"/>
  <c r="P89" i="30"/>
  <c r="E19" i="29"/>
  <c r="N19" i="29" s="1"/>
  <c r="Q19" i="29"/>
  <c r="F19" i="29"/>
  <c r="O19" i="29" s="1"/>
  <c r="P18" i="29"/>
  <c r="G19" i="29" s="1"/>
  <c r="Q18" i="29"/>
  <c r="S18" i="29" s="1"/>
  <c r="R18" i="29"/>
  <c r="U89" i="30" l="1"/>
  <c r="K88" i="30"/>
  <c r="N88" i="30" s="1"/>
  <c r="F20" i="29"/>
  <c r="O20" i="29" s="1"/>
  <c r="F21" i="29" s="1"/>
  <c r="O21" i="29" s="1"/>
  <c r="F22" i="29" s="1"/>
  <c r="O22" i="29" s="1"/>
  <c r="F23" i="29" s="1"/>
  <c r="O23" i="29" s="1"/>
  <c r="F24" i="29" s="1"/>
  <c r="O24" i="29" s="1"/>
  <c r="F25" i="29" s="1"/>
  <c r="O25" i="29" s="1"/>
  <c r="F26" i="29" s="1"/>
  <c r="O26" i="29" s="1"/>
  <c r="F27" i="29" s="1"/>
  <c r="O27" i="29" s="1"/>
  <c r="F28" i="29" s="1"/>
  <c r="O28" i="29" s="1"/>
  <c r="F29" i="29" s="1"/>
  <c r="O29" i="29" s="1"/>
  <c r="R20" i="29"/>
  <c r="T19" i="29"/>
  <c r="V19" i="29" s="1"/>
  <c r="E20" i="29"/>
  <c r="N20" i="29" s="1"/>
  <c r="P19" i="29"/>
  <c r="G20" i="29" s="1"/>
  <c r="Q20" i="29"/>
  <c r="S20" i="29" s="1"/>
  <c r="R21" i="29"/>
  <c r="R19" i="29"/>
  <c r="S19" i="29" s="1"/>
  <c r="E89" i="30" l="1"/>
  <c r="Q88" i="30"/>
  <c r="R88" i="30" s="1"/>
  <c r="O88" i="30"/>
  <c r="F89" i="30" s="1"/>
  <c r="P20" i="29"/>
  <c r="G21" i="29" s="1"/>
  <c r="E21" i="29"/>
  <c r="N21" i="29" s="1"/>
  <c r="T20" i="29"/>
  <c r="V20" i="29" s="1"/>
  <c r="Q21" i="29"/>
  <c r="S21" i="29" s="1"/>
  <c r="R25" i="29"/>
  <c r="R22" i="29"/>
  <c r="R23" i="29"/>
  <c r="R27" i="29"/>
  <c r="R28" i="29"/>
  <c r="R29" i="29"/>
  <c r="R26" i="29"/>
  <c r="R24" i="29"/>
  <c r="K89" i="30" l="1"/>
  <c r="N89" i="30" s="1"/>
  <c r="P21" i="29"/>
  <c r="G22" i="29" s="1"/>
  <c r="E22" i="29"/>
  <c r="N22" i="29" s="1"/>
  <c r="T21" i="29"/>
  <c r="V21" i="29" s="1"/>
  <c r="Q89" i="30" l="1"/>
  <c r="R89" i="30" s="1"/>
  <c r="O89" i="30"/>
  <c r="E23" i="29"/>
  <c r="N23" i="29" s="1"/>
  <c r="T22" i="29"/>
  <c r="V22" i="29" s="1"/>
  <c r="P22" i="29"/>
  <c r="G23" i="29" s="1"/>
  <c r="Q22" i="29"/>
  <c r="S22" i="29" s="1"/>
  <c r="Q23" i="29"/>
  <c r="S23" i="29" s="1"/>
  <c r="P23" i="29" l="1"/>
  <c r="G24" i="29" s="1"/>
  <c r="E24" i="29"/>
  <c r="N24" i="29" s="1"/>
  <c r="T23" i="29"/>
  <c r="V23" i="29" s="1"/>
  <c r="Q24" i="29"/>
  <c r="S24" i="29" s="1"/>
  <c r="T24" i="29" l="1"/>
  <c r="V24" i="29" s="1"/>
  <c r="P24" i="29"/>
  <c r="G25" i="29" s="1"/>
  <c r="E25" i="29"/>
  <c r="N25" i="29" s="1"/>
  <c r="P25" i="29" l="1"/>
  <c r="G26" i="29" s="1"/>
  <c r="E26" i="29"/>
  <c r="N26" i="29" s="1"/>
  <c r="T25" i="29"/>
  <c r="V25" i="29" s="1"/>
  <c r="Q25" i="29"/>
  <c r="S25" i="29" s="1"/>
  <c r="T26" i="29" l="1"/>
  <c r="V26" i="29" s="1"/>
  <c r="P26" i="29"/>
  <c r="G27" i="29" s="1"/>
  <c r="E27" i="29"/>
  <c r="N27" i="29" s="1"/>
  <c r="Q26" i="29"/>
  <c r="S26" i="29" s="1"/>
  <c r="E28" i="29" l="1"/>
  <c r="N28" i="29" s="1"/>
  <c r="T27" i="29"/>
  <c r="V27" i="29" s="1"/>
  <c r="P27" i="29"/>
  <c r="G28" i="29" s="1"/>
  <c r="Q27" i="29"/>
  <c r="S27" i="29" s="1"/>
  <c r="I29" i="71"/>
  <c r="I30" i="71"/>
  <c r="I31" i="71"/>
  <c r="K42" i="71"/>
  <c r="K67" i="71"/>
  <c r="K69" i="71"/>
  <c r="K70" i="71"/>
  <c r="K71" i="71"/>
  <c r="K72" i="71"/>
  <c r="K73" i="71"/>
  <c r="K74" i="71"/>
  <c r="K75" i="71"/>
  <c r="K76" i="71"/>
  <c r="K77" i="71"/>
  <c r="K78" i="71"/>
  <c r="K79" i="71"/>
  <c r="K80" i="71"/>
  <c r="K81" i="71"/>
  <c r="K82" i="71"/>
  <c r="K83" i="71"/>
  <c r="K85" i="71"/>
  <c r="K86" i="71"/>
  <c r="K87" i="71"/>
  <c r="K88" i="71"/>
  <c r="K89" i="71"/>
  <c r="K90" i="71"/>
  <c r="H24" i="71"/>
  <c r="H25" i="71"/>
  <c r="H26" i="71"/>
  <c r="H28" i="71"/>
  <c r="H29" i="71"/>
  <c r="H30" i="71"/>
  <c r="H31" i="71"/>
  <c r="H32" i="71"/>
  <c r="H33" i="71"/>
  <c r="H34" i="71"/>
  <c r="H35" i="71"/>
  <c r="H36" i="71"/>
  <c r="H37" i="71"/>
  <c r="H38" i="71"/>
  <c r="H39" i="71"/>
  <c r="H40" i="71"/>
  <c r="H41" i="71"/>
  <c r="H42" i="71"/>
  <c r="H43" i="71"/>
  <c r="H44" i="71"/>
  <c r="H45" i="71"/>
  <c r="H46" i="71"/>
  <c r="H47" i="71"/>
  <c r="H48" i="71"/>
  <c r="H49" i="71"/>
  <c r="H50" i="71"/>
  <c r="H51" i="71"/>
  <c r="H52" i="71"/>
  <c r="H53" i="71"/>
  <c r="H54" i="71"/>
  <c r="H55" i="71"/>
  <c r="H56" i="71"/>
  <c r="H57" i="71"/>
  <c r="H58" i="71"/>
  <c r="H59" i="71"/>
  <c r="H60" i="71"/>
  <c r="H61" i="71"/>
  <c r="H62" i="71"/>
  <c r="H63" i="71"/>
  <c r="H64" i="71"/>
  <c r="H65" i="71"/>
  <c r="H66" i="71"/>
  <c r="H67" i="71"/>
  <c r="H68" i="71"/>
  <c r="H69" i="71"/>
  <c r="H70" i="71"/>
  <c r="H71" i="71"/>
  <c r="H72" i="71"/>
  <c r="H73" i="71"/>
  <c r="H74" i="71"/>
  <c r="H75" i="71"/>
  <c r="H76" i="71"/>
  <c r="H77" i="71"/>
  <c r="H78" i="71"/>
  <c r="H79" i="71"/>
  <c r="H80" i="71"/>
  <c r="H81" i="71"/>
  <c r="H82" i="71"/>
  <c r="H83" i="71"/>
  <c r="H84" i="71"/>
  <c r="H85" i="71"/>
  <c r="H86" i="71"/>
  <c r="H87" i="71"/>
  <c r="H88" i="71"/>
  <c r="H89" i="71"/>
  <c r="H90" i="71"/>
  <c r="I26" i="71"/>
  <c r="K25" i="71"/>
  <c r="K24" i="71"/>
  <c r="K23" i="71"/>
  <c r="H23" i="71"/>
  <c r="K22" i="71"/>
  <c r="H22" i="71"/>
  <c r="K21" i="71"/>
  <c r="H21" i="71"/>
  <c r="K20" i="71"/>
  <c r="H20" i="71"/>
  <c r="K19" i="71"/>
  <c r="H19" i="71"/>
  <c r="K18" i="71"/>
  <c r="H18" i="71"/>
  <c r="K17" i="71"/>
  <c r="H17" i="71"/>
  <c r="K16" i="71"/>
  <c r="H16" i="71"/>
  <c r="K15" i="71"/>
  <c r="H15" i="71"/>
  <c r="K14" i="71"/>
  <c r="H14" i="71"/>
  <c r="K13" i="71"/>
  <c r="H13" i="71"/>
  <c r="K12" i="71"/>
  <c r="H12" i="71"/>
  <c r="K11" i="71"/>
  <c r="H11" i="71"/>
  <c r="K10" i="71"/>
  <c r="H10" i="71"/>
  <c r="K9" i="71"/>
  <c r="H9" i="71"/>
  <c r="K8" i="71"/>
  <c r="H8" i="71"/>
  <c r="M7" i="71"/>
  <c r="D8" i="71" s="1"/>
  <c r="M8" i="71" s="1"/>
  <c r="L7" i="71"/>
  <c r="C8" i="71" s="1"/>
  <c r="L8" i="71" s="1"/>
  <c r="H7" i="71"/>
  <c r="J25" i="70"/>
  <c r="J27" i="70"/>
  <c r="J28" i="70"/>
  <c r="J29" i="70"/>
  <c r="K26" i="70"/>
  <c r="M26" i="70" s="1"/>
  <c r="K27" i="70"/>
  <c r="M27" i="70" s="1"/>
  <c r="K28" i="70"/>
  <c r="M28" i="70" s="1"/>
  <c r="K29" i="70"/>
  <c r="K30" i="70"/>
  <c r="M30" i="70" s="1"/>
  <c r="M31" i="70"/>
  <c r="M32" i="70"/>
  <c r="M33" i="70"/>
  <c r="M42" i="70"/>
  <c r="M44" i="70"/>
  <c r="M45" i="70"/>
  <c r="M48" i="70"/>
  <c r="M49" i="70"/>
  <c r="M51" i="70"/>
  <c r="M52" i="70"/>
  <c r="M53" i="70"/>
  <c r="M56" i="70"/>
  <c r="M57" i="70"/>
  <c r="M58" i="70"/>
  <c r="M60" i="70"/>
  <c r="M61" i="70"/>
  <c r="M63" i="70"/>
  <c r="M64" i="70"/>
  <c r="M65" i="70"/>
  <c r="M67" i="70"/>
  <c r="M68" i="70"/>
  <c r="M69" i="70"/>
  <c r="M70" i="70"/>
  <c r="M72" i="70"/>
  <c r="M73" i="70"/>
  <c r="M74" i="70"/>
  <c r="M76" i="70"/>
  <c r="M77" i="70"/>
  <c r="M78" i="70"/>
  <c r="M80" i="70"/>
  <c r="M81" i="70"/>
  <c r="M82" i="70"/>
  <c r="M83" i="70"/>
  <c r="M84" i="70"/>
  <c r="M85" i="70"/>
  <c r="M86" i="70"/>
  <c r="M88" i="70"/>
  <c r="M89" i="70"/>
  <c r="K25" i="70"/>
  <c r="M25" i="70" s="1"/>
  <c r="M24" i="70"/>
  <c r="M23" i="70"/>
  <c r="J22" i="70"/>
  <c r="J23" i="70"/>
  <c r="J24" i="70"/>
  <c r="M22" i="70"/>
  <c r="J21" i="70"/>
  <c r="M20" i="70"/>
  <c r="J20" i="70"/>
  <c r="M19" i="70"/>
  <c r="J19" i="70"/>
  <c r="M18" i="70"/>
  <c r="J18" i="70"/>
  <c r="M17" i="70"/>
  <c r="J17" i="70"/>
  <c r="M16" i="70"/>
  <c r="J16" i="70"/>
  <c r="M15" i="70"/>
  <c r="J15" i="70"/>
  <c r="M14" i="70"/>
  <c r="J14" i="70"/>
  <c r="M13" i="70"/>
  <c r="J13" i="70"/>
  <c r="M12" i="70"/>
  <c r="J12" i="70"/>
  <c r="M11" i="70"/>
  <c r="J11" i="70"/>
  <c r="M10" i="70"/>
  <c r="J10" i="70"/>
  <c r="M9" i="70"/>
  <c r="J9" i="70"/>
  <c r="M8" i="70"/>
  <c r="J8" i="70"/>
  <c r="M7" i="70"/>
  <c r="J7" i="70"/>
  <c r="E7" i="70"/>
  <c r="N7" i="70" s="1"/>
  <c r="E8" i="70" s="1"/>
  <c r="N8" i="70" s="1"/>
  <c r="O6" i="70"/>
  <c r="N6" i="70"/>
  <c r="P6" i="70" s="1"/>
  <c r="G7" i="70" s="1"/>
  <c r="M6" i="70"/>
  <c r="J6" i="70"/>
  <c r="M47" i="70" l="1"/>
  <c r="P28" i="29"/>
  <c r="G29" i="29" s="1"/>
  <c r="E29" i="29"/>
  <c r="N29" i="29" s="1"/>
  <c r="T28" i="29"/>
  <c r="V28" i="29" s="1"/>
  <c r="Q28" i="29"/>
  <c r="S28" i="29" s="1"/>
  <c r="M29" i="70"/>
  <c r="M59" i="70"/>
  <c r="K30" i="71"/>
  <c r="M43" i="70"/>
  <c r="K66" i="71"/>
  <c r="M62" i="70"/>
  <c r="M75" i="70"/>
  <c r="M46" i="70"/>
  <c r="M87" i="70"/>
  <c r="F27" i="71"/>
  <c r="G27" i="71" s="1"/>
  <c r="K54" i="71"/>
  <c r="K47" i="71"/>
  <c r="M50" i="70"/>
  <c r="M66" i="70"/>
  <c r="M71" i="70"/>
  <c r="K58" i="71"/>
  <c r="M54" i="70"/>
  <c r="M55" i="70"/>
  <c r="M79" i="70"/>
  <c r="K34" i="71"/>
  <c r="K61" i="71"/>
  <c r="K43" i="71"/>
  <c r="K48" i="71"/>
  <c r="K59" i="71"/>
  <c r="K64" i="71"/>
  <c r="K53" i="71"/>
  <c r="K29" i="71"/>
  <c r="K63" i="71"/>
  <c r="K52" i="71"/>
  <c r="K46" i="71"/>
  <c r="K57" i="71"/>
  <c r="K51" i="71"/>
  <c r="K39" i="71"/>
  <c r="K33" i="71"/>
  <c r="G29" i="71"/>
  <c r="K41" i="71"/>
  <c r="K62" i="71"/>
  <c r="K56" i="71"/>
  <c r="K50" i="71"/>
  <c r="K45" i="71"/>
  <c r="K32" i="71"/>
  <c r="K49" i="71"/>
  <c r="K65" i="71"/>
  <c r="G31" i="71"/>
  <c r="K55" i="71"/>
  <c r="K31" i="71"/>
  <c r="K84" i="71"/>
  <c r="K68" i="71"/>
  <c r="K60" i="71"/>
  <c r="K44" i="71"/>
  <c r="K36" i="71"/>
  <c r="O7" i="71"/>
  <c r="P7" i="71"/>
  <c r="N8" i="71"/>
  <c r="E9" i="71" s="1"/>
  <c r="N7" i="71"/>
  <c r="E8" i="71" s="1"/>
  <c r="G26" i="71"/>
  <c r="G30" i="71"/>
  <c r="G32" i="71"/>
  <c r="G42" i="71"/>
  <c r="G36" i="71"/>
  <c r="G41" i="71"/>
  <c r="G37" i="71"/>
  <c r="G28" i="71"/>
  <c r="G35" i="71"/>
  <c r="O8" i="71"/>
  <c r="C9" i="71"/>
  <c r="L9" i="71" s="1"/>
  <c r="G33" i="71"/>
  <c r="G40" i="71"/>
  <c r="G39" i="71"/>
  <c r="P8" i="71"/>
  <c r="D9" i="71"/>
  <c r="M9" i="71" s="1"/>
  <c r="G34" i="71"/>
  <c r="G38" i="71"/>
  <c r="E9" i="70"/>
  <c r="N9" i="70" s="1"/>
  <c r="E10" i="70" s="1"/>
  <c r="N10" i="70" s="1"/>
  <c r="P10" i="70" s="1"/>
  <c r="G11" i="70" s="1"/>
  <c r="P8" i="70"/>
  <c r="G9" i="70" s="1"/>
  <c r="P7" i="70"/>
  <c r="G8" i="70" s="1"/>
  <c r="F7" i="70"/>
  <c r="O7" i="70" s="1"/>
  <c r="T29" i="29" l="1"/>
  <c r="V29" i="29" s="1"/>
  <c r="P29" i="29"/>
  <c r="Q29" i="29"/>
  <c r="S29" i="29" s="1"/>
  <c r="H27" i="71"/>
  <c r="Q8" i="71"/>
  <c r="Q7" i="71"/>
  <c r="D10" i="71"/>
  <c r="M10" i="71" s="1"/>
  <c r="P10" i="71" s="1"/>
  <c r="G67" i="71"/>
  <c r="O9" i="71"/>
  <c r="G43" i="71"/>
  <c r="N9" i="71"/>
  <c r="E10" i="71" s="1"/>
  <c r="C10" i="71"/>
  <c r="L10" i="71" s="1"/>
  <c r="G79" i="71"/>
  <c r="P9" i="71"/>
  <c r="G55" i="71"/>
  <c r="P9" i="70"/>
  <c r="G10" i="70" s="1"/>
  <c r="E11" i="70"/>
  <c r="N11" i="70" s="1"/>
  <c r="E12" i="70" s="1"/>
  <c r="N12" i="70" s="1"/>
  <c r="F8" i="70"/>
  <c r="O8" i="70" s="1"/>
  <c r="G80" i="71" l="1"/>
  <c r="G44" i="71"/>
  <c r="G56" i="71"/>
  <c r="O10" i="71"/>
  <c r="Q10" i="71" s="1"/>
  <c r="G68" i="71"/>
  <c r="D11" i="71"/>
  <c r="M11" i="71" s="1"/>
  <c r="P11" i="71" s="1"/>
  <c r="Q9" i="71"/>
  <c r="N10" i="71"/>
  <c r="E11" i="71" s="1"/>
  <c r="C11" i="71"/>
  <c r="L11" i="71" s="1"/>
  <c r="O11" i="71"/>
  <c r="P11" i="70"/>
  <c r="G12" i="70" s="1"/>
  <c r="F9" i="70"/>
  <c r="O9" i="70" s="1"/>
  <c r="E13" i="70"/>
  <c r="N13" i="70" s="1"/>
  <c r="P12" i="70"/>
  <c r="G13" i="70" s="1"/>
  <c r="Q11" i="71" l="1"/>
  <c r="G45" i="71"/>
  <c r="N11" i="71"/>
  <c r="E12" i="71" s="1"/>
  <c r="C12" i="71"/>
  <c r="L12" i="71" s="1"/>
  <c r="D12" i="71"/>
  <c r="M12" i="71" s="1"/>
  <c r="G57" i="71"/>
  <c r="G81" i="71"/>
  <c r="G69" i="71"/>
  <c r="E14" i="70"/>
  <c r="N14" i="70" s="1"/>
  <c r="P13" i="70"/>
  <c r="G14" i="70" s="1"/>
  <c r="F10" i="70"/>
  <c r="O10" i="70" s="1"/>
  <c r="G82" i="71" l="1"/>
  <c r="N12" i="71"/>
  <c r="E13" i="71" s="1"/>
  <c r="C13" i="71"/>
  <c r="L13" i="71" s="1"/>
  <c r="O13" i="71" s="1"/>
  <c r="D13" i="71"/>
  <c r="M13" i="71" s="1"/>
  <c r="P12" i="71"/>
  <c r="G46" i="71"/>
  <c r="G58" i="71"/>
  <c r="G70" i="71"/>
  <c r="O12" i="71"/>
  <c r="F11" i="70"/>
  <c r="O11" i="70" s="1"/>
  <c r="P14" i="70"/>
  <c r="G15" i="70" s="1"/>
  <c r="E15" i="70"/>
  <c r="N15" i="70" s="1"/>
  <c r="Q12" i="71" l="1"/>
  <c r="G59" i="71"/>
  <c r="D14" i="71"/>
  <c r="M14" i="71" s="1"/>
  <c r="P13" i="71"/>
  <c r="Q13" i="71" s="1"/>
  <c r="G71" i="71"/>
  <c r="G47" i="71"/>
  <c r="G83" i="71"/>
  <c r="N13" i="71"/>
  <c r="E14" i="71" s="1"/>
  <c r="C14" i="71"/>
  <c r="L14" i="71" s="1"/>
  <c r="O14" i="71" s="1"/>
  <c r="E16" i="70"/>
  <c r="N16" i="70" s="1"/>
  <c r="P15" i="70"/>
  <c r="G16" i="70" s="1"/>
  <c r="F12" i="70"/>
  <c r="O12" i="70" s="1"/>
  <c r="G72" i="71" l="1"/>
  <c r="G60" i="71"/>
  <c r="G84" i="71"/>
  <c r="N14" i="71"/>
  <c r="E15" i="71" s="1"/>
  <c r="C15" i="71"/>
  <c r="L15" i="71" s="1"/>
  <c r="G48" i="71"/>
  <c r="D15" i="71"/>
  <c r="M15" i="71" s="1"/>
  <c r="P14" i="71"/>
  <c r="Q14" i="71" s="1"/>
  <c r="F13" i="70"/>
  <c r="O13" i="70" s="1"/>
  <c r="E17" i="70"/>
  <c r="N17" i="70" s="1"/>
  <c r="P16" i="70"/>
  <c r="G17" i="70" s="1"/>
  <c r="D16" i="71" l="1"/>
  <c r="M16" i="71" s="1"/>
  <c r="N15" i="71"/>
  <c r="E16" i="71" s="1"/>
  <c r="C16" i="71"/>
  <c r="L16" i="71" s="1"/>
  <c r="O15" i="71"/>
  <c r="G61" i="71"/>
  <c r="G49" i="71"/>
  <c r="G73" i="71"/>
  <c r="G85" i="71"/>
  <c r="P15" i="71"/>
  <c r="F14" i="70"/>
  <c r="O14" i="70" s="1"/>
  <c r="E18" i="70"/>
  <c r="N18" i="70" s="1"/>
  <c r="P17" i="70"/>
  <c r="G18" i="70" s="1"/>
  <c r="Q18" i="70"/>
  <c r="S18" i="70" s="1"/>
  <c r="G86" i="71" l="1"/>
  <c r="Q15" i="71"/>
  <c r="G50" i="71"/>
  <c r="D17" i="71"/>
  <c r="M17" i="71" s="1"/>
  <c r="P16" i="71"/>
  <c r="G74" i="71"/>
  <c r="G62" i="71"/>
  <c r="N16" i="71"/>
  <c r="E17" i="71" s="1"/>
  <c r="C17" i="71"/>
  <c r="L17" i="71" s="1"/>
  <c r="O16" i="71"/>
  <c r="F15" i="70"/>
  <c r="O15" i="70" s="1"/>
  <c r="E19" i="70"/>
  <c r="N19" i="70" s="1"/>
  <c r="P18" i="70"/>
  <c r="G19" i="70" s="1"/>
  <c r="Q16" i="71" l="1"/>
  <c r="G63" i="71"/>
  <c r="G51" i="71"/>
  <c r="N17" i="71"/>
  <c r="E18" i="71" s="1"/>
  <c r="C18" i="71"/>
  <c r="L18" i="71" s="1"/>
  <c r="O17" i="71"/>
  <c r="G75" i="71"/>
  <c r="D18" i="71"/>
  <c r="M18" i="71" s="1"/>
  <c r="P17" i="71"/>
  <c r="G87" i="71"/>
  <c r="F16" i="70"/>
  <c r="O16" i="70" s="1"/>
  <c r="P19" i="70"/>
  <c r="G20" i="70" s="1"/>
  <c r="E20" i="70"/>
  <c r="N20" i="70" s="1"/>
  <c r="Q19" i="70"/>
  <c r="S19" i="70" s="1"/>
  <c r="G52" i="71" l="1"/>
  <c r="G88" i="71"/>
  <c r="Q17" i="71"/>
  <c r="N18" i="71"/>
  <c r="E19" i="71" s="1"/>
  <c r="C19" i="71"/>
  <c r="L19" i="71" s="1"/>
  <c r="O18" i="71"/>
  <c r="D19" i="71"/>
  <c r="M19" i="71" s="1"/>
  <c r="P18" i="71"/>
  <c r="G76" i="71"/>
  <c r="G64" i="71"/>
  <c r="F17" i="70"/>
  <c r="O17" i="70" s="1"/>
  <c r="E21" i="70"/>
  <c r="N21" i="70" s="1"/>
  <c r="P20" i="70"/>
  <c r="G21" i="70" s="1"/>
  <c r="Q20" i="70"/>
  <c r="S20" i="70" s="1"/>
  <c r="G89" i="71" l="1"/>
  <c r="G77" i="71"/>
  <c r="N19" i="71"/>
  <c r="E20" i="71" s="1"/>
  <c r="C20" i="71"/>
  <c r="L20" i="71" s="1"/>
  <c r="O19" i="71"/>
  <c r="Q18" i="71"/>
  <c r="D20" i="71"/>
  <c r="M20" i="71" s="1"/>
  <c r="P19" i="71"/>
  <c r="G53" i="71"/>
  <c r="G65" i="71"/>
  <c r="E22" i="70"/>
  <c r="N22" i="70" s="1"/>
  <c r="P21" i="70"/>
  <c r="G22" i="70" s="1"/>
  <c r="Q21" i="70"/>
  <c r="S21" i="70" s="1"/>
  <c r="F18" i="70"/>
  <c r="O18" i="70" s="1"/>
  <c r="N20" i="71" l="1"/>
  <c r="E21" i="71" s="1"/>
  <c r="C21" i="71"/>
  <c r="L21" i="71" s="1"/>
  <c r="O20" i="71"/>
  <c r="G78" i="71"/>
  <c r="G66" i="71"/>
  <c r="G54" i="71"/>
  <c r="D21" i="71"/>
  <c r="M21" i="71" s="1"/>
  <c r="P20" i="71"/>
  <c r="Q19" i="71"/>
  <c r="G90" i="71"/>
  <c r="F19" i="70"/>
  <c r="O19" i="70" s="1"/>
  <c r="R18" i="70"/>
  <c r="E23" i="70"/>
  <c r="N23" i="70" s="1"/>
  <c r="Q22" i="70"/>
  <c r="Q20" i="71" l="1"/>
  <c r="N21" i="71"/>
  <c r="E22" i="71" s="1"/>
  <c r="C22" i="71"/>
  <c r="L22" i="71" s="1"/>
  <c r="O21" i="71"/>
  <c r="D22" i="71"/>
  <c r="M22" i="71" s="1"/>
  <c r="P21" i="71"/>
  <c r="E24" i="70"/>
  <c r="N24" i="70" s="1"/>
  <c r="Q23" i="70"/>
  <c r="F20" i="70"/>
  <c r="O20" i="70" s="1"/>
  <c r="R19" i="70"/>
  <c r="Q21" i="71" l="1"/>
  <c r="N22" i="71"/>
  <c r="E23" i="71" s="1"/>
  <c r="C23" i="71"/>
  <c r="L23" i="71" s="1"/>
  <c r="O22" i="71"/>
  <c r="D23" i="71"/>
  <c r="M23" i="71" s="1"/>
  <c r="P22" i="71"/>
  <c r="E25" i="70"/>
  <c r="Q24" i="70"/>
  <c r="F21" i="70"/>
  <c r="O21" i="70" s="1"/>
  <c r="R20" i="70"/>
  <c r="Q22" i="71" l="1"/>
  <c r="N23" i="71"/>
  <c r="E24" i="71" s="1"/>
  <c r="C24" i="71"/>
  <c r="L24" i="71" s="1"/>
  <c r="O23" i="71"/>
  <c r="D24" i="71"/>
  <c r="M24" i="71" s="1"/>
  <c r="P23" i="71"/>
  <c r="F22" i="70"/>
  <c r="O22" i="70" s="1"/>
  <c r="R21" i="70"/>
  <c r="I25" i="70"/>
  <c r="Q23" i="71" l="1"/>
  <c r="N24" i="71"/>
  <c r="E25" i="71" s="1"/>
  <c r="C25" i="71"/>
  <c r="L25" i="71" s="1"/>
  <c r="O24" i="71"/>
  <c r="D25" i="71"/>
  <c r="M25" i="71" s="1"/>
  <c r="P24" i="71"/>
  <c r="N25" i="70"/>
  <c r="F23" i="70"/>
  <c r="O23" i="70" s="1"/>
  <c r="R22" i="70"/>
  <c r="S22" i="70" s="1"/>
  <c r="P22" i="70"/>
  <c r="G23" i="70" s="1"/>
  <c r="E26" i="70" l="1"/>
  <c r="Q24" i="71"/>
  <c r="N25" i="71"/>
  <c r="E26" i="71" s="1"/>
  <c r="C26" i="71"/>
  <c r="O25" i="71"/>
  <c r="D26" i="71"/>
  <c r="P25" i="71"/>
  <c r="Q25" i="70"/>
  <c r="F24" i="70"/>
  <c r="O24" i="70" s="1"/>
  <c r="R23" i="70"/>
  <c r="S23" i="70" s="1"/>
  <c r="P23" i="70"/>
  <c r="G24" i="70" s="1"/>
  <c r="Q25" i="71" l="1"/>
  <c r="J26" i="71"/>
  <c r="K26" i="71" s="1"/>
  <c r="L26" i="71"/>
  <c r="F25" i="70"/>
  <c r="R24" i="70"/>
  <c r="S24" i="70" s="1"/>
  <c r="P24" i="70"/>
  <c r="G25" i="70" s="1"/>
  <c r="M26" i="71" l="1"/>
  <c r="P26" i="71" s="1"/>
  <c r="C27" i="71"/>
  <c r="O26" i="71"/>
  <c r="L25" i="70"/>
  <c r="I27" i="70"/>
  <c r="J40" i="30"/>
  <c r="J41" i="30"/>
  <c r="J37" i="30"/>
  <c r="J38" i="30"/>
  <c r="J39" i="30"/>
  <c r="O25" i="70" l="1"/>
  <c r="F26" i="70" s="1"/>
  <c r="D27" i="71"/>
  <c r="J27" i="71" s="1"/>
  <c r="Q26" i="71"/>
  <c r="N26" i="71"/>
  <c r="E27" i="71" s="1"/>
  <c r="L27" i="71"/>
  <c r="P25" i="70"/>
  <c r="G26" i="70" s="1"/>
  <c r="H25" i="47"/>
  <c r="J25" i="43"/>
  <c r="J25" i="42"/>
  <c r="J25" i="41"/>
  <c r="J25" i="40"/>
  <c r="R25" i="70" l="1"/>
  <c r="S25" i="70" s="1"/>
  <c r="K27" i="71"/>
  <c r="M27" i="71"/>
  <c r="C28" i="71"/>
  <c r="O27" i="71"/>
  <c r="K31" i="40"/>
  <c r="K32" i="40"/>
  <c r="P27" i="71" l="1"/>
  <c r="Q27" i="71" s="1"/>
  <c r="D28" i="71"/>
  <c r="J28" i="71" s="1"/>
  <c r="N27" i="71"/>
  <c r="L28" i="71"/>
  <c r="I28" i="70"/>
  <c r="H24" i="47"/>
  <c r="J23" i="43"/>
  <c r="J24" i="43"/>
  <c r="J22" i="43"/>
  <c r="J24" i="42"/>
  <c r="J24" i="41"/>
  <c r="J24" i="40"/>
  <c r="K28" i="71" l="1"/>
  <c r="E28" i="71"/>
  <c r="C29" i="71"/>
  <c r="O28" i="71"/>
  <c r="M28" i="71"/>
  <c r="H23" i="48"/>
  <c r="H23" i="47"/>
  <c r="J23" i="40"/>
  <c r="J23" i="42"/>
  <c r="J23" i="41"/>
  <c r="L29" i="71" l="1"/>
  <c r="D29" i="71"/>
  <c r="J29" i="71" s="1"/>
  <c r="P28" i="71"/>
  <c r="Q28" i="71" s="1"/>
  <c r="N28" i="71"/>
  <c r="I29" i="70"/>
  <c r="H22" i="48"/>
  <c r="H22" i="47"/>
  <c r="K33" i="40"/>
  <c r="K34" i="40"/>
  <c r="Y11" i="40"/>
  <c r="X11" i="40"/>
  <c r="J22" i="42"/>
  <c r="J22" i="41"/>
  <c r="E29" i="71" l="1"/>
  <c r="M29" i="71"/>
  <c r="C30" i="71"/>
  <c r="O29" i="71"/>
  <c r="J22" i="40"/>
  <c r="J21" i="43"/>
  <c r="N29" i="71" l="1"/>
  <c r="L30" i="71"/>
  <c r="D30" i="71"/>
  <c r="J30" i="71" s="1"/>
  <c r="P29" i="71"/>
  <c r="Q29" i="71" s="1"/>
  <c r="E30" i="71" l="1"/>
  <c r="C31" i="71"/>
  <c r="O30" i="71"/>
  <c r="L31" i="71" l="1"/>
  <c r="M30" i="71"/>
  <c r="H21" i="48"/>
  <c r="H21" i="47"/>
  <c r="F20" i="44"/>
  <c r="E20" i="44"/>
  <c r="J20" i="43"/>
  <c r="J21" i="42"/>
  <c r="G20" i="44" l="1"/>
  <c r="D31" i="71"/>
  <c r="J31" i="71" s="1"/>
  <c r="P30" i="71"/>
  <c r="Q30" i="71" s="1"/>
  <c r="N30" i="71"/>
  <c r="C32" i="71"/>
  <c r="O31" i="71"/>
  <c r="J21" i="41"/>
  <c r="J21" i="40"/>
  <c r="E31" i="71" l="1"/>
  <c r="L32" i="71"/>
  <c r="E20" i="33"/>
  <c r="G20" i="33" s="1"/>
  <c r="F20" i="33"/>
  <c r="M31" i="71" l="1"/>
  <c r="C33" i="71"/>
  <c r="O32" i="71"/>
  <c r="H20" i="48"/>
  <c r="I67" i="48"/>
  <c r="I68" i="48"/>
  <c r="I69" i="48"/>
  <c r="I70" i="48"/>
  <c r="I71" i="48"/>
  <c r="I72" i="48"/>
  <c r="I73" i="48"/>
  <c r="I74" i="48"/>
  <c r="I75" i="48"/>
  <c r="I76" i="48"/>
  <c r="I77" i="48"/>
  <c r="I78" i="48"/>
  <c r="I79" i="48"/>
  <c r="I80" i="48"/>
  <c r="I81" i="48"/>
  <c r="I82" i="48"/>
  <c r="I83" i="48"/>
  <c r="I84" i="48"/>
  <c r="I85" i="48"/>
  <c r="I86" i="48"/>
  <c r="I87" i="48"/>
  <c r="I88" i="48"/>
  <c r="I89" i="48"/>
  <c r="I90" i="48"/>
  <c r="H20" i="47"/>
  <c r="L33" i="71" l="1"/>
  <c r="D32" i="71"/>
  <c r="J32" i="71" s="1"/>
  <c r="P31" i="71"/>
  <c r="Q31" i="71" s="1"/>
  <c r="N31" i="71"/>
  <c r="F79" i="48"/>
  <c r="F80" i="48" s="1"/>
  <c r="F81" i="48" s="1"/>
  <c r="F82" i="48" s="1"/>
  <c r="F83" i="48" s="1"/>
  <c r="F67" i="48"/>
  <c r="H67" i="48" s="1"/>
  <c r="G67" i="48" s="1"/>
  <c r="I67" i="47"/>
  <c r="I68" i="47"/>
  <c r="I69" i="47"/>
  <c r="I70" i="47"/>
  <c r="I71" i="47"/>
  <c r="I72" i="47"/>
  <c r="I73" i="47"/>
  <c r="I74" i="47"/>
  <c r="I75" i="47"/>
  <c r="I76" i="47"/>
  <c r="I77" i="47"/>
  <c r="I78" i="47"/>
  <c r="I79" i="47"/>
  <c r="I80" i="47"/>
  <c r="I81" i="47"/>
  <c r="I82" i="47"/>
  <c r="I83" i="47"/>
  <c r="I84" i="47"/>
  <c r="I85" i="47"/>
  <c r="I86" i="47"/>
  <c r="I87" i="47"/>
  <c r="I88" i="47"/>
  <c r="I89" i="47"/>
  <c r="I90" i="47"/>
  <c r="J67" i="43"/>
  <c r="K67" i="43"/>
  <c r="M67" i="43" s="1"/>
  <c r="J68" i="43"/>
  <c r="K68" i="43"/>
  <c r="M68" i="43" s="1"/>
  <c r="J69" i="43"/>
  <c r="K69" i="43"/>
  <c r="J70" i="43"/>
  <c r="K70" i="43"/>
  <c r="J71" i="43"/>
  <c r="K71" i="43"/>
  <c r="J72" i="43"/>
  <c r="K72" i="43"/>
  <c r="J73" i="43"/>
  <c r="K73" i="43"/>
  <c r="J74" i="43"/>
  <c r="K74" i="43"/>
  <c r="J75" i="43"/>
  <c r="K75" i="43"/>
  <c r="J76" i="43"/>
  <c r="K76" i="43"/>
  <c r="J77" i="43"/>
  <c r="K77" i="43"/>
  <c r="J78" i="43"/>
  <c r="K78" i="43"/>
  <c r="J79" i="43"/>
  <c r="K79" i="43"/>
  <c r="J80" i="43"/>
  <c r="K80" i="43"/>
  <c r="M80" i="43" s="1"/>
  <c r="J81" i="43"/>
  <c r="K81" i="43"/>
  <c r="J82" i="43"/>
  <c r="K82" i="43"/>
  <c r="J83" i="43"/>
  <c r="K83" i="43"/>
  <c r="J84" i="43"/>
  <c r="K84" i="43"/>
  <c r="M84" i="43" s="1"/>
  <c r="J85" i="43"/>
  <c r="K85" i="43"/>
  <c r="J86" i="43"/>
  <c r="K86" i="43"/>
  <c r="J87" i="43"/>
  <c r="K87" i="43"/>
  <c r="J88" i="43"/>
  <c r="K88" i="43"/>
  <c r="J89" i="43"/>
  <c r="K89" i="43"/>
  <c r="J90" i="43"/>
  <c r="K90" i="43"/>
  <c r="J20" i="42"/>
  <c r="J67" i="42"/>
  <c r="J68" i="42"/>
  <c r="J69" i="42"/>
  <c r="J70" i="42"/>
  <c r="J71" i="42"/>
  <c r="J72" i="42"/>
  <c r="J73" i="42"/>
  <c r="J74" i="42"/>
  <c r="J75" i="42"/>
  <c r="J76" i="42"/>
  <c r="J77" i="42"/>
  <c r="J78" i="42"/>
  <c r="J79" i="42"/>
  <c r="J80" i="42"/>
  <c r="J81" i="42"/>
  <c r="J82" i="42"/>
  <c r="J83" i="42"/>
  <c r="J84" i="42"/>
  <c r="J85" i="42"/>
  <c r="J86" i="42"/>
  <c r="J87" i="42"/>
  <c r="J88" i="42"/>
  <c r="J89" i="42"/>
  <c r="J90" i="42"/>
  <c r="E32" i="71" l="1"/>
  <c r="C34" i="71"/>
  <c r="O33" i="71"/>
  <c r="F68" i="48"/>
  <c r="F69" i="48" s="1"/>
  <c r="H79" i="48"/>
  <c r="G79" i="48" s="1"/>
  <c r="H82" i="48"/>
  <c r="G82" i="48" s="1"/>
  <c r="H81" i="48"/>
  <c r="G81" i="48" s="1"/>
  <c r="H80" i="48"/>
  <c r="G80" i="48" s="1"/>
  <c r="F84" i="48"/>
  <c r="H83" i="48"/>
  <c r="G83" i="48" s="1"/>
  <c r="F79" i="47"/>
  <c r="H79" i="47" s="1"/>
  <c r="G79" i="47" s="1"/>
  <c r="F80" i="47"/>
  <c r="H80" i="47" s="1"/>
  <c r="G80" i="47" s="1"/>
  <c r="F87" i="47"/>
  <c r="H87" i="47" s="1"/>
  <c r="G87" i="47" s="1"/>
  <c r="F77" i="47"/>
  <c r="H77" i="47" s="1"/>
  <c r="G77" i="47" s="1"/>
  <c r="F67" i="47"/>
  <c r="H67" i="47" s="1"/>
  <c r="G67" i="47" s="1"/>
  <c r="F71" i="47"/>
  <c r="H71" i="47" s="1"/>
  <c r="G71" i="47" s="1"/>
  <c r="F68" i="47"/>
  <c r="H68" i="47" s="1"/>
  <c r="G68" i="47" s="1"/>
  <c r="F76" i="47"/>
  <c r="H76" i="47" s="1"/>
  <c r="G76" i="47" s="1"/>
  <c r="F84" i="47"/>
  <c r="H84" i="47" s="1"/>
  <c r="G84" i="47" s="1"/>
  <c r="F69" i="47"/>
  <c r="H69" i="47" s="1"/>
  <c r="G69" i="47" s="1"/>
  <c r="F85" i="47"/>
  <c r="H85" i="47" s="1"/>
  <c r="G85" i="47" s="1"/>
  <c r="F70" i="47"/>
  <c r="H70" i="47" s="1"/>
  <c r="G70" i="47" s="1"/>
  <c r="F78" i="47"/>
  <c r="H78" i="47" s="1"/>
  <c r="G78" i="47" s="1"/>
  <c r="F86" i="47"/>
  <c r="H86" i="47" s="1"/>
  <c r="G86" i="47" s="1"/>
  <c r="F73" i="47"/>
  <c r="H73" i="47" s="1"/>
  <c r="G73" i="47" s="1"/>
  <c r="F81" i="47"/>
  <c r="H81" i="47" s="1"/>
  <c r="G81" i="47" s="1"/>
  <c r="F89" i="47"/>
  <c r="H89" i="47" s="1"/>
  <c r="G89" i="47" s="1"/>
  <c r="F88" i="47"/>
  <c r="H88" i="47" s="1"/>
  <c r="G88" i="47" s="1"/>
  <c r="F74" i="47"/>
  <c r="H74" i="47" s="1"/>
  <c r="G74" i="47" s="1"/>
  <c r="F82" i="47"/>
  <c r="H82" i="47" s="1"/>
  <c r="G82" i="47" s="1"/>
  <c r="F90" i="47"/>
  <c r="H90" i="47" s="1"/>
  <c r="G90" i="47" s="1"/>
  <c r="F72" i="47"/>
  <c r="H72" i="47" s="1"/>
  <c r="G72" i="47" s="1"/>
  <c r="F75" i="47"/>
  <c r="H75" i="47" s="1"/>
  <c r="G75" i="47" s="1"/>
  <c r="F83" i="47"/>
  <c r="H83" i="47" s="1"/>
  <c r="G83" i="47" s="1"/>
  <c r="J20" i="41"/>
  <c r="J20" i="40"/>
  <c r="J67" i="40"/>
  <c r="K67" i="40"/>
  <c r="J68" i="40"/>
  <c r="K68" i="40"/>
  <c r="J69" i="40"/>
  <c r="K69" i="40"/>
  <c r="J70" i="40"/>
  <c r="K70" i="40"/>
  <c r="J71" i="40"/>
  <c r="K71" i="40"/>
  <c r="J72" i="40"/>
  <c r="K72" i="40"/>
  <c r="J73" i="40"/>
  <c r="K73" i="40"/>
  <c r="J74" i="40"/>
  <c r="K74" i="40"/>
  <c r="J75" i="40"/>
  <c r="K75" i="40"/>
  <c r="J76" i="40"/>
  <c r="K76" i="40"/>
  <c r="J77" i="40"/>
  <c r="K77" i="40"/>
  <c r="J78" i="40"/>
  <c r="K78" i="40"/>
  <c r="J79" i="40"/>
  <c r="K79" i="40"/>
  <c r="J80" i="40"/>
  <c r="K80" i="40"/>
  <c r="J81" i="40"/>
  <c r="K81" i="40"/>
  <c r="J82" i="40"/>
  <c r="K82" i="40"/>
  <c r="J83" i="40"/>
  <c r="K83" i="40"/>
  <c r="J84" i="40"/>
  <c r="K84" i="40"/>
  <c r="J85" i="40"/>
  <c r="K85" i="40"/>
  <c r="J86" i="40"/>
  <c r="K86" i="40"/>
  <c r="J87" i="40"/>
  <c r="K87" i="40"/>
  <c r="J88" i="40"/>
  <c r="K88" i="40"/>
  <c r="J89" i="40"/>
  <c r="K89" i="40"/>
  <c r="J90" i="40"/>
  <c r="K90" i="40"/>
  <c r="M67" i="39"/>
  <c r="M68" i="39"/>
  <c r="M69" i="39"/>
  <c r="M70" i="39"/>
  <c r="M71" i="39"/>
  <c r="M72" i="39"/>
  <c r="M73" i="39"/>
  <c r="M74" i="39"/>
  <c r="M76" i="39"/>
  <c r="M77" i="39"/>
  <c r="M78" i="39"/>
  <c r="M79" i="39"/>
  <c r="M80" i="39"/>
  <c r="M81" i="39"/>
  <c r="M82" i="39"/>
  <c r="M83" i="39"/>
  <c r="M84" i="39"/>
  <c r="M85" i="39"/>
  <c r="M86" i="39"/>
  <c r="M89" i="39"/>
  <c r="M90" i="39"/>
  <c r="M80" i="38"/>
  <c r="M32" i="71" l="1"/>
  <c r="L34" i="71"/>
  <c r="H68" i="48"/>
  <c r="G68" i="48" s="1"/>
  <c r="F70" i="48"/>
  <c r="H69" i="48"/>
  <c r="G69" i="48" s="1"/>
  <c r="H84" i="48"/>
  <c r="G84" i="48" s="1"/>
  <c r="F85" i="48"/>
  <c r="J66" i="36"/>
  <c r="K66" i="36"/>
  <c r="J67" i="36"/>
  <c r="K67" i="36"/>
  <c r="J68" i="36"/>
  <c r="K68" i="36"/>
  <c r="J69" i="36"/>
  <c r="K69" i="36"/>
  <c r="J70" i="36"/>
  <c r="K70" i="36"/>
  <c r="J71" i="36"/>
  <c r="K71" i="36"/>
  <c r="J72" i="36"/>
  <c r="K72" i="36"/>
  <c r="J73" i="36"/>
  <c r="K73" i="36"/>
  <c r="J74" i="36"/>
  <c r="K74" i="36"/>
  <c r="J75" i="36"/>
  <c r="K75" i="36"/>
  <c r="J76" i="36"/>
  <c r="K76" i="36"/>
  <c r="J77" i="36"/>
  <c r="K77" i="36"/>
  <c r="J78" i="36"/>
  <c r="K78" i="36"/>
  <c r="J79" i="36"/>
  <c r="K79" i="36"/>
  <c r="J80" i="36"/>
  <c r="K80" i="36"/>
  <c r="J81" i="36"/>
  <c r="K81" i="36"/>
  <c r="J82" i="36"/>
  <c r="K82" i="36"/>
  <c r="J83" i="36"/>
  <c r="K83" i="36"/>
  <c r="J84" i="36"/>
  <c r="K84" i="36"/>
  <c r="J85" i="36"/>
  <c r="K85" i="36"/>
  <c r="J86" i="36"/>
  <c r="K86" i="36"/>
  <c r="J87" i="36"/>
  <c r="K87" i="36"/>
  <c r="J88" i="36"/>
  <c r="K88" i="36"/>
  <c r="J89" i="36"/>
  <c r="K89" i="36"/>
  <c r="C35" i="71" l="1"/>
  <c r="O34" i="71"/>
  <c r="D33" i="71"/>
  <c r="J33" i="71" s="1"/>
  <c r="P32" i="71"/>
  <c r="Q32" i="71" s="1"/>
  <c r="N32" i="71"/>
  <c r="F71" i="48"/>
  <c r="H70" i="48"/>
  <c r="G70" i="48" s="1"/>
  <c r="F86" i="48"/>
  <c r="H85" i="48"/>
  <c r="G85" i="48" s="1"/>
  <c r="E33" i="71" l="1"/>
  <c r="L35" i="71"/>
  <c r="F72" i="48"/>
  <c r="H71" i="48"/>
  <c r="G71" i="48" s="1"/>
  <c r="F87" i="48"/>
  <c r="H86" i="48"/>
  <c r="G86" i="48" s="1"/>
  <c r="C36" i="71" l="1"/>
  <c r="O35" i="71"/>
  <c r="M33" i="71"/>
  <c r="H72" i="48"/>
  <c r="G72" i="48" s="1"/>
  <c r="F73" i="48"/>
  <c r="F88" i="48"/>
  <c r="H87" i="48"/>
  <c r="G87" i="48" s="1"/>
  <c r="D34" i="71" l="1"/>
  <c r="J34" i="71" s="1"/>
  <c r="P33" i="71"/>
  <c r="Q33" i="71" s="1"/>
  <c r="N33" i="71"/>
  <c r="L36" i="71"/>
  <c r="F74" i="48"/>
  <c r="H73" i="48"/>
  <c r="G73" i="48" s="1"/>
  <c r="F89" i="48"/>
  <c r="H88" i="48"/>
  <c r="G88" i="48" s="1"/>
  <c r="E34" i="71" l="1"/>
  <c r="C37" i="71"/>
  <c r="O36" i="71"/>
  <c r="F75" i="48"/>
  <c r="H74" i="48"/>
  <c r="G74" i="48" s="1"/>
  <c r="F90" i="48"/>
  <c r="H90" i="48" s="1"/>
  <c r="G90" i="48" s="1"/>
  <c r="H89" i="48"/>
  <c r="G89" i="48" s="1"/>
  <c r="L37" i="71" l="1"/>
  <c r="M34" i="71"/>
  <c r="F76" i="48"/>
  <c r="H75" i="48"/>
  <c r="G75" i="48" s="1"/>
  <c r="D35" i="71" l="1"/>
  <c r="J35" i="71" s="1"/>
  <c r="P34" i="71"/>
  <c r="Q34" i="71" s="1"/>
  <c r="N34" i="71"/>
  <c r="C38" i="71"/>
  <c r="O37" i="71"/>
  <c r="H76" i="48"/>
  <c r="G76" i="48" s="1"/>
  <c r="F77" i="48"/>
  <c r="E35" i="71" l="1"/>
  <c r="K35" i="71"/>
  <c r="L38" i="71"/>
  <c r="F78" i="48"/>
  <c r="H78" i="48" s="1"/>
  <c r="G78" i="48" s="1"/>
  <c r="H77" i="48"/>
  <c r="G77" i="48" s="1"/>
  <c r="C39" i="71" l="1"/>
  <c r="O38" i="71"/>
  <c r="M35" i="71"/>
  <c r="D36" i="71" l="1"/>
  <c r="J36" i="71" s="1"/>
  <c r="P35" i="71"/>
  <c r="Q35" i="71" s="1"/>
  <c r="N35" i="71"/>
  <c r="L39" i="71"/>
  <c r="E36" i="71" l="1"/>
  <c r="C40" i="71"/>
  <c r="O39" i="71"/>
  <c r="L40" i="71" l="1"/>
  <c r="M36" i="71"/>
  <c r="D37" i="71" l="1"/>
  <c r="J37" i="71" s="1"/>
  <c r="P36" i="71"/>
  <c r="Q36" i="71" s="1"/>
  <c r="N36" i="71"/>
  <c r="C41" i="71"/>
  <c r="O40" i="71"/>
  <c r="E37" i="71" l="1"/>
  <c r="K37" i="71"/>
  <c r="L41" i="71"/>
  <c r="C42" i="71" l="1"/>
  <c r="O41" i="71"/>
  <c r="M37" i="71"/>
  <c r="D38" i="71" l="1"/>
  <c r="J38" i="71" s="1"/>
  <c r="P37" i="71"/>
  <c r="Q37" i="71" s="1"/>
  <c r="N37" i="71"/>
  <c r="L42" i="71"/>
  <c r="E38" i="71" l="1"/>
  <c r="K38" i="71"/>
  <c r="C43" i="71"/>
  <c r="O42" i="71"/>
  <c r="L43" i="71" l="1"/>
  <c r="M38" i="71"/>
  <c r="D39" i="71" l="1"/>
  <c r="J39" i="71" s="1"/>
  <c r="P38" i="71"/>
  <c r="Q38" i="71" s="1"/>
  <c r="N38" i="71"/>
  <c r="C44" i="71"/>
  <c r="O43" i="71"/>
  <c r="E39" i="71" l="1"/>
  <c r="L44" i="71"/>
  <c r="C45" i="71" l="1"/>
  <c r="O44" i="71"/>
  <c r="M39" i="71"/>
  <c r="L45" i="71" l="1"/>
  <c r="D40" i="71"/>
  <c r="J40" i="71" s="1"/>
  <c r="P39" i="71"/>
  <c r="Q39" i="71" s="1"/>
  <c r="N39" i="71"/>
  <c r="E40" i="71" l="1"/>
  <c r="K40" i="71"/>
  <c r="C46" i="71"/>
  <c r="O45" i="71"/>
  <c r="M40" i="71" l="1"/>
  <c r="L46" i="71"/>
  <c r="C47" i="71" l="1"/>
  <c r="O46" i="71"/>
  <c r="D41" i="71"/>
  <c r="J41" i="71" s="1"/>
  <c r="P40" i="71"/>
  <c r="Q40" i="71" s="1"/>
  <c r="N40" i="71"/>
  <c r="E41" i="71" l="1"/>
  <c r="L47" i="71"/>
  <c r="C48" i="71" l="1"/>
  <c r="O47" i="71"/>
  <c r="M41" i="71"/>
  <c r="L48" i="71" l="1"/>
  <c r="D42" i="71"/>
  <c r="J42" i="71" s="1"/>
  <c r="P41" i="71"/>
  <c r="Q41" i="71" s="1"/>
  <c r="N41" i="71"/>
  <c r="E42" i="71" l="1"/>
  <c r="C49" i="71"/>
  <c r="O48" i="71"/>
  <c r="L49" i="71" l="1"/>
  <c r="M42" i="71"/>
  <c r="D43" i="71" l="1"/>
  <c r="J43" i="71" s="1"/>
  <c r="P42" i="71"/>
  <c r="Q42" i="71" s="1"/>
  <c r="N42" i="71"/>
  <c r="C50" i="71"/>
  <c r="O49" i="71"/>
  <c r="E43" i="71" l="1"/>
  <c r="L50" i="71"/>
  <c r="C51" i="71" l="1"/>
  <c r="O50" i="71"/>
  <c r="M43" i="71"/>
  <c r="D44" i="71" l="1"/>
  <c r="J44" i="71" s="1"/>
  <c r="P43" i="71"/>
  <c r="Q43" i="71" s="1"/>
  <c r="N43" i="71"/>
  <c r="L51" i="71"/>
  <c r="E44" i="71" l="1"/>
  <c r="C52" i="71"/>
  <c r="O51" i="71"/>
  <c r="L52" i="71" l="1"/>
  <c r="M44" i="71"/>
  <c r="C53" i="71" l="1"/>
  <c r="O52" i="71"/>
  <c r="D45" i="71"/>
  <c r="J45" i="71" s="1"/>
  <c r="P44" i="71"/>
  <c r="Q44" i="71" s="1"/>
  <c r="N44" i="71"/>
  <c r="E45" i="71" l="1"/>
  <c r="L53" i="71"/>
  <c r="C54" i="71" l="1"/>
  <c r="O53" i="71"/>
  <c r="M45" i="71"/>
  <c r="J66" i="35"/>
  <c r="K66" i="35"/>
  <c r="H66" i="44" s="1"/>
  <c r="J67" i="35"/>
  <c r="K67" i="35"/>
  <c r="H67" i="44" s="1"/>
  <c r="J68" i="35"/>
  <c r="K68" i="35"/>
  <c r="H68" i="44" s="1"/>
  <c r="J69" i="35"/>
  <c r="K69" i="35"/>
  <c r="H69" i="44" s="1"/>
  <c r="J70" i="35"/>
  <c r="K70" i="35"/>
  <c r="H70" i="44" s="1"/>
  <c r="J71" i="35"/>
  <c r="K71" i="35"/>
  <c r="H71" i="44" s="1"/>
  <c r="J72" i="35"/>
  <c r="K72" i="35"/>
  <c r="H72" i="44" s="1"/>
  <c r="J73" i="35"/>
  <c r="K73" i="35"/>
  <c r="H73" i="44" s="1"/>
  <c r="J74" i="35"/>
  <c r="K74" i="35"/>
  <c r="H74" i="44" s="1"/>
  <c r="J75" i="35"/>
  <c r="K75" i="35"/>
  <c r="H75" i="44" s="1"/>
  <c r="J76" i="35"/>
  <c r="K76" i="35"/>
  <c r="H76" i="44" s="1"/>
  <c r="J77" i="35"/>
  <c r="K77" i="35"/>
  <c r="H77" i="44" s="1"/>
  <c r="J78" i="35"/>
  <c r="K78" i="35"/>
  <c r="H78" i="44" s="1"/>
  <c r="J79" i="35"/>
  <c r="K79" i="35"/>
  <c r="H79" i="44" s="1"/>
  <c r="J80" i="35"/>
  <c r="K80" i="35"/>
  <c r="H80" i="44" s="1"/>
  <c r="J81" i="35"/>
  <c r="K81" i="35"/>
  <c r="H81" i="44" s="1"/>
  <c r="J82" i="35"/>
  <c r="K82" i="35"/>
  <c r="H82" i="44" s="1"/>
  <c r="J83" i="35"/>
  <c r="K83" i="35"/>
  <c r="H83" i="44" s="1"/>
  <c r="J84" i="35"/>
  <c r="K84" i="35"/>
  <c r="H84" i="44" s="1"/>
  <c r="J85" i="35"/>
  <c r="K85" i="35"/>
  <c r="H85" i="44" s="1"/>
  <c r="J86" i="35"/>
  <c r="K86" i="35"/>
  <c r="H86" i="44" s="1"/>
  <c r="J87" i="35"/>
  <c r="K87" i="35"/>
  <c r="H87" i="44" s="1"/>
  <c r="J88" i="35"/>
  <c r="K88" i="35"/>
  <c r="H88" i="44" s="1"/>
  <c r="J89" i="35"/>
  <c r="K89" i="35"/>
  <c r="H89" i="44" s="1"/>
  <c r="D46" i="71" l="1"/>
  <c r="J46" i="71" s="1"/>
  <c r="P45" i="71"/>
  <c r="Q45" i="71" s="1"/>
  <c r="N45" i="71"/>
  <c r="L54" i="71"/>
  <c r="M68" i="35"/>
  <c r="J66" i="29"/>
  <c r="K66" i="29"/>
  <c r="J67" i="29"/>
  <c r="K67" i="29"/>
  <c r="J68" i="29"/>
  <c r="K68" i="29"/>
  <c r="J69" i="29"/>
  <c r="K69" i="29"/>
  <c r="J70" i="29"/>
  <c r="K70" i="29"/>
  <c r="J71" i="29"/>
  <c r="K71" i="29"/>
  <c r="J72" i="29"/>
  <c r="K72" i="29"/>
  <c r="J73" i="29"/>
  <c r="K73" i="29"/>
  <c r="J74" i="29"/>
  <c r="K74" i="29"/>
  <c r="J75" i="29"/>
  <c r="K75" i="29"/>
  <c r="J76" i="29"/>
  <c r="K76" i="29"/>
  <c r="M76" i="29" s="1"/>
  <c r="J77" i="29"/>
  <c r="K77" i="29"/>
  <c r="M77" i="29" s="1"/>
  <c r="J78" i="29"/>
  <c r="K78" i="29"/>
  <c r="J79" i="29"/>
  <c r="K79" i="29"/>
  <c r="M79" i="29" s="1"/>
  <c r="J80" i="29"/>
  <c r="K80" i="29"/>
  <c r="J81" i="29"/>
  <c r="K81" i="29"/>
  <c r="J82" i="29"/>
  <c r="K82" i="29"/>
  <c r="J83" i="29"/>
  <c r="K83" i="29"/>
  <c r="J84" i="29"/>
  <c r="K84" i="29"/>
  <c r="J85" i="29"/>
  <c r="K85" i="29"/>
  <c r="J86" i="29"/>
  <c r="K86" i="29"/>
  <c r="J87" i="29"/>
  <c r="K87" i="29"/>
  <c r="J88" i="29"/>
  <c r="K88" i="29"/>
  <c r="J89" i="29"/>
  <c r="K89" i="29"/>
  <c r="E46" i="71" l="1"/>
  <c r="C55" i="71"/>
  <c r="O54" i="71"/>
  <c r="K66" i="28"/>
  <c r="H66" i="33" s="1"/>
  <c r="K67" i="28"/>
  <c r="H67" i="33" s="1"/>
  <c r="K68" i="28"/>
  <c r="H68" i="33" s="1"/>
  <c r="K69" i="28"/>
  <c r="H69" i="33" s="1"/>
  <c r="K70" i="28"/>
  <c r="H70" i="33" s="1"/>
  <c r="K71" i="28"/>
  <c r="H71" i="33" s="1"/>
  <c r="K72" i="28"/>
  <c r="H72" i="33" s="1"/>
  <c r="K73" i="28"/>
  <c r="H73" i="33" s="1"/>
  <c r="K74" i="28"/>
  <c r="H74" i="33" s="1"/>
  <c r="K75" i="28"/>
  <c r="H75" i="33" s="1"/>
  <c r="K76" i="28"/>
  <c r="H76" i="33" s="1"/>
  <c r="K77" i="28"/>
  <c r="H77" i="33" s="1"/>
  <c r="K78" i="28"/>
  <c r="H78" i="33" s="1"/>
  <c r="K79" i="28"/>
  <c r="H79" i="33" s="1"/>
  <c r="J79" i="33" s="1"/>
  <c r="K80" i="28"/>
  <c r="H80" i="33" s="1"/>
  <c r="K81" i="28"/>
  <c r="H81" i="33" s="1"/>
  <c r="K82" i="28"/>
  <c r="H82" i="33" s="1"/>
  <c r="K83" i="28"/>
  <c r="H83" i="33" s="1"/>
  <c r="K84" i="28"/>
  <c r="H84" i="33" s="1"/>
  <c r="K85" i="28"/>
  <c r="H85" i="33" s="1"/>
  <c r="K86" i="28"/>
  <c r="H86" i="33" s="1"/>
  <c r="K87" i="28"/>
  <c r="H87" i="33" s="1"/>
  <c r="K88" i="28"/>
  <c r="H88" i="33" s="1"/>
  <c r="K89" i="28"/>
  <c r="H89" i="33" s="1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M46" i="71" l="1"/>
  <c r="L55" i="71"/>
  <c r="M79" i="28"/>
  <c r="M67" i="28"/>
  <c r="D47" i="71" l="1"/>
  <c r="J47" i="71" s="1"/>
  <c r="P46" i="71"/>
  <c r="Q46" i="71" s="1"/>
  <c r="N46" i="71"/>
  <c r="C56" i="71"/>
  <c r="O55" i="71"/>
  <c r="E47" i="71" l="1"/>
  <c r="L56" i="71"/>
  <c r="H19" i="48"/>
  <c r="H19" i="47"/>
  <c r="J19" i="43"/>
  <c r="J19" i="42"/>
  <c r="J19" i="41"/>
  <c r="J19" i="40"/>
  <c r="C57" i="71" l="1"/>
  <c r="O56" i="71"/>
  <c r="M47" i="71"/>
  <c r="I31" i="48"/>
  <c r="I32" i="48"/>
  <c r="I33" i="48"/>
  <c r="I34" i="48"/>
  <c r="I35" i="48"/>
  <c r="I36" i="48"/>
  <c r="I37" i="48"/>
  <c r="I38" i="48"/>
  <c r="I39" i="48"/>
  <c r="I40" i="48"/>
  <c r="I41" i="48"/>
  <c r="I42" i="48"/>
  <c r="I43" i="48"/>
  <c r="I44" i="48"/>
  <c r="I45" i="48"/>
  <c r="I46" i="48"/>
  <c r="I47" i="48"/>
  <c r="I48" i="48"/>
  <c r="I49" i="48"/>
  <c r="I50" i="48"/>
  <c r="I51" i="48"/>
  <c r="I52" i="48"/>
  <c r="I53" i="48"/>
  <c r="I54" i="48"/>
  <c r="I55" i="48"/>
  <c r="I56" i="48"/>
  <c r="I57" i="48"/>
  <c r="I58" i="48"/>
  <c r="I59" i="48"/>
  <c r="I60" i="48"/>
  <c r="I61" i="48"/>
  <c r="I62" i="48"/>
  <c r="I63" i="48"/>
  <c r="I64" i="48"/>
  <c r="I65" i="48"/>
  <c r="I66" i="48"/>
  <c r="I31" i="47"/>
  <c r="I32" i="47"/>
  <c r="I33" i="47"/>
  <c r="I34" i="47"/>
  <c r="I35" i="47"/>
  <c r="I36" i="47"/>
  <c r="I37" i="47"/>
  <c r="I38" i="47"/>
  <c r="I39" i="47"/>
  <c r="I40" i="47"/>
  <c r="I41" i="47"/>
  <c r="I42" i="47"/>
  <c r="I43" i="47"/>
  <c r="I44" i="47"/>
  <c r="I45" i="47"/>
  <c r="I46" i="47"/>
  <c r="I47" i="47"/>
  <c r="I48" i="47"/>
  <c r="I49" i="47"/>
  <c r="I50" i="47"/>
  <c r="I51" i="47"/>
  <c r="I52" i="47"/>
  <c r="I53" i="47"/>
  <c r="I54" i="47"/>
  <c r="I55" i="47"/>
  <c r="I56" i="47"/>
  <c r="I57" i="47"/>
  <c r="I58" i="47"/>
  <c r="I59" i="47"/>
  <c r="I60" i="47"/>
  <c r="I61" i="47"/>
  <c r="I62" i="47"/>
  <c r="I63" i="47"/>
  <c r="I64" i="47"/>
  <c r="I65" i="47"/>
  <c r="I66" i="47"/>
  <c r="K31" i="43"/>
  <c r="K32" i="43"/>
  <c r="K33" i="43"/>
  <c r="K34" i="43"/>
  <c r="K35" i="43"/>
  <c r="K36" i="43"/>
  <c r="K37" i="43"/>
  <c r="K38" i="43"/>
  <c r="K39" i="43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47" i="43"/>
  <c r="J48" i="43"/>
  <c r="J49" i="43"/>
  <c r="J50" i="43"/>
  <c r="J51" i="43"/>
  <c r="J52" i="43"/>
  <c r="J53" i="43"/>
  <c r="J54" i="43"/>
  <c r="J55" i="43"/>
  <c r="J56" i="43"/>
  <c r="J57" i="43"/>
  <c r="J58" i="43"/>
  <c r="J59" i="43"/>
  <c r="J60" i="43"/>
  <c r="J61" i="43"/>
  <c r="J62" i="43"/>
  <c r="J63" i="43"/>
  <c r="J64" i="43"/>
  <c r="J65" i="43"/>
  <c r="J66" i="43"/>
  <c r="K31" i="42"/>
  <c r="J31" i="42"/>
  <c r="J32" i="42"/>
  <c r="J33" i="42"/>
  <c r="J34" i="42"/>
  <c r="J35" i="42"/>
  <c r="J36" i="42"/>
  <c r="J37" i="42"/>
  <c r="J38" i="42"/>
  <c r="J39" i="42"/>
  <c r="J40" i="42"/>
  <c r="J41" i="42"/>
  <c r="J42" i="42"/>
  <c r="J43" i="42"/>
  <c r="J44" i="42"/>
  <c r="J45" i="42"/>
  <c r="J46" i="42"/>
  <c r="J47" i="42"/>
  <c r="J48" i="42"/>
  <c r="J49" i="42"/>
  <c r="J50" i="42"/>
  <c r="J51" i="42"/>
  <c r="J52" i="42"/>
  <c r="J53" i="42"/>
  <c r="J54" i="42"/>
  <c r="J55" i="42"/>
  <c r="J56" i="42"/>
  <c r="J57" i="42"/>
  <c r="J58" i="42"/>
  <c r="J59" i="42"/>
  <c r="J60" i="42"/>
  <c r="J61" i="42"/>
  <c r="J62" i="42"/>
  <c r="J63" i="42"/>
  <c r="J64" i="42"/>
  <c r="J65" i="42"/>
  <c r="J66" i="42"/>
  <c r="K31" i="41"/>
  <c r="J31" i="41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8" i="40"/>
  <c r="K59" i="40"/>
  <c r="K60" i="40"/>
  <c r="K61" i="40"/>
  <c r="K62" i="40"/>
  <c r="K63" i="40"/>
  <c r="K64" i="40"/>
  <c r="K65" i="40"/>
  <c r="K66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43" i="40"/>
  <c r="J44" i="40"/>
  <c r="J45" i="40"/>
  <c r="J46" i="40"/>
  <c r="J47" i="40"/>
  <c r="J48" i="40"/>
  <c r="J49" i="40"/>
  <c r="J50" i="40"/>
  <c r="J51" i="40"/>
  <c r="J52" i="40"/>
  <c r="J53" i="40"/>
  <c r="J54" i="40"/>
  <c r="J55" i="40"/>
  <c r="J56" i="40"/>
  <c r="J57" i="40"/>
  <c r="J58" i="40"/>
  <c r="J59" i="40"/>
  <c r="J60" i="40"/>
  <c r="J61" i="40"/>
  <c r="J62" i="40"/>
  <c r="J63" i="40"/>
  <c r="J64" i="40"/>
  <c r="J65" i="40"/>
  <c r="J66" i="40"/>
  <c r="K31" i="39"/>
  <c r="J31" i="39"/>
  <c r="K31" i="38"/>
  <c r="J31" i="38"/>
  <c r="K30" i="37"/>
  <c r="J30" i="37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J30" i="36"/>
  <c r="J31" i="36"/>
  <c r="J32" i="36"/>
  <c r="J33" i="36"/>
  <c r="J34" i="36"/>
  <c r="J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61" i="36"/>
  <c r="J62" i="36"/>
  <c r="J63" i="36"/>
  <c r="J64" i="36"/>
  <c r="J65" i="36"/>
  <c r="J30" i="35"/>
  <c r="J31" i="35"/>
  <c r="J32" i="35"/>
  <c r="J33" i="35"/>
  <c r="J34" i="35"/>
  <c r="J35" i="35"/>
  <c r="J36" i="35"/>
  <c r="J37" i="35"/>
  <c r="J38" i="35"/>
  <c r="J39" i="35"/>
  <c r="J40" i="35"/>
  <c r="J41" i="35"/>
  <c r="J42" i="35"/>
  <c r="J43" i="35"/>
  <c r="J44" i="35"/>
  <c r="J45" i="35"/>
  <c r="J46" i="35"/>
  <c r="J47" i="35"/>
  <c r="J48" i="35"/>
  <c r="J49" i="35"/>
  <c r="J50" i="35"/>
  <c r="J51" i="35"/>
  <c r="J52" i="35"/>
  <c r="J53" i="35"/>
  <c r="J54" i="35"/>
  <c r="J55" i="35"/>
  <c r="J56" i="35"/>
  <c r="J57" i="35"/>
  <c r="J58" i="35"/>
  <c r="J59" i="35"/>
  <c r="J60" i="35"/>
  <c r="J61" i="35"/>
  <c r="J62" i="35"/>
  <c r="J63" i="35"/>
  <c r="J64" i="35"/>
  <c r="J65" i="35"/>
  <c r="I37" i="30"/>
  <c r="I38" i="30"/>
  <c r="I39" i="30"/>
  <c r="I40" i="30"/>
  <c r="I41" i="30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18" i="48"/>
  <c r="H18" i="48"/>
  <c r="H17" i="48"/>
  <c r="E7" i="48"/>
  <c r="H62" i="33" l="1"/>
  <c r="H54" i="33"/>
  <c r="H46" i="33"/>
  <c r="H59" i="33"/>
  <c r="H51" i="33"/>
  <c r="H43" i="33"/>
  <c r="F31" i="48"/>
  <c r="F32" i="48" s="1"/>
  <c r="F33" i="48" s="1"/>
  <c r="F34" i="48" s="1"/>
  <c r="F35" i="48" s="1"/>
  <c r="F36" i="48" s="1"/>
  <c r="F37" i="48" s="1"/>
  <c r="F38" i="48" s="1"/>
  <c r="F39" i="48" s="1"/>
  <c r="F40" i="48" s="1"/>
  <c r="F41" i="48" s="1"/>
  <c r="F42" i="48" s="1"/>
  <c r="F31" i="47"/>
  <c r="H53" i="33"/>
  <c r="H60" i="33"/>
  <c r="H52" i="33"/>
  <c r="H44" i="33"/>
  <c r="H45" i="33"/>
  <c r="H61" i="33"/>
  <c r="H64" i="33"/>
  <c r="H56" i="33"/>
  <c r="H48" i="33"/>
  <c r="H50" i="33"/>
  <c r="H57" i="33"/>
  <c r="H42" i="33"/>
  <c r="H49" i="33"/>
  <c r="H58" i="33"/>
  <c r="H65" i="33"/>
  <c r="H63" i="33"/>
  <c r="H55" i="33"/>
  <c r="H47" i="33"/>
  <c r="D48" i="71"/>
  <c r="J48" i="71" s="1"/>
  <c r="P47" i="71"/>
  <c r="Q47" i="71" s="1"/>
  <c r="N47" i="71"/>
  <c r="L57" i="71"/>
  <c r="F55" i="48"/>
  <c r="F43" i="48"/>
  <c r="H18" i="47"/>
  <c r="E7" i="47"/>
  <c r="D6" i="44"/>
  <c r="M18" i="43"/>
  <c r="J18" i="43"/>
  <c r="J18" i="42"/>
  <c r="G7" i="42"/>
  <c r="O18" i="41"/>
  <c r="M18" i="41"/>
  <c r="J18" i="41"/>
  <c r="G7" i="41"/>
  <c r="J18" i="40"/>
  <c r="G7" i="40"/>
  <c r="J18" i="39"/>
  <c r="G7" i="39"/>
  <c r="F32" i="47" l="1"/>
  <c r="E48" i="71"/>
  <c r="C58" i="71"/>
  <c r="O57" i="71"/>
  <c r="J18" i="38"/>
  <c r="G7" i="38"/>
  <c r="J17" i="37"/>
  <c r="G6" i="37"/>
  <c r="J17" i="36"/>
  <c r="N6" i="36"/>
  <c r="P6" i="36" s="1"/>
  <c r="O6" i="36"/>
  <c r="G6" i="36"/>
  <c r="J17" i="35"/>
  <c r="G6" i="35"/>
  <c r="J17" i="34"/>
  <c r="G6" i="34"/>
  <c r="I17" i="33"/>
  <c r="M6" i="30"/>
  <c r="N6" i="30"/>
  <c r="F6" i="30"/>
  <c r="G6" i="29"/>
  <c r="G6" i="28"/>
  <c r="F33" i="47" l="1"/>
  <c r="L58" i="71"/>
  <c r="M48" i="71"/>
  <c r="O6" i="30"/>
  <c r="I17" i="30"/>
  <c r="J17" i="29"/>
  <c r="J17" i="28"/>
  <c r="F34" i="47" l="1"/>
  <c r="C59" i="71"/>
  <c r="O58" i="71"/>
  <c r="D49" i="71"/>
  <c r="J49" i="71" s="1"/>
  <c r="P48" i="71"/>
  <c r="Q48" i="71" s="1"/>
  <c r="N48" i="71"/>
  <c r="M6" i="28"/>
  <c r="M7" i="28"/>
  <c r="M8" i="28"/>
  <c r="M9" i="28"/>
  <c r="M10" i="28"/>
  <c r="M11" i="28"/>
  <c r="M12" i="28"/>
  <c r="M13" i="28"/>
  <c r="M14" i="28"/>
  <c r="M15" i="28"/>
  <c r="M16" i="28"/>
  <c r="J6" i="28"/>
  <c r="J7" i="28"/>
  <c r="J8" i="28"/>
  <c r="J9" i="28"/>
  <c r="J10" i="28"/>
  <c r="J11" i="28"/>
  <c r="J12" i="28"/>
  <c r="J13" i="28"/>
  <c r="J14" i="28"/>
  <c r="J15" i="28"/>
  <c r="J16" i="28"/>
  <c r="F9" i="28"/>
  <c r="F35" i="47" l="1"/>
  <c r="E49" i="71"/>
  <c r="L59" i="71"/>
  <c r="H19" i="44"/>
  <c r="H21" i="44"/>
  <c r="H22" i="44"/>
  <c r="H23" i="44"/>
  <c r="H24" i="44"/>
  <c r="H26" i="44"/>
  <c r="H27" i="44"/>
  <c r="H28" i="44"/>
  <c r="H29" i="44"/>
  <c r="K30" i="35"/>
  <c r="H30" i="44" s="1"/>
  <c r="K31" i="35"/>
  <c r="H31" i="44" s="1"/>
  <c r="K32" i="35"/>
  <c r="H32" i="44" s="1"/>
  <c r="K33" i="35"/>
  <c r="H33" i="44" s="1"/>
  <c r="K34" i="35"/>
  <c r="H34" i="44" s="1"/>
  <c r="K35" i="35"/>
  <c r="H35" i="44" s="1"/>
  <c r="K36" i="35"/>
  <c r="H36" i="44" s="1"/>
  <c r="K37" i="35"/>
  <c r="H37" i="44" s="1"/>
  <c r="K38" i="35"/>
  <c r="H38" i="44" s="1"/>
  <c r="K39" i="35"/>
  <c r="H39" i="44" s="1"/>
  <c r="K40" i="35"/>
  <c r="H40" i="44" s="1"/>
  <c r="K41" i="35"/>
  <c r="H41" i="44" s="1"/>
  <c r="K42" i="35"/>
  <c r="H42" i="44" s="1"/>
  <c r="K43" i="35"/>
  <c r="H43" i="44" s="1"/>
  <c r="K44" i="35"/>
  <c r="H44" i="44" s="1"/>
  <c r="K45" i="35"/>
  <c r="H45" i="44" s="1"/>
  <c r="K46" i="35"/>
  <c r="H46" i="44" s="1"/>
  <c r="K47" i="35"/>
  <c r="H47" i="44" s="1"/>
  <c r="K48" i="35"/>
  <c r="H48" i="44" s="1"/>
  <c r="K49" i="35"/>
  <c r="H49" i="44" s="1"/>
  <c r="K50" i="35"/>
  <c r="H50" i="44" s="1"/>
  <c r="K51" i="35"/>
  <c r="H51" i="44" s="1"/>
  <c r="K52" i="35"/>
  <c r="H52" i="44" s="1"/>
  <c r="K53" i="35"/>
  <c r="H53" i="44" s="1"/>
  <c r="K54" i="35"/>
  <c r="H54" i="44" s="1"/>
  <c r="K55" i="35"/>
  <c r="H55" i="44" s="1"/>
  <c r="K56" i="35"/>
  <c r="H56" i="44" s="1"/>
  <c r="K57" i="35"/>
  <c r="H57" i="44" s="1"/>
  <c r="K58" i="35"/>
  <c r="H58" i="44" s="1"/>
  <c r="K59" i="35"/>
  <c r="H59" i="44" s="1"/>
  <c r="K60" i="35"/>
  <c r="H60" i="44" s="1"/>
  <c r="K61" i="35"/>
  <c r="H61" i="44" s="1"/>
  <c r="K62" i="35"/>
  <c r="H62" i="44" s="1"/>
  <c r="K63" i="35"/>
  <c r="H63" i="44" s="1"/>
  <c r="K64" i="35"/>
  <c r="H64" i="44" s="1"/>
  <c r="K65" i="35"/>
  <c r="H65" i="44" s="1"/>
  <c r="F36" i="47" l="1"/>
  <c r="E25" i="44"/>
  <c r="H25" i="44"/>
  <c r="M49" i="71"/>
  <c r="C60" i="71"/>
  <c r="O59" i="71"/>
  <c r="H20" i="44"/>
  <c r="H18" i="44"/>
  <c r="H17" i="44"/>
  <c r="E18" i="33"/>
  <c r="F37" i="47" l="1"/>
  <c r="L60" i="71"/>
  <c r="D50" i="71"/>
  <c r="J50" i="71" s="1"/>
  <c r="P49" i="71"/>
  <c r="Q49" i="71" s="1"/>
  <c r="N49" i="71"/>
  <c r="F38" i="47" l="1"/>
  <c r="E50" i="71"/>
  <c r="C61" i="71"/>
  <c r="O60" i="71"/>
  <c r="M17" i="39"/>
  <c r="F39" i="47" l="1"/>
  <c r="L61" i="71"/>
  <c r="M50" i="71"/>
  <c r="H17" i="47"/>
  <c r="J17" i="42"/>
  <c r="F40" i="47" l="1"/>
  <c r="C62" i="71"/>
  <c r="O61" i="71"/>
  <c r="D51" i="71"/>
  <c r="J51" i="71" s="1"/>
  <c r="P50" i="71"/>
  <c r="Q50" i="71" s="1"/>
  <c r="N50" i="71"/>
  <c r="J17" i="43"/>
  <c r="J17" i="41"/>
  <c r="J17" i="40"/>
  <c r="J17" i="39"/>
  <c r="J17" i="38"/>
  <c r="J16" i="37"/>
  <c r="J16" i="36"/>
  <c r="J16" i="35"/>
  <c r="J16" i="34"/>
  <c r="I16" i="30"/>
  <c r="J16" i="29"/>
  <c r="F41" i="47" l="1"/>
  <c r="E51" i="71"/>
  <c r="L62" i="71"/>
  <c r="F42" i="47" l="1"/>
  <c r="C63" i="71"/>
  <c r="O62" i="71"/>
  <c r="M51" i="71"/>
  <c r="H16" i="48"/>
  <c r="H16" i="47"/>
  <c r="J16" i="43"/>
  <c r="J16" i="42"/>
  <c r="J16" i="41"/>
  <c r="M15" i="39"/>
  <c r="J16" i="39"/>
  <c r="L63" i="71" l="1"/>
  <c r="D52" i="71"/>
  <c r="J52" i="71" s="1"/>
  <c r="P51" i="71"/>
  <c r="Q51" i="71" s="1"/>
  <c r="N51" i="71"/>
  <c r="J16" i="38"/>
  <c r="J15" i="37"/>
  <c r="J15" i="36"/>
  <c r="J15" i="35"/>
  <c r="J15" i="34"/>
  <c r="G15" i="33"/>
  <c r="I15" i="30"/>
  <c r="J15" i="29"/>
  <c r="E52" i="71" l="1"/>
  <c r="C64" i="71"/>
  <c r="O63" i="71"/>
  <c r="H15" i="48"/>
  <c r="H15" i="47"/>
  <c r="J15" i="43"/>
  <c r="J15" i="42"/>
  <c r="J15" i="41"/>
  <c r="J15" i="40"/>
  <c r="J15" i="39"/>
  <c r="J15" i="38"/>
  <c r="J14" i="37"/>
  <c r="J14" i="36"/>
  <c r="J14" i="35"/>
  <c r="J14" i="34"/>
  <c r="I14" i="30"/>
  <c r="J14" i="29"/>
  <c r="M52" i="71" l="1"/>
  <c r="L64" i="71"/>
  <c r="H14" i="48"/>
  <c r="H14" i="47"/>
  <c r="J14" i="43"/>
  <c r="J14" i="42"/>
  <c r="J14" i="41"/>
  <c r="J14" i="40"/>
  <c r="J14" i="39"/>
  <c r="J14" i="38"/>
  <c r="J13" i="37"/>
  <c r="J13" i="36"/>
  <c r="J13" i="35"/>
  <c r="J13" i="34"/>
  <c r="I13" i="30"/>
  <c r="J13" i="29"/>
  <c r="C65" i="71" l="1"/>
  <c r="O64" i="71"/>
  <c r="D53" i="71"/>
  <c r="J53" i="71" s="1"/>
  <c r="N52" i="71"/>
  <c r="P52" i="71"/>
  <c r="Q52" i="71" s="1"/>
  <c r="H13" i="48"/>
  <c r="H13" i="47"/>
  <c r="J13" i="43"/>
  <c r="E53" i="71" l="1"/>
  <c r="L65" i="71"/>
  <c r="J13" i="42"/>
  <c r="J13" i="41"/>
  <c r="J13" i="40"/>
  <c r="M13" i="39"/>
  <c r="J13" i="39"/>
  <c r="J13" i="38"/>
  <c r="J12" i="37"/>
  <c r="J12" i="36"/>
  <c r="J12" i="35"/>
  <c r="J12" i="34"/>
  <c r="C66" i="71" l="1"/>
  <c r="O65" i="71"/>
  <c r="M53" i="71"/>
  <c r="I12" i="30"/>
  <c r="J12" i="29"/>
  <c r="L66" i="71" l="1"/>
  <c r="D54" i="71"/>
  <c r="J54" i="71" s="1"/>
  <c r="N53" i="71"/>
  <c r="P53" i="71"/>
  <c r="Q53" i="71" s="1"/>
  <c r="K12" i="48"/>
  <c r="H9" i="48"/>
  <c r="H10" i="48"/>
  <c r="H11" i="48"/>
  <c r="H12" i="48"/>
  <c r="H12" i="47"/>
  <c r="M12" i="43"/>
  <c r="M13" i="43"/>
  <c r="J12" i="43"/>
  <c r="J12" i="42"/>
  <c r="J12" i="41"/>
  <c r="J12" i="40"/>
  <c r="J12" i="39"/>
  <c r="J12" i="38"/>
  <c r="J11" i="37"/>
  <c r="J11" i="36"/>
  <c r="J11" i="35"/>
  <c r="J10" i="34"/>
  <c r="J11" i="34"/>
  <c r="E54" i="71" l="1"/>
  <c r="C67" i="71"/>
  <c r="O66" i="71"/>
  <c r="I11" i="30"/>
  <c r="J11" i="29"/>
  <c r="L67" i="71" l="1"/>
  <c r="M54" i="71"/>
  <c r="H11" i="47"/>
  <c r="J11" i="43"/>
  <c r="J11" i="42"/>
  <c r="J11" i="40"/>
  <c r="C68" i="71" l="1"/>
  <c r="O67" i="71"/>
  <c r="D55" i="71"/>
  <c r="J55" i="71" s="1"/>
  <c r="N54" i="71"/>
  <c r="P54" i="71"/>
  <c r="Q54" i="71" s="1"/>
  <c r="J11" i="41"/>
  <c r="J11" i="39"/>
  <c r="J11" i="38"/>
  <c r="E55" i="71" l="1"/>
  <c r="L68" i="71"/>
  <c r="J10" i="37"/>
  <c r="J10" i="36"/>
  <c r="J10" i="35"/>
  <c r="C69" i="71" l="1"/>
  <c r="O68" i="71"/>
  <c r="M55" i="71"/>
  <c r="I10" i="30"/>
  <c r="J10" i="29"/>
  <c r="L69" i="71" l="1"/>
  <c r="D56" i="71"/>
  <c r="J56" i="71" s="1"/>
  <c r="N55" i="71"/>
  <c r="P55" i="71"/>
  <c r="Q55" i="71" s="1"/>
  <c r="H10" i="47"/>
  <c r="J10" i="43"/>
  <c r="J10" i="42"/>
  <c r="J10" i="41"/>
  <c r="J10" i="40"/>
  <c r="J10" i="39"/>
  <c r="J10" i="38"/>
  <c r="J9" i="37"/>
  <c r="J9" i="36"/>
  <c r="J9" i="35"/>
  <c r="J9" i="34"/>
  <c r="I9" i="30"/>
  <c r="J9" i="29"/>
  <c r="E56" i="71" l="1"/>
  <c r="C70" i="71"/>
  <c r="O69" i="71"/>
  <c r="H9" i="47"/>
  <c r="L70" i="71" l="1"/>
  <c r="M56" i="71"/>
  <c r="M9" i="43"/>
  <c r="J9" i="43"/>
  <c r="J9" i="42"/>
  <c r="J9" i="41"/>
  <c r="J9" i="40"/>
  <c r="J9" i="39"/>
  <c r="J9" i="38"/>
  <c r="D57" i="71" l="1"/>
  <c r="J57" i="71" s="1"/>
  <c r="N56" i="71"/>
  <c r="P56" i="71"/>
  <c r="Q56" i="71" s="1"/>
  <c r="C71" i="71"/>
  <c r="O70" i="71"/>
  <c r="J8" i="37"/>
  <c r="J8" i="36"/>
  <c r="J8" i="35"/>
  <c r="E57" i="71" l="1"/>
  <c r="L71" i="71"/>
  <c r="J8" i="34"/>
  <c r="C72" i="71" l="1"/>
  <c r="O71" i="71"/>
  <c r="M57" i="71"/>
  <c r="L8" i="30"/>
  <c r="I8" i="30"/>
  <c r="J8" i="29"/>
  <c r="D58" i="71" l="1"/>
  <c r="J58" i="71" s="1"/>
  <c r="N57" i="71"/>
  <c r="P57" i="71"/>
  <c r="Q57" i="71" s="1"/>
  <c r="L72" i="71"/>
  <c r="H8" i="48"/>
  <c r="H8" i="47"/>
  <c r="M8" i="43"/>
  <c r="J8" i="43"/>
  <c r="J8" i="42"/>
  <c r="J8" i="41"/>
  <c r="E58" i="71" l="1"/>
  <c r="C73" i="71"/>
  <c r="O72" i="71"/>
  <c r="J8" i="40"/>
  <c r="J8" i="39"/>
  <c r="J8" i="38"/>
  <c r="J7" i="37"/>
  <c r="J7" i="36"/>
  <c r="J7" i="35"/>
  <c r="J7" i="34"/>
  <c r="I7" i="30"/>
  <c r="J7" i="29"/>
  <c r="L73" i="71" l="1"/>
  <c r="M58" i="71"/>
  <c r="D59" i="71" l="1"/>
  <c r="J59" i="71" s="1"/>
  <c r="N58" i="71"/>
  <c r="P58" i="71"/>
  <c r="Q58" i="71" s="1"/>
  <c r="C74" i="71"/>
  <c r="O73" i="71"/>
  <c r="M7" i="48"/>
  <c r="P7" i="48" s="1"/>
  <c r="L7" i="48"/>
  <c r="C8" i="48" s="1"/>
  <c r="K7" i="48"/>
  <c r="H7" i="48"/>
  <c r="M7" i="47"/>
  <c r="L7" i="47"/>
  <c r="R7" i="47" s="1"/>
  <c r="K7" i="47"/>
  <c r="H7" i="47"/>
  <c r="G6" i="44"/>
  <c r="M55" i="43"/>
  <c r="M43" i="43"/>
  <c r="M33" i="43"/>
  <c r="M32" i="43"/>
  <c r="M31" i="43"/>
  <c r="M25" i="43"/>
  <c r="M23" i="43"/>
  <c r="M21" i="43"/>
  <c r="M20" i="43"/>
  <c r="M19" i="43"/>
  <c r="M17" i="43"/>
  <c r="M16" i="43"/>
  <c r="M15" i="43"/>
  <c r="M14" i="43"/>
  <c r="M11" i="43"/>
  <c r="M10" i="43"/>
  <c r="M7" i="43"/>
  <c r="J7" i="43"/>
  <c r="O7" i="42"/>
  <c r="F8" i="42" s="1"/>
  <c r="N7" i="42"/>
  <c r="E8" i="42" s="1"/>
  <c r="M7" i="42"/>
  <c r="J7" i="42"/>
  <c r="E8" i="41"/>
  <c r="O7" i="41"/>
  <c r="N7" i="41"/>
  <c r="M7" i="41"/>
  <c r="J7" i="41"/>
  <c r="F8" i="40"/>
  <c r="O7" i="40"/>
  <c r="N7" i="40"/>
  <c r="E8" i="40" s="1"/>
  <c r="M7" i="40"/>
  <c r="J7" i="40"/>
  <c r="M12" i="39"/>
  <c r="O7" i="39"/>
  <c r="N7" i="39"/>
  <c r="M7" i="39"/>
  <c r="J7" i="39"/>
  <c r="F8" i="38"/>
  <c r="O7" i="38"/>
  <c r="N7" i="38"/>
  <c r="E8" i="38" s="1"/>
  <c r="M7" i="38"/>
  <c r="J7" i="38"/>
  <c r="O6" i="37"/>
  <c r="F7" i="37" s="1"/>
  <c r="O7" i="37" s="1"/>
  <c r="N6" i="37"/>
  <c r="M6" i="37"/>
  <c r="J6" i="37"/>
  <c r="E7" i="36"/>
  <c r="N7" i="36" s="1"/>
  <c r="M6" i="36"/>
  <c r="J6" i="36"/>
  <c r="O6" i="35"/>
  <c r="F7" i="35" s="1"/>
  <c r="N6" i="35"/>
  <c r="P6" i="35" s="1"/>
  <c r="G7" i="35" s="1"/>
  <c r="M6" i="35"/>
  <c r="J6" i="35"/>
  <c r="O6" i="34"/>
  <c r="N6" i="34"/>
  <c r="M6" i="34"/>
  <c r="J6" i="34"/>
  <c r="J6" i="33"/>
  <c r="G6" i="33"/>
  <c r="H41" i="30"/>
  <c r="H40" i="30"/>
  <c r="H39" i="30"/>
  <c r="H38" i="30"/>
  <c r="H37" i="30"/>
  <c r="L6" i="30"/>
  <c r="I6" i="30"/>
  <c r="H33" i="33"/>
  <c r="H27" i="33"/>
  <c r="H25" i="33"/>
  <c r="M6" i="29"/>
  <c r="J6" i="29"/>
  <c r="H38" i="33"/>
  <c r="H35" i="33"/>
  <c r="H30" i="33"/>
  <c r="H22" i="33"/>
  <c r="E59" i="71" l="1"/>
  <c r="L74" i="71"/>
  <c r="D8" i="48"/>
  <c r="N7" i="48"/>
  <c r="E8" i="48" s="1"/>
  <c r="O7" i="48"/>
  <c r="Q7" i="48" s="1"/>
  <c r="R7" i="48"/>
  <c r="O7" i="47"/>
  <c r="Q7" i="47" s="1"/>
  <c r="P7" i="47"/>
  <c r="N7" i="47"/>
  <c r="C8" i="47"/>
  <c r="D8" i="47"/>
  <c r="P7" i="42"/>
  <c r="G8" i="42" s="1"/>
  <c r="F8" i="41"/>
  <c r="P7" i="41"/>
  <c r="G8" i="41" s="1"/>
  <c r="P7" i="40"/>
  <c r="G8" i="40" s="1"/>
  <c r="E8" i="39"/>
  <c r="N8" i="39" s="1"/>
  <c r="F8" i="39"/>
  <c r="P7" i="39"/>
  <c r="G8" i="39" s="1"/>
  <c r="P7" i="38"/>
  <c r="G8" i="38" s="1"/>
  <c r="E7" i="37"/>
  <c r="N7" i="37" s="1"/>
  <c r="E8" i="37" s="1"/>
  <c r="N8" i="37" s="1"/>
  <c r="P6" i="37"/>
  <c r="G7" i="37" s="1"/>
  <c r="F7" i="36"/>
  <c r="O7" i="36" s="1"/>
  <c r="G7" i="36"/>
  <c r="E7" i="35"/>
  <c r="E7" i="34"/>
  <c r="F7" i="34"/>
  <c r="P6" i="34"/>
  <c r="G7" i="34" s="1"/>
  <c r="O6" i="29"/>
  <c r="F7" i="29" s="1"/>
  <c r="O7" i="29" s="1"/>
  <c r="H36" i="33"/>
  <c r="H20" i="33"/>
  <c r="H28" i="33"/>
  <c r="H24" i="33"/>
  <c r="H17" i="33"/>
  <c r="H18" i="33"/>
  <c r="H26" i="33"/>
  <c r="H34" i="33"/>
  <c r="H19" i="33"/>
  <c r="H21" i="33"/>
  <c r="H29" i="33"/>
  <c r="H37" i="33"/>
  <c r="H23" i="33"/>
  <c r="H31" i="33"/>
  <c r="H32" i="33"/>
  <c r="H31" i="47"/>
  <c r="J6" i="44"/>
  <c r="N7" i="35"/>
  <c r="M7" i="35"/>
  <c r="H39" i="47"/>
  <c r="N8" i="42"/>
  <c r="E9" i="42" s="1"/>
  <c r="L8" i="48"/>
  <c r="N8" i="41"/>
  <c r="E9" i="41" s="1"/>
  <c r="F61" i="47"/>
  <c r="M8" i="42"/>
  <c r="M7" i="29"/>
  <c r="F52" i="47"/>
  <c r="F47" i="47"/>
  <c r="F60" i="47"/>
  <c r="O8" i="38"/>
  <c r="F8" i="37"/>
  <c r="M8" i="37" s="1"/>
  <c r="P7" i="37"/>
  <c r="G8" i="37" s="1"/>
  <c r="N8" i="38"/>
  <c r="E9" i="39"/>
  <c r="M7" i="37"/>
  <c r="N8" i="40"/>
  <c r="H33" i="47"/>
  <c r="H42" i="47"/>
  <c r="F55" i="47"/>
  <c r="H55" i="47" s="1"/>
  <c r="F50" i="47"/>
  <c r="H50" i="47" s="1"/>
  <c r="F45" i="47"/>
  <c r="H45" i="47" s="1"/>
  <c r="F43" i="47"/>
  <c r="H43" i="47" s="1"/>
  <c r="F53" i="47"/>
  <c r="H53" i="47" s="1"/>
  <c r="F48" i="47"/>
  <c r="H48" i="47" s="1"/>
  <c r="L8" i="47"/>
  <c r="R8" i="47" s="1"/>
  <c r="H38" i="47"/>
  <c r="H36" i="47"/>
  <c r="H40" i="47"/>
  <c r="H35" i="47"/>
  <c r="H32" i="47"/>
  <c r="H34" i="47"/>
  <c r="F63" i="47"/>
  <c r="H63" i="47" s="1"/>
  <c r="F64" i="47"/>
  <c r="H64" i="47" s="1"/>
  <c r="F56" i="47"/>
  <c r="H56" i="47" s="1"/>
  <c r="F62" i="47"/>
  <c r="H62" i="47" s="1"/>
  <c r="F57" i="47"/>
  <c r="H57" i="47" s="1"/>
  <c r="F65" i="47"/>
  <c r="H65" i="47" s="1"/>
  <c r="F58" i="47"/>
  <c r="H58" i="47" s="1"/>
  <c r="F59" i="47"/>
  <c r="H59" i="47" s="1"/>
  <c r="F66" i="47"/>
  <c r="H66" i="47" s="1"/>
  <c r="F44" i="47"/>
  <c r="H44" i="47" s="1"/>
  <c r="F51" i="47"/>
  <c r="H51" i="47" s="1"/>
  <c r="F54" i="47"/>
  <c r="H54" i="47" s="1"/>
  <c r="F46" i="47"/>
  <c r="H46" i="47" s="1"/>
  <c r="F49" i="47"/>
  <c r="H49" i="47" s="1"/>
  <c r="M59" i="71" l="1"/>
  <c r="C75" i="71"/>
  <c r="O74" i="71"/>
  <c r="H31" i="48"/>
  <c r="F44" i="48"/>
  <c r="H43" i="48"/>
  <c r="F56" i="48"/>
  <c r="H55" i="48"/>
  <c r="H60" i="47"/>
  <c r="H41" i="47"/>
  <c r="H47" i="47"/>
  <c r="H61" i="47"/>
  <c r="H37" i="47"/>
  <c r="H52" i="47"/>
  <c r="E8" i="47"/>
  <c r="P7" i="36"/>
  <c r="O8" i="41"/>
  <c r="M8" i="41"/>
  <c r="M8" i="38"/>
  <c r="L7" i="30"/>
  <c r="P8" i="41"/>
  <c r="G9" i="41" s="1"/>
  <c r="O8" i="42"/>
  <c r="F9" i="42" s="1"/>
  <c r="O7" i="35"/>
  <c r="P7" i="35" s="1"/>
  <c r="G8" i="35" s="1"/>
  <c r="E8" i="35"/>
  <c r="C9" i="48"/>
  <c r="L9" i="48" s="1"/>
  <c r="C10" i="48" s="1"/>
  <c r="O8" i="48"/>
  <c r="R8" i="48"/>
  <c r="F9" i="41"/>
  <c r="F9" i="38"/>
  <c r="N9" i="42"/>
  <c r="E9" i="37"/>
  <c r="M8" i="48"/>
  <c r="E9" i="40"/>
  <c r="F8" i="29"/>
  <c r="C9" i="47"/>
  <c r="O8" i="47"/>
  <c r="M8" i="40"/>
  <c r="N7" i="34"/>
  <c r="N9" i="41"/>
  <c r="P8" i="38"/>
  <c r="G9" i="38" s="1"/>
  <c r="E9" i="38"/>
  <c r="O8" i="37"/>
  <c r="P8" i="37" s="1"/>
  <c r="G9" i="37" s="1"/>
  <c r="L75" i="71" l="1"/>
  <c r="D60" i="71"/>
  <c r="J60" i="71" s="1"/>
  <c r="N59" i="71"/>
  <c r="P59" i="71"/>
  <c r="Q59" i="71" s="1"/>
  <c r="G47" i="47"/>
  <c r="G61" i="47"/>
  <c r="F57" i="48"/>
  <c r="H56" i="48"/>
  <c r="F45" i="48"/>
  <c r="H44" i="48"/>
  <c r="H32" i="48"/>
  <c r="O9" i="42"/>
  <c r="P9" i="42" s="1"/>
  <c r="G10" i="42" s="1"/>
  <c r="M9" i="42"/>
  <c r="O9" i="41"/>
  <c r="F10" i="41" s="1"/>
  <c r="M9" i="41"/>
  <c r="G37" i="47"/>
  <c r="O8" i="39"/>
  <c r="M8" i="39"/>
  <c r="G52" i="47"/>
  <c r="G41" i="47"/>
  <c r="P8" i="42"/>
  <c r="G9" i="42" s="1"/>
  <c r="G60" i="47"/>
  <c r="M8" i="47"/>
  <c r="D9" i="47" s="1"/>
  <c r="O9" i="48"/>
  <c r="G38" i="47"/>
  <c r="K8" i="47"/>
  <c r="F8" i="35"/>
  <c r="N8" i="35"/>
  <c r="G32" i="47"/>
  <c r="R9" i="48"/>
  <c r="G39" i="47"/>
  <c r="G36" i="47"/>
  <c r="G43" i="47"/>
  <c r="O8" i="40"/>
  <c r="F9" i="40" s="1"/>
  <c r="G66" i="47"/>
  <c r="G46" i="47"/>
  <c r="G49" i="47"/>
  <c r="G58" i="47"/>
  <c r="G63" i="47"/>
  <c r="G45" i="47"/>
  <c r="G33" i="47"/>
  <c r="L9" i="47"/>
  <c r="R9" i="47" s="1"/>
  <c r="N8" i="48"/>
  <c r="D9" i="48"/>
  <c r="P8" i="48"/>
  <c r="Q8" i="48" s="1"/>
  <c r="G7" i="33"/>
  <c r="G53" i="47"/>
  <c r="G35" i="47"/>
  <c r="E8" i="34"/>
  <c r="K8" i="48"/>
  <c r="L10" i="48"/>
  <c r="G59" i="47"/>
  <c r="G64" i="47"/>
  <c r="G57" i="47"/>
  <c r="G56" i="47"/>
  <c r="E10" i="42"/>
  <c r="E10" i="41"/>
  <c r="G31" i="47"/>
  <c r="G44" i="47"/>
  <c r="G62" i="47"/>
  <c r="N9" i="39"/>
  <c r="G65" i="47"/>
  <c r="G50" i="47"/>
  <c r="G54" i="47"/>
  <c r="F9" i="37"/>
  <c r="G55" i="47"/>
  <c r="E8" i="36"/>
  <c r="N8" i="36" s="1"/>
  <c r="G48" i="47"/>
  <c r="G40" i="47"/>
  <c r="G34" i="47"/>
  <c r="G51" i="47"/>
  <c r="G42" i="47"/>
  <c r="E60" i="71" l="1"/>
  <c r="C76" i="71"/>
  <c r="O75" i="71"/>
  <c r="F46" i="48"/>
  <c r="H45" i="48"/>
  <c r="H33" i="48"/>
  <c r="F58" i="48"/>
  <c r="H57" i="48"/>
  <c r="N8" i="47"/>
  <c r="E9" i="47" s="1"/>
  <c r="P9" i="41"/>
  <c r="G10" i="41" s="1"/>
  <c r="P8" i="39"/>
  <c r="G9" i="39" s="1"/>
  <c r="E7" i="30"/>
  <c r="K9" i="47"/>
  <c r="F10" i="42"/>
  <c r="O8" i="35"/>
  <c r="F9" i="35" s="1"/>
  <c r="M8" i="35"/>
  <c r="O8" i="29"/>
  <c r="M8" i="29"/>
  <c r="P8" i="47"/>
  <c r="Q8" i="47" s="1"/>
  <c r="F9" i="39"/>
  <c r="F8" i="36"/>
  <c r="O8" i="36" s="1"/>
  <c r="M7" i="36"/>
  <c r="O7" i="34"/>
  <c r="M7" i="34"/>
  <c r="J7" i="33"/>
  <c r="E9" i="35"/>
  <c r="M9" i="40"/>
  <c r="P8" i="40"/>
  <c r="G9" i="40" s="1"/>
  <c r="G7" i="44"/>
  <c r="M9" i="47"/>
  <c r="R10" i="48"/>
  <c r="C11" i="48"/>
  <c r="O10" i="48"/>
  <c r="E9" i="48"/>
  <c r="N9" i="40"/>
  <c r="N9" i="38"/>
  <c r="N9" i="37"/>
  <c r="C10" i="47"/>
  <c r="O9" i="47"/>
  <c r="E10" i="39"/>
  <c r="M10" i="42"/>
  <c r="M9" i="48"/>
  <c r="M10" i="41"/>
  <c r="P7" i="34" l="1"/>
  <c r="G8" i="34" s="1"/>
  <c r="L76" i="71"/>
  <c r="M60" i="71"/>
  <c r="H34" i="48"/>
  <c r="F59" i="48"/>
  <c r="H58" i="48"/>
  <c r="F47" i="48"/>
  <c r="H46" i="48"/>
  <c r="P8" i="36"/>
  <c r="P8" i="35"/>
  <c r="G9" i="35" s="1"/>
  <c r="F8" i="34"/>
  <c r="N7" i="30"/>
  <c r="O9" i="37"/>
  <c r="F10" i="37" s="1"/>
  <c r="M9" i="37"/>
  <c r="O9" i="39"/>
  <c r="F10" i="39" s="1"/>
  <c r="M9" i="39"/>
  <c r="O9" i="38"/>
  <c r="F10" i="38" s="1"/>
  <c r="M9" i="38"/>
  <c r="F9" i="29"/>
  <c r="P9" i="39"/>
  <c r="G10" i="39" s="1"/>
  <c r="G8" i="36"/>
  <c r="O9" i="28"/>
  <c r="N10" i="42"/>
  <c r="N9" i="47"/>
  <c r="E10" i="47" s="1"/>
  <c r="O9" i="40"/>
  <c r="P9" i="47"/>
  <c r="Q9" i="47" s="1"/>
  <c r="D10" i="47"/>
  <c r="O10" i="42"/>
  <c r="F11" i="42" s="1"/>
  <c r="O10" i="41"/>
  <c r="N9" i="35"/>
  <c r="J7" i="44"/>
  <c r="L10" i="47"/>
  <c r="R10" i="47" s="1"/>
  <c r="N10" i="41"/>
  <c r="K9" i="48"/>
  <c r="M10" i="39"/>
  <c r="L11" i="48"/>
  <c r="D10" i="48"/>
  <c r="N9" i="48"/>
  <c r="P9" i="48"/>
  <c r="Q9" i="48" s="1"/>
  <c r="E10" i="37"/>
  <c r="P9" i="38"/>
  <c r="G10" i="38" s="1"/>
  <c r="E10" i="38"/>
  <c r="N8" i="34"/>
  <c r="E10" i="40"/>
  <c r="F10" i="28" l="1"/>
  <c r="C77" i="71"/>
  <c r="O76" i="71"/>
  <c r="D61" i="71"/>
  <c r="J61" i="71" s="1"/>
  <c r="N60" i="71"/>
  <c r="P60" i="71"/>
  <c r="Q60" i="71" s="1"/>
  <c r="F60" i="48"/>
  <c r="H59" i="48"/>
  <c r="F48" i="48"/>
  <c r="H47" i="48"/>
  <c r="H35" i="48"/>
  <c r="E8" i="30"/>
  <c r="P9" i="37"/>
  <c r="G10" i="37" s="1"/>
  <c r="O9" i="35"/>
  <c r="F10" i="35" s="1"/>
  <c r="M9" i="35"/>
  <c r="F9" i="36"/>
  <c r="O9" i="36" s="1"/>
  <c r="M8" i="36"/>
  <c r="O9" i="29"/>
  <c r="M9" i="29"/>
  <c r="L9" i="30"/>
  <c r="F10" i="40"/>
  <c r="P10" i="42"/>
  <c r="G11" i="42" s="1"/>
  <c r="E11" i="42"/>
  <c r="P9" i="40"/>
  <c r="G10" i="40" s="1"/>
  <c r="F11" i="41"/>
  <c r="E10" i="35"/>
  <c r="N10" i="39"/>
  <c r="E9" i="34"/>
  <c r="C11" i="47"/>
  <c r="O10" i="47"/>
  <c r="C12" i="48"/>
  <c r="R11" i="48"/>
  <c r="O11" i="48"/>
  <c r="K10" i="47"/>
  <c r="M10" i="48"/>
  <c r="P10" i="41"/>
  <c r="G11" i="41" s="1"/>
  <c r="E11" i="41"/>
  <c r="E10" i="48"/>
  <c r="O10" i="39"/>
  <c r="L10" i="37"/>
  <c r="E9" i="36"/>
  <c r="N9" i="36" s="1"/>
  <c r="G9" i="36"/>
  <c r="M8" i="34"/>
  <c r="E61" i="71" l="1"/>
  <c r="L77" i="71"/>
  <c r="F49" i="48"/>
  <c r="H48" i="48"/>
  <c r="H36" i="48"/>
  <c r="F61" i="48"/>
  <c r="H60" i="48"/>
  <c r="P9" i="36"/>
  <c r="N8" i="30"/>
  <c r="O11" i="42"/>
  <c r="M11" i="42"/>
  <c r="O10" i="37"/>
  <c r="M10" i="37"/>
  <c r="P9" i="35"/>
  <c r="G10" i="35" s="1"/>
  <c r="F10" i="29"/>
  <c r="G8" i="44"/>
  <c r="G8" i="33"/>
  <c r="O10" i="38"/>
  <c r="M10" i="38"/>
  <c r="M10" i="40"/>
  <c r="N10" i="47"/>
  <c r="D11" i="47"/>
  <c r="E11" i="39"/>
  <c r="P10" i="47"/>
  <c r="Q10" i="47" s="1"/>
  <c r="P10" i="39"/>
  <c r="G11" i="39" s="1"/>
  <c r="N10" i="40"/>
  <c r="O10" i="28"/>
  <c r="N10" i="37"/>
  <c r="E11" i="37" s="1"/>
  <c r="N10" i="35"/>
  <c r="F12" i="42"/>
  <c r="D11" i="48"/>
  <c r="N10" i="48"/>
  <c r="P10" i="48"/>
  <c r="Q10" i="48" s="1"/>
  <c r="F11" i="37"/>
  <c r="L12" i="48"/>
  <c r="N10" i="38"/>
  <c r="N9" i="34"/>
  <c r="F11" i="39"/>
  <c r="O8" i="34"/>
  <c r="N11" i="42"/>
  <c r="K10" i="48"/>
  <c r="L11" i="47"/>
  <c r="R11" i="47" s="1"/>
  <c r="F11" i="28" l="1"/>
  <c r="M61" i="71"/>
  <c r="C78" i="71"/>
  <c r="O77" i="71"/>
  <c r="H37" i="48"/>
  <c r="F62" i="48"/>
  <c r="H61" i="48"/>
  <c r="F50" i="48"/>
  <c r="H49" i="48"/>
  <c r="E9" i="30"/>
  <c r="N9" i="30" s="1"/>
  <c r="E10" i="30" s="1"/>
  <c r="N10" i="30" s="1"/>
  <c r="E11" i="30" s="1"/>
  <c r="N11" i="30" s="1"/>
  <c r="O10" i="35"/>
  <c r="M10" i="35"/>
  <c r="L10" i="30"/>
  <c r="F10" i="36"/>
  <c r="O10" i="36" s="1"/>
  <c r="M9" i="36"/>
  <c r="F11" i="38"/>
  <c r="J8" i="33"/>
  <c r="O10" i="40"/>
  <c r="F11" i="40" s="1"/>
  <c r="E11" i="47"/>
  <c r="E11" i="40"/>
  <c r="N11" i="39"/>
  <c r="E12" i="39" s="1"/>
  <c r="P10" i="37"/>
  <c r="G11" i="37" s="1"/>
  <c r="E11" i="35"/>
  <c r="L11" i="35" s="1"/>
  <c r="M11" i="35" s="1"/>
  <c r="E10" i="34"/>
  <c r="F9" i="34"/>
  <c r="P8" i="34"/>
  <c r="G9" i="34" s="1"/>
  <c r="P11" i="42"/>
  <c r="G12" i="42" s="1"/>
  <c r="E12" i="42"/>
  <c r="E11" i="48"/>
  <c r="M11" i="48"/>
  <c r="J8" i="44"/>
  <c r="E11" i="38"/>
  <c r="P10" i="38"/>
  <c r="G11" i="38" s="1"/>
  <c r="C13" i="48"/>
  <c r="R12" i="48"/>
  <c r="O12" i="48"/>
  <c r="K11" i="47"/>
  <c r="C12" i="47"/>
  <c r="O11" i="47"/>
  <c r="F11" i="35"/>
  <c r="N11" i="41"/>
  <c r="M11" i="47"/>
  <c r="N11" i="47" s="1"/>
  <c r="L78" i="71" l="1"/>
  <c r="D62" i="71"/>
  <c r="J62" i="71" s="1"/>
  <c r="N61" i="71"/>
  <c r="P61" i="71"/>
  <c r="Q61" i="71" s="1"/>
  <c r="F51" i="48"/>
  <c r="H50" i="48"/>
  <c r="F63" i="48"/>
  <c r="H62" i="48"/>
  <c r="H38" i="48"/>
  <c r="O11" i="41"/>
  <c r="P11" i="41" s="1"/>
  <c r="G12" i="41" s="1"/>
  <c r="M11" i="41"/>
  <c r="O11" i="39"/>
  <c r="M11" i="39"/>
  <c r="P10" i="35"/>
  <c r="G11" i="35" s="1"/>
  <c r="G10" i="36"/>
  <c r="G9" i="33"/>
  <c r="P10" i="40"/>
  <c r="G11" i="40" s="1"/>
  <c r="N11" i="40"/>
  <c r="E10" i="36"/>
  <c r="N10" i="36" s="1"/>
  <c r="P11" i="39"/>
  <c r="G12" i="39" s="1"/>
  <c r="O11" i="35"/>
  <c r="D12" i="48"/>
  <c r="N11" i="48"/>
  <c r="P11" i="48"/>
  <c r="Q11" i="48" s="1"/>
  <c r="E12" i="41"/>
  <c r="N11" i="37"/>
  <c r="O11" i="28"/>
  <c r="F12" i="39"/>
  <c r="N11" i="35"/>
  <c r="M11" i="38"/>
  <c r="E12" i="47"/>
  <c r="L13" i="48"/>
  <c r="K11" i="48"/>
  <c r="D12" i="47"/>
  <c r="P11" i="47"/>
  <c r="Q11" i="47" s="1"/>
  <c r="J9" i="33"/>
  <c r="L11" i="30"/>
  <c r="L12" i="47"/>
  <c r="R12" i="47" s="1"/>
  <c r="E62" i="71" l="1"/>
  <c r="C79" i="71"/>
  <c r="O78" i="71"/>
  <c r="F64" i="48"/>
  <c r="H63" i="48"/>
  <c r="H39" i="48"/>
  <c r="F52" i="48"/>
  <c r="H51" i="48"/>
  <c r="F12" i="41"/>
  <c r="P10" i="36"/>
  <c r="F12" i="28"/>
  <c r="O7" i="43"/>
  <c r="N7" i="43"/>
  <c r="O11" i="37"/>
  <c r="M11" i="37"/>
  <c r="O11" i="40"/>
  <c r="M11" i="40"/>
  <c r="M9" i="34"/>
  <c r="E12" i="40"/>
  <c r="M10" i="36"/>
  <c r="F12" i="40"/>
  <c r="P11" i="40"/>
  <c r="G12" i="40" s="1"/>
  <c r="G9" i="44"/>
  <c r="N11" i="38"/>
  <c r="E12" i="30"/>
  <c r="N12" i="30" s="1"/>
  <c r="O12" i="39"/>
  <c r="O9" i="34"/>
  <c r="F12" i="37"/>
  <c r="P11" i="35"/>
  <c r="G12" i="35" s="1"/>
  <c r="E12" i="35"/>
  <c r="E12" i="48"/>
  <c r="M12" i="47"/>
  <c r="N12" i="47" s="1"/>
  <c r="R13" i="48"/>
  <c r="C14" i="48"/>
  <c r="O13" i="48"/>
  <c r="N12" i="39"/>
  <c r="C13" i="47"/>
  <c r="O12" i="47"/>
  <c r="M12" i="41"/>
  <c r="M12" i="48"/>
  <c r="O11" i="38"/>
  <c r="N12" i="42"/>
  <c r="K12" i="47"/>
  <c r="N10" i="34"/>
  <c r="F12" i="35"/>
  <c r="E12" i="37"/>
  <c r="P11" i="37"/>
  <c r="G12" i="37" s="1"/>
  <c r="F10" i="34" l="1"/>
  <c r="L79" i="71"/>
  <c r="M62" i="71"/>
  <c r="H40" i="48"/>
  <c r="F53" i="48"/>
  <c r="H52" i="48"/>
  <c r="F65" i="48"/>
  <c r="H64" i="48"/>
  <c r="F8" i="43"/>
  <c r="E8" i="43"/>
  <c r="P7" i="43"/>
  <c r="G8" i="43" s="1"/>
  <c r="O12" i="42"/>
  <c r="F13" i="42" s="1"/>
  <c r="M12" i="42"/>
  <c r="G10" i="33"/>
  <c r="F11" i="36"/>
  <c r="E12" i="38"/>
  <c r="M12" i="40"/>
  <c r="P11" i="38"/>
  <c r="G12" i="38" s="1"/>
  <c r="P9" i="34"/>
  <c r="G10" i="34" s="1"/>
  <c r="N12" i="40"/>
  <c r="E13" i="47"/>
  <c r="O12" i="41"/>
  <c r="F13" i="39"/>
  <c r="D13" i="48"/>
  <c r="N12" i="48"/>
  <c r="P12" i="48"/>
  <c r="Q12" i="48" s="1"/>
  <c r="L12" i="30"/>
  <c r="P12" i="39"/>
  <c r="G13" i="39" s="1"/>
  <c r="E13" i="39"/>
  <c r="F12" i="38"/>
  <c r="E11" i="34"/>
  <c r="L14" i="48"/>
  <c r="D13" i="47"/>
  <c r="P12" i="47"/>
  <c r="Q12" i="47" s="1"/>
  <c r="L13" i="47"/>
  <c r="R13" i="47" s="1"/>
  <c r="E13" i="42"/>
  <c r="N12" i="41"/>
  <c r="D63" i="71" l="1"/>
  <c r="J63" i="71" s="1"/>
  <c r="N62" i="71"/>
  <c r="P62" i="71"/>
  <c r="Q62" i="71" s="1"/>
  <c r="C80" i="71"/>
  <c r="O79" i="71"/>
  <c r="F54" i="48"/>
  <c r="H54" i="48" s="1"/>
  <c r="H53" i="48"/>
  <c r="F66" i="48"/>
  <c r="H66" i="48" s="1"/>
  <c r="H65" i="48"/>
  <c r="H42" i="48"/>
  <c r="H41" i="48"/>
  <c r="P12" i="42"/>
  <c r="G13" i="42" s="1"/>
  <c r="D7" i="30"/>
  <c r="M7" i="30" s="1"/>
  <c r="F7" i="30"/>
  <c r="O8" i="43"/>
  <c r="N8" i="43"/>
  <c r="M10" i="34"/>
  <c r="E11" i="36"/>
  <c r="G11" i="36"/>
  <c r="G10" i="44"/>
  <c r="E13" i="40"/>
  <c r="O12" i="40"/>
  <c r="L12" i="38"/>
  <c r="M12" i="38" s="1"/>
  <c r="O12" i="28"/>
  <c r="N11" i="34"/>
  <c r="K13" i="47"/>
  <c r="O10" i="34"/>
  <c r="E13" i="41"/>
  <c r="P12" i="41"/>
  <c r="G13" i="41" s="1"/>
  <c r="C14" i="47"/>
  <c r="O13" i="47"/>
  <c r="M13" i="47"/>
  <c r="N13" i="47" s="1"/>
  <c r="E13" i="48"/>
  <c r="C15" i="48"/>
  <c r="R14" i="48"/>
  <c r="O14" i="48"/>
  <c r="F13" i="41"/>
  <c r="N12" i="35"/>
  <c r="M13" i="48"/>
  <c r="N12" i="37"/>
  <c r="N12" i="38"/>
  <c r="E63" i="71" l="1"/>
  <c r="L80" i="71"/>
  <c r="L11" i="36"/>
  <c r="O11" i="36" s="1"/>
  <c r="N11" i="36"/>
  <c r="O7" i="30"/>
  <c r="F8" i="30" s="1"/>
  <c r="D8" i="30"/>
  <c r="M8" i="30" s="1"/>
  <c r="O8" i="30" s="1"/>
  <c r="F13" i="28"/>
  <c r="O12" i="35"/>
  <c r="M12" i="35"/>
  <c r="F9" i="43"/>
  <c r="E9" i="43"/>
  <c r="P8" i="43"/>
  <c r="G9" i="43" s="1"/>
  <c r="O12" i="37"/>
  <c r="F13" i="37" s="1"/>
  <c r="M12" i="37"/>
  <c r="P12" i="40"/>
  <c r="G13" i="40" s="1"/>
  <c r="F13" i="40"/>
  <c r="O12" i="38"/>
  <c r="P12" i="38" s="1"/>
  <c r="G13" i="38" s="1"/>
  <c r="O13" i="39"/>
  <c r="N13" i="42"/>
  <c r="N13" i="39"/>
  <c r="E13" i="30"/>
  <c r="N13" i="30" s="1"/>
  <c r="E13" i="37"/>
  <c r="E13" i="35"/>
  <c r="E14" i="47"/>
  <c r="K13" i="48"/>
  <c r="N13" i="40"/>
  <c r="L14" i="47"/>
  <c r="R14" i="47" s="1"/>
  <c r="D14" i="47"/>
  <c r="P13" i="47"/>
  <c r="Q13" i="47" s="1"/>
  <c r="E12" i="34"/>
  <c r="D14" i="48"/>
  <c r="N13" i="48"/>
  <c r="P13" i="48"/>
  <c r="Q13" i="48" s="1"/>
  <c r="L15" i="48"/>
  <c r="E13" i="38"/>
  <c r="F11" i="34"/>
  <c r="P10" i="34"/>
  <c r="G11" i="34" s="1"/>
  <c r="M63" i="71" l="1"/>
  <c r="C81" i="71"/>
  <c r="O80" i="71"/>
  <c r="P11" i="36"/>
  <c r="D9" i="30"/>
  <c r="M9" i="30" s="1"/>
  <c r="F9" i="30"/>
  <c r="P12" i="35"/>
  <c r="G13" i="35" s="1"/>
  <c r="F13" i="35"/>
  <c r="P12" i="37"/>
  <c r="G13" i="37" s="1"/>
  <c r="O9" i="43"/>
  <c r="N9" i="43"/>
  <c r="F12" i="36"/>
  <c r="O12" i="36" s="1"/>
  <c r="M11" i="36"/>
  <c r="O13" i="42"/>
  <c r="F14" i="42" s="1"/>
  <c r="M13" i="42"/>
  <c r="O13" i="40"/>
  <c r="F14" i="40" s="1"/>
  <c r="M13" i="40"/>
  <c r="E12" i="36"/>
  <c r="N12" i="36" s="1"/>
  <c r="P12" i="36" s="1"/>
  <c r="E14" i="42"/>
  <c r="F13" i="38"/>
  <c r="F14" i="39"/>
  <c r="P13" i="39"/>
  <c r="G14" i="39" s="1"/>
  <c r="E14" i="39"/>
  <c r="N13" i="41"/>
  <c r="C15" i="47"/>
  <c r="O14" i="47"/>
  <c r="E14" i="40"/>
  <c r="N12" i="34"/>
  <c r="K14" i="47"/>
  <c r="R15" i="48"/>
  <c r="C16" i="48"/>
  <c r="O15" i="48"/>
  <c r="M14" i="47"/>
  <c r="N14" i="47" s="1"/>
  <c r="E14" i="48"/>
  <c r="L13" i="30"/>
  <c r="L81" i="71" l="1"/>
  <c r="D64" i="71"/>
  <c r="J64" i="71" s="1"/>
  <c r="N63" i="71"/>
  <c r="P63" i="71"/>
  <c r="Q63" i="71" s="1"/>
  <c r="G12" i="36"/>
  <c r="O9" i="30"/>
  <c r="D10" i="30"/>
  <c r="M10" i="30" s="1"/>
  <c r="O10" i="30" s="1"/>
  <c r="F10" i="30"/>
  <c r="P13" i="42"/>
  <c r="G14" i="42" s="1"/>
  <c r="P13" i="40"/>
  <c r="G14" i="40" s="1"/>
  <c r="M13" i="37"/>
  <c r="F10" i="43"/>
  <c r="E10" i="43"/>
  <c r="P9" i="43"/>
  <c r="G10" i="43" s="1"/>
  <c r="O13" i="28"/>
  <c r="N13" i="37"/>
  <c r="E14" i="37" s="1"/>
  <c r="E14" i="41"/>
  <c r="E15" i="47"/>
  <c r="E13" i="34"/>
  <c r="N14" i="42"/>
  <c r="L16" i="48"/>
  <c r="M13" i="38"/>
  <c r="N13" i="38"/>
  <c r="K14" i="48"/>
  <c r="N14" i="39"/>
  <c r="M14" i="48"/>
  <c r="D15" i="47"/>
  <c r="P14" i="47"/>
  <c r="Q14" i="47" s="1"/>
  <c r="L15" i="47"/>
  <c r="R15" i="47" s="1"/>
  <c r="N13" i="35"/>
  <c r="F14" i="28" l="1"/>
  <c r="E64" i="71"/>
  <c r="C82" i="71"/>
  <c r="O81" i="71"/>
  <c r="D11" i="30"/>
  <c r="M11" i="30" s="1"/>
  <c r="F11" i="30"/>
  <c r="O14" i="39"/>
  <c r="F15" i="39" s="1"/>
  <c r="M14" i="39"/>
  <c r="O13" i="37"/>
  <c r="F14" i="37" s="1"/>
  <c r="N10" i="43"/>
  <c r="M14" i="40"/>
  <c r="O14" i="42"/>
  <c r="F15" i="42" s="1"/>
  <c r="M14" i="42"/>
  <c r="M12" i="36"/>
  <c r="O13" i="35"/>
  <c r="M13" i="35"/>
  <c r="E14" i="30"/>
  <c r="N14" i="30" s="1"/>
  <c r="N14" i="40"/>
  <c r="C16" i="47"/>
  <c r="O15" i="47"/>
  <c r="M15" i="47"/>
  <c r="E14" i="38"/>
  <c r="O13" i="38"/>
  <c r="P13" i="38" s="1"/>
  <c r="G14" i="38" s="1"/>
  <c r="K15" i="47"/>
  <c r="N14" i="41"/>
  <c r="E14" i="35"/>
  <c r="P14" i="39"/>
  <c r="G15" i="39" s="1"/>
  <c r="E15" i="39"/>
  <c r="E15" i="42"/>
  <c r="D15" i="48"/>
  <c r="P14" i="48"/>
  <c r="Q14" i="48" s="1"/>
  <c r="N14" i="48"/>
  <c r="R16" i="48"/>
  <c r="C17" i="48"/>
  <c r="O16" i="48"/>
  <c r="E13" i="36"/>
  <c r="N13" i="36" s="1"/>
  <c r="L82" i="71" l="1"/>
  <c r="M64" i="71"/>
  <c r="O11" i="30"/>
  <c r="F12" i="30" s="1"/>
  <c r="D12" i="30"/>
  <c r="M12" i="30" s="1"/>
  <c r="O12" i="30" s="1"/>
  <c r="P13" i="37"/>
  <c r="G14" i="37" s="1"/>
  <c r="G13" i="36"/>
  <c r="F13" i="36"/>
  <c r="O13" i="36" s="1"/>
  <c r="P14" i="42"/>
  <c r="G15" i="42" s="1"/>
  <c r="O14" i="40"/>
  <c r="F15" i="40" s="1"/>
  <c r="O10" i="43"/>
  <c r="P10" i="43"/>
  <c r="G11" i="43" s="1"/>
  <c r="E11" i="43"/>
  <c r="L14" i="30"/>
  <c r="F14" i="35"/>
  <c r="P13" i="35"/>
  <c r="G14" i="35" s="1"/>
  <c r="O14" i="28"/>
  <c r="E15" i="40"/>
  <c r="L17" i="48"/>
  <c r="L16" i="47"/>
  <c r="R16" i="47" s="1"/>
  <c r="D16" i="47"/>
  <c r="P15" i="47"/>
  <c r="Q15" i="47" s="1"/>
  <c r="N15" i="47"/>
  <c r="N14" i="37"/>
  <c r="E15" i="48"/>
  <c r="E15" i="41"/>
  <c r="N13" i="34"/>
  <c r="F14" i="38"/>
  <c r="F15" i="28" l="1"/>
  <c r="D65" i="71"/>
  <c r="J65" i="71" s="1"/>
  <c r="N64" i="71"/>
  <c r="P64" i="71"/>
  <c r="Q64" i="71" s="1"/>
  <c r="C83" i="71"/>
  <c r="O82" i="71"/>
  <c r="P13" i="36"/>
  <c r="D13" i="30"/>
  <c r="M13" i="30" s="1"/>
  <c r="F13" i="30"/>
  <c r="P14" i="40"/>
  <c r="G15" i="40" s="1"/>
  <c r="M14" i="35"/>
  <c r="O15" i="42"/>
  <c r="F16" i="42" s="1"/>
  <c r="M14" i="38"/>
  <c r="N11" i="43"/>
  <c r="J9" i="44"/>
  <c r="F11" i="43"/>
  <c r="N14" i="38"/>
  <c r="N15" i="39"/>
  <c r="N15" i="42"/>
  <c r="K16" i="47"/>
  <c r="C17" i="47"/>
  <c r="O16" i="47"/>
  <c r="R17" i="48"/>
  <c r="C18" i="48"/>
  <c r="O17" i="48"/>
  <c r="E15" i="37"/>
  <c r="N15" i="40"/>
  <c r="E14" i="34"/>
  <c r="N14" i="35"/>
  <c r="K15" i="48"/>
  <c r="M15" i="48"/>
  <c r="O15" i="39"/>
  <c r="E16" i="47"/>
  <c r="M16" i="47"/>
  <c r="E65" i="71" l="1"/>
  <c r="L83" i="71"/>
  <c r="O13" i="30"/>
  <c r="E15" i="30"/>
  <c r="N15" i="30" s="1"/>
  <c r="D14" i="30"/>
  <c r="M14" i="30" s="1"/>
  <c r="F14" i="30"/>
  <c r="F14" i="36"/>
  <c r="O14" i="36" s="1"/>
  <c r="M15" i="42"/>
  <c r="M13" i="36"/>
  <c r="P11" i="43"/>
  <c r="G12" i="43" s="1"/>
  <c r="E12" i="43"/>
  <c r="O11" i="43"/>
  <c r="J10" i="44"/>
  <c r="L15" i="30"/>
  <c r="O14" i="35"/>
  <c r="F15" i="35" s="1"/>
  <c r="O15" i="40"/>
  <c r="M15" i="40"/>
  <c r="E14" i="36"/>
  <c r="N14" i="36" s="1"/>
  <c r="G14" i="36"/>
  <c r="N6" i="29"/>
  <c r="E16" i="42"/>
  <c r="P15" i="42"/>
  <c r="G16" i="42" s="1"/>
  <c r="N15" i="41"/>
  <c r="O14" i="38"/>
  <c r="F15" i="38" s="1"/>
  <c r="E15" i="38"/>
  <c r="P15" i="39"/>
  <c r="G16" i="39" s="1"/>
  <c r="E16" i="39"/>
  <c r="E15" i="35"/>
  <c r="L17" i="47"/>
  <c r="R17" i="47" s="1"/>
  <c r="D17" i="47"/>
  <c r="P16" i="47"/>
  <c r="Q16" i="47" s="1"/>
  <c r="L18" i="48"/>
  <c r="F16" i="39"/>
  <c r="N16" i="47"/>
  <c r="E16" i="40"/>
  <c r="D16" i="48"/>
  <c r="P15" i="48"/>
  <c r="Q15" i="48" s="1"/>
  <c r="N15" i="48"/>
  <c r="N14" i="34"/>
  <c r="O14" i="30" l="1"/>
  <c r="M65" i="71"/>
  <c r="C84" i="71"/>
  <c r="O83" i="71"/>
  <c r="P14" i="36"/>
  <c r="D15" i="30"/>
  <c r="M15" i="30" s="1"/>
  <c r="F15" i="30"/>
  <c r="N6" i="28"/>
  <c r="O6" i="28"/>
  <c r="F16" i="40"/>
  <c r="P15" i="40"/>
  <c r="G16" i="40" s="1"/>
  <c r="E16" i="30"/>
  <c r="L16" i="42"/>
  <c r="M16" i="42" s="1"/>
  <c r="F12" i="43"/>
  <c r="N12" i="43"/>
  <c r="P14" i="35"/>
  <c r="G15" i="35" s="1"/>
  <c r="E7" i="29"/>
  <c r="P6" i="29"/>
  <c r="G7" i="29" s="1"/>
  <c r="E16" i="41"/>
  <c r="P14" i="38"/>
  <c r="G15" i="38" s="1"/>
  <c r="N16" i="42"/>
  <c r="N16" i="39"/>
  <c r="N15" i="37"/>
  <c r="E16" i="37" s="1"/>
  <c r="E15" i="34"/>
  <c r="E17" i="47"/>
  <c r="E16" i="48"/>
  <c r="N15" i="38"/>
  <c r="M17" i="47"/>
  <c r="C19" i="48"/>
  <c r="R18" i="48"/>
  <c r="O18" i="48"/>
  <c r="M16" i="48"/>
  <c r="K17" i="47"/>
  <c r="C18" i="47"/>
  <c r="O17" i="47"/>
  <c r="L84" i="71" l="1"/>
  <c r="D66" i="71"/>
  <c r="J66" i="71" s="1"/>
  <c r="N65" i="71"/>
  <c r="P65" i="71"/>
  <c r="Q65" i="71" s="1"/>
  <c r="O15" i="30"/>
  <c r="F16" i="30" s="1"/>
  <c r="L16" i="30"/>
  <c r="N16" i="30"/>
  <c r="D16" i="30"/>
  <c r="M16" i="30" s="1"/>
  <c r="E7" i="28"/>
  <c r="N7" i="28" s="1"/>
  <c r="P6" i="28"/>
  <c r="G7" i="28" s="1"/>
  <c r="F7" i="28"/>
  <c r="O7" i="28" s="1"/>
  <c r="O16" i="39"/>
  <c r="M16" i="39"/>
  <c r="O16" i="42"/>
  <c r="F17" i="42" s="1"/>
  <c r="P16" i="42"/>
  <c r="G17" i="42" s="1"/>
  <c r="M14" i="36"/>
  <c r="O12" i="43"/>
  <c r="E13" i="43"/>
  <c r="P12" i="43"/>
  <c r="G13" i="43" s="1"/>
  <c r="F15" i="36"/>
  <c r="O15" i="36" s="1"/>
  <c r="G15" i="36"/>
  <c r="M6" i="33"/>
  <c r="N7" i="29"/>
  <c r="O15" i="38"/>
  <c r="M15" i="38"/>
  <c r="E15" i="36"/>
  <c r="N15" i="36" s="1"/>
  <c r="E17" i="42"/>
  <c r="P16" i="39"/>
  <c r="G17" i="39" s="1"/>
  <c r="N16" i="40"/>
  <c r="E17" i="40" s="1"/>
  <c r="E17" i="39"/>
  <c r="L19" i="48"/>
  <c r="N16" i="41"/>
  <c r="K16" i="48"/>
  <c r="N15" i="35"/>
  <c r="N15" i="34"/>
  <c r="D18" i="47"/>
  <c r="P17" i="47"/>
  <c r="Q17" i="47" s="1"/>
  <c r="L18" i="47"/>
  <c r="R18" i="47" s="1"/>
  <c r="N17" i="47"/>
  <c r="D17" i="48"/>
  <c r="P16" i="48"/>
  <c r="Q16" i="48" s="1"/>
  <c r="N16" i="48"/>
  <c r="F17" i="39"/>
  <c r="E16" i="38"/>
  <c r="E66" i="71" l="1"/>
  <c r="C85" i="71"/>
  <c r="O84" i="71"/>
  <c r="P15" i="36"/>
  <c r="O16" i="30"/>
  <c r="F17" i="30" s="1"/>
  <c r="D17" i="30"/>
  <c r="M17" i="30" s="1"/>
  <c r="F8" i="28"/>
  <c r="E8" i="28"/>
  <c r="N8" i="28" s="1"/>
  <c r="P7" i="28"/>
  <c r="G8" i="28" s="1"/>
  <c r="M17" i="42"/>
  <c r="M6" i="44"/>
  <c r="F13" i="43"/>
  <c r="N13" i="43"/>
  <c r="M15" i="36"/>
  <c r="O15" i="35"/>
  <c r="F16" i="35" s="1"/>
  <c r="M15" i="35"/>
  <c r="E8" i="29"/>
  <c r="P7" i="29"/>
  <c r="G8" i="29" s="1"/>
  <c r="D7" i="33"/>
  <c r="F16" i="38"/>
  <c r="P15" i="38"/>
  <c r="G16" i="38" s="1"/>
  <c r="E17" i="30"/>
  <c r="K18" i="47"/>
  <c r="E16" i="35"/>
  <c r="E17" i="48"/>
  <c r="N16" i="37"/>
  <c r="M18" i="47"/>
  <c r="N18" i="47" s="1"/>
  <c r="E16" i="34"/>
  <c r="E17" i="41"/>
  <c r="M17" i="48"/>
  <c r="C20" i="48"/>
  <c r="R19" i="48"/>
  <c r="O19" i="48"/>
  <c r="E18" i="47"/>
  <c r="N17" i="42"/>
  <c r="C19" i="47"/>
  <c r="O18" i="47"/>
  <c r="L85" i="71" l="1"/>
  <c r="M66" i="71"/>
  <c r="L17" i="30"/>
  <c r="N17" i="30"/>
  <c r="O17" i="30"/>
  <c r="E9" i="28"/>
  <c r="N9" i="28" s="1"/>
  <c r="P8" i="28"/>
  <c r="G9" i="28" s="1"/>
  <c r="O17" i="42"/>
  <c r="G16" i="36"/>
  <c r="L16" i="38"/>
  <c r="D7" i="44"/>
  <c r="E14" i="43"/>
  <c r="P13" i="43"/>
  <c r="G14" i="43" s="1"/>
  <c r="P15" i="35"/>
  <c r="G16" i="35" s="1"/>
  <c r="N8" i="29"/>
  <c r="M7" i="33"/>
  <c r="N17" i="39"/>
  <c r="N17" i="40"/>
  <c r="D18" i="48"/>
  <c r="P17" i="48"/>
  <c r="Q17" i="48" s="1"/>
  <c r="N17" i="48"/>
  <c r="L19" i="47"/>
  <c r="R19" i="47" s="1"/>
  <c r="N16" i="34"/>
  <c r="E18" i="42"/>
  <c r="E19" i="47"/>
  <c r="D19" i="47"/>
  <c r="P18" i="47"/>
  <c r="Q18" i="47" s="1"/>
  <c r="E16" i="36"/>
  <c r="N16" i="36" s="1"/>
  <c r="K17" i="48"/>
  <c r="E17" i="37"/>
  <c r="N16" i="38"/>
  <c r="C86" i="71" l="1"/>
  <c r="O85" i="71"/>
  <c r="D67" i="71"/>
  <c r="J67" i="71" s="1"/>
  <c r="N66" i="71"/>
  <c r="P66" i="71"/>
  <c r="Q66" i="71" s="1"/>
  <c r="E10" i="28"/>
  <c r="N10" i="28" s="1"/>
  <c r="P9" i="28"/>
  <c r="G10" i="28" s="1"/>
  <c r="P17" i="42"/>
  <c r="G18" i="42" s="1"/>
  <c r="O17" i="39"/>
  <c r="P17" i="39" s="1"/>
  <c r="G18" i="39" s="1"/>
  <c r="F18" i="42"/>
  <c r="M16" i="35"/>
  <c r="F16" i="36"/>
  <c r="O16" i="36" s="1"/>
  <c r="M7" i="44"/>
  <c r="O13" i="43"/>
  <c r="O16" i="38"/>
  <c r="P16" i="38" s="1"/>
  <c r="G17" i="38" s="1"/>
  <c r="M16" i="38"/>
  <c r="D8" i="33"/>
  <c r="E9" i="29"/>
  <c r="P8" i="29"/>
  <c r="G9" i="29" s="1"/>
  <c r="N17" i="41"/>
  <c r="E18" i="40"/>
  <c r="E18" i="39"/>
  <c r="N16" i="35"/>
  <c r="M19" i="47"/>
  <c r="N19" i="47" s="1"/>
  <c r="E18" i="48"/>
  <c r="E17" i="34"/>
  <c r="M18" i="48"/>
  <c r="L20" i="48"/>
  <c r="E17" i="38"/>
  <c r="K19" i="47"/>
  <c r="C20" i="47"/>
  <c r="O19" i="47"/>
  <c r="E67" i="71" l="1"/>
  <c r="L86" i="71"/>
  <c r="F18" i="39"/>
  <c r="P16" i="36"/>
  <c r="E11" i="28"/>
  <c r="N11" i="28" s="1"/>
  <c r="P10" i="28"/>
  <c r="G11" i="28" s="1"/>
  <c r="O16" i="35"/>
  <c r="F17" i="35" s="1"/>
  <c r="M18" i="42"/>
  <c r="D8" i="44"/>
  <c r="F14" i="43"/>
  <c r="N14" i="43"/>
  <c r="F17" i="38"/>
  <c r="N9" i="29"/>
  <c r="M8" i="33"/>
  <c r="E18" i="41"/>
  <c r="N18" i="41" s="1"/>
  <c r="E17" i="35"/>
  <c r="N18" i="42"/>
  <c r="D19" i="48"/>
  <c r="P18" i="48"/>
  <c r="Q18" i="48" s="1"/>
  <c r="N18" i="48"/>
  <c r="N17" i="37"/>
  <c r="E20" i="47"/>
  <c r="D20" i="47"/>
  <c r="P19" i="47"/>
  <c r="Q19" i="47" s="1"/>
  <c r="L20" i="47"/>
  <c r="C21" i="48"/>
  <c r="R20" i="48"/>
  <c r="O20" i="48"/>
  <c r="N18" i="40"/>
  <c r="C87" i="71" l="1"/>
  <c r="O86" i="71"/>
  <c r="M67" i="71"/>
  <c r="R20" i="47"/>
  <c r="E12" i="28"/>
  <c r="N12" i="28" s="1"/>
  <c r="P11" i="28"/>
  <c r="G12" i="28" s="1"/>
  <c r="P16" i="35"/>
  <c r="G17" i="35" s="1"/>
  <c r="O18" i="42"/>
  <c r="P18" i="42" s="1"/>
  <c r="G19" i="42" s="1"/>
  <c r="M8" i="44"/>
  <c r="O14" i="43"/>
  <c r="P14" i="43"/>
  <c r="G15" i="43" s="1"/>
  <c r="E15" i="43"/>
  <c r="F17" i="36"/>
  <c r="M16" i="36"/>
  <c r="D9" i="33"/>
  <c r="E10" i="29"/>
  <c r="P9" i="29"/>
  <c r="G10" i="29" s="1"/>
  <c r="N18" i="39"/>
  <c r="E19" i="42"/>
  <c r="N17" i="35"/>
  <c r="E17" i="36"/>
  <c r="N17" i="38"/>
  <c r="K20" i="47"/>
  <c r="E19" i="48"/>
  <c r="E19" i="40"/>
  <c r="C21" i="47"/>
  <c r="O20" i="47"/>
  <c r="N17" i="34"/>
  <c r="M20" i="47"/>
  <c r="E18" i="34" l="1"/>
  <c r="N18" i="34" s="1"/>
  <c r="D68" i="71"/>
  <c r="J68" i="71" s="1"/>
  <c r="N67" i="71"/>
  <c r="E68" i="71" s="1"/>
  <c r="P67" i="71"/>
  <c r="Q67" i="71" s="1"/>
  <c r="L87" i="71"/>
  <c r="N20" i="47"/>
  <c r="E21" i="47" s="1"/>
  <c r="N17" i="36"/>
  <c r="E13" i="28"/>
  <c r="N13" i="28" s="1"/>
  <c r="P12" i="28"/>
  <c r="G13" i="28" s="1"/>
  <c r="O18" i="39"/>
  <c r="M18" i="39"/>
  <c r="F19" i="42"/>
  <c r="M19" i="42" s="1"/>
  <c r="G17" i="36"/>
  <c r="D9" i="44"/>
  <c r="N15" i="43"/>
  <c r="F15" i="43"/>
  <c r="O17" i="38"/>
  <c r="M17" i="38"/>
  <c r="O17" i="35"/>
  <c r="M17" i="35"/>
  <c r="M9" i="33"/>
  <c r="M10" i="29"/>
  <c r="N10" i="29"/>
  <c r="N19" i="42"/>
  <c r="T19" i="42" s="1"/>
  <c r="V19" i="42" s="1"/>
  <c r="L21" i="47"/>
  <c r="E18" i="38"/>
  <c r="D21" i="47"/>
  <c r="P20" i="47"/>
  <c r="Q20" i="47" s="1"/>
  <c r="K19" i="48"/>
  <c r="E19" i="41"/>
  <c r="N19" i="41" s="1"/>
  <c r="M19" i="48"/>
  <c r="E19" i="34" l="1"/>
  <c r="N19" i="34" s="1"/>
  <c r="P18" i="34"/>
  <c r="G19" i="34" s="1"/>
  <c r="Q18" i="34"/>
  <c r="C88" i="71"/>
  <c r="O87" i="71"/>
  <c r="R21" i="47"/>
  <c r="P18" i="39"/>
  <c r="E14" i="28"/>
  <c r="N14" i="28" s="1"/>
  <c r="P13" i="28"/>
  <c r="G14" i="28" s="1"/>
  <c r="O19" i="42"/>
  <c r="F20" i="42" s="1"/>
  <c r="F18" i="38"/>
  <c r="P17" i="35"/>
  <c r="P17" i="38"/>
  <c r="G18" i="38" s="1"/>
  <c r="M9" i="44"/>
  <c r="P15" i="43"/>
  <c r="G16" i="43" s="1"/>
  <c r="E16" i="43"/>
  <c r="O10" i="29"/>
  <c r="P10" i="29" s="1"/>
  <c r="G11" i="29" s="1"/>
  <c r="E11" i="29"/>
  <c r="D10" i="33"/>
  <c r="E20" i="42"/>
  <c r="Q19" i="42"/>
  <c r="K21" i="47"/>
  <c r="M21" i="47"/>
  <c r="C22" i="47"/>
  <c r="O21" i="47"/>
  <c r="N19" i="40"/>
  <c r="O17" i="36"/>
  <c r="D20" i="48"/>
  <c r="P19" i="48"/>
  <c r="Q19" i="48" s="1"/>
  <c r="N19" i="48"/>
  <c r="E20" i="34" l="1"/>
  <c r="N20" i="34" s="1"/>
  <c r="P19" i="34"/>
  <c r="G20" i="34" s="1"/>
  <c r="Q19" i="34"/>
  <c r="M68" i="71"/>
  <c r="L88" i="71"/>
  <c r="N21" i="47"/>
  <c r="E22" i="47" s="1"/>
  <c r="P17" i="36"/>
  <c r="R19" i="42"/>
  <c r="S19" i="42" s="1"/>
  <c r="E15" i="28"/>
  <c r="N15" i="28" s="1"/>
  <c r="P14" i="28"/>
  <c r="G15" i="28" s="1"/>
  <c r="P19" i="42"/>
  <c r="G20" i="42" s="1"/>
  <c r="M18" i="38"/>
  <c r="M20" i="42"/>
  <c r="D10" i="44"/>
  <c r="O15" i="43"/>
  <c r="N11" i="29"/>
  <c r="J10" i="33"/>
  <c r="F11" i="29"/>
  <c r="M10" i="33"/>
  <c r="D22" i="47"/>
  <c r="P21" i="47"/>
  <c r="Q21" i="47" s="1"/>
  <c r="N18" i="38"/>
  <c r="L22" i="47"/>
  <c r="N20" i="42"/>
  <c r="E20" i="48"/>
  <c r="M20" i="48"/>
  <c r="E20" i="40"/>
  <c r="T19" i="40"/>
  <c r="V19" i="40" s="1"/>
  <c r="Q19" i="40"/>
  <c r="P20" i="34" l="1"/>
  <c r="G21" i="34" s="1"/>
  <c r="E21" i="34"/>
  <c r="N21" i="34" s="1"/>
  <c r="Q20" i="34"/>
  <c r="C89" i="71"/>
  <c r="O88" i="71"/>
  <c r="D69" i="71"/>
  <c r="J69" i="71" s="1"/>
  <c r="N68" i="71"/>
  <c r="E69" i="71" s="1"/>
  <c r="P68" i="71"/>
  <c r="Q68" i="71" s="1"/>
  <c r="R22" i="47"/>
  <c r="E16" i="28"/>
  <c r="N16" i="28" s="1"/>
  <c r="O20" i="42"/>
  <c r="F21" i="42" s="1"/>
  <c r="O18" i="38"/>
  <c r="P18" i="38" s="1"/>
  <c r="M10" i="44"/>
  <c r="F16" i="43"/>
  <c r="N16" i="43"/>
  <c r="M17" i="36"/>
  <c r="E12" i="29"/>
  <c r="D11" i="33"/>
  <c r="D21" i="48"/>
  <c r="P20" i="48"/>
  <c r="Q20" i="48" s="1"/>
  <c r="N20" i="48"/>
  <c r="C23" i="47"/>
  <c r="O22" i="47"/>
  <c r="T19" i="41"/>
  <c r="V19" i="41" s="1"/>
  <c r="E20" i="41"/>
  <c r="Q19" i="41"/>
  <c r="K22" i="47"/>
  <c r="T20" i="42"/>
  <c r="V20" i="42" s="1"/>
  <c r="E21" i="42"/>
  <c r="Q20" i="42"/>
  <c r="M22" i="47"/>
  <c r="K20" i="48"/>
  <c r="P21" i="34" l="1"/>
  <c r="G22" i="34" s="1"/>
  <c r="E22" i="34"/>
  <c r="N22" i="34" s="1"/>
  <c r="Q21" i="34"/>
  <c r="L89" i="71"/>
  <c r="N22" i="47"/>
  <c r="E23" i="47" s="1"/>
  <c r="E17" i="28"/>
  <c r="R20" i="42"/>
  <c r="S20" i="42" s="1"/>
  <c r="P20" i="42"/>
  <c r="G21" i="42" s="1"/>
  <c r="D11" i="44"/>
  <c r="O16" i="43"/>
  <c r="P16" i="43"/>
  <c r="G17" i="43" s="1"/>
  <c r="E17" i="43"/>
  <c r="E21" i="48"/>
  <c r="L23" i="47"/>
  <c r="N20" i="40"/>
  <c r="D23" i="47"/>
  <c r="P22" i="47"/>
  <c r="Q22" i="47" s="1"/>
  <c r="E23" i="34" l="1"/>
  <c r="P22" i="34"/>
  <c r="G23" i="34" s="1"/>
  <c r="Q22" i="34"/>
  <c r="C90" i="71"/>
  <c r="O89" i="71"/>
  <c r="M69" i="71"/>
  <c r="R23" i="47"/>
  <c r="N17" i="28"/>
  <c r="N12" i="29"/>
  <c r="M21" i="42"/>
  <c r="F17" i="43"/>
  <c r="N17" i="43"/>
  <c r="G11" i="33"/>
  <c r="M11" i="29"/>
  <c r="O11" i="29"/>
  <c r="M23" i="47"/>
  <c r="N21" i="42"/>
  <c r="C24" i="47"/>
  <c r="O23" i="47"/>
  <c r="E21" i="40"/>
  <c r="T20" i="40"/>
  <c r="V20" i="40" s="1"/>
  <c r="Q20" i="40"/>
  <c r="K23" i="47"/>
  <c r="N20" i="41"/>
  <c r="E18" i="28" l="1"/>
  <c r="N18" i="28" s="1"/>
  <c r="N23" i="34"/>
  <c r="L23" i="34"/>
  <c r="D70" i="71"/>
  <c r="J70" i="71" s="1"/>
  <c r="N69" i="71"/>
  <c r="E70" i="71" s="1"/>
  <c r="P69" i="71"/>
  <c r="Q69" i="71" s="1"/>
  <c r="L90" i="71"/>
  <c r="E13" i="29"/>
  <c r="N13" i="29" s="1"/>
  <c r="O21" i="42"/>
  <c r="F22" i="42" s="1"/>
  <c r="E18" i="43"/>
  <c r="B17" i="44" s="1"/>
  <c r="P17" i="43"/>
  <c r="G18" i="43" s="1"/>
  <c r="P11" i="29"/>
  <c r="G12" i="29" s="1"/>
  <c r="G12" i="33"/>
  <c r="J11" i="33"/>
  <c r="F12" i="29"/>
  <c r="D24" i="47"/>
  <c r="P23" i="47"/>
  <c r="Q23" i="47" s="1"/>
  <c r="N23" i="47"/>
  <c r="E21" i="41"/>
  <c r="T20" i="41"/>
  <c r="V20" i="41" s="1"/>
  <c r="Q20" i="41"/>
  <c r="L24" i="47"/>
  <c r="E22" i="42"/>
  <c r="T21" i="42"/>
  <c r="V21" i="42" s="1"/>
  <c r="Q21" i="42"/>
  <c r="E19" i="28" l="1"/>
  <c r="N19" i="28" s="1"/>
  <c r="T18" i="28"/>
  <c r="V18" i="28" s="1"/>
  <c r="Q18" i="28"/>
  <c r="P23" i="34"/>
  <c r="G24" i="34" s="1"/>
  <c r="E24" i="34"/>
  <c r="Q23" i="34"/>
  <c r="O90" i="71"/>
  <c r="R24" i="47"/>
  <c r="R21" i="42"/>
  <c r="S21" i="42" s="1"/>
  <c r="P21" i="42"/>
  <c r="G22" i="42" s="1"/>
  <c r="E17" i="44"/>
  <c r="O17" i="43"/>
  <c r="M11" i="33"/>
  <c r="O12" i="29"/>
  <c r="E14" i="29"/>
  <c r="N21" i="40"/>
  <c r="E22" i="40" s="1"/>
  <c r="K24" i="47"/>
  <c r="C25" i="47"/>
  <c r="O24" i="47"/>
  <c r="E24" i="47"/>
  <c r="M24" i="47"/>
  <c r="E20" i="28" l="1"/>
  <c r="N20" i="28" s="1"/>
  <c r="T19" i="28"/>
  <c r="V19" i="28" s="1"/>
  <c r="Q19" i="28"/>
  <c r="N24" i="34"/>
  <c r="L24" i="34"/>
  <c r="M70" i="71"/>
  <c r="N24" i="47"/>
  <c r="E25" i="47" s="1"/>
  <c r="M22" i="42"/>
  <c r="F18" i="43"/>
  <c r="N18" i="43"/>
  <c r="K17" i="44" s="1"/>
  <c r="D12" i="33"/>
  <c r="P12" i="29"/>
  <c r="G13" i="29" s="1"/>
  <c r="F13" i="29"/>
  <c r="M12" i="29"/>
  <c r="N14" i="29"/>
  <c r="Q21" i="40"/>
  <c r="T21" i="40"/>
  <c r="V21" i="40" s="1"/>
  <c r="N21" i="41"/>
  <c r="N22" i="42"/>
  <c r="L25" i="47"/>
  <c r="D25" i="47"/>
  <c r="P24" i="47"/>
  <c r="Q24" i="47" s="1"/>
  <c r="T20" i="28" l="1"/>
  <c r="V20" i="28" s="1"/>
  <c r="E21" i="28"/>
  <c r="N21" i="28" s="1"/>
  <c r="Q20" i="28"/>
  <c r="E25" i="34"/>
  <c r="P24" i="34"/>
  <c r="G25" i="34" s="1"/>
  <c r="Q24" i="34"/>
  <c r="D71" i="71"/>
  <c r="J71" i="71" s="1"/>
  <c r="N70" i="71"/>
  <c r="E71" i="71" s="1"/>
  <c r="P70" i="71"/>
  <c r="Q70" i="71" s="1"/>
  <c r="R25" i="47"/>
  <c r="O22" i="42"/>
  <c r="P22" i="42" s="1"/>
  <c r="G23" i="42" s="1"/>
  <c r="E19" i="43"/>
  <c r="B18" i="44" s="1"/>
  <c r="G13" i="33"/>
  <c r="M12" i="33"/>
  <c r="M13" i="29"/>
  <c r="E15" i="29"/>
  <c r="J12" i="33"/>
  <c r="O13" i="29"/>
  <c r="N22" i="40"/>
  <c r="K25" i="47"/>
  <c r="E22" i="41"/>
  <c r="T21" i="41"/>
  <c r="V21" i="41" s="1"/>
  <c r="Q21" i="41"/>
  <c r="M25" i="47"/>
  <c r="C26" i="47"/>
  <c r="O25" i="47"/>
  <c r="T22" i="42"/>
  <c r="V22" i="42" s="1"/>
  <c r="E23" i="42"/>
  <c r="Q22" i="42"/>
  <c r="E22" i="28" l="1"/>
  <c r="N22" i="28" s="1"/>
  <c r="T21" i="28"/>
  <c r="V21" i="28" s="1"/>
  <c r="Q21" i="28"/>
  <c r="L25" i="34"/>
  <c r="N25" i="34"/>
  <c r="B25" i="44"/>
  <c r="O18" i="43"/>
  <c r="F23" i="42"/>
  <c r="R22" i="42"/>
  <c r="S22" i="42" s="1"/>
  <c r="D13" i="33"/>
  <c r="P13" i="29"/>
  <c r="G14" i="29" s="1"/>
  <c r="F14" i="29"/>
  <c r="J13" i="33"/>
  <c r="N15" i="29"/>
  <c r="T22" i="40"/>
  <c r="V22" i="40" s="1"/>
  <c r="E23" i="40"/>
  <c r="Q22" i="40"/>
  <c r="L26" i="47"/>
  <c r="D26" i="47"/>
  <c r="P25" i="47"/>
  <c r="Q25" i="47" s="1"/>
  <c r="N25" i="47"/>
  <c r="T22" i="28" l="1"/>
  <c r="V22" i="28" s="1"/>
  <c r="E23" i="28"/>
  <c r="N23" i="28" s="1"/>
  <c r="Q22" i="28"/>
  <c r="P25" i="34"/>
  <c r="G26" i="34" s="1"/>
  <c r="E26" i="34"/>
  <c r="Q25" i="34"/>
  <c r="M71" i="71"/>
  <c r="R26" i="47"/>
  <c r="F19" i="43"/>
  <c r="P18" i="43"/>
  <c r="G19" i="43" s="1"/>
  <c r="N19" i="43"/>
  <c r="K18" i="44" s="1"/>
  <c r="Q18" i="44" s="1"/>
  <c r="E18" i="44"/>
  <c r="M23" i="42"/>
  <c r="G14" i="33"/>
  <c r="M13" i="33"/>
  <c r="E16" i="29"/>
  <c r="O14" i="29"/>
  <c r="M14" i="29"/>
  <c r="N23" i="40"/>
  <c r="E24" i="40" s="1"/>
  <c r="N22" i="41"/>
  <c r="K26" i="47"/>
  <c r="C27" i="47"/>
  <c r="O26" i="47"/>
  <c r="E26" i="47"/>
  <c r="N23" i="42"/>
  <c r="M26" i="47"/>
  <c r="T23" i="28" l="1"/>
  <c r="V23" i="28" s="1"/>
  <c r="E24" i="28"/>
  <c r="N24" i="28" s="1"/>
  <c r="Q23" i="28"/>
  <c r="N26" i="34"/>
  <c r="L26" i="34"/>
  <c r="D72" i="71"/>
  <c r="J72" i="71" s="1"/>
  <c r="N71" i="71"/>
  <c r="E72" i="71" s="1"/>
  <c r="P71" i="71"/>
  <c r="Q71" i="71" s="1"/>
  <c r="N26" i="47"/>
  <c r="E27" i="47" s="1"/>
  <c r="P19" i="43"/>
  <c r="G20" i="43" s="1"/>
  <c r="T19" i="43"/>
  <c r="Q19" i="43"/>
  <c r="E20" i="43"/>
  <c r="B19" i="44" s="1"/>
  <c r="O23" i="42"/>
  <c r="F24" i="42" s="1"/>
  <c r="O19" i="43"/>
  <c r="D14" i="33"/>
  <c r="P14" i="29"/>
  <c r="G15" i="29" s="1"/>
  <c r="J14" i="33"/>
  <c r="F15" i="29"/>
  <c r="N16" i="29"/>
  <c r="T22" i="41"/>
  <c r="V22" i="41" s="1"/>
  <c r="E23" i="41"/>
  <c r="Q23" i="40"/>
  <c r="T23" i="40"/>
  <c r="V23" i="40" s="1"/>
  <c r="Q22" i="41"/>
  <c r="D27" i="47"/>
  <c r="P26" i="47"/>
  <c r="Q26" i="47" s="1"/>
  <c r="T23" i="42"/>
  <c r="V23" i="42" s="1"/>
  <c r="E24" i="42"/>
  <c r="Q23" i="42"/>
  <c r="L27" i="47"/>
  <c r="T24" i="28" l="1"/>
  <c r="V24" i="28" s="1"/>
  <c r="E25" i="28"/>
  <c r="N25" i="28" s="1"/>
  <c r="Q24" i="28"/>
  <c r="E27" i="34"/>
  <c r="P26" i="34"/>
  <c r="G27" i="34" s="1"/>
  <c r="Q26" i="34"/>
  <c r="R27" i="47"/>
  <c r="V19" i="43"/>
  <c r="P23" i="42"/>
  <c r="G24" i="42" s="1"/>
  <c r="R23" i="42"/>
  <c r="S23" i="42" s="1"/>
  <c r="F20" i="43"/>
  <c r="R19" i="43"/>
  <c r="S19" i="43" s="1"/>
  <c r="M14" i="33"/>
  <c r="E17" i="29"/>
  <c r="K27" i="47"/>
  <c r="M27" i="47"/>
  <c r="N23" i="41"/>
  <c r="C28" i="47"/>
  <c r="O27" i="47"/>
  <c r="N24" i="40"/>
  <c r="T25" i="28" l="1"/>
  <c r="V25" i="28" s="1"/>
  <c r="E26" i="28"/>
  <c r="N26" i="28" s="1"/>
  <c r="Q25" i="28"/>
  <c r="N27" i="34"/>
  <c r="L27" i="34"/>
  <c r="M72" i="71"/>
  <c r="N20" i="43"/>
  <c r="K19" i="44" s="1"/>
  <c r="Q19" i="44" s="1"/>
  <c r="E19" i="44"/>
  <c r="N27" i="47"/>
  <c r="E17" i="33"/>
  <c r="B17" i="33"/>
  <c r="Q20" i="43"/>
  <c r="M24" i="42"/>
  <c r="D15" i="33"/>
  <c r="N17" i="29"/>
  <c r="K17" i="33" s="1"/>
  <c r="N24" i="42"/>
  <c r="T24" i="42" s="1"/>
  <c r="V24" i="42" s="1"/>
  <c r="T23" i="41"/>
  <c r="V23" i="41" s="1"/>
  <c r="E24" i="41"/>
  <c r="Q23" i="41"/>
  <c r="T24" i="40"/>
  <c r="V24" i="40" s="1"/>
  <c r="E25" i="40"/>
  <c r="Q24" i="40"/>
  <c r="L28" i="47"/>
  <c r="D28" i="47"/>
  <c r="P27" i="47"/>
  <c r="Q27" i="47" s="1"/>
  <c r="T26" i="28" l="1"/>
  <c r="V26" i="28" s="1"/>
  <c r="E27" i="28"/>
  <c r="N27" i="28" s="1"/>
  <c r="Q26" i="28"/>
  <c r="P27" i="34"/>
  <c r="G28" i="34" s="1"/>
  <c r="E28" i="34"/>
  <c r="Q27" i="34"/>
  <c r="D73" i="71"/>
  <c r="J73" i="71" s="1"/>
  <c r="N72" i="71"/>
  <c r="E73" i="71" s="1"/>
  <c r="P72" i="71"/>
  <c r="Q72" i="71" s="1"/>
  <c r="P20" i="43"/>
  <c r="G21" i="43" s="1"/>
  <c r="E21" i="43"/>
  <c r="B20" i="44" s="1"/>
  <c r="T20" i="43"/>
  <c r="V20" i="43" s="1"/>
  <c r="E28" i="47"/>
  <c r="O20" i="43"/>
  <c r="R20" i="43" s="1"/>
  <c r="S20" i="43" s="1"/>
  <c r="F19" i="44"/>
  <c r="G19" i="44" s="1"/>
  <c r="R28" i="47"/>
  <c r="O24" i="42"/>
  <c r="F25" i="42" s="1"/>
  <c r="F17" i="33"/>
  <c r="B18" i="33"/>
  <c r="E25" i="42"/>
  <c r="Q24" i="42"/>
  <c r="K28" i="47"/>
  <c r="C29" i="47"/>
  <c r="O28" i="47"/>
  <c r="M28" i="47"/>
  <c r="E28" i="28" l="1"/>
  <c r="N28" i="28" s="1"/>
  <c r="T27" i="28"/>
  <c r="V27" i="28" s="1"/>
  <c r="Q27" i="28"/>
  <c r="N28" i="34"/>
  <c r="L28" i="34"/>
  <c r="F21" i="43"/>
  <c r="N21" i="43"/>
  <c r="K20" i="44" s="1"/>
  <c r="Q20" i="44" s="1"/>
  <c r="N28" i="47"/>
  <c r="P24" i="42"/>
  <c r="G25" i="42" s="1"/>
  <c r="T21" i="43"/>
  <c r="V21" i="43" s="1"/>
  <c r="Q21" i="43"/>
  <c r="R24" i="42"/>
  <c r="S24" i="42" s="1"/>
  <c r="P21" i="43"/>
  <c r="G22" i="43" s="1"/>
  <c r="E22" i="43"/>
  <c r="B21" i="44" s="1"/>
  <c r="M25" i="42"/>
  <c r="N25" i="42"/>
  <c r="E26" i="42" s="1"/>
  <c r="D29" i="47"/>
  <c r="P28" i="47"/>
  <c r="Q28" i="47" s="1"/>
  <c r="N24" i="41"/>
  <c r="L29" i="47"/>
  <c r="N25" i="40"/>
  <c r="E29" i="28" l="1"/>
  <c r="N29" i="28" s="1"/>
  <c r="T28" i="28"/>
  <c r="V28" i="28" s="1"/>
  <c r="Q28" i="28"/>
  <c r="E29" i="34"/>
  <c r="P28" i="34"/>
  <c r="G29" i="34" s="1"/>
  <c r="Q28" i="34"/>
  <c r="M73" i="71"/>
  <c r="E29" i="47"/>
  <c r="O21" i="43"/>
  <c r="R29" i="47"/>
  <c r="E21" i="44"/>
  <c r="O25" i="42"/>
  <c r="R25" i="42" s="1"/>
  <c r="F22" i="43"/>
  <c r="R21" i="43"/>
  <c r="S21" i="43" s="1"/>
  <c r="F18" i="33"/>
  <c r="G18" i="33" s="1"/>
  <c r="T25" i="42"/>
  <c r="V25" i="42" s="1"/>
  <c r="Q25" i="42"/>
  <c r="C30" i="47"/>
  <c r="O29" i="47"/>
  <c r="E26" i="40"/>
  <c r="T25" i="40"/>
  <c r="V25" i="40" s="1"/>
  <c r="Q25" i="40"/>
  <c r="M29" i="47"/>
  <c r="K29" i="47"/>
  <c r="E25" i="41"/>
  <c r="T24" i="41"/>
  <c r="V24" i="41" s="1"/>
  <c r="Q24" i="41"/>
  <c r="T29" i="28" l="1"/>
  <c r="V29" i="28" s="1"/>
  <c r="Q29" i="28"/>
  <c r="N29" i="34"/>
  <c r="L29" i="34"/>
  <c r="D74" i="71"/>
  <c r="J74" i="71" s="1"/>
  <c r="N73" i="71"/>
  <c r="E74" i="71" s="1"/>
  <c r="P73" i="71"/>
  <c r="Q73" i="71" s="1"/>
  <c r="N29" i="47"/>
  <c r="E30" i="47" s="1"/>
  <c r="K18" i="33"/>
  <c r="P25" i="42"/>
  <c r="G26" i="42" s="1"/>
  <c r="N22" i="43"/>
  <c r="K21" i="44" s="1"/>
  <c r="Q21" i="44" s="1"/>
  <c r="F26" i="42"/>
  <c r="M26" i="42" s="1"/>
  <c r="B19" i="33"/>
  <c r="S25" i="42"/>
  <c r="N26" i="42"/>
  <c r="T26" i="42" s="1"/>
  <c r="V26" i="42" s="1"/>
  <c r="L30" i="47"/>
  <c r="D30" i="47"/>
  <c r="P29" i="47"/>
  <c r="Q29" i="47" s="1"/>
  <c r="P29" i="34" l="1"/>
  <c r="Q29" i="34"/>
  <c r="S29" i="34" s="1"/>
  <c r="F21" i="44"/>
  <c r="G21" i="44" s="1"/>
  <c r="R30" i="47"/>
  <c r="Q18" i="33"/>
  <c r="N18" i="33"/>
  <c r="O22" i="43"/>
  <c r="F23" i="43" s="1"/>
  <c r="Q22" i="43"/>
  <c r="T22" i="43"/>
  <c r="V22" i="43" s="1"/>
  <c r="E23" i="43"/>
  <c r="O26" i="42"/>
  <c r="R26" i="42" s="1"/>
  <c r="N18" i="44"/>
  <c r="N26" i="40"/>
  <c r="E27" i="40" s="1"/>
  <c r="Q26" i="42"/>
  <c r="E27" i="42"/>
  <c r="K30" i="47"/>
  <c r="M30" i="47"/>
  <c r="C31" i="47"/>
  <c r="O30" i="47"/>
  <c r="N25" i="41"/>
  <c r="M74" i="71" l="1"/>
  <c r="E22" i="44"/>
  <c r="B22" i="44"/>
  <c r="N30" i="47"/>
  <c r="P22" i="43"/>
  <c r="G23" i="43" s="1"/>
  <c r="R22" i="43"/>
  <c r="S22" i="43" s="1"/>
  <c r="K19" i="33"/>
  <c r="E19" i="33"/>
  <c r="F27" i="42"/>
  <c r="P26" i="42"/>
  <c r="G27" i="42" s="1"/>
  <c r="F19" i="33"/>
  <c r="S26" i="42"/>
  <c r="Q26" i="40"/>
  <c r="T26" i="40"/>
  <c r="V26" i="40" s="1"/>
  <c r="T25" i="41"/>
  <c r="V25" i="41" s="1"/>
  <c r="E26" i="41"/>
  <c r="Q25" i="41"/>
  <c r="D31" i="47"/>
  <c r="J31" i="47" s="1"/>
  <c r="P30" i="47"/>
  <c r="Q30" i="47" s="1"/>
  <c r="N27" i="42"/>
  <c r="L31" i="47"/>
  <c r="D75" i="71" l="1"/>
  <c r="J75" i="71" s="1"/>
  <c r="N74" i="71"/>
  <c r="E75" i="71" s="1"/>
  <c r="P74" i="71"/>
  <c r="Q74" i="71" s="1"/>
  <c r="M27" i="42"/>
  <c r="E31" i="47"/>
  <c r="N23" i="43"/>
  <c r="K22" i="44" s="1"/>
  <c r="Q22" i="44" s="1"/>
  <c r="R31" i="47"/>
  <c r="Q19" i="33"/>
  <c r="B20" i="33"/>
  <c r="G19" i="33"/>
  <c r="N19" i="44"/>
  <c r="N19" i="33"/>
  <c r="N27" i="40"/>
  <c r="Q27" i="40" s="1"/>
  <c r="K31" i="47"/>
  <c r="C32" i="47"/>
  <c r="O31" i="47"/>
  <c r="M31" i="47"/>
  <c r="T27" i="42"/>
  <c r="V27" i="42" s="1"/>
  <c r="E28" i="42"/>
  <c r="Q27" i="42"/>
  <c r="O27" i="42" l="1"/>
  <c r="F28" i="42" s="1"/>
  <c r="Q23" i="43"/>
  <c r="E24" i="43"/>
  <c r="B23" i="44" s="1"/>
  <c r="T23" i="43"/>
  <c r="V23" i="43" s="1"/>
  <c r="F22" i="44"/>
  <c r="G22" i="44" s="1"/>
  <c r="O23" i="43"/>
  <c r="K20" i="33"/>
  <c r="E23" i="44"/>
  <c r="P27" i="42"/>
  <c r="G28" i="42" s="1"/>
  <c r="R27" i="42"/>
  <c r="S27" i="42" s="1"/>
  <c r="E28" i="40"/>
  <c r="T27" i="40"/>
  <c r="V27" i="40" s="1"/>
  <c r="D32" i="47"/>
  <c r="J32" i="47" s="1"/>
  <c r="P31" i="47"/>
  <c r="Q31" i="47" s="1"/>
  <c r="N26" i="41"/>
  <c r="N31" i="47"/>
  <c r="L32" i="47"/>
  <c r="M75" i="71" l="1"/>
  <c r="F24" i="43"/>
  <c r="R23" i="43"/>
  <c r="S23" i="43" s="1"/>
  <c r="P23" i="43"/>
  <c r="G24" i="43" s="1"/>
  <c r="R32" i="47"/>
  <c r="Q20" i="33"/>
  <c r="N24" i="43"/>
  <c r="K23" i="44" s="1"/>
  <c r="Q23" i="44" s="1"/>
  <c r="F23" i="44"/>
  <c r="G23" i="44" s="1"/>
  <c r="B21" i="33"/>
  <c r="M28" i="42"/>
  <c r="N20" i="44"/>
  <c r="N20" i="33"/>
  <c r="N28" i="42"/>
  <c r="E29" i="42" s="1"/>
  <c r="E27" i="41"/>
  <c r="T26" i="41"/>
  <c r="V26" i="41" s="1"/>
  <c r="Q26" i="41"/>
  <c r="C33" i="47"/>
  <c r="O32" i="47"/>
  <c r="K32" i="47"/>
  <c r="M32" i="47"/>
  <c r="E32" i="47"/>
  <c r="D76" i="71" l="1"/>
  <c r="J76" i="71" s="1"/>
  <c r="N75" i="71"/>
  <c r="E76" i="71" s="1"/>
  <c r="P75" i="71"/>
  <c r="Q75" i="71" s="1"/>
  <c r="N28" i="40"/>
  <c r="Q28" i="40" s="1"/>
  <c r="E30" i="34"/>
  <c r="N30" i="34" s="1"/>
  <c r="N32" i="47"/>
  <c r="E25" i="43"/>
  <c r="B24" i="44" s="1"/>
  <c r="Q24" i="43"/>
  <c r="T24" i="43"/>
  <c r="V24" i="43" s="1"/>
  <c r="E21" i="33"/>
  <c r="O28" i="42"/>
  <c r="F29" i="42" s="1"/>
  <c r="Q28" i="42"/>
  <c r="T28" i="42"/>
  <c r="V28" i="42" s="1"/>
  <c r="D33" i="47"/>
  <c r="P32" i="47"/>
  <c r="Q32" i="47" s="1"/>
  <c r="L33" i="47"/>
  <c r="E29" i="40" l="1"/>
  <c r="T28" i="40"/>
  <c r="V28" i="40" s="1"/>
  <c r="O24" i="43"/>
  <c r="M24" i="43"/>
  <c r="E33" i="47"/>
  <c r="E31" i="34"/>
  <c r="N31" i="34" s="1"/>
  <c r="Q30" i="34"/>
  <c r="R33" i="47"/>
  <c r="F21" i="33"/>
  <c r="K21" i="33"/>
  <c r="P24" i="43"/>
  <c r="G25" i="43" s="1"/>
  <c r="F25" i="43"/>
  <c r="R24" i="43"/>
  <c r="S24" i="43" s="1"/>
  <c r="E24" i="44"/>
  <c r="P28" i="42"/>
  <c r="G29" i="42" s="1"/>
  <c r="R28" i="42"/>
  <c r="S28" i="42" s="1"/>
  <c r="M29" i="42"/>
  <c r="N21" i="44"/>
  <c r="C34" i="47"/>
  <c r="O33" i="47"/>
  <c r="N27" i="41"/>
  <c r="J33" i="47"/>
  <c r="N29" i="42"/>
  <c r="M33" i="47" l="1"/>
  <c r="M76" i="71"/>
  <c r="E32" i="34"/>
  <c r="N32" i="34" s="1"/>
  <c r="Q31" i="34"/>
  <c r="G21" i="33"/>
  <c r="Q21" i="33"/>
  <c r="B22" i="33"/>
  <c r="N25" i="43"/>
  <c r="K24" i="44" s="1"/>
  <c r="Q24" i="44" s="1"/>
  <c r="F24" i="44"/>
  <c r="G24" i="44" s="1"/>
  <c r="O29" i="42"/>
  <c r="F30" i="42" s="1"/>
  <c r="N21" i="33"/>
  <c r="T27" i="41"/>
  <c r="V27" i="41" s="1"/>
  <c r="E28" i="41"/>
  <c r="Q27" i="41"/>
  <c r="L34" i="47"/>
  <c r="E30" i="42"/>
  <c r="T29" i="42"/>
  <c r="V29" i="42" s="1"/>
  <c r="Q29" i="42"/>
  <c r="K33" i="47"/>
  <c r="E31" i="39"/>
  <c r="P33" i="47" l="1"/>
  <c r="Q33" i="47" s="1"/>
  <c r="N33" i="47"/>
  <c r="D34" i="47"/>
  <c r="J34" i="47" s="1"/>
  <c r="D77" i="71"/>
  <c r="J77" i="71" s="1"/>
  <c r="N76" i="71"/>
  <c r="E77" i="71" s="1"/>
  <c r="P76" i="71"/>
  <c r="Q76" i="71" s="1"/>
  <c r="N29" i="40"/>
  <c r="E33" i="34"/>
  <c r="N33" i="34" s="1"/>
  <c r="Q32" i="34"/>
  <c r="R34" i="47"/>
  <c r="F22" i="33"/>
  <c r="F31" i="39"/>
  <c r="G31" i="39"/>
  <c r="P29" i="42"/>
  <c r="G30" i="42" s="1"/>
  <c r="T25" i="43"/>
  <c r="V25" i="43" s="1"/>
  <c r="E26" i="43"/>
  <c r="Q25" i="43"/>
  <c r="O25" i="43"/>
  <c r="R29" i="42"/>
  <c r="S29" i="42" s="1"/>
  <c r="K22" i="33"/>
  <c r="E22" i="33"/>
  <c r="N22" i="44"/>
  <c r="C35" i="47"/>
  <c r="O34" i="47"/>
  <c r="K34" i="47"/>
  <c r="G31" i="48"/>
  <c r="I31" i="39"/>
  <c r="M34" i="47" l="1"/>
  <c r="E34" i="47"/>
  <c r="E30" i="40"/>
  <c r="Q29" i="40"/>
  <c r="T29" i="40"/>
  <c r="V29" i="40" s="1"/>
  <c r="L31" i="39"/>
  <c r="M31" i="39" s="1"/>
  <c r="G22" i="33"/>
  <c r="E34" i="34"/>
  <c r="N34" i="34" s="1"/>
  <c r="Q33" i="34"/>
  <c r="Q22" i="33"/>
  <c r="P25" i="43"/>
  <c r="G26" i="43" s="1"/>
  <c r="R25" i="43"/>
  <c r="S25" i="43" s="1"/>
  <c r="F26" i="43"/>
  <c r="B23" i="33"/>
  <c r="N22" i="33"/>
  <c r="N30" i="42"/>
  <c r="T30" i="42" s="1"/>
  <c r="V30" i="42" s="1"/>
  <c r="N31" i="39"/>
  <c r="T31" i="39" s="1"/>
  <c r="V31" i="39" s="1"/>
  <c r="P34" i="47"/>
  <c r="Q34" i="47" s="1"/>
  <c r="N28" i="41"/>
  <c r="L35" i="47"/>
  <c r="N34" i="47" l="1"/>
  <c r="D35" i="47"/>
  <c r="J35" i="47" s="1"/>
  <c r="M77" i="71"/>
  <c r="E35" i="34"/>
  <c r="N35" i="34" s="1"/>
  <c r="Q34" i="34"/>
  <c r="N26" i="43"/>
  <c r="K25" i="44" s="1"/>
  <c r="Q25" i="44" s="1"/>
  <c r="R35" i="47"/>
  <c r="O31" i="39"/>
  <c r="R31" i="39" s="1"/>
  <c r="F25" i="44"/>
  <c r="O30" i="42"/>
  <c r="F31" i="42" s="1"/>
  <c r="M30" i="42"/>
  <c r="N23" i="44"/>
  <c r="E31" i="42"/>
  <c r="Q30" i="42"/>
  <c r="E32" i="39"/>
  <c r="Q31" i="39"/>
  <c r="E35" i="47"/>
  <c r="G32" i="48"/>
  <c r="C36" i="47"/>
  <c r="O35" i="47"/>
  <c r="K35" i="47"/>
  <c r="M35" i="47"/>
  <c r="E29" i="41"/>
  <c r="T28" i="41"/>
  <c r="V28" i="41" s="1"/>
  <c r="Q28" i="41"/>
  <c r="I32" i="39" l="1"/>
  <c r="D78" i="71"/>
  <c r="J78" i="71" s="1"/>
  <c r="N77" i="71"/>
  <c r="E78" i="71" s="1"/>
  <c r="P77" i="71"/>
  <c r="Q77" i="71" s="1"/>
  <c r="H31" i="42"/>
  <c r="I31" i="42" s="1"/>
  <c r="L31" i="42" s="1"/>
  <c r="N30" i="40"/>
  <c r="Q26" i="43"/>
  <c r="T26" i="43"/>
  <c r="V26" i="43" s="1"/>
  <c r="E27" i="43"/>
  <c r="E36" i="34"/>
  <c r="N36" i="34" s="1"/>
  <c r="Q35" i="34"/>
  <c r="G25" i="44"/>
  <c r="S31" i="39"/>
  <c r="F32" i="39"/>
  <c r="P31" i="39"/>
  <c r="G32" i="39" s="1"/>
  <c r="E30" i="28"/>
  <c r="K23" i="33"/>
  <c r="B24" i="33"/>
  <c r="F23" i="33"/>
  <c r="E23" i="33"/>
  <c r="P30" i="42"/>
  <c r="G31" i="42" s="1"/>
  <c r="R30" i="42"/>
  <c r="S30" i="42" s="1"/>
  <c r="N32" i="39"/>
  <c r="Q32" i="39" s="1"/>
  <c r="D36" i="47"/>
  <c r="J36" i="47" s="1"/>
  <c r="P35" i="47"/>
  <c r="Q35" i="47" s="1"/>
  <c r="L36" i="47"/>
  <c r="N35" i="47"/>
  <c r="L32" i="39" l="1"/>
  <c r="O32" i="39" s="1"/>
  <c r="R32" i="39" s="1"/>
  <c r="S32" i="39" s="1"/>
  <c r="O26" i="43"/>
  <c r="M26" i="43"/>
  <c r="E26" i="44"/>
  <c r="B26" i="44"/>
  <c r="N31" i="42"/>
  <c r="E32" i="42" s="1"/>
  <c r="Q30" i="40"/>
  <c r="E31" i="40"/>
  <c r="T30" i="40"/>
  <c r="V30" i="40" s="1"/>
  <c r="I30" i="28"/>
  <c r="E37" i="34"/>
  <c r="N37" i="34" s="1"/>
  <c r="Q36" i="34"/>
  <c r="R36" i="47"/>
  <c r="N23" i="33"/>
  <c r="Q23" i="33"/>
  <c r="K24" i="33"/>
  <c r="N30" i="28"/>
  <c r="G23" i="33"/>
  <c r="P26" i="43"/>
  <c r="G27" i="43" s="1"/>
  <c r="F27" i="43"/>
  <c r="R26" i="43"/>
  <c r="S26" i="43" s="1"/>
  <c r="N29" i="41"/>
  <c r="M32" i="39"/>
  <c r="O31" i="42"/>
  <c r="F32" i="42" s="1"/>
  <c r="M31" i="42"/>
  <c r="N24" i="44"/>
  <c r="E33" i="39"/>
  <c r="I33" i="39" s="1"/>
  <c r="T32" i="39"/>
  <c r="V32" i="39" s="1"/>
  <c r="G33" i="48"/>
  <c r="E30" i="37"/>
  <c r="E30" i="36"/>
  <c r="D37" i="30"/>
  <c r="K36" i="47"/>
  <c r="E36" i="47"/>
  <c r="M36" i="47"/>
  <c r="C37" i="47"/>
  <c r="O36" i="47"/>
  <c r="T31" i="42" l="1"/>
  <c r="V31" i="42" s="1"/>
  <c r="H32" i="42"/>
  <c r="I32" i="42" s="1"/>
  <c r="Q31" i="42"/>
  <c r="M78" i="71"/>
  <c r="I31" i="40"/>
  <c r="N31" i="40"/>
  <c r="H30" i="37"/>
  <c r="I30" i="37" s="1"/>
  <c r="N27" i="43"/>
  <c r="E38" i="34"/>
  <c r="N38" i="34" s="1"/>
  <c r="Q37" i="34"/>
  <c r="T29" i="41"/>
  <c r="V29" i="41" s="1"/>
  <c r="N36" i="47"/>
  <c r="Q24" i="33"/>
  <c r="P31" i="42"/>
  <c r="G32" i="42" s="1"/>
  <c r="F24" i="33"/>
  <c r="E24" i="33"/>
  <c r="B25" i="33"/>
  <c r="T30" i="28"/>
  <c r="V30" i="28" s="1"/>
  <c r="Q30" i="28"/>
  <c r="E31" i="28"/>
  <c r="E30" i="35"/>
  <c r="Q29" i="41"/>
  <c r="E30" i="41"/>
  <c r="R31" i="42"/>
  <c r="F33" i="39"/>
  <c r="L33" i="39" s="1"/>
  <c r="P32" i="39"/>
  <c r="G33" i="39" s="1"/>
  <c r="N24" i="33"/>
  <c r="L37" i="47"/>
  <c r="D37" i="47"/>
  <c r="P36" i="47"/>
  <c r="Q36" i="47" s="1"/>
  <c r="N30" i="36"/>
  <c r="N33" i="39"/>
  <c r="M37" i="30"/>
  <c r="L32" i="42" l="1"/>
  <c r="S31" i="42"/>
  <c r="D79" i="71"/>
  <c r="J79" i="71" s="1"/>
  <c r="N78" i="71"/>
  <c r="E79" i="71" s="1"/>
  <c r="P78" i="71"/>
  <c r="Q78" i="71" s="1"/>
  <c r="N30" i="37"/>
  <c r="T30" i="37" s="1"/>
  <c r="V30" i="37" s="1"/>
  <c r="E32" i="40"/>
  <c r="I32" i="40" s="1"/>
  <c r="T31" i="40"/>
  <c r="V31" i="40" s="1"/>
  <c r="Q31" i="40"/>
  <c r="Q27" i="43"/>
  <c r="E28" i="43"/>
  <c r="E27" i="44" s="1"/>
  <c r="T27" i="43"/>
  <c r="V27" i="43" s="1"/>
  <c r="E39" i="34"/>
  <c r="N39" i="34" s="1"/>
  <c r="Q38" i="34"/>
  <c r="G30" i="35"/>
  <c r="E37" i="47"/>
  <c r="R37" i="47"/>
  <c r="G24" i="33"/>
  <c r="E25" i="33"/>
  <c r="I31" i="28"/>
  <c r="O33" i="39"/>
  <c r="F34" i="39" s="1"/>
  <c r="M33" i="39"/>
  <c r="N25" i="44"/>
  <c r="N32" i="42"/>
  <c r="Q32" i="42" s="1"/>
  <c r="I30" i="36"/>
  <c r="T30" i="36"/>
  <c r="V30" i="36" s="1"/>
  <c r="E31" i="36"/>
  <c r="H31" i="36" s="1"/>
  <c r="Q30" i="36"/>
  <c r="T33" i="39"/>
  <c r="V33" i="39" s="1"/>
  <c r="E34" i="39"/>
  <c r="Q33" i="39"/>
  <c r="E31" i="38"/>
  <c r="H31" i="38" s="1"/>
  <c r="J37" i="47"/>
  <c r="D38" i="30"/>
  <c r="S37" i="30"/>
  <c r="P37" i="30"/>
  <c r="C38" i="47"/>
  <c r="O37" i="47"/>
  <c r="O27" i="43" l="1"/>
  <c r="P27" i="43" s="1"/>
  <c r="G28" i="43" s="1"/>
  <c r="M27" i="43"/>
  <c r="E31" i="37"/>
  <c r="H31" i="37" s="1"/>
  <c r="I31" i="37" s="1"/>
  <c r="N32" i="40"/>
  <c r="E33" i="40" s="1"/>
  <c r="Q30" i="37"/>
  <c r="T37" i="30"/>
  <c r="U37" i="30" s="1"/>
  <c r="R27" i="43"/>
  <c r="S27" i="43" s="1"/>
  <c r="F28" i="43"/>
  <c r="F30" i="35"/>
  <c r="E40" i="34"/>
  <c r="N40" i="34" s="1"/>
  <c r="Q39" i="34"/>
  <c r="N30" i="41"/>
  <c r="N30" i="35"/>
  <c r="F25" i="33"/>
  <c r="K25" i="33"/>
  <c r="P33" i="39"/>
  <c r="G34" i="39" s="1"/>
  <c r="N31" i="28"/>
  <c r="R33" i="39"/>
  <c r="S33" i="39" s="1"/>
  <c r="I30" i="35"/>
  <c r="O32" i="42"/>
  <c r="R32" i="42" s="1"/>
  <c r="S32" i="42" s="1"/>
  <c r="M32" i="42"/>
  <c r="E33" i="42"/>
  <c r="H33" i="42" s="1"/>
  <c r="I33" i="42" s="1"/>
  <c r="T32" i="42"/>
  <c r="V32" i="42" s="1"/>
  <c r="K37" i="47"/>
  <c r="N31" i="36"/>
  <c r="G34" i="48"/>
  <c r="F30" i="36"/>
  <c r="L30" i="36" s="1"/>
  <c r="M30" i="36" s="1"/>
  <c r="G30" i="36"/>
  <c r="M38" i="30"/>
  <c r="M37" i="47"/>
  <c r="I34" i="39"/>
  <c r="L38" i="47"/>
  <c r="N31" i="38"/>
  <c r="T32" i="40" l="1"/>
  <c r="V32" i="40" s="1"/>
  <c r="Q32" i="40"/>
  <c r="L34" i="39"/>
  <c r="O34" i="39" s="1"/>
  <c r="T31" i="28"/>
  <c r="V31" i="28" s="1"/>
  <c r="M79" i="71"/>
  <c r="F27" i="44"/>
  <c r="N28" i="43"/>
  <c r="E41" i="34"/>
  <c r="N41" i="34" s="1"/>
  <c r="Q40" i="34"/>
  <c r="E31" i="41"/>
  <c r="H31" i="41" s="1"/>
  <c r="T30" i="41"/>
  <c r="V30" i="41" s="1"/>
  <c r="Q30" i="41"/>
  <c r="Q30" i="35"/>
  <c r="R38" i="47"/>
  <c r="Q25" i="33"/>
  <c r="T30" i="35"/>
  <c r="V30" i="35" s="1"/>
  <c r="E31" i="35"/>
  <c r="G25" i="33"/>
  <c r="E32" i="28"/>
  <c r="Q31" i="28"/>
  <c r="F33" i="42"/>
  <c r="L33" i="42" s="1"/>
  <c r="P32" i="42"/>
  <c r="G33" i="42" s="1"/>
  <c r="L30" i="35"/>
  <c r="H39" i="33"/>
  <c r="N25" i="33"/>
  <c r="N34" i="39"/>
  <c r="E35" i="39" s="1"/>
  <c r="T31" i="36"/>
  <c r="V31" i="36" s="1"/>
  <c r="E32" i="36"/>
  <c r="H32" i="36" s="1"/>
  <c r="Q31" i="36"/>
  <c r="D39" i="30"/>
  <c r="S38" i="30"/>
  <c r="P38" i="30"/>
  <c r="I31" i="36"/>
  <c r="I33" i="40"/>
  <c r="N31" i="37"/>
  <c r="C39" i="47"/>
  <c r="O38" i="47"/>
  <c r="O30" i="36"/>
  <c r="D38" i="47"/>
  <c r="P37" i="47"/>
  <c r="Q37" i="47" s="1"/>
  <c r="N37" i="47"/>
  <c r="T31" i="38"/>
  <c r="V31" i="38" s="1"/>
  <c r="E32" i="38"/>
  <c r="Q31" i="38"/>
  <c r="I31" i="38"/>
  <c r="M34" i="39" l="1"/>
  <c r="H32" i="38"/>
  <c r="I32" i="38" s="1"/>
  <c r="N33" i="42"/>
  <c r="E34" i="42" s="1"/>
  <c r="H34" i="42" s="1"/>
  <c r="I34" i="42" s="1"/>
  <c r="D80" i="71"/>
  <c r="J80" i="71" s="1"/>
  <c r="N79" i="71"/>
  <c r="E80" i="71" s="1"/>
  <c r="P79" i="71"/>
  <c r="Q79" i="71" s="1"/>
  <c r="B26" i="33"/>
  <c r="O33" i="42"/>
  <c r="F34" i="42" s="1"/>
  <c r="T38" i="30"/>
  <c r="U38" i="30" s="1"/>
  <c r="E29" i="43"/>
  <c r="E28" i="44" s="1"/>
  <c r="Q28" i="43"/>
  <c r="T28" i="43"/>
  <c r="V28" i="43" s="1"/>
  <c r="I32" i="28"/>
  <c r="Q41" i="34"/>
  <c r="M30" i="35"/>
  <c r="E26" i="33"/>
  <c r="O30" i="35"/>
  <c r="Q34" i="39"/>
  <c r="T34" i="39"/>
  <c r="V34" i="39" s="1"/>
  <c r="P34" i="39"/>
  <c r="G35" i="39" s="1"/>
  <c r="N33" i="40"/>
  <c r="E34" i="40" s="1"/>
  <c r="G35" i="48"/>
  <c r="J38" i="47"/>
  <c r="E38" i="47"/>
  <c r="F31" i="36"/>
  <c r="L31" i="36" s="1"/>
  <c r="M31" i="36" s="1"/>
  <c r="R30" i="36"/>
  <c r="S30" i="36" s="1"/>
  <c r="P30" i="36"/>
  <c r="G31" i="36" s="1"/>
  <c r="I35" i="39"/>
  <c r="M39" i="30"/>
  <c r="L39" i="47"/>
  <c r="T31" i="37"/>
  <c r="V31" i="37" s="1"/>
  <c r="E32" i="37"/>
  <c r="H32" i="37" s="1"/>
  <c r="I32" i="37" s="1"/>
  <c r="Q31" i="37"/>
  <c r="N32" i="36"/>
  <c r="F35" i="39"/>
  <c r="R34" i="39"/>
  <c r="T33" i="42" l="1"/>
  <c r="V33" i="42" s="1"/>
  <c r="Q33" i="42"/>
  <c r="L35" i="39"/>
  <c r="N32" i="38"/>
  <c r="Q32" i="38" s="1"/>
  <c r="L34" i="42"/>
  <c r="O28" i="43"/>
  <c r="M28" i="43"/>
  <c r="M33" i="42"/>
  <c r="F29" i="43"/>
  <c r="R28" i="43"/>
  <c r="S28" i="43" s="1"/>
  <c r="P28" i="43"/>
  <c r="G29" i="43" s="1"/>
  <c r="G27" i="44"/>
  <c r="N32" i="28"/>
  <c r="I31" i="41"/>
  <c r="N31" i="41"/>
  <c r="N31" i="35"/>
  <c r="E32" i="35" s="1"/>
  <c r="R39" i="47"/>
  <c r="K26" i="33"/>
  <c r="F26" i="33"/>
  <c r="G26" i="33" s="1"/>
  <c r="I31" i="35"/>
  <c r="R33" i="42"/>
  <c r="F31" i="35"/>
  <c r="R30" i="35"/>
  <c r="S30" i="35" s="1"/>
  <c r="P30" i="35"/>
  <c r="G31" i="35" s="1"/>
  <c r="P33" i="42"/>
  <c r="G34" i="42" s="1"/>
  <c r="S34" i="39"/>
  <c r="T33" i="40"/>
  <c r="V33" i="40" s="1"/>
  <c r="Q33" i="40"/>
  <c r="E33" i="36"/>
  <c r="H33" i="36" s="1"/>
  <c r="T32" i="36"/>
  <c r="V32" i="36" s="1"/>
  <c r="Q32" i="36"/>
  <c r="O31" i="36"/>
  <c r="N35" i="39"/>
  <c r="I34" i="40"/>
  <c r="C40" i="47"/>
  <c r="O39" i="47"/>
  <c r="D40" i="30"/>
  <c r="S39" i="30"/>
  <c r="P39" i="30"/>
  <c r="K38" i="47"/>
  <c r="M38" i="47"/>
  <c r="I32" i="36"/>
  <c r="S33" i="42" l="1"/>
  <c r="E33" i="38"/>
  <c r="H33" i="38" s="1"/>
  <c r="I33" i="38" s="1"/>
  <c r="T32" i="38"/>
  <c r="V32" i="38" s="1"/>
  <c r="T32" i="28"/>
  <c r="V32" i="28" s="1"/>
  <c r="M80" i="71"/>
  <c r="T39" i="30"/>
  <c r="U39" i="30" s="1"/>
  <c r="N29" i="43"/>
  <c r="F28" i="44"/>
  <c r="Q32" i="28"/>
  <c r="E33" i="28"/>
  <c r="Q31" i="35"/>
  <c r="T31" i="35"/>
  <c r="V31" i="35" s="1"/>
  <c r="T31" i="41"/>
  <c r="V31" i="41" s="1"/>
  <c r="E32" i="41"/>
  <c r="H32" i="41" s="1"/>
  <c r="Q31" i="41"/>
  <c r="Q26" i="33"/>
  <c r="L31" i="35"/>
  <c r="O35" i="39"/>
  <c r="P35" i="39" s="1"/>
  <c r="G36" i="39" s="1"/>
  <c r="M35" i="39"/>
  <c r="H40" i="33"/>
  <c r="M34" i="42"/>
  <c r="N26" i="33"/>
  <c r="N34" i="40"/>
  <c r="T34" i="40" s="1"/>
  <c r="V34" i="40" s="1"/>
  <c r="N34" i="42"/>
  <c r="Q34" i="42" s="1"/>
  <c r="G36" i="48"/>
  <c r="M40" i="30"/>
  <c r="F31" i="38"/>
  <c r="L31" i="38" s="1"/>
  <c r="M31" i="38" s="1"/>
  <c r="G31" i="38"/>
  <c r="F32" i="36"/>
  <c r="L32" i="36" s="1"/>
  <c r="M32" i="36" s="1"/>
  <c r="R31" i="36"/>
  <c r="S31" i="36" s="1"/>
  <c r="P31" i="36"/>
  <c r="G32" i="36" s="1"/>
  <c r="D39" i="47"/>
  <c r="P38" i="47"/>
  <c r="Q38" i="47" s="1"/>
  <c r="N38" i="47"/>
  <c r="T35" i="39"/>
  <c r="V35" i="39" s="1"/>
  <c r="E36" i="39"/>
  <c r="Q35" i="39"/>
  <c r="L40" i="47"/>
  <c r="N32" i="37"/>
  <c r="N33" i="36"/>
  <c r="S40" i="30" l="1"/>
  <c r="T40" i="30" s="1"/>
  <c r="U40" i="30" s="1"/>
  <c r="D81" i="71"/>
  <c r="J81" i="71" s="1"/>
  <c r="N80" i="71"/>
  <c r="E81" i="71" s="1"/>
  <c r="P80" i="71"/>
  <c r="Q80" i="71" s="1"/>
  <c r="B27" i="33"/>
  <c r="Q29" i="43"/>
  <c r="T29" i="43"/>
  <c r="V29" i="43" s="1"/>
  <c r="E30" i="43"/>
  <c r="E29" i="44" s="1"/>
  <c r="N33" i="28"/>
  <c r="E27" i="33"/>
  <c r="R40" i="47"/>
  <c r="M31" i="35"/>
  <c r="O31" i="35"/>
  <c r="P31" i="35" s="1"/>
  <c r="G32" i="35" s="1"/>
  <c r="N32" i="35"/>
  <c r="R35" i="39"/>
  <c r="S35" i="39" s="1"/>
  <c r="F36" i="39"/>
  <c r="I32" i="35"/>
  <c r="O34" i="42"/>
  <c r="F35" i="42" s="1"/>
  <c r="E35" i="42"/>
  <c r="H35" i="42" s="1"/>
  <c r="I35" i="42" s="1"/>
  <c r="Q34" i="40"/>
  <c r="E35" i="40"/>
  <c r="I35" i="40" s="1"/>
  <c r="T34" i="42"/>
  <c r="V34" i="42" s="1"/>
  <c r="E34" i="36"/>
  <c r="H34" i="36" s="1"/>
  <c r="T33" i="36"/>
  <c r="V33" i="36" s="1"/>
  <c r="Q33" i="36"/>
  <c r="I36" i="39"/>
  <c r="J39" i="47"/>
  <c r="D41" i="30"/>
  <c r="H41" i="33" s="1"/>
  <c r="P40" i="30"/>
  <c r="T32" i="37"/>
  <c r="V32" i="37" s="1"/>
  <c r="E33" i="37"/>
  <c r="H33" i="37" s="1"/>
  <c r="I33" i="37" s="1"/>
  <c r="Q32" i="37"/>
  <c r="I33" i="36"/>
  <c r="E39" i="47"/>
  <c r="O32" i="36"/>
  <c r="C41" i="47"/>
  <c r="O40" i="47"/>
  <c r="N33" i="38"/>
  <c r="L35" i="42" l="1"/>
  <c r="L36" i="39"/>
  <c r="O29" i="43"/>
  <c r="M29" i="43"/>
  <c r="T33" i="28"/>
  <c r="V33" i="28" s="1"/>
  <c r="Q33" i="28"/>
  <c r="E34" i="28"/>
  <c r="P29" i="43"/>
  <c r="G30" i="43" s="1"/>
  <c r="F30" i="43"/>
  <c r="R29" i="43"/>
  <c r="S29" i="43" s="1"/>
  <c r="G28" i="44"/>
  <c r="I33" i="28"/>
  <c r="F27" i="33"/>
  <c r="G27" i="33" s="1"/>
  <c r="K27" i="33"/>
  <c r="Q27" i="33" s="1"/>
  <c r="N32" i="41"/>
  <c r="I32" i="41"/>
  <c r="F32" i="35"/>
  <c r="L32" i="35" s="1"/>
  <c r="E33" i="35"/>
  <c r="Q32" i="35"/>
  <c r="T32" i="35"/>
  <c r="V32" i="35" s="1"/>
  <c r="R31" i="35"/>
  <c r="S31" i="35" s="1"/>
  <c r="R34" i="42"/>
  <c r="S34" i="42" s="1"/>
  <c r="P34" i="42"/>
  <c r="G35" i="42" s="1"/>
  <c r="N35" i="40"/>
  <c r="Q35" i="40" s="1"/>
  <c r="E37" i="30"/>
  <c r="K37" i="30" s="1"/>
  <c r="F37" i="30"/>
  <c r="M41" i="30"/>
  <c r="O31" i="38"/>
  <c r="T33" i="38"/>
  <c r="V33" i="38" s="1"/>
  <c r="E34" i="38"/>
  <c r="H34" i="38" s="1"/>
  <c r="I34" i="38" s="1"/>
  <c r="Q33" i="38"/>
  <c r="L41" i="47"/>
  <c r="F33" i="36"/>
  <c r="L33" i="36" s="1"/>
  <c r="M33" i="36" s="1"/>
  <c r="R32" i="36"/>
  <c r="S32" i="36" s="1"/>
  <c r="P32" i="36"/>
  <c r="G33" i="36" s="1"/>
  <c r="K39" i="47"/>
  <c r="N34" i="36"/>
  <c r="M39" i="47"/>
  <c r="N36" i="39"/>
  <c r="P53" i="30" l="1"/>
  <c r="P43" i="30"/>
  <c r="P42" i="30"/>
  <c r="P44" i="30"/>
  <c r="P45" i="30"/>
  <c r="P46" i="30"/>
  <c r="P47" i="30"/>
  <c r="P52" i="30"/>
  <c r="P51" i="30"/>
  <c r="P49" i="30"/>
  <c r="P48" i="30"/>
  <c r="P50" i="30"/>
  <c r="S41" i="30"/>
  <c r="T41" i="30" s="1"/>
  <c r="U41" i="30" s="1"/>
  <c r="M81" i="71"/>
  <c r="N35" i="42"/>
  <c r="E36" i="42" s="1"/>
  <c r="H36" i="42" s="1"/>
  <c r="I36" i="42" s="1"/>
  <c r="I34" i="28"/>
  <c r="F29" i="44"/>
  <c r="N30" i="43"/>
  <c r="Q32" i="41"/>
  <c r="T32" i="41"/>
  <c r="V32" i="41" s="1"/>
  <c r="E33" i="41"/>
  <c r="H33" i="41" s="1"/>
  <c r="N33" i="35"/>
  <c r="R41" i="47"/>
  <c r="M32" i="35"/>
  <c r="O32" i="35"/>
  <c r="O36" i="39"/>
  <c r="P36" i="39" s="1"/>
  <c r="G37" i="39" s="1"/>
  <c r="M36" i="39"/>
  <c r="O35" i="42"/>
  <c r="F36" i="42" s="1"/>
  <c r="M35" i="42"/>
  <c r="N27" i="33"/>
  <c r="E36" i="40"/>
  <c r="I36" i="40" s="1"/>
  <c r="T35" i="40"/>
  <c r="V35" i="40" s="1"/>
  <c r="G37" i="48"/>
  <c r="P41" i="30"/>
  <c r="C42" i="47"/>
  <c r="O41" i="47"/>
  <c r="I34" i="36"/>
  <c r="E37" i="39"/>
  <c r="T36" i="39"/>
  <c r="V36" i="39" s="1"/>
  <c r="Q36" i="39"/>
  <c r="E35" i="36"/>
  <c r="H35" i="36" s="1"/>
  <c r="T34" i="36"/>
  <c r="V34" i="36" s="1"/>
  <c r="Q34" i="36"/>
  <c r="L37" i="30"/>
  <c r="D40" i="47"/>
  <c r="P39" i="47"/>
  <c r="Q39" i="47" s="1"/>
  <c r="N39" i="47"/>
  <c r="N33" i="37"/>
  <c r="F32" i="38"/>
  <c r="R31" i="38"/>
  <c r="S31" i="38" s="1"/>
  <c r="P31" i="38"/>
  <c r="G32" i="38" s="1"/>
  <c r="L36" i="42" l="1"/>
  <c r="T35" i="42"/>
  <c r="V35" i="42" s="1"/>
  <c r="L32" i="38"/>
  <c r="M32" i="38" s="1"/>
  <c r="Q35" i="42"/>
  <c r="D82" i="71"/>
  <c r="J82" i="71" s="1"/>
  <c r="N81" i="71"/>
  <c r="E82" i="71" s="1"/>
  <c r="P81" i="71"/>
  <c r="Q81" i="71" s="1"/>
  <c r="B28" i="33"/>
  <c r="N34" i="28"/>
  <c r="T30" i="43"/>
  <c r="V30" i="43" s="1"/>
  <c r="E31" i="43"/>
  <c r="E30" i="44" s="1"/>
  <c r="Q30" i="43"/>
  <c r="E28" i="33"/>
  <c r="I33" i="35"/>
  <c r="F33" i="35"/>
  <c r="R32" i="35"/>
  <c r="S32" i="35" s="1"/>
  <c r="P32" i="35"/>
  <c r="G33" i="35" s="1"/>
  <c r="F37" i="39"/>
  <c r="R36" i="39"/>
  <c r="S36" i="39" s="1"/>
  <c r="P35" i="42"/>
  <c r="G36" i="42" s="1"/>
  <c r="R35" i="42"/>
  <c r="T33" i="35"/>
  <c r="V33" i="35" s="1"/>
  <c r="E34" i="35"/>
  <c r="Q33" i="35"/>
  <c r="N36" i="40"/>
  <c r="E37" i="40" s="1"/>
  <c r="N34" i="38"/>
  <c r="E35" i="38" s="1"/>
  <c r="H35" i="38" s="1"/>
  <c r="I35" i="38" s="1"/>
  <c r="E34" i="37"/>
  <c r="H34" i="37" s="1"/>
  <c r="I34" i="37" s="1"/>
  <c r="T33" i="37"/>
  <c r="V33" i="37" s="1"/>
  <c r="Q33" i="37"/>
  <c r="J40" i="47"/>
  <c r="I37" i="39"/>
  <c r="N37" i="30"/>
  <c r="N35" i="36"/>
  <c r="O33" i="36"/>
  <c r="L42" i="47"/>
  <c r="E40" i="47"/>
  <c r="O30" i="43" l="1"/>
  <c r="M30" i="43"/>
  <c r="S35" i="42"/>
  <c r="L37" i="39"/>
  <c r="O37" i="39" s="1"/>
  <c r="F38" i="39" s="1"/>
  <c r="M40" i="47"/>
  <c r="Q34" i="28"/>
  <c r="T34" i="28"/>
  <c r="V34" i="28" s="1"/>
  <c r="E35" i="28"/>
  <c r="P30" i="43"/>
  <c r="G31" i="43" s="1"/>
  <c r="R30" i="43"/>
  <c r="S30" i="43" s="1"/>
  <c r="F31" i="43"/>
  <c r="G29" i="44"/>
  <c r="F28" i="33"/>
  <c r="K28" i="33"/>
  <c r="Q28" i="33" s="1"/>
  <c r="L33" i="35"/>
  <c r="M33" i="35" s="1"/>
  <c r="N33" i="41"/>
  <c r="I33" i="41"/>
  <c r="R42" i="47"/>
  <c r="Q36" i="40"/>
  <c r="T34" i="38"/>
  <c r="V34" i="38" s="1"/>
  <c r="T36" i="40"/>
  <c r="V36" i="40" s="1"/>
  <c r="Q34" i="38"/>
  <c r="O32" i="38"/>
  <c r="F34" i="36"/>
  <c r="L34" i="36" s="1"/>
  <c r="M34" i="36" s="1"/>
  <c r="R33" i="36"/>
  <c r="S33" i="36" s="1"/>
  <c r="P33" i="36"/>
  <c r="G34" i="36" s="1"/>
  <c r="N36" i="42"/>
  <c r="I35" i="36"/>
  <c r="I37" i="40"/>
  <c r="N37" i="39"/>
  <c r="G38" i="48"/>
  <c r="T35" i="36"/>
  <c r="V35" i="36" s="1"/>
  <c r="E36" i="36"/>
  <c r="H36" i="36" s="1"/>
  <c r="Q35" i="36"/>
  <c r="C43" i="47"/>
  <c r="O42" i="47"/>
  <c r="E38" i="30"/>
  <c r="K38" i="30" s="1"/>
  <c r="Q37" i="30"/>
  <c r="R37" i="30" s="1"/>
  <c r="O37" i="30"/>
  <c r="F38" i="30" s="1"/>
  <c r="K40" i="47"/>
  <c r="D41" i="47" l="1"/>
  <c r="N40" i="47"/>
  <c r="P40" i="47"/>
  <c r="Q40" i="47" s="1"/>
  <c r="M82" i="71"/>
  <c r="G28" i="33"/>
  <c r="M37" i="39"/>
  <c r="I35" i="28"/>
  <c r="I31" i="43"/>
  <c r="N31" i="43"/>
  <c r="O33" i="35"/>
  <c r="R33" i="35" s="1"/>
  <c r="S33" i="35" s="1"/>
  <c r="E34" i="41"/>
  <c r="H34" i="41" s="1"/>
  <c r="Q33" i="41"/>
  <c r="T33" i="41"/>
  <c r="V33" i="41" s="1"/>
  <c r="R37" i="39"/>
  <c r="N34" i="35"/>
  <c r="I34" i="35"/>
  <c r="O36" i="42"/>
  <c r="P36" i="42" s="1"/>
  <c r="G37" i="42" s="1"/>
  <c r="M36" i="42"/>
  <c r="N28" i="33"/>
  <c r="N35" i="38"/>
  <c r="E36" i="38" s="1"/>
  <c r="H36" i="38" s="1"/>
  <c r="I36" i="38" s="1"/>
  <c r="O34" i="36"/>
  <c r="F33" i="38"/>
  <c r="R32" i="38"/>
  <c r="S32" i="38" s="1"/>
  <c r="P32" i="38"/>
  <c r="G33" i="38" s="1"/>
  <c r="T36" i="42"/>
  <c r="V36" i="42" s="1"/>
  <c r="E37" i="42"/>
  <c r="H37" i="42" s="1"/>
  <c r="I37" i="42" s="1"/>
  <c r="Q36" i="42"/>
  <c r="N34" i="37"/>
  <c r="L43" i="47"/>
  <c r="N37" i="40"/>
  <c r="L38" i="30"/>
  <c r="J41" i="47"/>
  <c r="T37" i="39"/>
  <c r="V37" i="39" s="1"/>
  <c r="E38" i="39"/>
  <c r="P37" i="39"/>
  <c r="G38" i="39" s="1"/>
  <c r="Q37" i="39"/>
  <c r="E41" i="47" l="1"/>
  <c r="L33" i="38"/>
  <c r="M33" i="38" s="1"/>
  <c r="L31" i="43"/>
  <c r="O31" i="43" s="1"/>
  <c r="R31" i="43" s="1"/>
  <c r="D83" i="71"/>
  <c r="J83" i="71" s="1"/>
  <c r="N82" i="71"/>
  <c r="E83" i="71" s="1"/>
  <c r="P82" i="71"/>
  <c r="Q82" i="71" s="1"/>
  <c r="B29" i="33"/>
  <c r="K29" i="33"/>
  <c r="N35" i="28"/>
  <c r="E32" i="43"/>
  <c r="E31" i="44" s="1"/>
  <c r="T31" i="43"/>
  <c r="V31" i="43" s="1"/>
  <c r="Q31" i="43"/>
  <c r="P33" i="35"/>
  <c r="G34" i="35" s="1"/>
  <c r="F34" i="35"/>
  <c r="L34" i="35" s="1"/>
  <c r="N34" i="41"/>
  <c r="R43" i="47"/>
  <c r="S37" i="39"/>
  <c r="E35" i="35"/>
  <c r="T34" i="35"/>
  <c r="V34" i="35" s="1"/>
  <c r="Q34" i="35"/>
  <c r="R36" i="42"/>
  <c r="S36" i="42" s="1"/>
  <c r="F37" i="42"/>
  <c r="L37" i="42" s="1"/>
  <c r="T35" i="38"/>
  <c r="V35" i="38" s="1"/>
  <c r="Q35" i="38"/>
  <c r="N38" i="30"/>
  <c r="I38" i="39"/>
  <c r="L38" i="39" s="1"/>
  <c r="F35" i="36"/>
  <c r="L35" i="36" s="1"/>
  <c r="M35" i="36" s="1"/>
  <c r="R34" i="36"/>
  <c r="S34" i="36" s="1"/>
  <c r="P34" i="36"/>
  <c r="G35" i="36" s="1"/>
  <c r="E35" i="37"/>
  <c r="H35" i="37" s="1"/>
  <c r="I35" i="37" s="1"/>
  <c r="T34" i="37"/>
  <c r="V34" i="37" s="1"/>
  <c r="Q34" i="37"/>
  <c r="K41" i="47"/>
  <c r="I36" i="36"/>
  <c r="M41" i="47"/>
  <c r="N36" i="36"/>
  <c r="C44" i="47"/>
  <c r="O43" i="47"/>
  <c r="G39" i="48"/>
  <c r="E38" i="40"/>
  <c r="H38" i="40" s="1"/>
  <c r="T37" i="40"/>
  <c r="V37" i="40" s="1"/>
  <c r="Q37" i="40"/>
  <c r="F32" i="43" l="1"/>
  <c r="P31" i="43"/>
  <c r="G32" i="43" s="1"/>
  <c r="S31" i="43"/>
  <c r="E39" i="30"/>
  <c r="K39" i="30" s="1"/>
  <c r="L39" i="30" s="1"/>
  <c r="M38" i="39"/>
  <c r="F29" i="33"/>
  <c r="E29" i="33"/>
  <c r="G29" i="33" s="1"/>
  <c r="Q35" i="28"/>
  <c r="E36" i="28"/>
  <c r="T35" i="28"/>
  <c r="V35" i="28" s="1"/>
  <c r="E35" i="41"/>
  <c r="H35" i="41" s="1"/>
  <c r="Q34" i="41"/>
  <c r="T34" i="41"/>
  <c r="V34" i="41" s="1"/>
  <c r="I34" i="41"/>
  <c r="Q29" i="33"/>
  <c r="M34" i="35"/>
  <c r="E30" i="29"/>
  <c r="O34" i="35"/>
  <c r="N29" i="33"/>
  <c r="O38" i="30"/>
  <c r="F39" i="30" s="1"/>
  <c r="Q38" i="30"/>
  <c r="R38" i="30" s="1"/>
  <c r="N36" i="38"/>
  <c r="T36" i="38" s="1"/>
  <c r="V36" i="38" s="1"/>
  <c r="N37" i="42"/>
  <c r="O33" i="38"/>
  <c r="F34" i="38" s="1"/>
  <c r="L34" i="38" s="1"/>
  <c r="D42" i="47"/>
  <c r="P41" i="47"/>
  <c r="Q41" i="47" s="1"/>
  <c r="N41" i="47"/>
  <c r="N35" i="37"/>
  <c r="L44" i="47"/>
  <c r="E37" i="36"/>
  <c r="H37" i="36" s="1"/>
  <c r="T36" i="36"/>
  <c r="V36" i="36" s="1"/>
  <c r="Q36" i="36"/>
  <c r="I38" i="40"/>
  <c r="N38" i="39"/>
  <c r="O35" i="36"/>
  <c r="M83" i="71" l="1"/>
  <c r="B30" i="33"/>
  <c r="O38" i="39"/>
  <c r="F39" i="39" s="1"/>
  <c r="I36" i="28"/>
  <c r="N32" i="43"/>
  <c r="I32" i="43"/>
  <c r="R44" i="47"/>
  <c r="N35" i="35"/>
  <c r="E30" i="33"/>
  <c r="F35" i="35"/>
  <c r="R34" i="35"/>
  <c r="S34" i="35" s="1"/>
  <c r="P34" i="35"/>
  <c r="G35" i="35" s="1"/>
  <c r="I35" i="35"/>
  <c r="O37" i="42"/>
  <c r="F38" i="42" s="1"/>
  <c r="M37" i="42"/>
  <c r="Q36" i="38"/>
  <c r="Q37" i="42"/>
  <c r="T37" i="42"/>
  <c r="V37" i="42" s="1"/>
  <c r="E37" i="38"/>
  <c r="H37" i="38" s="1"/>
  <c r="I37" i="38" s="1"/>
  <c r="N38" i="40"/>
  <c r="E38" i="42"/>
  <c r="H38" i="42" s="1"/>
  <c r="I38" i="42" s="1"/>
  <c r="R33" i="38"/>
  <c r="S33" i="38" s="1"/>
  <c r="P33" i="38"/>
  <c r="G34" i="38" s="1"/>
  <c r="N39" i="30"/>
  <c r="T35" i="37"/>
  <c r="V35" i="37" s="1"/>
  <c r="E36" i="37"/>
  <c r="H36" i="37" s="1"/>
  <c r="I36" i="37" s="1"/>
  <c r="Q35" i="37"/>
  <c r="F36" i="36"/>
  <c r="L36" i="36" s="1"/>
  <c r="M36" i="36" s="1"/>
  <c r="R35" i="36"/>
  <c r="S35" i="36" s="1"/>
  <c r="P35" i="36"/>
  <c r="G36" i="36" s="1"/>
  <c r="N37" i="36"/>
  <c r="C45" i="47"/>
  <c r="O44" i="47"/>
  <c r="J42" i="47"/>
  <c r="T38" i="39"/>
  <c r="V38" i="39" s="1"/>
  <c r="E39" i="39"/>
  <c r="Q38" i="39"/>
  <c r="O34" i="38"/>
  <c r="G40" i="48"/>
  <c r="E42" i="47"/>
  <c r="L38" i="42" l="1"/>
  <c r="M42" i="47"/>
  <c r="L32" i="43"/>
  <c r="O32" i="43" s="1"/>
  <c r="R32" i="43" s="1"/>
  <c r="E40" i="30"/>
  <c r="K40" i="30" s="1"/>
  <c r="D84" i="71"/>
  <c r="J84" i="71" s="1"/>
  <c r="N83" i="71"/>
  <c r="E84" i="71" s="1"/>
  <c r="P83" i="71"/>
  <c r="Q83" i="71" s="1"/>
  <c r="R38" i="39"/>
  <c r="S38" i="39" s="1"/>
  <c r="P38" i="39"/>
  <c r="G39" i="39" s="1"/>
  <c r="N36" i="28"/>
  <c r="T32" i="43"/>
  <c r="V32" i="43" s="1"/>
  <c r="E33" i="43"/>
  <c r="E32" i="44" s="1"/>
  <c r="Q32" i="43"/>
  <c r="I35" i="41"/>
  <c r="N35" i="41"/>
  <c r="E36" i="35"/>
  <c r="T35" i="35"/>
  <c r="V35" i="35" s="1"/>
  <c r="Q35" i="35"/>
  <c r="I30" i="29"/>
  <c r="N30" i="29"/>
  <c r="L35" i="35"/>
  <c r="P37" i="42"/>
  <c r="G38" i="42" s="1"/>
  <c r="R37" i="42"/>
  <c r="S37" i="42" s="1"/>
  <c r="T38" i="40"/>
  <c r="V38" i="40" s="1"/>
  <c r="E39" i="40"/>
  <c r="Q38" i="40"/>
  <c r="O39" i="30"/>
  <c r="F40" i="30" s="1"/>
  <c r="Q39" i="30"/>
  <c r="R39" i="30" s="1"/>
  <c r="F35" i="38"/>
  <c r="L35" i="38" s="1"/>
  <c r="R34" i="38"/>
  <c r="S34" i="38" s="1"/>
  <c r="P34" i="38"/>
  <c r="G35" i="38" s="1"/>
  <c r="E38" i="36"/>
  <c r="H38" i="36" s="1"/>
  <c r="T37" i="36"/>
  <c r="V37" i="36" s="1"/>
  <c r="Q37" i="36"/>
  <c r="L45" i="47"/>
  <c r="L40" i="30"/>
  <c r="M34" i="38"/>
  <c r="K42" i="47"/>
  <c r="N36" i="37"/>
  <c r="I39" i="39"/>
  <c r="L39" i="39" s="1"/>
  <c r="I37" i="36"/>
  <c r="N42" i="47" l="1"/>
  <c r="P42" i="47"/>
  <c r="Q42" i="47" s="1"/>
  <c r="D43" i="47"/>
  <c r="F33" i="43"/>
  <c r="S32" i="43"/>
  <c r="N38" i="42"/>
  <c r="E39" i="42" s="1"/>
  <c r="P32" i="43"/>
  <c r="G33" i="43" s="1"/>
  <c r="K30" i="33"/>
  <c r="F30" i="33"/>
  <c r="N37" i="38"/>
  <c r="E38" i="38" s="1"/>
  <c r="H38" i="38" s="1"/>
  <c r="I38" i="38" s="1"/>
  <c r="M39" i="39"/>
  <c r="T36" i="28"/>
  <c r="V36" i="28" s="1"/>
  <c r="E37" i="28"/>
  <c r="Q36" i="28"/>
  <c r="H39" i="40"/>
  <c r="I39" i="40" s="1"/>
  <c r="E36" i="41"/>
  <c r="H36" i="41" s="1"/>
  <c r="T35" i="41"/>
  <c r="V35" i="41" s="1"/>
  <c r="Q35" i="41"/>
  <c r="G30" i="33"/>
  <c r="R45" i="47"/>
  <c r="M35" i="35"/>
  <c r="O35" i="35"/>
  <c r="P35" i="35" s="1"/>
  <c r="G36" i="35" s="1"/>
  <c r="T30" i="29"/>
  <c r="V30" i="29" s="1"/>
  <c r="E31" i="29"/>
  <c r="Q30" i="29"/>
  <c r="O38" i="42"/>
  <c r="F39" i="42" s="1"/>
  <c r="M38" i="42"/>
  <c r="G41" i="48"/>
  <c r="N39" i="39"/>
  <c r="E40" i="39" s="1"/>
  <c r="C46" i="47"/>
  <c r="O45" i="47"/>
  <c r="E37" i="37"/>
  <c r="H37" i="37" s="1"/>
  <c r="I37" i="37" s="1"/>
  <c r="T36" i="37"/>
  <c r="V36" i="37" s="1"/>
  <c r="Q36" i="37"/>
  <c r="N40" i="30"/>
  <c r="E43" i="47"/>
  <c r="O36" i="36"/>
  <c r="J43" i="47"/>
  <c r="N38" i="36"/>
  <c r="T37" i="38" l="1"/>
  <c r="V37" i="38" s="1"/>
  <c r="Q37" i="38"/>
  <c r="H39" i="42"/>
  <c r="Q38" i="42"/>
  <c r="T38" i="42"/>
  <c r="V38" i="42" s="1"/>
  <c r="N30" i="33"/>
  <c r="Q30" i="33"/>
  <c r="M84" i="71"/>
  <c r="B31" i="33"/>
  <c r="O39" i="39"/>
  <c r="F40" i="39" s="1"/>
  <c r="I37" i="28"/>
  <c r="N39" i="40"/>
  <c r="T39" i="40" s="1"/>
  <c r="V39" i="40" s="1"/>
  <c r="I33" i="43"/>
  <c r="N33" i="43"/>
  <c r="I36" i="35"/>
  <c r="N36" i="35"/>
  <c r="R35" i="35"/>
  <c r="S35" i="35" s="1"/>
  <c r="F36" i="35"/>
  <c r="R38" i="42"/>
  <c r="P38" i="42"/>
  <c r="G39" i="42" s="1"/>
  <c r="E31" i="33"/>
  <c r="T39" i="39"/>
  <c r="V39" i="39" s="1"/>
  <c r="Q39" i="39"/>
  <c r="E39" i="36"/>
  <c r="H39" i="36" s="1"/>
  <c r="T38" i="36"/>
  <c r="V38" i="36" s="1"/>
  <c r="Q38" i="36"/>
  <c r="K43" i="47"/>
  <c r="F37" i="36"/>
  <c r="L37" i="36" s="1"/>
  <c r="M37" i="36" s="1"/>
  <c r="R36" i="36"/>
  <c r="S36" i="36" s="1"/>
  <c r="P36" i="36"/>
  <c r="G37" i="36" s="1"/>
  <c r="N37" i="37"/>
  <c r="M43" i="47"/>
  <c r="M35" i="38"/>
  <c r="I40" i="39"/>
  <c r="I38" i="36"/>
  <c r="L46" i="47"/>
  <c r="O35" i="38"/>
  <c r="E41" i="30"/>
  <c r="K41" i="30" s="1"/>
  <c r="Q40" i="30"/>
  <c r="R40" i="30" s="1"/>
  <c r="O40" i="30"/>
  <c r="F41" i="30" s="1"/>
  <c r="S38" i="42" l="1"/>
  <c r="N39" i="42"/>
  <c r="T39" i="42" s="1"/>
  <c r="V39" i="42" s="1"/>
  <c r="I39" i="42"/>
  <c r="L39" i="42" s="1"/>
  <c r="L40" i="39"/>
  <c r="O40" i="39" s="1"/>
  <c r="R40" i="39" s="1"/>
  <c r="L33" i="43"/>
  <c r="O33" i="43" s="1"/>
  <c r="R33" i="43" s="1"/>
  <c r="L41" i="30"/>
  <c r="D85" i="71"/>
  <c r="J85" i="71" s="1"/>
  <c r="N84" i="71"/>
  <c r="E85" i="71" s="1"/>
  <c r="P84" i="71"/>
  <c r="Q84" i="71" s="1"/>
  <c r="Q39" i="40"/>
  <c r="R39" i="39"/>
  <c r="S39" i="39" s="1"/>
  <c r="P39" i="39"/>
  <c r="G40" i="39" s="1"/>
  <c r="E40" i="40"/>
  <c r="H40" i="40" s="1"/>
  <c r="I40" i="40" s="1"/>
  <c r="N37" i="28"/>
  <c r="Q33" i="43"/>
  <c r="T33" i="43"/>
  <c r="V33" i="43" s="1"/>
  <c r="E34" i="43"/>
  <c r="N36" i="41"/>
  <c r="I36" i="41"/>
  <c r="L36" i="35"/>
  <c r="M36" i="35" s="1"/>
  <c r="R46" i="47"/>
  <c r="I31" i="29"/>
  <c r="N31" i="29"/>
  <c r="E37" i="35"/>
  <c r="T36" i="35"/>
  <c r="V36" i="35" s="1"/>
  <c r="Q36" i="35"/>
  <c r="E40" i="42"/>
  <c r="H40" i="42" s="1"/>
  <c r="I40" i="42" s="1"/>
  <c r="G42" i="48"/>
  <c r="N40" i="39"/>
  <c r="E41" i="39" s="1"/>
  <c r="N41" i="39" s="1"/>
  <c r="N38" i="38"/>
  <c r="E38" i="37"/>
  <c r="H38" i="37" s="1"/>
  <c r="I38" i="37" s="1"/>
  <c r="T37" i="37"/>
  <c r="V37" i="37" s="1"/>
  <c r="Q37" i="37"/>
  <c r="N41" i="30"/>
  <c r="D44" i="47"/>
  <c r="P43" i="47"/>
  <c r="Q43" i="47" s="1"/>
  <c r="N43" i="47"/>
  <c r="C47" i="47"/>
  <c r="O46" i="47"/>
  <c r="F36" i="38"/>
  <c r="R35" i="38"/>
  <c r="S35" i="38" s="1"/>
  <c r="P35" i="38"/>
  <c r="G36" i="38" s="1"/>
  <c r="O37" i="36"/>
  <c r="N39" i="36"/>
  <c r="L42" i="30" l="1"/>
  <c r="Q53" i="30"/>
  <c r="R53" i="30" s="1"/>
  <c r="Q42" i="30"/>
  <c r="R42" i="30" s="1"/>
  <c r="Q43" i="30"/>
  <c r="R43" i="30" s="1"/>
  <c r="Q44" i="30"/>
  <c r="R44" i="30" s="1"/>
  <c r="Q45" i="30"/>
  <c r="R45" i="30" s="1"/>
  <c r="Q46" i="30"/>
  <c r="R46" i="30" s="1"/>
  <c r="Q47" i="30"/>
  <c r="R47" i="30" s="1"/>
  <c r="Q50" i="30"/>
  <c r="R50" i="30" s="1"/>
  <c r="Q48" i="30"/>
  <c r="R48" i="30" s="1"/>
  <c r="Q52" i="30"/>
  <c r="R52" i="30" s="1"/>
  <c r="Q51" i="30"/>
  <c r="R51" i="30" s="1"/>
  <c r="Q49" i="30"/>
  <c r="R49" i="30" s="1"/>
  <c r="Q39" i="42"/>
  <c r="E33" i="44"/>
  <c r="M39" i="42"/>
  <c r="O39" i="42"/>
  <c r="R39" i="42" s="1"/>
  <c r="M36" i="38"/>
  <c r="L36" i="38"/>
  <c r="S33" i="43"/>
  <c r="F34" i="43"/>
  <c r="P33" i="43"/>
  <c r="G34" i="43" s="1"/>
  <c r="O41" i="30"/>
  <c r="K31" i="33"/>
  <c r="F31" i="33"/>
  <c r="G31" i="33"/>
  <c r="M40" i="39"/>
  <c r="T37" i="28"/>
  <c r="V37" i="28" s="1"/>
  <c r="E38" i="28"/>
  <c r="Q37" i="28"/>
  <c r="N40" i="40"/>
  <c r="T40" i="40" s="1"/>
  <c r="V40" i="40" s="1"/>
  <c r="O36" i="35"/>
  <c r="R36" i="35" s="1"/>
  <c r="S36" i="35" s="1"/>
  <c r="T36" i="41"/>
  <c r="V36" i="41" s="1"/>
  <c r="E37" i="41"/>
  <c r="H37" i="41" s="1"/>
  <c r="Q36" i="41"/>
  <c r="E32" i="29"/>
  <c r="Q31" i="29"/>
  <c r="T31" i="29"/>
  <c r="V31" i="29" s="1"/>
  <c r="F41" i="39"/>
  <c r="Q40" i="39"/>
  <c r="S40" i="39" s="1"/>
  <c r="T40" i="39"/>
  <c r="V40" i="39" s="1"/>
  <c r="P40" i="39"/>
  <c r="G41" i="39" s="1"/>
  <c r="T39" i="36"/>
  <c r="V39" i="36" s="1"/>
  <c r="E40" i="36"/>
  <c r="H40" i="36" s="1"/>
  <c r="Q39" i="36"/>
  <c r="I41" i="39"/>
  <c r="E44" i="47"/>
  <c r="L47" i="47"/>
  <c r="Q41" i="30"/>
  <c r="R41" i="30" s="1"/>
  <c r="T38" i="38"/>
  <c r="V38" i="38" s="1"/>
  <c r="E39" i="38"/>
  <c r="H39" i="38" s="1"/>
  <c r="I39" i="38" s="1"/>
  <c r="Q38" i="38"/>
  <c r="F38" i="36"/>
  <c r="L38" i="36" s="1"/>
  <c r="M38" i="36" s="1"/>
  <c r="R37" i="36"/>
  <c r="S37" i="36" s="1"/>
  <c r="P37" i="36"/>
  <c r="G38" i="36" s="1"/>
  <c r="J44" i="47"/>
  <c r="I39" i="36"/>
  <c r="N38" i="37"/>
  <c r="S39" i="42" l="1"/>
  <c r="P39" i="42"/>
  <c r="G40" i="42" s="1"/>
  <c r="F40" i="42"/>
  <c r="L40" i="42" s="1"/>
  <c r="L41" i="39"/>
  <c r="O41" i="39" s="1"/>
  <c r="Q31" i="33"/>
  <c r="N31" i="33"/>
  <c r="N40" i="42"/>
  <c r="T40" i="42" s="1"/>
  <c r="V40" i="42" s="1"/>
  <c r="M85" i="71"/>
  <c r="Q40" i="40"/>
  <c r="B32" i="33"/>
  <c r="E41" i="40"/>
  <c r="H41" i="40" s="1"/>
  <c r="I41" i="40" s="1"/>
  <c r="I38" i="28"/>
  <c r="I34" i="43"/>
  <c r="N34" i="43"/>
  <c r="P36" i="35"/>
  <c r="G37" i="35" s="1"/>
  <c r="F37" i="35"/>
  <c r="E32" i="33"/>
  <c r="N37" i="41"/>
  <c r="R47" i="47"/>
  <c r="N37" i="35"/>
  <c r="I37" i="35"/>
  <c r="G43" i="48"/>
  <c r="E39" i="37"/>
  <c r="H39" i="37" s="1"/>
  <c r="I39" i="37" s="1"/>
  <c r="T38" i="37"/>
  <c r="V38" i="37" s="1"/>
  <c r="Q38" i="37"/>
  <c r="C48" i="47"/>
  <c r="O47" i="47"/>
  <c r="N40" i="36"/>
  <c r="O36" i="38"/>
  <c r="K44" i="47"/>
  <c r="M44" i="47"/>
  <c r="O40" i="42" l="1"/>
  <c r="P40" i="42" s="1"/>
  <c r="G41" i="42" s="1"/>
  <c r="M40" i="42"/>
  <c r="E41" i="42"/>
  <c r="H41" i="42" s="1"/>
  <c r="I41" i="42" s="1"/>
  <c r="L34" i="43"/>
  <c r="Q40" i="42"/>
  <c r="D86" i="71"/>
  <c r="J86" i="71" s="1"/>
  <c r="N85" i="71"/>
  <c r="E86" i="71" s="1"/>
  <c r="P85" i="71"/>
  <c r="Q85" i="71" s="1"/>
  <c r="N38" i="28"/>
  <c r="T34" i="43"/>
  <c r="V34" i="43" s="1"/>
  <c r="Q34" i="43"/>
  <c r="E35" i="43"/>
  <c r="N32" i="29"/>
  <c r="I32" i="29"/>
  <c r="Q37" i="41"/>
  <c r="E38" i="41"/>
  <c r="H38" i="41" s="1"/>
  <c r="T37" i="41"/>
  <c r="V37" i="41" s="1"/>
  <c r="I37" i="41"/>
  <c r="L37" i="35"/>
  <c r="E38" i="35"/>
  <c r="T37" i="35"/>
  <c r="V37" i="35" s="1"/>
  <c r="Q37" i="35"/>
  <c r="R40" i="42"/>
  <c r="F41" i="42"/>
  <c r="F42" i="39"/>
  <c r="M41" i="39"/>
  <c r="F37" i="38"/>
  <c r="R36" i="38"/>
  <c r="S36" i="38" s="1"/>
  <c r="P36" i="38"/>
  <c r="G37" i="38" s="1"/>
  <c r="N41" i="40"/>
  <c r="D45" i="47"/>
  <c r="P44" i="47"/>
  <c r="Q44" i="47" s="1"/>
  <c r="N44" i="47"/>
  <c r="N39" i="38"/>
  <c r="E41" i="36"/>
  <c r="H41" i="36" s="1"/>
  <c r="T40" i="36"/>
  <c r="V40" i="36" s="1"/>
  <c r="Q40" i="36"/>
  <c r="O38" i="36"/>
  <c r="I40" i="36"/>
  <c r="T41" i="39"/>
  <c r="V41" i="39" s="1"/>
  <c r="E42" i="39"/>
  <c r="Q41" i="39"/>
  <c r="L48" i="47"/>
  <c r="O34" i="43" l="1"/>
  <c r="R34" i="43" s="1"/>
  <c r="S34" i="43" s="1"/>
  <c r="M34" i="43"/>
  <c r="L41" i="42"/>
  <c r="M41" i="42" s="1"/>
  <c r="H35" i="43"/>
  <c r="N35" i="43" s="1"/>
  <c r="F35" i="43"/>
  <c r="M37" i="38"/>
  <c r="L37" i="38"/>
  <c r="S40" i="42"/>
  <c r="F32" i="33"/>
  <c r="K32" i="33"/>
  <c r="N32" i="33" s="1"/>
  <c r="E39" i="28"/>
  <c r="N41" i="42"/>
  <c r="T41" i="42" s="1"/>
  <c r="V41" i="42" s="1"/>
  <c r="G32" i="33"/>
  <c r="Q38" i="28"/>
  <c r="T38" i="28"/>
  <c r="V38" i="28" s="1"/>
  <c r="T32" i="29"/>
  <c r="V32" i="29" s="1"/>
  <c r="E33" i="29"/>
  <c r="Q32" i="29"/>
  <c r="R48" i="47"/>
  <c r="M37" i="35"/>
  <c r="O37" i="35"/>
  <c r="R41" i="39"/>
  <c r="S41" i="39" s="1"/>
  <c r="P41" i="39"/>
  <c r="G42" i="39" s="1"/>
  <c r="G44" i="48"/>
  <c r="N39" i="37"/>
  <c r="J45" i="47"/>
  <c r="M45" i="47" s="1"/>
  <c r="F39" i="36"/>
  <c r="L39" i="36" s="1"/>
  <c r="M39" i="36" s="1"/>
  <c r="R38" i="36"/>
  <c r="S38" i="36" s="1"/>
  <c r="P38" i="36"/>
  <c r="G39" i="36" s="1"/>
  <c r="I42" i="39"/>
  <c r="L42" i="39" s="1"/>
  <c r="C49" i="47"/>
  <c r="O48" i="47"/>
  <c r="T39" i="38"/>
  <c r="V39" i="38" s="1"/>
  <c r="E40" i="38"/>
  <c r="H40" i="38" s="1"/>
  <c r="I40" i="38" s="1"/>
  <c r="Q39" i="38"/>
  <c r="I41" i="36"/>
  <c r="E45" i="47"/>
  <c r="E42" i="40"/>
  <c r="H42" i="40" s="1"/>
  <c r="T41" i="40"/>
  <c r="V41" i="40" s="1"/>
  <c r="Q41" i="40"/>
  <c r="P34" i="43" l="1"/>
  <c r="G35" i="43" s="1"/>
  <c r="E34" i="44"/>
  <c r="Q32" i="33"/>
  <c r="Q41" i="42"/>
  <c r="E42" i="42"/>
  <c r="I39" i="28"/>
  <c r="M86" i="71"/>
  <c r="O41" i="42"/>
  <c r="F42" i="42" s="1"/>
  <c r="B33" i="33"/>
  <c r="N39" i="28"/>
  <c r="Q35" i="43"/>
  <c r="E36" i="43"/>
  <c r="T35" i="43"/>
  <c r="V35" i="43" s="1"/>
  <c r="I35" i="43"/>
  <c r="E33" i="33"/>
  <c r="N38" i="41"/>
  <c r="I38" i="41"/>
  <c r="R37" i="35"/>
  <c r="S37" i="35" s="1"/>
  <c r="P37" i="35"/>
  <c r="G38" i="35" s="1"/>
  <c r="F38" i="35"/>
  <c r="N38" i="35"/>
  <c r="I38" i="35"/>
  <c r="O42" i="39"/>
  <c r="M42" i="39"/>
  <c r="N42" i="39"/>
  <c r="N41" i="36"/>
  <c r="T41" i="36" s="1"/>
  <c r="V41" i="36" s="1"/>
  <c r="D46" i="47"/>
  <c r="P45" i="47"/>
  <c r="Q45" i="47" s="1"/>
  <c r="N45" i="47"/>
  <c r="I42" i="40"/>
  <c r="L49" i="47"/>
  <c r="T39" i="37"/>
  <c r="V39" i="37" s="1"/>
  <c r="E40" i="37"/>
  <c r="H40" i="37" s="1"/>
  <c r="I40" i="37" s="1"/>
  <c r="Q39" i="37"/>
  <c r="K45" i="47"/>
  <c r="O37" i="38"/>
  <c r="H36" i="43" l="1"/>
  <c r="E35" i="44" s="1"/>
  <c r="H42" i="42"/>
  <c r="I42" i="42" s="1"/>
  <c r="R41" i="42"/>
  <c r="S41" i="42" s="1"/>
  <c r="P41" i="42"/>
  <c r="G42" i="42" s="1"/>
  <c r="L35" i="43"/>
  <c r="D87" i="71"/>
  <c r="J87" i="71" s="1"/>
  <c r="N86" i="71"/>
  <c r="E87" i="71" s="1"/>
  <c r="P86" i="71"/>
  <c r="Q86" i="71" s="1"/>
  <c r="E40" i="28"/>
  <c r="T39" i="28"/>
  <c r="V39" i="28" s="1"/>
  <c r="Q39" i="28"/>
  <c r="N33" i="29"/>
  <c r="I33" i="29"/>
  <c r="E39" i="41"/>
  <c r="H39" i="41" s="1"/>
  <c r="T38" i="41"/>
  <c r="V38" i="41" s="1"/>
  <c r="Q38" i="41"/>
  <c r="R49" i="47"/>
  <c r="L38" i="35"/>
  <c r="Q38" i="35"/>
  <c r="E39" i="35"/>
  <c r="H39" i="35" s="1"/>
  <c r="T38" i="35"/>
  <c r="V38" i="35" s="1"/>
  <c r="P42" i="39"/>
  <c r="N40" i="38"/>
  <c r="T40" i="38" s="1"/>
  <c r="V40" i="38" s="1"/>
  <c r="R42" i="39"/>
  <c r="Q42" i="39"/>
  <c r="E42" i="36"/>
  <c r="H42" i="36" s="1"/>
  <c r="T42" i="39"/>
  <c r="V42" i="39" s="1"/>
  <c r="Q41" i="36"/>
  <c r="N42" i="40"/>
  <c r="Q42" i="40" s="1"/>
  <c r="E46" i="47"/>
  <c r="J46" i="47"/>
  <c r="M46" i="47" s="1"/>
  <c r="C50" i="47"/>
  <c r="O49" i="47"/>
  <c r="F38" i="38"/>
  <c r="R37" i="38"/>
  <c r="S37" i="38" s="1"/>
  <c r="P37" i="38"/>
  <c r="G38" i="38" s="1"/>
  <c r="O39" i="36"/>
  <c r="O35" i="43" l="1"/>
  <c r="R35" i="43" s="1"/>
  <c r="S35" i="43" s="1"/>
  <c r="M35" i="43"/>
  <c r="N36" i="43"/>
  <c r="E37" i="43" s="1"/>
  <c r="N42" i="42"/>
  <c r="E43" i="42" s="1"/>
  <c r="H43" i="42" s="1"/>
  <c r="I43" i="42" s="1"/>
  <c r="L42" i="42"/>
  <c r="M42" i="42" s="1"/>
  <c r="M38" i="38"/>
  <c r="L38" i="38"/>
  <c r="P35" i="43"/>
  <c r="G36" i="43" s="1"/>
  <c r="F36" i="43"/>
  <c r="F33" i="33"/>
  <c r="G33" i="33" s="1"/>
  <c r="K33" i="33"/>
  <c r="I42" i="36"/>
  <c r="I43" i="39"/>
  <c r="M43" i="39" s="1"/>
  <c r="I40" i="28"/>
  <c r="T33" i="29"/>
  <c r="V33" i="29" s="1"/>
  <c r="E34" i="29"/>
  <c r="Q33" i="29"/>
  <c r="I36" i="43"/>
  <c r="N39" i="41"/>
  <c r="O38" i="35"/>
  <c r="P38" i="35" s="1"/>
  <c r="G39" i="35" s="1"/>
  <c r="M38" i="35"/>
  <c r="Q40" i="38"/>
  <c r="S42" i="39"/>
  <c r="E41" i="38"/>
  <c r="H41" i="38" s="1"/>
  <c r="I41" i="38" s="1"/>
  <c r="E43" i="40"/>
  <c r="T42" i="40"/>
  <c r="V42" i="40" s="1"/>
  <c r="N43" i="39"/>
  <c r="D47" i="47"/>
  <c r="P46" i="47"/>
  <c r="Q46" i="47" s="1"/>
  <c r="N46" i="47"/>
  <c r="F40" i="36"/>
  <c r="L40" i="36" s="1"/>
  <c r="M40" i="36" s="1"/>
  <c r="R39" i="36"/>
  <c r="S39" i="36" s="1"/>
  <c r="P39" i="36"/>
  <c r="G40" i="36" s="1"/>
  <c r="L50" i="47"/>
  <c r="K46" i="47"/>
  <c r="N40" i="37"/>
  <c r="G45" i="48"/>
  <c r="Q36" i="43" l="1"/>
  <c r="T36" i="43"/>
  <c r="V36" i="43" s="1"/>
  <c r="T42" i="42"/>
  <c r="V42" i="42" s="1"/>
  <c r="Q42" i="42"/>
  <c r="H37" i="43"/>
  <c r="N37" i="43" s="1"/>
  <c r="O42" i="42"/>
  <c r="L43" i="39"/>
  <c r="O43" i="39" s="1"/>
  <c r="Q33" i="33"/>
  <c r="L36" i="43"/>
  <c r="M36" i="43" s="1"/>
  <c r="N33" i="33"/>
  <c r="M87" i="71"/>
  <c r="E44" i="39"/>
  <c r="N42" i="36"/>
  <c r="T42" i="36" s="1"/>
  <c r="V42" i="36" s="1"/>
  <c r="B34" i="33"/>
  <c r="E34" i="33"/>
  <c r="N40" i="28"/>
  <c r="H43" i="40"/>
  <c r="I43" i="40" s="1"/>
  <c r="F39" i="35"/>
  <c r="R38" i="35"/>
  <c r="S38" i="35" s="1"/>
  <c r="Q39" i="41"/>
  <c r="T39" i="41"/>
  <c r="V39" i="41" s="1"/>
  <c r="E40" i="41"/>
  <c r="H40" i="41" s="1"/>
  <c r="I39" i="41"/>
  <c r="R50" i="47"/>
  <c r="N39" i="35"/>
  <c r="I39" i="35"/>
  <c r="Q43" i="39"/>
  <c r="T43" i="39"/>
  <c r="V43" i="39" s="1"/>
  <c r="N41" i="38"/>
  <c r="T41" i="38" s="1"/>
  <c r="V41" i="38" s="1"/>
  <c r="O38" i="38"/>
  <c r="F39" i="38" s="1"/>
  <c r="O40" i="36"/>
  <c r="J47" i="47"/>
  <c r="E47" i="47"/>
  <c r="N43" i="42"/>
  <c r="I44" i="39"/>
  <c r="T40" i="37"/>
  <c r="V40" i="37" s="1"/>
  <c r="E41" i="37"/>
  <c r="H41" i="37" s="1"/>
  <c r="I41" i="37" s="1"/>
  <c r="Q40" i="37"/>
  <c r="C51" i="47"/>
  <c r="O50" i="47"/>
  <c r="E36" i="44" l="1"/>
  <c r="O36" i="43"/>
  <c r="F37" i="43" s="1"/>
  <c r="P42" i="42"/>
  <c r="G43" i="42" s="1"/>
  <c r="R42" i="42"/>
  <c r="S42" i="42" s="1"/>
  <c r="F43" i="42"/>
  <c r="L43" i="42" s="1"/>
  <c r="M43" i="42" s="1"/>
  <c r="M39" i="38"/>
  <c r="L39" i="38"/>
  <c r="E43" i="36"/>
  <c r="H43" i="36" s="1"/>
  <c r="I43" i="36" s="1"/>
  <c r="Q42" i="36"/>
  <c r="E41" i="28"/>
  <c r="D88" i="71"/>
  <c r="J88" i="71" s="1"/>
  <c r="N87" i="71"/>
  <c r="E88" i="71" s="1"/>
  <c r="P87" i="71"/>
  <c r="Q87" i="71" s="1"/>
  <c r="F44" i="39"/>
  <c r="L44" i="39" s="1"/>
  <c r="N34" i="29"/>
  <c r="P43" i="39"/>
  <c r="G44" i="39" s="1"/>
  <c r="I34" i="29"/>
  <c r="R43" i="39"/>
  <c r="S43" i="39" s="1"/>
  <c r="T40" i="28"/>
  <c r="V40" i="28" s="1"/>
  <c r="Q40" i="28"/>
  <c r="I41" i="28"/>
  <c r="N43" i="40"/>
  <c r="Q43" i="40" s="1"/>
  <c r="Q37" i="43"/>
  <c r="T37" i="43"/>
  <c r="V37" i="43" s="1"/>
  <c r="E38" i="43"/>
  <c r="I37" i="43"/>
  <c r="N40" i="41"/>
  <c r="E40" i="35"/>
  <c r="H40" i="35" s="1"/>
  <c r="T39" i="35"/>
  <c r="V39" i="35" s="1"/>
  <c r="Q39" i="35"/>
  <c r="L39" i="35"/>
  <c r="Q41" i="38"/>
  <c r="E42" i="38"/>
  <c r="H42" i="38" s="1"/>
  <c r="I42" i="38" s="1"/>
  <c r="P38" i="38"/>
  <c r="G39" i="38" s="1"/>
  <c r="R38" i="38"/>
  <c r="S38" i="38" s="1"/>
  <c r="F41" i="36"/>
  <c r="L41" i="36" s="1"/>
  <c r="M41" i="36" s="1"/>
  <c r="R40" i="36"/>
  <c r="S40" i="36" s="1"/>
  <c r="P40" i="36"/>
  <c r="G41" i="36" s="1"/>
  <c r="K47" i="47"/>
  <c r="E44" i="42"/>
  <c r="H44" i="42" s="1"/>
  <c r="I44" i="42" s="1"/>
  <c r="T43" i="42"/>
  <c r="V43" i="42" s="1"/>
  <c r="Q43" i="42"/>
  <c r="M47" i="47"/>
  <c r="L51" i="47"/>
  <c r="N44" i="39"/>
  <c r="O43" i="42" l="1"/>
  <c r="P43" i="42" s="1"/>
  <c r="G44" i="42" s="1"/>
  <c r="P36" i="43"/>
  <c r="G37" i="43" s="1"/>
  <c r="R36" i="43"/>
  <c r="S36" i="43" s="1"/>
  <c r="H38" i="43"/>
  <c r="E37" i="44" s="1"/>
  <c r="N41" i="28"/>
  <c r="L37" i="43"/>
  <c r="O37" i="43" s="1"/>
  <c r="P37" i="43" s="1"/>
  <c r="G38" i="43" s="1"/>
  <c r="F34" i="33"/>
  <c r="K34" i="33"/>
  <c r="T43" i="40"/>
  <c r="V43" i="40" s="1"/>
  <c r="E44" i="40"/>
  <c r="H44" i="40" s="1"/>
  <c r="I44" i="40" s="1"/>
  <c r="Q34" i="29"/>
  <c r="T34" i="29"/>
  <c r="V34" i="29" s="1"/>
  <c r="E35" i="29"/>
  <c r="E41" i="41"/>
  <c r="H41" i="41" s="1"/>
  <c r="T40" i="41"/>
  <c r="V40" i="41" s="1"/>
  <c r="Q40" i="41"/>
  <c r="I40" i="41"/>
  <c r="R51" i="47"/>
  <c r="M39" i="35"/>
  <c r="O39" i="35"/>
  <c r="N41" i="37"/>
  <c r="T41" i="37" s="1"/>
  <c r="V41" i="37" s="1"/>
  <c r="O44" i="39"/>
  <c r="M44" i="39"/>
  <c r="N43" i="36"/>
  <c r="E44" i="36" s="1"/>
  <c r="H44" i="36" s="1"/>
  <c r="C52" i="47"/>
  <c r="O51" i="47"/>
  <c r="D48" i="47"/>
  <c r="P47" i="47"/>
  <c r="Q47" i="47" s="1"/>
  <c r="N47" i="47"/>
  <c r="O39" i="38"/>
  <c r="G46" i="48"/>
  <c r="E45" i="39"/>
  <c r="T44" i="39"/>
  <c r="V44" i="39" s="1"/>
  <c r="Q44" i="39"/>
  <c r="T41" i="28" l="1"/>
  <c r="V41" i="28" s="1"/>
  <c r="R43" i="42"/>
  <c r="S43" i="42" s="1"/>
  <c r="F44" i="42"/>
  <c r="L44" i="42" s="1"/>
  <c r="Q41" i="28"/>
  <c r="E42" i="28"/>
  <c r="Q34" i="33"/>
  <c r="M37" i="43"/>
  <c r="N42" i="38"/>
  <c r="T42" i="38" s="1"/>
  <c r="V42" i="38" s="1"/>
  <c r="N34" i="33"/>
  <c r="G34" i="33"/>
  <c r="M88" i="71"/>
  <c r="F45" i="39"/>
  <c r="B35" i="33"/>
  <c r="R37" i="43"/>
  <c r="S37" i="43" s="1"/>
  <c r="F38" i="43"/>
  <c r="I38" i="43"/>
  <c r="N44" i="40"/>
  <c r="E45" i="40" s="1"/>
  <c r="H45" i="40" s="1"/>
  <c r="I45" i="40" s="1"/>
  <c r="N38" i="43"/>
  <c r="E42" i="37"/>
  <c r="H42" i="37" s="1"/>
  <c r="I42" i="37" s="1"/>
  <c r="N40" i="35"/>
  <c r="I40" i="35"/>
  <c r="R39" i="35"/>
  <c r="S39" i="35" s="1"/>
  <c r="F40" i="35"/>
  <c r="P39" i="35"/>
  <c r="G40" i="35" s="1"/>
  <c r="Q41" i="37"/>
  <c r="P44" i="39"/>
  <c r="G45" i="39" s="1"/>
  <c r="R44" i="39"/>
  <c r="S44" i="39" s="1"/>
  <c r="N35" i="29"/>
  <c r="E35" i="33"/>
  <c r="I35" i="29"/>
  <c r="T43" i="36"/>
  <c r="V43" i="36" s="1"/>
  <c r="Q43" i="36"/>
  <c r="I44" i="36"/>
  <c r="O41" i="36"/>
  <c r="J48" i="47"/>
  <c r="M48" i="47" s="1"/>
  <c r="E48" i="47"/>
  <c r="L52" i="47"/>
  <c r="F40" i="38"/>
  <c r="R39" i="38"/>
  <c r="S39" i="38" s="1"/>
  <c r="P39" i="38"/>
  <c r="G40" i="38" s="1"/>
  <c r="I45" i="39"/>
  <c r="N44" i="42"/>
  <c r="L45" i="39" l="1"/>
  <c r="H42" i="28"/>
  <c r="I42" i="28" s="1"/>
  <c r="M40" i="38"/>
  <c r="L40" i="38"/>
  <c r="Q42" i="38"/>
  <c r="E43" i="38"/>
  <c r="H43" i="38" s="1"/>
  <c r="I43" i="38" s="1"/>
  <c r="I41" i="41"/>
  <c r="F35" i="33"/>
  <c r="G35" i="33" s="1"/>
  <c r="K35" i="33"/>
  <c r="D89" i="71"/>
  <c r="J89" i="71" s="1"/>
  <c r="N88" i="71"/>
  <c r="E89" i="71" s="1"/>
  <c r="P88" i="71"/>
  <c r="Q88" i="71" s="1"/>
  <c r="N41" i="41"/>
  <c r="T41" i="41" s="1"/>
  <c r="V41" i="41" s="1"/>
  <c r="L38" i="43"/>
  <c r="O38" i="43" s="1"/>
  <c r="T44" i="40"/>
  <c r="V44" i="40" s="1"/>
  <c r="Q44" i="40"/>
  <c r="E39" i="43"/>
  <c r="T38" i="43"/>
  <c r="V38" i="43" s="1"/>
  <c r="Q38" i="43"/>
  <c r="R52" i="47"/>
  <c r="T40" i="35"/>
  <c r="V40" i="35" s="1"/>
  <c r="E41" i="35"/>
  <c r="H41" i="35" s="1"/>
  <c r="Q40" i="35"/>
  <c r="L40" i="35"/>
  <c r="T35" i="29"/>
  <c r="V35" i="29" s="1"/>
  <c r="E36" i="29"/>
  <c r="N42" i="37"/>
  <c r="E43" i="37" s="1"/>
  <c r="H43" i="37" s="1"/>
  <c r="I43" i="37" s="1"/>
  <c r="Q35" i="29"/>
  <c r="O44" i="42"/>
  <c r="F45" i="42" s="1"/>
  <c r="M44" i="42"/>
  <c r="N45" i="39"/>
  <c r="N45" i="40"/>
  <c r="E46" i="40" s="1"/>
  <c r="H46" i="40" s="1"/>
  <c r="C53" i="47"/>
  <c r="O52" i="47"/>
  <c r="K48" i="47"/>
  <c r="F42" i="36"/>
  <c r="L42" i="36" s="1"/>
  <c r="M42" i="36" s="1"/>
  <c r="R41" i="36"/>
  <c r="S41" i="36" s="1"/>
  <c r="P41" i="36"/>
  <c r="G42" i="36" s="1"/>
  <c r="E45" i="42"/>
  <c r="H45" i="42" s="1"/>
  <c r="I45" i="42" s="1"/>
  <c r="T44" i="42"/>
  <c r="V44" i="42" s="1"/>
  <c r="Q44" i="42"/>
  <c r="D49" i="47"/>
  <c r="P48" i="47"/>
  <c r="Q48" i="47" s="1"/>
  <c r="N48" i="47"/>
  <c r="N44" i="36"/>
  <c r="N42" i="28" l="1"/>
  <c r="L45" i="42"/>
  <c r="Q35" i="33"/>
  <c r="Q41" i="41"/>
  <c r="H39" i="43"/>
  <c r="E38" i="44" s="1"/>
  <c r="N35" i="33"/>
  <c r="E42" i="41"/>
  <c r="H42" i="41" s="1"/>
  <c r="T45" i="39"/>
  <c r="V45" i="39" s="1"/>
  <c r="B36" i="33"/>
  <c r="P38" i="43"/>
  <c r="G39" i="43" s="1"/>
  <c r="R38" i="43"/>
  <c r="S38" i="43" s="1"/>
  <c r="F39" i="43"/>
  <c r="M38" i="43"/>
  <c r="I36" i="29"/>
  <c r="M40" i="35"/>
  <c r="O40" i="35"/>
  <c r="P44" i="42"/>
  <c r="G45" i="42" s="1"/>
  <c r="Q42" i="37"/>
  <c r="T42" i="37"/>
  <c r="V42" i="37" s="1"/>
  <c r="R44" i="42"/>
  <c r="S44" i="42" s="1"/>
  <c r="O45" i="39"/>
  <c r="M45" i="39"/>
  <c r="E46" i="39"/>
  <c r="Q45" i="39"/>
  <c r="Q45" i="40"/>
  <c r="T45" i="40"/>
  <c r="V45" i="40" s="1"/>
  <c r="G47" i="48"/>
  <c r="O40" i="38"/>
  <c r="P40" i="38" s="1"/>
  <c r="G41" i="38" s="1"/>
  <c r="N43" i="38"/>
  <c r="T43" i="38" s="1"/>
  <c r="V43" i="38" s="1"/>
  <c r="J49" i="47"/>
  <c r="M49" i="47" s="1"/>
  <c r="L53" i="47"/>
  <c r="T44" i="36"/>
  <c r="V44" i="36" s="1"/>
  <c r="E45" i="36"/>
  <c r="H45" i="36" s="1"/>
  <c r="Q44" i="36"/>
  <c r="E49" i="47"/>
  <c r="I46" i="40"/>
  <c r="Q42" i="28" l="1"/>
  <c r="T42" i="28"/>
  <c r="V42" i="28" s="1"/>
  <c r="E43" i="28"/>
  <c r="N39" i="43"/>
  <c r="E40" i="43" s="1"/>
  <c r="N42" i="41"/>
  <c r="T42" i="41" s="1"/>
  <c r="V42" i="41" s="1"/>
  <c r="F36" i="33"/>
  <c r="M89" i="71"/>
  <c r="P45" i="39"/>
  <c r="G46" i="39" s="1"/>
  <c r="I42" i="41"/>
  <c r="I46" i="39"/>
  <c r="L46" i="39" s="1"/>
  <c r="I39" i="43"/>
  <c r="N36" i="29"/>
  <c r="E36" i="33"/>
  <c r="G36" i="33" s="1"/>
  <c r="R53" i="47"/>
  <c r="R40" i="35"/>
  <c r="S40" i="35" s="1"/>
  <c r="F41" i="35"/>
  <c r="P40" i="35"/>
  <c r="G41" i="35" s="1"/>
  <c r="N41" i="35"/>
  <c r="I41" i="35"/>
  <c r="R45" i="39"/>
  <c r="S45" i="39" s="1"/>
  <c r="F46" i="39"/>
  <c r="N43" i="37"/>
  <c r="E44" i="37" s="1"/>
  <c r="H44" i="37" s="1"/>
  <c r="I44" i="37" s="1"/>
  <c r="R40" i="38"/>
  <c r="S40" i="38" s="1"/>
  <c r="F41" i="38"/>
  <c r="N46" i="39"/>
  <c r="Q43" i="38"/>
  <c r="E44" i="38"/>
  <c r="H44" i="38" s="1"/>
  <c r="I44" i="38" s="1"/>
  <c r="N45" i="42"/>
  <c r="E46" i="42" s="1"/>
  <c r="H46" i="42" s="1"/>
  <c r="I46" i="42" s="1"/>
  <c r="N46" i="40"/>
  <c r="Q46" i="40" s="1"/>
  <c r="C54" i="47"/>
  <c r="O53" i="47"/>
  <c r="I45" i="36"/>
  <c r="K49" i="47"/>
  <c r="D50" i="47"/>
  <c r="P49" i="47"/>
  <c r="Q49" i="47" s="1"/>
  <c r="N49" i="47"/>
  <c r="O42" i="36"/>
  <c r="T39" i="43" l="1"/>
  <c r="V39" i="43" s="1"/>
  <c r="E43" i="41"/>
  <c r="H43" i="41" s="1"/>
  <c r="I43" i="41" s="1"/>
  <c r="Q39" i="43"/>
  <c r="H43" i="28"/>
  <c r="I43" i="28" s="1"/>
  <c r="Q42" i="41"/>
  <c r="H40" i="43"/>
  <c r="N40" i="43" s="1"/>
  <c r="L41" i="38"/>
  <c r="M41" i="38" s="1"/>
  <c r="L39" i="43"/>
  <c r="O39" i="43" s="1"/>
  <c r="P39" i="43" s="1"/>
  <c r="G40" i="43" s="1"/>
  <c r="K36" i="33"/>
  <c r="D90" i="71"/>
  <c r="J90" i="71" s="1"/>
  <c r="N89" i="71"/>
  <c r="E90" i="71" s="1"/>
  <c r="P89" i="71"/>
  <c r="Q89" i="71" s="1"/>
  <c r="Q46" i="39"/>
  <c r="T36" i="29"/>
  <c r="V36" i="29" s="1"/>
  <c r="E37" i="29"/>
  <c r="Q36" i="29"/>
  <c r="T41" i="35"/>
  <c r="V41" i="35" s="1"/>
  <c r="E42" i="35"/>
  <c r="H42" i="35" s="1"/>
  <c r="Q41" i="35"/>
  <c r="L41" i="35"/>
  <c r="Q43" i="37"/>
  <c r="T43" i="37"/>
  <c r="V43" i="37" s="1"/>
  <c r="N44" i="38"/>
  <c r="M46" i="39"/>
  <c r="O45" i="42"/>
  <c r="F46" i="42" s="1"/>
  <c r="L46" i="42" s="1"/>
  <c r="M45" i="42"/>
  <c r="E47" i="39"/>
  <c r="T46" i="39"/>
  <c r="V46" i="39" s="1"/>
  <c r="Q45" i="42"/>
  <c r="E47" i="40"/>
  <c r="T45" i="42"/>
  <c r="V45" i="42" s="1"/>
  <c r="T46" i="40"/>
  <c r="V46" i="40" s="1"/>
  <c r="N45" i="36"/>
  <c r="T45" i="36" s="1"/>
  <c r="V45" i="36" s="1"/>
  <c r="E50" i="47"/>
  <c r="F43" i="36"/>
  <c r="L43" i="36" s="1"/>
  <c r="M43" i="36" s="1"/>
  <c r="R42" i="36"/>
  <c r="S42" i="36" s="1"/>
  <c r="P42" i="36"/>
  <c r="G43" i="36" s="1"/>
  <c r="J50" i="47"/>
  <c r="L54" i="47"/>
  <c r="N43" i="41" l="1"/>
  <c r="T43" i="41" s="1"/>
  <c r="V43" i="41" s="1"/>
  <c r="N43" i="28"/>
  <c r="T43" i="28" s="1"/>
  <c r="V43" i="28" s="1"/>
  <c r="O41" i="38"/>
  <c r="F42" i="38" s="1"/>
  <c r="E39" i="44"/>
  <c r="Q36" i="33"/>
  <c r="N36" i="33"/>
  <c r="M39" i="43"/>
  <c r="O46" i="39"/>
  <c r="R46" i="39" s="1"/>
  <c r="S46" i="39" s="1"/>
  <c r="B37" i="33"/>
  <c r="F40" i="43"/>
  <c r="R39" i="43"/>
  <c r="S39" i="43" s="1"/>
  <c r="I47" i="39"/>
  <c r="T40" i="43"/>
  <c r="V40" i="43" s="1"/>
  <c r="E41" i="43"/>
  <c r="Q40" i="43"/>
  <c r="N37" i="29"/>
  <c r="I40" i="43"/>
  <c r="H47" i="40"/>
  <c r="I47" i="40" s="1"/>
  <c r="O41" i="35"/>
  <c r="F42" i="35" s="1"/>
  <c r="R54" i="47"/>
  <c r="M41" i="35"/>
  <c r="P45" i="42"/>
  <c r="G46" i="42" s="1"/>
  <c r="R45" i="42"/>
  <c r="S45" i="42" s="1"/>
  <c r="N44" i="37"/>
  <c r="T44" i="37" s="1"/>
  <c r="V44" i="37" s="1"/>
  <c r="Q45" i="36"/>
  <c r="E46" i="36"/>
  <c r="H46" i="36" s="1"/>
  <c r="N47" i="39"/>
  <c r="K50" i="47"/>
  <c r="M50" i="47"/>
  <c r="N46" i="42"/>
  <c r="G48" i="48"/>
  <c r="C55" i="47"/>
  <c r="O54" i="47"/>
  <c r="E45" i="38"/>
  <c r="H45" i="38" s="1"/>
  <c r="I45" i="38" s="1"/>
  <c r="T44" i="38"/>
  <c r="V44" i="38" s="1"/>
  <c r="Q44" i="38"/>
  <c r="E44" i="41" l="1"/>
  <c r="H44" i="41" s="1"/>
  <c r="Q43" i="41"/>
  <c r="P46" i="39"/>
  <c r="G47" i="39" s="1"/>
  <c r="E44" i="28"/>
  <c r="H44" i="28" s="1"/>
  <c r="I44" i="28" s="1"/>
  <c r="Q43" i="28"/>
  <c r="P41" i="38"/>
  <c r="G42" i="38" s="1"/>
  <c r="R41" i="38"/>
  <c r="S41" i="38" s="1"/>
  <c r="H41" i="43"/>
  <c r="E40" i="44" s="1"/>
  <c r="L42" i="38"/>
  <c r="M42" i="38" s="1"/>
  <c r="L40" i="43"/>
  <c r="O40" i="43" s="1"/>
  <c r="P40" i="43" s="1"/>
  <c r="G41" i="43" s="1"/>
  <c r="K37" i="33"/>
  <c r="M90" i="71"/>
  <c r="E48" i="39"/>
  <c r="F47" i="39"/>
  <c r="N44" i="41"/>
  <c r="I46" i="36"/>
  <c r="E38" i="29"/>
  <c r="T37" i="29"/>
  <c r="V37" i="29" s="1"/>
  <c r="Q37" i="29"/>
  <c r="N47" i="40"/>
  <c r="T47" i="40" s="1"/>
  <c r="V47" i="40" s="1"/>
  <c r="I37" i="29"/>
  <c r="E37" i="33"/>
  <c r="R41" i="35"/>
  <c r="S41" i="35" s="1"/>
  <c r="P41" i="35"/>
  <c r="G42" i="35" s="1"/>
  <c r="N42" i="35"/>
  <c r="I42" i="35"/>
  <c r="E45" i="37"/>
  <c r="H45" i="37" s="1"/>
  <c r="I45" i="37" s="1"/>
  <c r="Q44" i="37"/>
  <c r="M47" i="39"/>
  <c r="O46" i="42"/>
  <c r="R46" i="42" s="1"/>
  <c r="M46" i="42"/>
  <c r="T47" i="39"/>
  <c r="V47" i="39" s="1"/>
  <c r="Q47" i="39"/>
  <c r="E47" i="42"/>
  <c r="H47" i="42" s="1"/>
  <c r="I47" i="42" s="1"/>
  <c r="T46" i="42"/>
  <c r="V46" i="42" s="1"/>
  <c r="Q46" i="42"/>
  <c r="I48" i="39"/>
  <c r="D51" i="47"/>
  <c r="P50" i="47"/>
  <c r="Q50" i="47" s="1"/>
  <c r="N50" i="47"/>
  <c r="O43" i="36"/>
  <c r="L55" i="47"/>
  <c r="N44" i="28" l="1"/>
  <c r="Q44" i="28" s="1"/>
  <c r="M40" i="43"/>
  <c r="L47" i="39"/>
  <c r="O47" i="39" s="1"/>
  <c r="T44" i="28"/>
  <c r="V44" i="28" s="1"/>
  <c r="E45" i="28"/>
  <c r="H45" i="28" s="1"/>
  <c r="I45" i="28" s="1"/>
  <c r="N41" i="43"/>
  <c r="T41" i="43" s="1"/>
  <c r="V41" i="43" s="1"/>
  <c r="Q37" i="33"/>
  <c r="N37" i="33"/>
  <c r="I44" i="41"/>
  <c r="N46" i="36"/>
  <c r="T46" i="36" s="1"/>
  <c r="V46" i="36" s="1"/>
  <c r="F37" i="33"/>
  <c r="N90" i="71"/>
  <c r="P90" i="71"/>
  <c r="Q90" i="71" s="1"/>
  <c r="T44" i="41"/>
  <c r="V44" i="41" s="1"/>
  <c r="Q44" i="41"/>
  <c r="E45" i="41"/>
  <c r="N45" i="37"/>
  <c r="B38" i="33"/>
  <c r="F41" i="43"/>
  <c r="R40" i="43"/>
  <c r="S40" i="43" s="1"/>
  <c r="Q47" i="40"/>
  <c r="E48" i="40"/>
  <c r="H48" i="40" s="1"/>
  <c r="I48" i="40" s="1"/>
  <c r="I38" i="29"/>
  <c r="I41" i="43"/>
  <c r="G37" i="33"/>
  <c r="R55" i="47"/>
  <c r="L42" i="35"/>
  <c r="E43" i="35"/>
  <c r="H43" i="35" s="1"/>
  <c r="T42" i="35"/>
  <c r="V42" i="35" s="1"/>
  <c r="Q42" i="35"/>
  <c r="P46" i="42"/>
  <c r="G47" i="42" s="1"/>
  <c r="F47" i="42"/>
  <c r="L47" i="42" s="1"/>
  <c r="N45" i="38"/>
  <c r="E46" i="38" s="1"/>
  <c r="H46" i="38" s="1"/>
  <c r="I46" i="38" s="1"/>
  <c r="S46" i="42"/>
  <c r="N48" i="39"/>
  <c r="C56" i="47"/>
  <c r="O55" i="47"/>
  <c r="O42" i="38"/>
  <c r="E51" i="47"/>
  <c r="F44" i="36"/>
  <c r="L44" i="36" s="1"/>
  <c r="M44" i="36" s="1"/>
  <c r="R43" i="36"/>
  <c r="S43" i="36" s="1"/>
  <c r="P43" i="36"/>
  <c r="G44" i="36" s="1"/>
  <c r="G49" i="48"/>
  <c r="J51" i="47"/>
  <c r="P47" i="39" l="1"/>
  <c r="G48" i="39" s="1"/>
  <c r="F48" i="39"/>
  <c r="L48" i="39" s="1"/>
  <c r="R47" i="39"/>
  <c r="S47" i="39" s="1"/>
  <c r="E42" i="43"/>
  <c r="H42" i="43" s="1"/>
  <c r="E41" i="44" s="1"/>
  <c r="Q41" i="43"/>
  <c r="H45" i="41"/>
  <c r="I45" i="41" s="1"/>
  <c r="N45" i="28"/>
  <c r="E46" i="28" s="1"/>
  <c r="H46" i="28" s="1"/>
  <c r="E47" i="36"/>
  <c r="H47" i="36" s="1"/>
  <c r="Q46" i="36"/>
  <c r="F38" i="33"/>
  <c r="E49" i="39"/>
  <c r="O48" i="39"/>
  <c r="L41" i="43"/>
  <c r="O41" i="43" s="1"/>
  <c r="Q45" i="37"/>
  <c r="E46" i="37"/>
  <c r="T45" i="37"/>
  <c r="V45" i="37" s="1"/>
  <c r="N38" i="29"/>
  <c r="E38" i="33"/>
  <c r="G38" i="33" s="1"/>
  <c r="M42" i="35"/>
  <c r="O42" i="35"/>
  <c r="Q45" i="38"/>
  <c r="T45" i="38"/>
  <c r="V45" i="38" s="1"/>
  <c r="M48" i="39"/>
  <c r="M47" i="42"/>
  <c r="Q48" i="39"/>
  <c r="T48" i="39"/>
  <c r="V48" i="39" s="1"/>
  <c r="N47" i="42"/>
  <c r="Q47" i="42" s="1"/>
  <c r="L56" i="47"/>
  <c r="K51" i="47"/>
  <c r="M51" i="47"/>
  <c r="N48" i="40"/>
  <c r="I49" i="39"/>
  <c r="F43" i="38"/>
  <c r="R42" i="38"/>
  <c r="S42" i="38" s="1"/>
  <c r="P42" i="38"/>
  <c r="G43" i="38" s="1"/>
  <c r="N42" i="43" l="1"/>
  <c r="E43" i="43" s="1"/>
  <c r="Q45" i="28"/>
  <c r="N45" i="41"/>
  <c r="T45" i="41" s="1"/>
  <c r="V45" i="41" s="1"/>
  <c r="T45" i="28"/>
  <c r="V45" i="28" s="1"/>
  <c r="L43" i="38"/>
  <c r="M43" i="38" s="1"/>
  <c r="H46" i="37"/>
  <c r="M41" i="43"/>
  <c r="P41" i="43"/>
  <c r="G42" i="43" s="1"/>
  <c r="R41" i="43"/>
  <c r="S41" i="43" s="1"/>
  <c r="E39" i="29"/>
  <c r="R48" i="39"/>
  <c r="S48" i="39" s="1"/>
  <c r="F42" i="43"/>
  <c r="T38" i="29"/>
  <c r="V38" i="29" s="1"/>
  <c r="Q38" i="29"/>
  <c r="K38" i="33"/>
  <c r="T42" i="43"/>
  <c r="V42" i="43" s="1"/>
  <c r="Q42" i="43"/>
  <c r="I42" i="43"/>
  <c r="R56" i="47"/>
  <c r="N43" i="35"/>
  <c r="I43" i="35"/>
  <c r="P42" i="35"/>
  <c r="G43" i="35" s="1"/>
  <c r="F43" i="35"/>
  <c r="R42" i="35"/>
  <c r="S42" i="35" s="1"/>
  <c r="F49" i="39"/>
  <c r="L49" i="39" s="1"/>
  <c r="P48" i="39"/>
  <c r="G49" i="39" s="1"/>
  <c r="N46" i="38"/>
  <c r="T46" i="38" s="1"/>
  <c r="V46" i="38" s="1"/>
  <c r="O47" i="42"/>
  <c r="P47" i="42" s="1"/>
  <c r="G48" i="42" s="1"/>
  <c r="N46" i="28"/>
  <c r="E48" i="42"/>
  <c r="H48" i="42" s="1"/>
  <c r="I48" i="42" s="1"/>
  <c r="T47" i="42"/>
  <c r="V47" i="42" s="1"/>
  <c r="C57" i="47"/>
  <c r="O56" i="47"/>
  <c r="N49" i="39"/>
  <c r="T48" i="40"/>
  <c r="V48" i="40" s="1"/>
  <c r="E49" i="40"/>
  <c r="H49" i="40" s="1"/>
  <c r="Q48" i="40"/>
  <c r="I47" i="36"/>
  <c r="O44" i="36"/>
  <c r="N47" i="36"/>
  <c r="G50" i="48"/>
  <c r="I46" i="28"/>
  <c r="D52" i="47"/>
  <c r="P51" i="47"/>
  <c r="Q51" i="47" s="1"/>
  <c r="N51" i="47"/>
  <c r="E46" i="41" l="1"/>
  <c r="H46" i="41" s="1"/>
  <c r="Q45" i="41"/>
  <c r="H43" i="43"/>
  <c r="E42" i="44" s="1"/>
  <c r="N46" i="37"/>
  <c r="T46" i="37" s="1"/>
  <c r="V46" i="37" s="1"/>
  <c r="I46" i="37"/>
  <c r="T46" i="28"/>
  <c r="V46" i="28" s="1"/>
  <c r="E39" i="33"/>
  <c r="B39" i="33"/>
  <c r="O49" i="39"/>
  <c r="L42" i="43"/>
  <c r="O42" i="43" s="1"/>
  <c r="F43" i="43" s="1"/>
  <c r="Q38" i="33"/>
  <c r="I39" i="29"/>
  <c r="N39" i="29"/>
  <c r="N38" i="33"/>
  <c r="E44" i="35"/>
  <c r="H44" i="35" s="1"/>
  <c r="T43" i="35"/>
  <c r="V43" i="35" s="1"/>
  <c r="Q43" i="35"/>
  <c r="L43" i="35"/>
  <c r="Q46" i="38"/>
  <c r="R47" i="42"/>
  <c r="S47" i="42" s="1"/>
  <c r="F48" i="42"/>
  <c r="L48" i="42" s="1"/>
  <c r="Q46" i="28"/>
  <c r="E47" i="38"/>
  <c r="H47" i="38" s="1"/>
  <c r="I47" i="38" s="1"/>
  <c r="E47" i="28"/>
  <c r="H47" i="28" s="1"/>
  <c r="M49" i="39"/>
  <c r="L57" i="47"/>
  <c r="E52" i="47"/>
  <c r="E50" i="39"/>
  <c r="T49" i="39"/>
  <c r="V49" i="39" s="1"/>
  <c r="Q49" i="39"/>
  <c r="O43" i="38"/>
  <c r="J52" i="47"/>
  <c r="E48" i="36"/>
  <c r="H48" i="36" s="1"/>
  <c r="T47" i="36"/>
  <c r="V47" i="36" s="1"/>
  <c r="Q47" i="36"/>
  <c r="I49" i="40"/>
  <c r="F45" i="36"/>
  <c r="L45" i="36" s="1"/>
  <c r="M45" i="36" s="1"/>
  <c r="R44" i="36"/>
  <c r="S44" i="36" s="1"/>
  <c r="P44" i="36"/>
  <c r="G45" i="36" s="1"/>
  <c r="Q46" i="37" l="1"/>
  <c r="E47" i="37"/>
  <c r="H47" i="37" s="1"/>
  <c r="I47" i="37" s="1"/>
  <c r="N43" i="43"/>
  <c r="E44" i="43" s="1"/>
  <c r="N48" i="42"/>
  <c r="E49" i="42" s="1"/>
  <c r="H49" i="42" s="1"/>
  <c r="I49" i="42" s="1"/>
  <c r="M42" i="43"/>
  <c r="P42" i="43"/>
  <c r="G43" i="43" s="1"/>
  <c r="K39" i="33"/>
  <c r="N39" i="33" s="1"/>
  <c r="F39" i="33"/>
  <c r="G39" i="33" s="1"/>
  <c r="R49" i="39"/>
  <c r="S49" i="39" s="1"/>
  <c r="R42" i="43"/>
  <c r="S42" i="43" s="1"/>
  <c r="O48" i="42"/>
  <c r="F49" i="42" s="1"/>
  <c r="E40" i="29"/>
  <c r="Q39" i="29"/>
  <c r="T39" i="29"/>
  <c r="V39" i="29" s="1"/>
  <c r="I43" i="43"/>
  <c r="F42" i="44" s="1"/>
  <c r="Q43" i="43"/>
  <c r="R57" i="47"/>
  <c r="M43" i="35"/>
  <c r="O43" i="35"/>
  <c r="F50" i="39"/>
  <c r="I46" i="41"/>
  <c r="N47" i="38"/>
  <c r="T47" i="38" s="1"/>
  <c r="V47" i="38" s="1"/>
  <c r="P49" i="39"/>
  <c r="G50" i="39" s="1"/>
  <c r="N47" i="28"/>
  <c r="N46" i="41"/>
  <c r="C58" i="47"/>
  <c r="O57" i="47"/>
  <c r="I47" i="28"/>
  <c r="N49" i="40"/>
  <c r="I50" i="39"/>
  <c r="N48" i="36"/>
  <c r="K52" i="47"/>
  <c r="F44" i="38"/>
  <c r="R43" i="38"/>
  <c r="S43" i="38" s="1"/>
  <c r="P43" i="38"/>
  <c r="G44" i="38" s="1"/>
  <c r="M52" i="47"/>
  <c r="L50" i="39" l="1"/>
  <c r="N47" i="37"/>
  <c r="Q47" i="37" s="1"/>
  <c r="T43" i="43"/>
  <c r="V43" i="43" s="1"/>
  <c r="Q48" i="42"/>
  <c r="L49" i="42"/>
  <c r="T48" i="42"/>
  <c r="V48" i="42" s="1"/>
  <c r="H44" i="43"/>
  <c r="E43" i="44" s="1"/>
  <c r="L44" i="38"/>
  <c r="M44" i="38" s="1"/>
  <c r="E48" i="28"/>
  <c r="H48" i="28" s="1"/>
  <c r="Q39" i="33"/>
  <c r="L43" i="43"/>
  <c r="O43" i="43" s="1"/>
  <c r="F44" i="43" s="1"/>
  <c r="M48" i="42"/>
  <c r="B40" i="33"/>
  <c r="E40" i="33"/>
  <c r="N44" i="35"/>
  <c r="T44" i="35" s="1"/>
  <c r="V44" i="35" s="1"/>
  <c r="I40" i="29"/>
  <c r="N40" i="29"/>
  <c r="I44" i="35"/>
  <c r="F44" i="35"/>
  <c r="R43" i="35"/>
  <c r="S43" i="35" s="1"/>
  <c r="P43" i="35"/>
  <c r="G44" i="35" s="1"/>
  <c r="Q47" i="38"/>
  <c r="E48" i="38"/>
  <c r="H48" i="38" s="1"/>
  <c r="I48" i="38" s="1"/>
  <c r="Q47" i="28"/>
  <c r="P48" i="42"/>
  <c r="G49" i="42" s="1"/>
  <c r="T47" i="28"/>
  <c r="V47" i="28" s="1"/>
  <c r="T46" i="41"/>
  <c r="V46" i="41" s="1"/>
  <c r="R48" i="42"/>
  <c r="M50" i="39"/>
  <c r="Q46" i="41"/>
  <c r="E47" i="41"/>
  <c r="H47" i="41" s="1"/>
  <c r="G51" i="48"/>
  <c r="T48" i="36"/>
  <c r="V48" i="36" s="1"/>
  <c r="E49" i="36"/>
  <c r="H49" i="36" s="1"/>
  <c r="Q48" i="36"/>
  <c r="E50" i="40"/>
  <c r="H50" i="40" s="1"/>
  <c r="T49" i="40"/>
  <c r="V49" i="40" s="1"/>
  <c r="Q49" i="40"/>
  <c r="L58" i="47"/>
  <c r="T47" i="37"/>
  <c r="V47" i="37" s="1"/>
  <c r="E48" i="37"/>
  <c r="H48" i="37" s="1"/>
  <c r="I48" i="37" s="1"/>
  <c r="I48" i="36"/>
  <c r="O45" i="36"/>
  <c r="D53" i="47"/>
  <c r="P52" i="47"/>
  <c r="Q52" i="47" s="1"/>
  <c r="N52" i="47"/>
  <c r="N50" i="39"/>
  <c r="S48" i="42" l="1"/>
  <c r="R43" i="43"/>
  <c r="S43" i="43" s="1"/>
  <c r="P43" i="43"/>
  <c r="G44" i="43" s="1"/>
  <c r="K40" i="33"/>
  <c r="F40" i="33"/>
  <c r="O50" i="39"/>
  <c r="R50" i="39" s="1"/>
  <c r="N48" i="38"/>
  <c r="G40" i="33"/>
  <c r="I44" i="43"/>
  <c r="F43" i="44" s="1"/>
  <c r="N44" i="43"/>
  <c r="T40" i="29"/>
  <c r="V40" i="29" s="1"/>
  <c r="Q40" i="29"/>
  <c r="E41" i="29"/>
  <c r="Q44" i="35"/>
  <c r="E45" i="35"/>
  <c r="H45" i="35" s="1"/>
  <c r="R58" i="47"/>
  <c r="L44" i="35"/>
  <c r="I48" i="28"/>
  <c r="M49" i="42"/>
  <c r="O44" i="38"/>
  <c r="P44" i="38" s="1"/>
  <c r="G45" i="38" s="1"/>
  <c r="N49" i="42"/>
  <c r="I50" i="40"/>
  <c r="T50" i="39"/>
  <c r="V50" i="39" s="1"/>
  <c r="E51" i="39"/>
  <c r="Q50" i="39"/>
  <c r="C59" i="47"/>
  <c r="O58" i="47"/>
  <c r="E53" i="47"/>
  <c r="J53" i="47"/>
  <c r="M53" i="47" s="1"/>
  <c r="N48" i="37"/>
  <c r="N48" i="28"/>
  <c r="F46" i="36"/>
  <c r="L46" i="36" s="1"/>
  <c r="M46" i="36" s="1"/>
  <c r="R45" i="36"/>
  <c r="S45" i="36" s="1"/>
  <c r="P45" i="36"/>
  <c r="G46" i="36" s="1"/>
  <c r="I49" i="36"/>
  <c r="P50" i="39" l="1"/>
  <c r="G51" i="39" s="1"/>
  <c r="Q40" i="33"/>
  <c r="N40" i="33"/>
  <c r="L44" i="43"/>
  <c r="F51" i="39"/>
  <c r="Q48" i="38"/>
  <c r="E49" i="38"/>
  <c r="T48" i="38"/>
  <c r="V48" i="38" s="1"/>
  <c r="B41" i="33"/>
  <c r="E45" i="43"/>
  <c r="T44" i="43"/>
  <c r="V44" i="43" s="1"/>
  <c r="Q44" i="43"/>
  <c r="I41" i="29"/>
  <c r="O44" i="35"/>
  <c r="P44" i="35" s="1"/>
  <c r="G45" i="35" s="1"/>
  <c r="N45" i="35"/>
  <c r="I45" i="35"/>
  <c r="M44" i="35"/>
  <c r="S50" i="39"/>
  <c r="N47" i="41"/>
  <c r="E48" i="41" s="1"/>
  <c r="H48" i="41" s="1"/>
  <c r="O49" i="42"/>
  <c r="P49" i="42" s="1"/>
  <c r="G50" i="42" s="1"/>
  <c r="I47" i="41"/>
  <c r="R44" i="38"/>
  <c r="S44" i="38" s="1"/>
  <c r="F45" i="38"/>
  <c r="N49" i="36"/>
  <c r="E50" i="36" s="1"/>
  <c r="H50" i="36" s="1"/>
  <c r="N50" i="40"/>
  <c r="E51" i="40" s="1"/>
  <c r="H51" i="40" s="1"/>
  <c r="D54" i="47"/>
  <c r="P53" i="47"/>
  <c r="Q53" i="47" s="1"/>
  <c r="N53" i="47"/>
  <c r="T49" i="42"/>
  <c r="V49" i="42" s="1"/>
  <c r="E50" i="42"/>
  <c r="H50" i="42" s="1"/>
  <c r="I50" i="42" s="1"/>
  <c r="Q49" i="42"/>
  <c r="T48" i="28"/>
  <c r="V48" i="28" s="1"/>
  <c r="E49" i="28"/>
  <c r="H49" i="28" s="1"/>
  <c r="Q48" i="28"/>
  <c r="L59" i="47"/>
  <c r="T48" i="37"/>
  <c r="V48" i="37" s="1"/>
  <c r="E49" i="37"/>
  <c r="H49" i="37" s="1"/>
  <c r="I49" i="37" s="1"/>
  <c r="Q48" i="37"/>
  <c r="I51" i="39"/>
  <c r="K53" i="47"/>
  <c r="O44" i="43" l="1"/>
  <c r="F45" i="43" s="1"/>
  <c r="M44" i="43"/>
  <c r="L51" i="39"/>
  <c r="R44" i="43"/>
  <c r="S44" i="43" s="1"/>
  <c r="H45" i="43"/>
  <c r="E44" i="44" s="1"/>
  <c r="P44" i="43"/>
  <c r="G45" i="43" s="1"/>
  <c r="L45" i="38"/>
  <c r="M45" i="38" s="1"/>
  <c r="H49" i="38"/>
  <c r="I49" i="38" s="1"/>
  <c r="F41" i="33"/>
  <c r="N41" i="29"/>
  <c r="E41" i="33"/>
  <c r="F45" i="35"/>
  <c r="L45" i="35" s="1"/>
  <c r="R44" i="35"/>
  <c r="S44" i="35" s="1"/>
  <c r="E46" i="35"/>
  <c r="H46" i="35" s="1"/>
  <c r="T45" i="35"/>
  <c r="V45" i="35" s="1"/>
  <c r="Q45" i="35"/>
  <c r="R59" i="47"/>
  <c r="T47" i="41"/>
  <c r="V47" i="41" s="1"/>
  <c r="F50" i="42"/>
  <c r="L50" i="42" s="1"/>
  <c r="R49" i="42"/>
  <c r="S49" i="42" s="1"/>
  <c r="I48" i="41"/>
  <c r="Q47" i="41"/>
  <c r="Q49" i="36"/>
  <c r="T49" i="36"/>
  <c r="V49" i="36" s="1"/>
  <c r="Q50" i="40"/>
  <c r="T50" i="40"/>
  <c r="V50" i="40" s="1"/>
  <c r="E54" i="47"/>
  <c r="O46" i="36"/>
  <c r="J54" i="47"/>
  <c r="M54" i="47" s="1"/>
  <c r="I50" i="36"/>
  <c r="I51" i="40"/>
  <c r="G52" i="48"/>
  <c r="N51" i="39"/>
  <c r="C60" i="47"/>
  <c r="O59" i="47"/>
  <c r="N49" i="38" l="1"/>
  <c r="O45" i="38"/>
  <c r="R45" i="38" s="1"/>
  <c r="S45" i="38" s="1"/>
  <c r="G41" i="33"/>
  <c r="K41" i="33"/>
  <c r="E42" i="29"/>
  <c r="T41" i="29"/>
  <c r="V41" i="29" s="1"/>
  <c r="Q41" i="29"/>
  <c r="N45" i="43"/>
  <c r="I45" i="43"/>
  <c r="F44" i="44" s="1"/>
  <c r="O45" i="35"/>
  <c r="F46" i="35" s="1"/>
  <c r="N46" i="35"/>
  <c r="Q46" i="35" s="1"/>
  <c r="I46" i="35"/>
  <c r="M45" i="35"/>
  <c r="Q49" i="38"/>
  <c r="N48" i="41"/>
  <c r="E49" i="41" s="1"/>
  <c r="H49" i="41" s="1"/>
  <c r="I49" i="28"/>
  <c r="O51" i="39"/>
  <c r="M51" i="39"/>
  <c r="M50" i="42"/>
  <c r="E50" i="38"/>
  <c r="H50" i="38" s="1"/>
  <c r="I50" i="38" s="1"/>
  <c r="T49" i="38"/>
  <c r="V49" i="38" s="1"/>
  <c r="N50" i="42"/>
  <c r="E51" i="42" s="1"/>
  <c r="H51" i="42" s="1"/>
  <c r="I51" i="42" s="1"/>
  <c r="F46" i="38"/>
  <c r="P45" i="38"/>
  <c r="G46" i="38" s="1"/>
  <c r="N50" i="36"/>
  <c r="T50" i="36" s="1"/>
  <c r="V50" i="36" s="1"/>
  <c r="T51" i="39"/>
  <c r="V51" i="39" s="1"/>
  <c r="E52" i="39"/>
  <c r="Q51" i="39"/>
  <c r="D55" i="47"/>
  <c r="P54" i="47"/>
  <c r="Q54" i="47" s="1"/>
  <c r="N54" i="47"/>
  <c r="N51" i="40"/>
  <c r="F47" i="36"/>
  <c r="L47" i="36" s="1"/>
  <c r="M47" i="36" s="1"/>
  <c r="R46" i="36"/>
  <c r="S46" i="36" s="1"/>
  <c r="P46" i="36"/>
  <c r="G47" i="36" s="1"/>
  <c r="L60" i="47"/>
  <c r="N49" i="37"/>
  <c r="K54" i="47"/>
  <c r="N49" i="28"/>
  <c r="Q41" i="33" l="1"/>
  <c r="N41" i="33"/>
  <c r="L46" i="38"/>
  <c r="M46" i="38" s="1"/>
  <c r="H42" i="29"/>
  <c r="E42" i="33" s="1"/>
  <c r="B42" i="33"/>
  <c r="L45" i="43"/>
  <c r="P51" i="39"/>
  <c r="G52" i="39" s="1"/>
  <c r="T45" i="43"/>
  <c r="V45" i="43" s="1"/>
  <c r="Q45" i="43"/>
  <c r="E46" i="43"/>
  <c r="R45" i="35"/>
  <c r="S45" i="35" s="1"/>
  <c r="P45" i="35"/>
  <c r="G46" i="35" s="1"/>
  <c r="T46" i="35"/>
  <c r="V46" i="35" s="1"/>
  <c r="E47" i="35"/>
  <c r="H47" i="35" s="1"/>
  <c r="R60" i="47"/>
  <c r="L46" i="35"/>
  <c r="Q48" i="41"/>
  <c r="T48" i="41"/>
  <c r="V48" i="41" s="1"/>
  <c r="F52" i="39"/>
  <c r="R51" i="39"/>
  <c r="S51" i="39" s="1"/>
  <c r="O50" i="42"/>
  <c r="F51" i="42" s="1"/>
  <c r="L51" i="42" s="1"/>
  <c r="T50" i="42"/>
  <c r="V50" i="42" s="1"/>
  <c r="Q50" i="42"/>
  <c r="E51" i="36"/>
  <c r="H51" i="36" s="1"/>
  <c r="Q50" i="36"/>
  <c r="J55" i="47"/>
  <c r="C61" i="47"/>
  <c r="O60" i="47"/>
  <c r="I52" i="39"/>
  <c r="E50" i="37"/>
  <c r="H50" i="37" s="1"/>
  <c r="I50" i="37" s="1"/>
  <c r="T49" i="37"/>
  <c r="V49" i="37" s="1"/>
  <c r="Q49" i="37"/>
  <c r="G53" i="48"/>
  <c r="O47" i="36"/>
  <c r="E55" i="47"/>
  <c r="E52" i="40"/>
  <c r="H52" i="40" s="1"/>
  <c r="T51" i="40"/>
  <c r="V51" i="40" s="1"/>
  <c r="Q51" i="40"/>
  <c r="T49" i="28"/>
  <c r="V49" i="28" s="1"/>
  <c r="E50" i="28"/>
  <c r="H50" i="28" s="1"/>
  <c r="Q49" i="28"/>
  <c r="O45" i="43" l="1"/>
  <c r="F46" i="43" s="1"/>
  <c r="M45" i="43"/>
  <c r="L52" i="39"/>
  <c r="N42" i="29"/>
  <c r="T42" i="29" s="1"/>
  <c r="V42" i="29" s="1"/>
  <c r="O46" i="38"/>
  <c r="R46" i="38" s="1"/>
  <c r="S46" i="38" s="1"/>
  <c r="H46" i="43"/>
  <c r="E45" i="44" s="1"/>
  <c r="P45" i="43"/>
  <c r="G46" i="43" s="1"/>
  <c r="R45" i="43"/>
  <c r="S45" i="43" s="1"/>
  <c r="I51" i="36"/>
  <c r="I42" i="29"/>
  <c r="N47" i="35"/>
  <c r="O46" i="35"/>
  <c r="P46" i="35" s="1"/>
  <c r="G47" i="35" s="1"/>
  <c r="M46" i="35"/>
  <c r="N49" i="41"/>
  <c r="T49" i="41" s="1"/>
  <c r="V49" i="41" s="1"/>
  <c r="N50" i="38"/>
  <c r="Q50" i="38" s="1"/>
  <c r="R50" i="42"/>
  <c r="S50" i="42" s="1"/>
  <c r="P50" i="42"/>
  <c r="G51" i="42" s="1"/>
  <c r="M51" i="42"/>
  <c r="N52" i="39"/>
  <c r="N51" i="42"/>
  <c r="Q51" i="42" s="1"/>
  <c r="F48" i="36"/>
  <c r="L48" i="36" s="1"/>
  <c r="M48" i="36" s="1"/>
  <c r="R47" i="36"/>
  <c r="S47" i="36" s="1"/>
  <c r="P47" i="36"/>
  <c r="G48" i="36" s="1"/>
  <c r="L61" i="47"/>
  <c r="K55" i="47"/>
  <c r="I49" i="41"/>
  <c r="M55" i="47"/>
  <c r="I52" i="40"/>
  <c r="Q42" i="29" l="1"/>
  <c r="K42" i="33"/>
  <c r="N42" i="33" s="1"/>
  <c r="E43" i="29"/>
  <c r="H43" i="29" s="1"/>
  <c r="E43" i="33" s="1"/>
  <c r="F47" i="38"/>
  <c r="L47" i="38" s="1"/>
  <c r="M47" i="38" s="1"/>
  <c r="P46" i="38"/>
  <c r="G47" i="38" s="1"/>
  <c r="N46" i="43"/>
  <c r="E47" i="43" s="1"/>
  <c r="N51" i="36"/>
  <c r="Q51" i="36" s="1"/>
  <c r="F42" i="33"/>
  <c r="B43" i="33"/>
  <c r="Q42" i="33"/>
  <c r="O52" i="39"/>
  <c r="R52" i="39" s="1"/>
  <c r="I46" i="43"/>
  <c r="F45" i="44" s="1"/>
  <c r="R46" i="35"/>
  <c r="S46" i="35" s="1"/>
  <c r="F47" i="35"/>
  <c r="I47" i="35"/>
  <c r="R61" i="47"/>
  <c r="E48" i="35"/>
  <c r="H48" i="35" s="1"/>
  <c r="T47" i="35"/>
  <c r="V47" i="35" s="1"/>
  <c r="Q47" i="35"/>
  <c r="M52" i="39"/>
  <c r="Q49" i="41"/>
  <c r="E50" i="41"/>
  <c r="H50" i="41" s="1"/>
  <c r="E51" i="38"/>
  <c r="H51" i="38" s="1"/>
  <c r="I51" i="38" s="1"/>
  <c r="T50" i="38"/>
  <c r="V50" i="38" s="1"/>
  <c r="O51" i="42"/>
  <c r="R51" i="42" s="1"/>
  <c r="S51" i="42" s="1"/>
  <c r="T51" i="42"/>
  <c r="V51" i="42" s="1"/>
  <c r="E52" i="42"/>
  <c r="H52" i="42" s="1"/>
  <c r="I52" i="42" s="1"/>
  <c r="T52" i="39"/>
  <c r="V52" i="39" s="1"/>
  <c r="E53" i="39"/>
  <c r="Q52" i="39"/>
  <c r="N52" i="40"/>
  <c r="D56" i="47"/>
  <c r="P55" i="47"/>
  <c r="Q55" i="47" s="1"/>
  <c r="N55" i="47"/>
  <c r="G54" i="48"/>
  <c r="I50" i="28"/>
  <c r="N50" i="37"/>
  <c r="N50" i="28"/>
  <c r="C62" i="47"/>
  <c r="O61" i="47"/>
  <c r="E52" i="36" l="1"/>
  <c r="H52" i="36" s="1"/>
  <c r="T51" i="36"/>
  <c r="V51" i="36" s="1"/>
  <c r="P52" i="39"/>
  <c r="G53" i="39" s="1"/>
  <c r="T46" i="43"/>
  <c r="V46" i="43" s="1"/>
  <c r="Q46" i="43"/>
  <c r="H47" i="43"/>
  <c r="E46" i="44" s="1"/>
  <c r="G42" i="33"/>
  <c r="N43" i="29"/>
  <c r="E44" i="29" s="1"/>
  <c r="H44" i="29" s="1"/>
  <c r="L46" i="43"/>
  <c r="F53" i="39"/>
  <c r="I53" i="39"/>
  <c r="I43" i="29"/>
  <c r="L47" i="35"/>
  <c r="M47" i="35" s="1"/>
  <c r="S52" i="39"/>
  <c r="F52" i="42"/>
  <c r="L52" i="42" s="1"/>
  <c r="M53" i="39"/>
  <c r="P51" i="42"/>
  <c r="G52" i="42" s="1"/>
  <c r="N51" i="38"/>
  <c r="T51" i="38" s="1"/>
  <c r="V51" i="38" s="1"/>
  <c r="I52" i="36"/>
  <c r="N53" i="39"/>
  <c r="O47" i="38"/>
  <c r="J56" i="47"/>
  <c r="E51" i="37"/>
  <c r="H51" i="37" s="1"/>
  <c r="I51" i="37" s="1"/>
  <c r="T50" i="37"/>
  <c r="V50" i="37" s="1"/>
  <c r="Q50" i="37"/>
  <c r="E56" i="47"/>
  <c r="E51" i="28"/>
  <c r="H51" i="28" s="1"/>
  <c r="T50" i="28"/>
  <c r="V50" i="28" s="1"/>
  <c r="Q50" i="28"/>
  <c r="T52" i="40"/>
  <c r="V52" i="40" s="1"/>
  <c r="E53" i="40"/>
  <c r="H53" i="40" s="1"/>
  <c r="Q52" i="40"/>
  <c r="L62" i="47"/>
  <c r="O48" i="36"/>
  <c r="O46" i="43" l="1"/>
  <c r="F47" i="43" s="1"/>
  <c r="M46" i="43"/>
  <c r="L53" i="39"/>
  <c r="O53" i="39" s="1"/>
  <c r="P53" i="39" s="1"/>
  <c r="G54" i="39" s="1"/>
  <c r="Q43" i="29"/>
  <c r="T43" i="29"/>
  <c r="V43" i="29" s="1"/>
  <c r="K43" i="33"/>
  <c r="P46" i="43"/>
  <c r="G47" i="43" s="1"/>
  <c r="R46" i="43"/>
  <c r="S46" i="43" s="1"/>
  <c r="E44" i="33"/>
  <c r="G44" i="33" s="1"/>
  <c r="B44" i="33"/>
  <c r="F43" i="33"/>
  <c r="G43" i="33" s="1"/>
  <c r="N52" i="42"/>
  <c r="E53" i="42" s="1"/>
  <c r="H53" i="42" s="1"/>
  <c r="I53" i="42" s="1"/>
  <c r="O52" i="42"/>
  <c r="F53" i="42" s="1"/>
  <c r="O47" i="35"/>
  <c r="R47" i="35" s="1"/>
  <c r="S47" i="35" s="1"/>
  <c r="I47" i="43"/>
  <c r="F46" i="44" s="1"/>
  <c r="N47" i="43"/>
  <c r="R62" i="47"/>
  <c r="N48" i="35"/>
  <c r="I48" i="35"/>
  <c r="I50" i="41"/>
  <c r="N50" i="41"/>
  <c r="T50" i="41" s="1"/>
  <c r="V50" i="41" s="1"/>
  <c r="E52" i="38"/>
  <c r="H52" i="38" s="1"/>
  <c r="I52" i="38" s="1"/>
  <c r="Q51" i="38"/>
  <c r="K56" i="47"/>
  <c r="E54" i="39"/>
  <c r="T53" i="39"/>
  <c r="V53" i="39" s="1"/>
  <c r="Q53" i="39"/>
  <c r="F48" i="38"/>
  <c r="R47" i="38"/>
  <c r="S47" i="38" s="1"/>
  <c r="P47" i="38"/>
  <c r="G48" i="38" s="1"/>
  <c r="M56" i="47"/>
  <c r="C63" i="47"/>
  <c r="O62" i="47"/>
  <c r="N52" i="36"/>
  <c r="G55" i="48"/>
  <c r="F49" i="36"/>
  <c r="L49" i="36" s="1"/>
  <c r="M49" i="36" s="1"/>
  <c r="R48" i="36"/>
  <c r="S48" i="36" s="1"/>
  <c r="P48" i="36"/>
  <c r="G49" i="36" s="1"/>
  <c r="I53" i="40"/>
  <c r="N51" i="37"/>
  <c r="L53" i="42" l="1"/>
  <c r="N43" i="33"/>
  <c r="L48" i="38"/>
  <c r="M48" i="38" s="1"/>
  <c r="I44" i="29"/>
  <c r="F44" i="33" s="1"/>
  <c r="N44" i="29"/>
  <c r="Q44" i="29" s="1"/>
  <c r="Q43" i="33"/>
  <c r="Q52" i="42"/>
  <c r="T52" i="42"/>
  <c r="V52" i="42" s="1"/>
  <c r="M52" i="42"/>
  <c r="L47" i="43"/>
  <c r="F54" i="39"/>
  <c r="R53" i="39"/>
  <c r="S53" i="39" s="1"/>
  <c r="P47" i="35"/>
  <c r="G48" i="35" s="1"/>
  <c r="F48" i="35"/>
  <c r="L48" i="35" s="1"/>
  <c r="Q47" i="43"/>
  <c r="E48" i="43"/>
  <c r="T47" i="43"/>
  <c r="V47" i="43" s="1"/>
  <c r="E49" i="35"/>
  <c r="H49" i="35" s="1"/>
  <c r="T48" i="35"/>
  <c r="V48" i="35" s="1"/>
  <c r="Q48" i="35"/>
  <c r="Q50" i="41"/>
  <c r="E51" i="41"/>
  <c r="H51" i="41" s="1"/>
  <c r="R52" i="42"/>
  <c r="P52" i="42"/>
  <c r="G53" i="42" s="1"/>
  <c r="N53" i="40"/>
  <c r="E54" i="40" s="1"/>
  <c r="H54" i="40" s="1"/>
  <c r="I51" i="28"/>
  <c r="L63" i="47"/>
  <c r="N51" i="28"/>
  <c r="I54" i="39"/>
  <c r="O49" i="36"/>
  <c r="D57" i="47"/>
  <c r="P56" i="47"/>
  <c r="Q56" i="47" s="1"/>
  <c r="N56" i="47"/>
  <c r="T51" i="37"/>
  <c r="V51" i="37" s="1"/>
  <c r="E52" i="37"/>
  <c r="H52" i="37" s="1"/>
  <c r="I52" i="37" s="1"/>
  <c r="Q51" i="37"/>
  <c r="T52" i="36"/>
  <c r="V52" i="36" s="1"/>
  <c r="E53" i="36"/>
  <c r="H53" i="36" s="1"/>
  <c r="Q52" i="36"/>
  <c r="O47" i="43" l="1"/>
  <c r="F48" i="43" s="1"/>
  <c r="M47" i="43"/>
  <c r="T44" i="29"/>
  <c r="V44" i="29" s="1"/>
  <c r="L54" i="39"/>
  <c r="O54" i="39" s="1"/>
  <c r="H48" i="43"/>
  <c r="E47" i="44" s="1"/>
  <c r="E45" i="29"/>
  <c r="H45" i="29" s="1"/>
  <c r="E45" i="33" s="1"/>
  <c r="S52" i="42"/>
  <c r="K44" i="33"/>
  <c r="N44" i="33" s="1"/>
  <c r="P47" i="43"/>
  <c r="G48" i="43" s="1"/>
  <c r="R47" i="43"/>
  <c r="S47" i="43" s="1"/>
  <c r="M54" i="39"/>
  <c r="I51" i="41"/>
  <c r="R63" i="47"/>
  <c r="M48" i="35"/>
  <c r="O48" i="35"/>
  <c r="N52" i="38"/>
  <c r="E53" i="38" s="1"/>
  <c r="H53" i="38" s="1"/>
  <c r="I53" i="38" s="1"/>
  <c r="Q53" i="40"/>
  <c r="T53" i="40"/>
  <c r="V53" i="40" s="1"/>
  <c r="N54" i="39"/>
  <c r="G56" i="48"/>
  <c r="O48" i="38"/>
  <c r="P48" i="38" s="1"/>
  <c r="G49" i="38" s="1"/>
  <c r="E57" i="47"/>
  <c r="J57" i="47"/>
  <c r="I53" i="36"/>
  <c r="N53" i="42"/>
  <c r="C64" i="47"/>
  <c r="O63" i="47"/>
  <c r="I54" i="40"/>
  <c r="T51" i="28"/>
  <c r="V51" i="28" s="1"/>
  <c r="E52" i="28"/>
  <c r="H52" i="28" s="1"/>
  <c r="Q51" i="28"/>
  <c r="N52" i="37"/>
  <c r="F50" i="36"/>
  <c r="L50" i="36" s="1"/>
  <c r="M50" i="36" s="1"/>
  <c r="R49" i="36"/>
  <c r="S49" i="36" s="1"/>
  <c r="P49" i="36"/>
  <c r="G50" i="36" s="1"/>
  <c r="B45" i="33" l="1"/>
  <c r="Q44" i="33"/>
  <c r="I45" i="29"/>
  <c r="F45" i="33" s="1"/>
  <c r="N45" i="29"/>
  <c r="E46" i="29" s="1"/>
  <c r="H46" i="29" s="1"/>
  <c r="N51" i="41"/>
  <c r="E52" i="41" s="1"/>
  <c r="H52" i="41" s="1"/>
  <c r="Q54" i="39"/>
  <c r="N48" i="43"/>
  <c r="I48" i="43"/>
  <c r="F47" i="44" s="1"/>
  <c r="N49" i="35"/>
  <c r="I49" i="35"/>
  <c r="F49" i="35"/>
  <c r="R48" i="35"/>
  <c r="S48" i="35" s="1"/>
  <c r="P48" i="35"/>
  <c r="G49" i="35" s="1"/>
  <c r="T52" i="38"/>
  <c r="V52" i="38" s="1"/>
  <c r="Q52" i="38"/>
  <c r="O53" i="42"/>
  <c r="F54" i="42" s="1"/>
  <c r="M53" i="42"/>
  <c r="T54" i="39"/>
  <c r="V54" i="39" s="1"/>
  <c r="N54" i="40"/>
  <c r="T54" i="40" s="1"/>
  <c r="V54" i="40" s="1"/>
  <c r="E55" i="39"/>
  <c r="P54" i="39"/>
  <c r="G55" i="39" s="1"/>
  <c r="R48" i="38"/>
  <c r="S48" i="38" s="1"/>
  <c r="F49" i="38"/>
  <c r="L64" i="47"/>
  <c r="O50" i="36"/>
  <c r="T52" i="37"/>
  <c r="V52" i="37" s="1"/>
  <c r="E53" i="37"/>
  <c r="H53" i="37" s="1"/>
  <c r="I53" i="37" s="1"/>
  <c r="Q52" i="37"/>
  <c r="N53" i="36"/>
  <c r="F55" i="39"/>
  <c r="R54" i="39"/>
  <c r="T53" i="42"/>
  <c r="V53" i="42" s="1"/>
  <c r="E54" i="42"/>
  <c r="H54" i="42" s="1"/>
  <c r="I54" i="42" s="1"/>
  <c r="Q53" i="42"/>
  <c r="K57" i="47"/>
  <c r="M57" i="47"/>
  <c r="G45" i="33" l="1"/>
  <c r="Q45" i="29"/>
  <c r="T45" i="29"/>
  <c r="V45" i="29" s="1"/>
  <c r="L54" i="42"/>
  <c r="K45" i="33"/>
  <c r="Q51" i="41"/>
  <c r="N52" i="41"/>
  <c r="Q52" i="41" s="1"/>
  <c r="I52" i="41"/>
  <c r="T51" i="41"/>
  <c r="V51" i="41" s="1"/>
  <c r="L49" i="38"/>
  <c r="M49" i="38" s="1"/>
  <c r="E46" i="33"/>
  <c r="B46" i="33"/>
  <c r="S54" i="39"/>
  <c r="N46" i="29"/>
  <c r="K46" i="33" s="1"/>
  <c r="N53" i="38"/>
  <c r="E54" i="38" s="1"/>
  <c r="H54" i="38" s="1"/>
  <c r="I54" i="38" s="1"/>
  <c r="L48" i="43"/>
  <c r="I55" i="39"/>
  <c r="L55" i="39" s="1"/>
  <c r="E49" i="43"/>
  <c r="Q48" i="43"/>
  <c r="T48" i="43"/>
  <c r="V48" i="43" s="1"/>
  <c r="R64" i="47"/>
  <c r="L49" i="35"/>
  <c r="E50" i="35"/>
  <c r="H50" i="35" s="1"/>
  <c r="T49" i="35"/>
  <c r="V49" i="35" s="1"/>
  <c r="Q49" i="35"/>
  <c r="P53" i="42"/>
  <c r="G54" i="42" s="1"/>
  <c r="R53" i="42"/>
  <c r="S53" i="42" s="1"/>
  <c r="N52" i="28"/>
  <c r="Q54" i="40"/>
  <c r="E55" i="40"/>
  <c r="F51" i="36"/>
  <c r="L51" i="36" s="1"/>
  <c r="M51" i="36" s="1"/>
  <c r="R50" i="36"/>
  <c r="S50" i="36" s="1"/>
  <c r="P50" i="36"/>
  <c r="G51" i="36" s="1"/>
  <c r="N53" i="37"/>
  <c r="T53" i="36"/>
  <c r="V53" i="36" s="1"/>
  <c r="E54" i="36"/>
  <c r="H54" i="36" s="1"/>
  <c r="Q53" i="36"/>
  <c r="D58" i="47"/>
  <c r="P57" i="47"/>
  <c r="Q57" i="47" s="1"/>
  <c r="N57" i="47"/>
  <c r="I52" i="28"/>
  <c r="N55" i="39"/>
  <c r="C65" i="47"/>
  <c r="O64" i="47"/>
  <c r="O48" i="43" l="1"/>
  <c r="R48" i="43" s="1"/>
  <c r="M48" i="43"/>
  <c r="Q45" i="33"/>
  <c r="N45" i="33"/>
  <c r="T52" i="41"/>
  <c r="V52" i="41" s="1"/>
  <c r="E53" i="41"/>
  <c r="H53" i="41" s="1"/>
  <c r="N53" i="41" s="1"/>
  <c r="E54" i="41" s="1"/>
  <c r="H54" i="41" s="1"/>
  <c r="Q53" i="38"/>
  <c r="H49" i="43"/>
  <c r="E48" i="44" s="1"/>
  <c r="T53" i="38"/>
  <c r="V53" i="38" s="1"/>
  <c r="O49" i="38"/>
  <c r="P49" i="38" s="1"/>
  <c r="G50" i="38" s="1"/>
  <c r="Q46" i="33"/>
  <c r="T52" i="28"/>
  <c r="V52" i="28" s="1"/>
  <c r="N46" i="33"/>
  <c r="T46" i="29"/>
  <c r="V46" i="29" s="1"/>
  <c r="E47" i="29"/>
  <c r="H47" i="29" s="1"/>
  <c r="Q46" i="29"/>
  <c r="I46" i="29"/>
  <c r="S48" i="43"/>
  <c r="P48" i="43"/>
  <c r="G49" i="43" s="1"/>
  <c r="F49" i="43"/>
  <c r="H55" i="40"/>
  <c r="I55" i="40" s="1"/>
  <c r="M49" i="35"/>
  <c r="O49" i="35"/>
  <c r="Q52" i="28"/>
  <c r="E53" i="28"/>
  <c r="H53" i="28" s="1"/>
  <c r="O55" i="39"/>
  <c r="M55" i="39"/>
  <c r="M54" i="42"/>
  <c r="J58" i="47"/>
  <c r="M58" i="47" s="1"/>
  <c r="E56" i="39"/>
  <c r="T55" i="39"/>
  <c r="V55" i="39" s="1"/>
  <c r="Q55" i="39"/>
  <c r="E58" i="47"/>
  <c r="E54" i="37"/>
  <c r="H54" i="37" s="1"/>
  <c r="I54" i="37" s="1"/>
  <c r="T53" i="37"/>
  <c r="V53" i="37" s="1"/>
  <c r="Q53" i="37"/>
  <c r="O51" i="36"/>
  <c r="L65" i="47"/>
  <c r="N54" i="36"/>
  <c r="G57" i="48"/>
  <c r="N54" i="42"/>
  <c r="R49" i="38" l="1"/>
  <c r="S49" i="38" s="1"/>
  <c r="F50" i="38"/>
  <c r="L50" i="38" s="1"/>
  <c r="M50" i="38" s="1"/>
  <c r="I53" i="41"/>
  <c r="E47" i="33"/>
  <c r="B47" i="33"/>
  <c r="F46" i="33"/>
  <c r="N55" i="40"/>
  <c r="E56" i="40" s="1"/>
  <c r="H56" i="40" s="1"/>
  <c r="N49" i="43"/>
  <c r="I49" i="43"/>
  <c r="F48" i="44" s="1"/>
  <c r="N47" i="29"/>
  <c r="I47" i="29"/>
  <c r="F56" i="39"/>
  <c r="N50" i="35"/>
  <c r="Q50" i="35" s="1"/>
  <c r="R65" i="47"/>
  <c r="R49" i="35"/>
  <c r="S49" i="35" s="1"/>
  <c r="F50" i="35"/>
  <c r="P49" i="35"/>
  <c r="G50" i="35" s="1"/>
  <c r="I50" i="35"/>
  <c r="T53" i="41"/>
  <c r="V53" i="41" s="1"/>
  <c r="Q53" i="41"/>
  <c r="R55" i="39"/>
  <c r="S55" i="39" s="1"/>
  <c r="P55" i="39"/>
  <c r="G56" i="39" s="1"/>
  <c r="O54" i="42"/>
  <c r="F55" i="42" s="1"/>
  <c r="D59" i="47"/>
  <c r="P58" i="47"/>
  <c r="Q58" i="47" s="1"/>
  <c r="N58" i="47"/>
  <c r="I56" i="39"/>
  <c r="I53" i="28"/>
  <c r="N54" i="38"/>
  <c r="T54" i="42"/>
  <c r="V54" i="42" s="1"/>
  <c r="E55" i="42"/>
  <c r="H55" i="42" s="1"/>
  <c r="I55" i="42" s="1"/>
  <c r="Q54" i="42"/>
  <c r="E55" i="36"/>
  <c r="H55" i="36" s="1"/>
  <c r="T54" i="36"/>
  <c r="V54" i="36" s="1"/>
  <c r="Q54" i="36"/>
  <c r="C66" i="47"/>
  <c r="O65" i="47"/>
  <c r="I54" i="36"/>
  <c r="F52" i="36"/>
  <c r="L52" i="36" s="1"/>
  <c r="M52" i="36" s="1"/>
  <c r="R51" i="36"/>
  <c r="S51" i="36" s="1"/>
  <c r="P51" i="36"/>
  <c r="G52" i="36" s="1"/>
  <c r="K58" i="47"/>
  <c r="G46" i="33" l="1"/>
  <c r="L56" i="39"/>
  <c r="O50" i="38"/>
  <c r="F51" i="38" s="1"/>
  <c r="L55" i="42"/>
  <c r="K47" i="33"/>
  <c r="F47" i="33"/>
  <c r="N53" i="28"/>
  <c r="E54" i="28" s="1"/>
  <c r="H54" i="28" s="1"/>
  <c r="L49" i="43"/>
  <c r="Q55" i="40"/>
  <c r="T55" i="40"/>
  <c r="V55" i="40" s="1"/>
  <c r="Q47" i="29"/>
  <c r="T47" i="29"/>
  <c r="V47" i="29" s="1"/>
  <c r="E48" i="29"/>
  <c r="H48" i="29" s="1"/>
  <c r="E50" i="43"/>
  <c r="T49" i="43"/>
  <c r="V49" i="43" s="1"/>
  <c r="Q49" i="43"/>
  <c r="E51" i="35"/>
  <c r="H51" i="35" s="1"/>
  <c r="T50" i="35"/>
  <c r="V50" i="35" s="1"/>
  <c r="L50" i="35"/>
  <c r="R54" i="42"/>
  <c r="S54" i="42" s="1"/>
  <c r="P54" i="42"/>
  <c r="G55" i="42" s="1"/>
  <c r="G58" i="48"/>
  <c r="L66" i="47"/>
  <c r="I54" i="41"/>
  <c r="E59" i="47"/>
  <c r="T54" i="38"/>
  <c r="V54" i="38" s="1"/>
  <c r="E55" i="38"/>
  <c r="H55" i="38" s="1"/>
  <c r="I55" i="38" s="1"/>
  <c r="Q54" i="38"/>
  <c r="I56" i="40"/>
  <c r="O52" i="36"/>
  <c r="N54" i="41"/>
  <c r="J59" i="47"/>
  <c r="N56" i="39"/>
  <c r="N54" i="37"/>
  <c r="O49" i="43" l="1"/>
  <c r="F50" i="43" s="1"/>
  <c r="M49" i="43"/>
  <c r="P50" i="38"/>
  <c r="G51" i="38" s="1"/>
  <c r="R50" i="38"/>
  <c r="S50" i="38" s="1"/>
  <c r="G47" i="33"/>
  <c r="H50" i="43"/>
  <c r="E49" i="44" s="1"/>
  <c r="L51" i="38"/>
  <c r="M51" i="38" s="1"/>
  <c r="P49" i="43"/>
  <c r="G50" i="43" s="1"/>
  <c r="R49" i="43"/>
  <c r="S49" i="43" s="1"/>
  <c r="Q47" i="33"/>
  <c r="N47" i="33"/>
  <c r="E48" i="33"/>
  <c r="B48" i="33"/>
  <c r="T53" i="28"/>
  <c r="V53" i="28" s="1"/>
  <c r="Q53" i="28"/>
  <c r="M56" i="39"/>
  <c r="O56" i="39"/>
  <c r="C67" i="47"/>
  <c r="O50" i="35"/>
  <c r="R50" i="35" s="1"/>
  <c r="S50" i="35" s="1"/>
  <c r="R66" i="47"/>
  <c r="N51" i="35"/>
  <c r="I51" i="35"/>
  <c r="M50" i="35"/>
  <c r="N56" i="40"/>
  <c r="N55" i="42"/>
  <c r="F53" i="36"/>
  <c r="L53" i="36" s="1"/>
  <c r="M53" i="36" s="1"/>
  <c r="R52" i="36"/>
  <c r="S52" i="36" s="1"/>
  <c r="P52" i="36"/>
  <c r="G53" i="36" s="1"/>
  <c r="E55" i="37"/>
  <c r="H55" i="37" s="1"/>
  <c r="I55" i="37" s="1"/>
  <c r="T54" i="37"/>
  <c r="V54" i="37" s="1"/>
  <c r="Q54" i="37"/>
  <c r="I55" i="36"/>
  <c r="O66" i="47"/>
  <c r="T54" i="41"/>
  <c r="V54" i="41" s="1"/>
  <c r="E55" i="41"/>
  <c r="H55" i="41" s="1"/>
  <c r="Q54" i="41"/>
  <c r="K59" i="47"/>
  <c r="N55" i="36"/>
  <c r="N55" i="38"/>
  <c r="E57" i="39"/>
  <c r="T56" i="39"/>
  <c r="V56" i="39" s="1"/>
  <c r="Q56" i="39"/>
  <c r="M59" i="47"/>
  <c r="P56" i="39" l="1"/>
  <c r="G57" i="39" s="1"/>
  <c r="R56" i="39"/>
  <c r="S56" i="39" s="1"/>
  <c r="F57" i="39"/>
  <c r="N48" i="29"/>
  <c r="K48" i="33" s="1"/>
  <c r="I48" i="29"/>
  <c r="N50" i="43"/>
  <c r="I50" i="43"/>
  <c r="F49" i="44" s="1"/>
  <c r="L67" i="47"/>
  <c r="R67" i="47" s="1"/>
  <c r="E57" i="40"/>
  <c r="P50" i="35"/>
  <c r="G51" i="35" s="1"/>
  <c r="F51" i="35"/>
  <c r="L51" i="35" s="1"/>
  <c r="T51" i="35"/>
  <c r="V51" i="35" s="1"/>
  <c r="E52" i="35"/>
  <c r="H52" i="35" s="1"/>
  <c r="Q51" i="35"/>
  <c r="O55" i="42"/>
  <c r="M55" i="42"/>
  <c r="T56" i="40"/>
  <c r="V56" i="40" s="1"/>
  <c r="Q56" i="40"/>
  <c r="Q55" i="42"/>
  <c r="T55" i="42"/>
  <c r="V55" i="42" s="1"/>
  <c r="E56" i="42"/>
  <c r="H56" i="42" s="1"/>
  <c r="I56" i="42" s="1"/>
  <c r="T55" i="38"/>
  <c r="V55" i="38" s="1"/>
  <c r="E56" i="38"/>
  <c r="H56" i="38" s="1"/>
  <c r="I56" i="38" s="1"/>
  <c r="Q55" i="38"/>
  <c r="I54" i="28"/>
  <c r="G59" i="48"/>
  <c r="E56" i="36"/>
  <c r="H56" i="36" s="1"/>
  <c r="T55" i="36"/>
  <c r="V55" i="36" s="1"/>
  <c r="Q55" i="36"/>
  <c r="N55" i="37"/>
  <c r="I57" i="39"/>
  <c r="D60" i="47"/>
  <c r="P59" i="47"/>
  <c r="Q59" i="47" s="1"/>
  <c r="N59" i="47"/>
  <c r="O51" i="38"/>
  <c r="N54" i="28"/>
  <c r="L57" i="39" l="1"/>
  <c r="F48" i="33"/>
  <c r="G48" i="33" s="1"/>
  <c r="Q48" i="33"/>
  <c r="N48" i="33"/>
  <c r="L50" i="43"/>
  <c r="E49" i="29"/>
  <c r="H49" i="29" s="1"/>
  <c r="T48" i="29"/>
  <c r="V48" i="29" s="1"/>
  <c r="Q48" i="29"/>
  <c r="E51" i="43"/>
  <c r="T50" i="43"/>
  <c r="V50" i="43" s="1"/>
  <c r="Q50" i="43"/>
  <c r="H57" i="40"/>
  <c r="I57" i="40" s="1"/>
  <c r="O67" i="47"/>
  <c r="C68" i="47"/>
  <c r="L68" i="47" s="1"/>
  <c r="R68" i="47" s="1"/>
  <c r="R55" i="42"/>
  <c r="S55" i="42" s="1"/>
  <c r="M51" i="35"/>
  <c r="O51" i="35"/>
  <c r="P55" i="42"/>
  <c r="G56" i="42" s="1"/>
  <c r="I55" i="41"/>
  <c r="F56" i="42"/>
  <c r="L56" i="42" s="1"/>
  <c r="T55" i="37"/>
  <c r="V55" i="37" s="1"/>
  <c r="E56" i="37"/>
  <c r="H56" i="37" s="1"/>
  <c r="I56" i="37" s="1"/>
  <c r="Q55" i="37"/>
  <c r="E55" i="28"/>
  <c r="H55" i="28" s="1"/>
  <c r="T54" i="28"/>
  <c r="V54" i="28" s="1"/>
  <c r="Q54" i="28"/>
  <c r="F52" i="38"/>
  <c r="R51" i="38"/>
  <c r="S51" i="38" s="1"/>
  <c r="P51" i="38"/>
  <c r="G52" i="38" s="1"/>
  <c r="J60" i="47"/>
  <c r="M60" i="47" s="1"/>
  <c r="E60" i="47"/>
  <c r="O53" i="36"/>
  <c r="N55" i="41"/>
  <c r="N57" i="39"/>
  <c r="O50" i="43" l="1"/>
  <c r="P50" i="43" s="1"/>
  <c r="G51" i="43" s="1"/>
  <c r="M50" i="43"/>
  <c r="H51" i="43"/>
  <c r="E50" i="44" s="1"/>
  <c r="L52" i="38"/>
  <c r="M52" i="38" s="1"/>
  <c r="R50" i="43"/>
  <c r="S50" i="43" s="1"/>
  <c r="F51" i="43"/>
  <c r="N56" i="42"/>
  <c r="Q56" i="42" s="1"/>
  <c r="E49" i="33"/>
  <c r="B49" i="33"/>
  <c r="M57" i="39"/>
  <c r="M56" i="42"/>
  <c r="O57" i="39"/>
  <c r="R57" i="39" s="1"/>
  <c r="N57" i="40"/>
  <c r="E58" i="40" s="1"/>
  <c r="H58" i="40" s="1"/>
  <c r="C69" i="47"/>
  <c r="L69" i="47" s="1"/>
  <c r="R69" i="47" s="1"/>
  <c r="O68" i="47"/>
  <c r="N52" i="35"/>
  <c r="E53" i="35" s="1"/>
  <c r="H53" i="35" s="1"/>
  <c r="F52" i="35"/>
  <c r="R51" i="35"/>
  <c r="S51" i="35" s="1"/>
  <c r="P51" i="35"/>
  <c r="G52" i="35" s="1"/>
  <c r="I52" i="35"/>
  <c r="N56" i="38"/>
  <c r="D61" i="47"/>
  <c r="P60" i="47"/>
  <c r="Q60" i="47" s="1"/>
  <c r="N60" i="47"/>
  <c r="E58" i="39"/>
  <c r="T57" i="39"/>
  <c r="V57" i="39" s="1"/>
  <c r="Q57" i="39"/>
  <c r="T55" i="41"/>
  <c r="V55" i="41" s="1"/>
  <c r="E56" i="41"/>
  <c r="H56" i="41" s="1"/>
  <c r="Q55" i="41"/>
  <c r="K60" i="47"/>
  <c r="I56" i="36"/>
  <c r="N56" i="36"/>
  <c r="F54" i="36"/>
  <c r="L54" i="36" s="1"/>
  <c r="M54" i="36" s="1"/>
  <c r="R53" i="36"/>
  <c r="S53" i="36" s="1"/>
  <c r="P53" i="36"/>
  <c r="G54" i="36" s="1"/>
  <c r="E57" i="42" l="1"/>
  <c r="H57" i="42" s="1"/>
  <c r="I57" i="42" s="1"/>
  <c r="T56" i="42"/>
  <c r="V56" i="42" s="1"/>
  <c r="N49" i="29"/>
  <c r="T49" i="29" s="1"/>
  <c r="V49" i="29" s="1"/>
  <c r="O56" i="42"/>
  <c r="R56" i="42" s="1"/>
  <c r="S56" i="42" s="1"/>
  <c r="I49" i="29"/>
  <c r="P57" i="39"/>
  <c r="G58" i="39" s="1"/>
  <c r="F58" i="39"/>
  <c r="Q57" i="40"/>
  <c r="T57" i="40"/>
  <c r="V57" i="40" s="1"/>
  <c r="I51" i="43"/>
  <c r="F50" i="44" s="1"/>
  <c r="N51" i="43"/>
  <c r="C70" i="47"/>
  <c r="L70" i="47" s="1"/>
  <c r="R70" i="47" s="1"/>
  <c r="O69" i="47"/>
  <c r="T52" i="35"/>
  <c r="V52" i="35" s="1"/>
  <c r="Q52" i="35"/>
  <c r="L52" i="35"/>
  <c r="E57" i="38"/>
  <c r="H57" i="38" s="1"/>
  <c r="I57" i="38" s="1"/>
  <c r="Q56" i="38"/>
  <c r="T56" i="38"/>
  <c r="V56" i="38" s="1"/>
  <c r="S57" i="39"/>
  <c r="N56" i="37"/>
  <c r="O52" i="38"/>
  <c r="F53" i="38" s="1"/>
  <c r="T56" i="36"/>
  <c r="V56" i="36" s="1"/>
  <c r="E57" i="36"/>
  <c r="H57" i="36" s="1"/>
  <c r="Q56" i="36"/>
  <c r="G60" i="48"/>
  <c r="I55" i="28"/>
  <c r="O54" i="36"/>
  <c r="I58" i="39"/>
  <c r="J61" i="47"/>
  <c r="M61" i="47" s="1"/>
  <c r="E61" i="47"/>
  <c r="I58" i="40"/>
  <c r="N55" i="28"/>
  <c r="L58" i="39" l="1"/>
  <c r="K49" i="33"/>
  <c r="E50" i="29"/>
  <c r="H50" i="29" s="1"/>
  <c r="E50" i="33" s="1"/>
  <c r="Q49" i="29"/>
  <c r="P56" i="42"/>
  <c r="G57" i="42" s="1"/>
  <c r="F57" i="42"/>
  <c r="L57" i="42" s="1"/>
  <c r="M57" i="42" s="1"/>
  <c r="L53" i="38"/>
  <c r="M53" i="38" s="1"/>
  <c r="F49" i="33"/>
  <c r="N57" i="42"/>
  <c r="E58" i="42" s="1"/>
  <c r="H58" i="42" s="1"/>
  <c r="I58" i="42" s="1"/>
  <c r="N57" i="38"/>
  <c r="T51" i="43"/>
  <c r="V51" i="43" s="1"/>
  <c r="E52" i="43"/>
  <c r="Q51" i="43"/>
  <c r="L51" i="43"/>
  <c r="C71" i="47"/>
  <c r="L71" i="47" s="1"/>
  <c r="R71" i="47" s="1"/>
  <c r="O70" i="47"/>
  <c r="Q56" i="37"/>
  <c r="N53" i="35"/>
  <c r="Q53" i="35" s="1"/>
  <c r="O52" i="35"/>
  <c r="P52" i="35" s="1"/>
  <c r="G53" i="35" s="1"/>
  <c r="M52" i="35"/>
  <c r="I53" i="35"/>
  <c r="N56" i="41"/>
  <c r="P52" i="38"/>
  <c r="G53" i="38" s="1"/>
  <c r="T56" i="37"/>
  <c r="V56" i="37" s="1"/>
  <c r="N58" i="40"/>
  <c r="E57" i="37"/>
  <c r="H57" i="37" s="1"/>
  <c r="I57" i="37" s="1"/>
  <c r="R52" i="38"/>
  <c r="S52" i="38" s="1"/>
  <c r="T55" i="28"/>
  <c r="V55" i="28" s="1"/>
  <c r="E56" i="28"/>
  <c r="H56" i="28" s="1"/>
  <c r="Q55" i="28"/>
  <c r="D62" i="47"/>
  <c r="P61" i="47"/>
  <c r="Q61" i="47" s="1"/>
  <c r="N61" i="47"/>
  <c r="N57" i="36"/>
  <c r="F55" i="36"/>
  <c r="L55" i="36" s="1"/>
  <c r="M55" i="36" s="1"/>
  <c r="R54" i="36"/>
  <c r="S54" i="36" s="1"/>
  <c r="P54" i="36"/>
  <c r="G55" i="36" s="1"/>
  <c r="N58" i="39"/>
  <c r="I56" i="41"/>
  <c r="K61" i="47"/>
  <c r="B50" i="33" l="1"/>
  <c r="O51" i="43"/>
  <c r="R51" i="43" s="1"/>
  <c r="S51" i="43" s="1"/>
  <c r="M51" i="43"/>
  <c r="G49" i="33"/>
  <c r="N49" i="33"/>
  <c r="Q49" i="33"/>
  <c r="H52" i="43"/>
  <c r="E51" i="44" s="1"/>
  <c r="T57" i="42"/>
  <c r="V57" i="42" s="1"/>
  <c r="O57" i="42"/>
  <c r="F58" i="42" s="1"/>
  <c r="L58" i="42" s="1"/>
  <c r="Q57" i="42"/>
  <c r="E58" i="38"/>
  <c r="T57" i="38"/>
  <c r="V57" i="38" s="1"/>
  <c r="Q57" i="38"/>
  <c r="I50" i="29"/>
  <c r="N50" i="29"/>
  <c r="K50" i="33" s="1"/>
  <c r="F52" i="43"/>
  <c r="C72" i="47"/>
  <c r="L72" i="47" s="1"/>
  <c r="R72" i="47" s="1"/>
  <c r="O71" i="47"/>
  <c r="Q56" i="41"/>
  <c r="E54" i="35"/>
  <c r="H54" i="35" s="1"/>
  <c r="T53" i="35"/>
  <c r="V53" i="35" s="1"/>
  <c r="F53" i="35"/>
  <c r="L53" i="35" s="1"/>
  <c r="R52" i="35"/>
  <c r="S52" i="35" s="1"/>
  <c r="E57" i="41"/>
  <c r="H57" i="41" s="1"/>
  <c r="T56" i="41"/>
  <c r="V56" i="41" s="1"/>
  <c r="O58" i="39"/>
  <c r="M58" i="39"/>
  <c r="T58" i="40"/>
  <c r="V58" i="40" s="1"/>
  <c r="Q58" i="40"/>
  <c r="E59" i="40"/>
  <c r="E62" i="47"/>
  <c r="I57" i="36"/>
  <c r="T57" i="36"/>
  <c r="V57" i="36" s="1"/>
  <c r="E58" i="36"/>
  <c r="H58" i="36" s="1"/>
  <c r="Q57" i="36"/>
  <c r="J62" i="47"/>
  <c r="M62" i="47" s="1"/>
  <c r="T58" i="39"/>
  <c r="V58" i="39" s="1"/>
  <c r="E59" i="39"/>
  <c r="Q58" i="39"/>
  <c r="O53" i="38"/>
  <c r="P51" i="43" l="1"/>
  <c r="G52" i="43" s="1"/>
  <c r="R57" i="42"/>
  <c r="S57" i="42" s="1"/>
  <c r="H58" i="38"/>
  <c r="I58" i="38" s="1"/>
  <c r="P57" i="42"/>
  <c r="G58" i="42" s="1"/>
  <c r="Q50" i="33"/>
  <c r="N50" i="33"/>
  <c r="F50" i="33"/>
  <c r="N57" i="37"/>
  <c r="Q57" i="37" s="1"/>
  <c r="E51" i="29"/>
  <c r="H51" i="29" s="1"/>
  <c r="Q50" i="29"/>
  <c r="T50" i="29"/>
  <c r="V50" i="29" s="1"/>
  <c r="I52" i="43"/>
  <c r="F51" i="44" s="1"/>
  <c r="N52" i="43"/>
  <c r="H59" i="40"/>
  <c r="I59" i="40" s="1"/>
  <c r="C73" i="47"/>
  <c r="O72" i="47"/>
  <c r="F59" i="39"/>
  <c r="M53" i="35"/>
  <c r="O53" i="35"/>
  <c r="N54" i="35"/>
  <c r="I54" i="35"/>
  <c r="N57" i="41"/>
  <c r="R58" i="39"/>
  <c r="S58" i="39" s="1"/>
  <c r="P58" i="39"/>
  <c r="G59" i="39" s="1"/>
  <c r="N56" i="28"/>
  <c r="M58" i="42"/>
  <c r="N58" i="42"/>
  <c r="I56" i="28"/>
  <c r="K62" i="47"/>
  <c r="F54" i="38"/>
  <c r="R53" i="38"/>
  <c r="S53" i="38" s="1"/>
  <c r="P53" i="38"/>
  <c r="G54" i="38" s="1"/>
  <c r="O55" i="36"/>
  <c r="I59" i="39"/>
  <c r="L59" i="39" s="1"/>
  <c r="N58" i="36"/>
  <c r="D63" i="47"/>
  <c r="P62" i="47"/>
  <c r="Q62" i="47" s="1"/>
  <c r="N62" i="47"/>
  <c r="G61" i="48"/>
  <c r="I57" i="41"/>
  <c r="G50" i="33" l="1"/>
  <c r="N58" i="38"/>
  <c r="T58" i="38" s="1"/>
  <c r="V58" i="38" s="1"/>
  <c r="E58" i="37"/>
  <c r="H58" i="37" s="1"/>
  <c r="I58" i="37" s="1"/>
  <c r="L54" i="38"/>
  <c r="M54" i="38" s="1"/>
  <c r="T57" i="37"/>
  <c r="V57" i="37" s="1"/>
  <c r="E51" i="33"/>
  <c r="G51" i="33" s="1"/>
  <c r="B51" i="33"/>
  <c r="L52" i="43"/>
  <c r="I51" i="29"/>
  <c r="N59" i="40"/>
  <c r="E60" i="40" s="1"/>
  <c r="H60" i="40" s="1"/>
  <c r="E53" i="43"/>
  <c r="T52" i="43"/>
  <c r="V52" i="43" s="1"/>
  <c r="Q52" i="43"/>
  <c r="N51" i="29"/>
  <c r="L73" i="47"/>
  <c r="R73" i="47" s="1"/>
  <c r="T58" i="42"/>
  <c r="V58" i="42" s="1"/>
  <c r="T57" i="41"/>
  <c r="V57" i="41" s="1"/>
  <c r="T56" i="28"/>
  <c r="V56" i="28" s="1"/>
  <c r="T54" i="35"/>
  <c r="V54" i="35" s="1"/>
  <c r="E55" i="35"/>
  <c r="H55" i="35" s="1"/>
  <c r="Q54" i="35"/>
  <c r="R53" i="35"/>
  <c r="S53" i="35" s="1"/>
  <c r="F54" i="35"/>
  <c r="P53" i="35"/>
  <c r="G54" i="35" s="1"/>
  <c r="E58" i="41"/>
  <c r="H58" i="41" s="1"/>
  <c r="Q56" i="28"/>
  <c r="E57" i="28"/>
  <c r="H57" i="28" s="1"/>
  <c r="Q57" i="41"/>
  <c r="O58" i="42"/>
  <c r="M59" i="39"/>
  <c r="Q58" i="42"/>
  <c r="E59" i="42"/>
  <c r="H59" i="42" s="1"/>
  <c r="I59" i="42" s="1"/>
  <c r="N59" i="39"/>
  <c r="I58" i="36"/>
  <c r="F56" i="36"/>
  <c r="L56" i="36" s="1"/>
  <c r="M56" i="36" s="1"/>
  <c r="R55" i="36"/>
  <c r="S55" i="36" s="1"/>
  <c r="P55" i="36"/>
  <c r="G56" i="36" s="1"/>
  <c r="E59" i="36"/>
  <c r="H59" i="36" s="1"/>
  <c r="T58" i="36"/>
  <c r="V58" i="36" s="1"/>
  <c r="Q58" i="36"/>
  <c r="J63" i="47"/>
  <c r="Q58" i="38"/>
  <c r="E63" i="47"/>
  <c r="O52" i="43" l="1"/>
  <c r="P52" i="43" s="1"/>
  <c r="G53" i="43" s="1"/>
  <c r="M52" i="43"/>
  <c r="E59" i="38"/>
  <c r="H59" i="38" s="1"/>
  <c r="I59" i="38" s="1"/>
  <c r="H53" i="43"/>
  <c r="E52" i="44" s="1"/>
  <c r="R52" i="43"/>
  <c r="S52" i="43" s="1"/>
  <c r="K51" i="33"/>
  <c r="F53" i="43"/>
  <c r="F51" i="33"/>
  <c r="Q59" i="40"/>
  <c r="T59" i="40"/>
  <c r="V59" i="40" s="1"/>
  <c r="O59" i="39"/>
  <c r="F60" i="39" s="1"/>
  <c r="Q51" i="29"/>
  <c r="T51" i="29"/>
  <c r="V51" i="29" s="1"/>
  <c r="E52" i="29"/>
  <c r="H52" i="29" s="1"/>
  <c r="C74" i="47"/>
  <c r="L74" i="47" s="1"/>
  <c r="R74" i="47" s="1"/>
  <c r="O73" i="47"/>
  <c r="F59" i="42"/>
  <c r="L59" i="42" s="1"/>
  <c r="T59" i="39"/>
  <c r="V59" i="39" s="1"/>
  <c r="L54" i="35"/>
  <c r="P58" i="42"/>
  <c r="G59" i="42" s="1"/>
  <c r="R58" i="42"/>
  <c r="S58" i="42" s="1"/>
  <c r="N58" i="41"/>
  <c r="E60" i="39"/>
  <c r="Q59" i="39"/>
  <c r="N58" i="37"/>
  <c r="N59" i="36"/>
  <c r="I60" i="40"/>
  <c r="O56" i="36"/>
  <c r="O54" i="38"/>
  <c r="G62" i="48"/>
  <c r="K63" i="47"/>
  <c r="M63" i="47"/>
  <c r="I58" i="41"/>
  <c r="P59" i="39" l="1"/>
  <c r="G60" i="39" s="1"/>
  <c r="N53" i="43"/>
  <c r="E54" i="43" s="1"/>
  <c r="N59" i="42"/>
  <c r="T59" i="42" s="1"/>
  <c r="V59" i="42" s="1"/>
  <c r="R59" i="39"/>
  <c r="S59" i="39" s="1"/>
  <c r="I57" i="28"/>
  <c r="E52" i="33"/>
  <c r="B52" i="33"/>
  <c r="Q51" i="33"/>
  <c r="N51" i="33"/>
  <c r="N57" i="28"/>
  <c r="I60" i="39"/>
  <c r="L60" i="39" s="1"/>
  <c r="M59" i="42"/>
  <c r="T53" i="43"/>
  <c r="V53" i="43" s="1"/>
  <c r="Q53" i="43"/>
  <c r="I53" i="43"/>
  <c r="F52" i="44" s="1"/>
  <c r="C75" i="47"/>
  <c r="O74" i="47"/>
  <c r="Q58" i="41"/>
  <c r="O54" i="35"/>
  <c r="R54" i="35" s="1"/>
  <c r="S54" i="35" s="1"/>
  <c r="N55" i="35"/>
  <c r="I55" i="35"/>
  <c r="M54" i="35"/>
  <c r="T58" i="41"/>
  <c r="V58" i="41" s="1"/>
  <c r="E59" i="41"/>
  <c r="H59" i="41" s="1"/>
  <c r="N59" i="38"/>
  <c r="T58" i="37"/>
  <c r="V58" i="37" s="1"/>
  <c r="E59" i="37"/>
  <c r="H59" i="37" s="1"/>
  <c r="I59" i="37" s="1"/>
  <c r="Q58" i="37"/>
  <c r="D64" i="47"/>
  <c r="P63" i="47"/>
  <c r="Q63" i="47" s="1"/>
  <c r="N63" i="47"/>
  <c r="N60" i="39"/>
  <c r="I59" i="36"/>
  <c r="F55" i="38"/>
  <c r="R54" i="38"/>
  <c r="S54" i="38" s="1"/>
  <c r="P54" i="38"/>
  <c r="G55" i="38" s="1"/>
  <c r="E60" i="36"/>
  <c r="H60" i="36" s="1"/>
  <c r="T59" i="36"/>
  <c r="V59" i="36" s="1"/>
  <c r="Q59" i="36"/>
  <c r="F57" i="36"/>
  <c r="L57" i="36" s="1"/>
  <c r="M57" i="36" s="1"/>
  <c r="R56" i="36"/>
  <c r="S56" i="36" s="1"/>
  <c r="P56" i="36"/>
  <c r="G57" i="36" s="1"/>
  <c r="N60" i="40"/>
  <c r="E60" i="42" l="1"/>
  <c r="H60" i="42" s="1"/>
  <c r="I60" i="42" s="1"/>
  <c r="Q59" i="42"/>
  <c r="H54" i="43"/>
  <c r="E53" i="44" s="1"/>
  <c r="L55" i="38"/>
  <c r="M55" i="38" s="1"/>
  <c r="Q57" i="28"/>
  <c r="E58" i="28"/>
  <c r="H58" i="28" s="1"/>
  <c r="T57" i="28"/>
  <c r="V57" i="28" s="1"/>
  <c r="O59" i="42"/>
  <c r="F60" i="42" s="1"/>
  <c r="L53" i="43"/>
  <c r="M60" i="39"/>
  <c r="I59" i="41"/>
  <c r="O60" i="39"/>
  <c r="P60" i="39" s="1"/>
  <c r="G61" i="39" s="1"/>
  <c r="I52" i="29"/>
  <c r="N52" i="29"/>
  <c r="K52" i="33" s="1"/>
  <c r="L75" i="47"/>
  <c r="R75" i="47" s="1"/>
  <c r="Q59" i="38"/>
  <c r="P54" i="35"/>
  <c r="G55" i="35" s="1"/>
  <c r="F55" i="35"/>
  <c r="L55" i="35" s="1"/>
  <c r="E56" i="35"/>
  <c r="H56" i="35" s="1"/>
  <c r="T55" i="35"/>
  <c r="V55" i="35" s="1"/>
  <c r="Q55" i="35"/>
  <c r="E60" i="38"/>
  <c r="H60" i="38" s="1"/>
  <c r="I60" i="38" s="1"/>
  <c r="T59" i="38"/>
  <c r="V59" i="38" s="1"/>
  <c r="N59" i="37"/>
  <c r="E64" i="47"/>
  <c r="J64" i="47"/>
  <c r="N60" i="36"/>
  <c r="T60" i="40"/>
  <c r="V60" i="40" s="1"/>
  <c r="E61" i="40"/>
  <c r="H61" i="40" s="1"/>
  <c r="Q60" i="40"/>
  <c r="E61" i="39"/>
  <c r="T60" i="39"/>
  <c r="V60" i="39" s="1"/>
  <c r="Q60" i="39"/>
  <c r="O53" i="43" l="1"/>
  <c r="P53" i="43" s="1"/>
  <c r="G54" i="43" s="1"/>
  <c r="M53" i="43"/>
  <c r="L60" i="42"/>
  <c r="F54" i="43"/>
  <c r="R53" i="43"/>
  <c r="S53" i="43" s="1"/>
  <c r="R59" i="42"/>
  <c r="S59" i="42" s="1"/>
  <c r="I58" i="28"/>
  <c r="Q52" i="33"/>
  <c r="N52" i="33"/>
  <c r="P59" i="42"/>
  <c r="G60" i="42" s="1"/>
  <c r="N60" i="42"/>
  <c r="T60" i="42" s="1"/>
  <c r="V60" i="42" s="1"/>
  <c r="F52" i="33"/>
  <c r="N59" i="41"/>
  <c r="E60" i="41" s="1"/>
  <c r="H60" i="41" s="1"/>
  <c r="F61" i="39"/>
  <c r="O60" i="42"/>
  <c r="N60" i="38"/>
  <c r="R60" i="39"/>
  <c r="S60" i="39" s="1"/>
  <c r="N54" i="43"/>
  <c r="I54" i="43"/>
  <c r="F53" i="44" s="1"/>
  <c r="Q52" i="29"/>
  <c r="T52" i="29"/>
  <c r="V52" i="29" s="1"/>
  <c r="E53" i="29"/>
  <c r="H53" i="29" s="1"/>
  <c r="C76" i="47"/>
  <c r="O75" i="47"/>
  <c r="O55" i="35"/>
  <c r="M55" i="35"/>
  <c r="N58" i="28"/>
  <c r="G63" i="48"/>
  <c r="O55" i="38"/>
  <c r="I61" i="40"/>
  <c r="T59" i="37"/>
  <c r="V59" i="37" s="1"/>
  <c r="E60" i="37"/>
  <c r="H60" i="37" s="1"/>
  <c r="I60" i="37" s="1"/>
  <c r="Q59" i="37"/>
  <c r="I61" i="39"/>
  <c r="K64" i="47"/>
  <c r="O57" i="36"/>
  <c r="M64" i="47"/>
  <c r="T60" i="36"/>
  <c r="V60" i="36" s="1"/>
  <c r="E61" i="36"/>
  <c r="H61" i="36" s="1"/>
  <c r="Q60" i="36"/>
  <c r="I60" i="36"/>
  <c r="G52" i="33" l="1"/>
  <c r="L61" i="39"/>
  <c r="M60" i="42"/>
  <c r="Q59" i="41"/>
  <c r="E61" i="42"/>
  <c r="Q60" i="42"/>
  <c r="E53" i="33"/>
  <c r="G53" i="33" s="1"/>
  <c r="B53" i="33"/>
  <c r="T59" i="41"/>
  <c r="V59" i="41" s="1"/>
  <c r="L54" i="43"/>
  <c r="E61" i="38"/>
  <c r="T60" i="38"/>
  <c r="V60" i="38" s="1"/>
  <c r="Q60" i="38"/>
  <c r="T54" i="43"/>
  <c r="V54" i="43" s="1"/>
  <c r="E55" i="43"/>
  <c r="Q54" i="43"/>
  <c r="L76" i="47"/>
  <c r="R76" i="47" s="1"/>
  <c r="F61" i="42"/>
  <c r="R55" i="38"/>
  <c r="S55" i="38" s="1"/>
  <c r="F56" i="35"/>
  <c r="E59" i="28"/>
  <c r="H59" i="28" s="1"/>
  <c r="R55" i="35"/>
  <c r="S55" i="35" s="1"/>
  <c r="P55" i="35"/>
  <c r="G56" i="35" s="1"/>
  <c r="N56" i="35"/>
  <c r="I56" i="35"/>
  <c r="P60" i="42"/>
  <c r="G61" i="42" s="1"/>
  <c r="R60" i="42"/>
  <c r="T58" i="28"/>
  <c r="V58" i="28" s="1"/>
  <c r="Q58" i="28"/>
  <c r="P55" i="38"/>
  <c r="G56" i="38" s="1"/>
  <c r="F56" i="38"/>
  <c r="N61" i="39"/>
  <c r="N61" i="40"/>
  <c r="F58" i="36"/>
  <c r="L58" i="36" s="1"/>
  <c r="M58" i="36" s="1"/>
  <c r="R57" i="36"/>
  <c r="S57" i="36" s="1"/>
  <c r="P57" i="36"/>
  <c r="G58" i="36" s="1"/>
  <c r="N60" i="37"/>
  <c r="D65" i="47"/>
  <c r="P64" i="47"/>
  <c r="Q64" i="47" s="1"/>
  <c r="N64" i="47"/>
  <c r="O54" i="43" l="1"/>
  <c r="R54" i="43" s="1"/>
  <c r="M54" i="43"/>
  <c r="H55" i="43"/>
  <c r="E54" i="44" s="1"/>
  <c r="H61" i="42"/>
  <c r="L56" i="38"/>
  <c r="M56" i="38" s="1"/>
  <c r="H61" i="38"/>
  <c r="I61" i="38" s="1"/>
  <c r="S60" i="42"/>
  <c r="P54" i="43"/>
  <c r="G55" i="43" s="1"/>
  <c r="F55" i="43"/>
  <c r="I59" i="28"/>
  <c r="S54" i="43"/>
  <c r="I53" i="29"/>
  <c r="N53" i="29"/>
  <c r="K53" i="33" s="1"/>
  <c r="C77" i="47"/>
  <c r="O76" i="47"/>
  <c r="T61" i="40"/>
  <c r="V61" i="40" s="1"/>
  <c r="E62" i="39"/>
  <c r="L56" i="35"/>
  <c r="T56" i="35"/>
  <c r="V56" i="35" s="1"/>
  <c r="E57" i="35"/>
  <c r="H57" i="35" s="1"/>
  <c r="Q56" i="35"/>
  <c r="I60" i="41"/>
  <c r="N60" i="41"/>
  <c r="N59" i="28"/>
  <c r="O61" i="39"/>
  <c r="M61" i="39"/>
  <c r="E62" i="40"/>
  <c r="Q61" i="39"/>
  <c r="T61" i="39"/>
  <c r="V61" i="39" s="1"/>
  <c r="Q61" i="40"/>
  <c r="T60" i="37"/>
  <c r="V60" i="37" s="1"/>
  <c r="E61" i="37"/>
  <c r="H61" i="37" s="1"/>
  <c r="I61" i="37" s="1"/>
  <c r="Q60" i="37"/>
  <c r="I61" i="36"/>
  <c r="O58" i="36"/>
  <c r="N61" i="36"/>
  <c r="J65" i="47"/>
  <c r="E65" i="47"/>
  <c r="N61" i="38" l="1"/>
  <c r="O56" i="38"/>
  <c r="F57" i="38" s="1"/>
  <c r="I61" i="42"/>
  <c r="L61" i="42" s="1"/>
  <c r="N61" i="42"/>
  <c r="Q61" i="42" s="1"/>
  <c r="Q53" i="33"/>
  <c r="N53" i="33"/>
  <c r="F53" i="33"/>
  <c r="I62" i="39"/>
  <c r="I55" i="43"/>
  <c r="F54" i="44" s="1"/>
  <c r="N55" i="43"/>
  <c r="E54" i="29"/>
  <c r="H54" i="29" s="1"/>
  <c r="Q53" i="29"/>
  <c r="T53" i="29"/>
  <c r="V53" i="29" s="1"/>
  <c r="H62" i="40"/>
  <c r="I62" i="40" s="1"/>
  <c r="L77" i="47"/>
  <c r="R77" i="47" s="1"/>
  <c r="E61" i="41"/>
  <c r="H61" i="41" s="1"/>
  <c r="F62" i="39"/>
  <c r="T59" i="28"/>
  <c r="V59" i="28" s="1"/>
  <c r="M56" i="35"/>
  <c r="O56" i="35"/>
  <c r="Q60" i="41"/>
  <c r="T60" i="41"/>
  <c r="V60" i="41" s="1"/>
  <c r="P61" i="39"/>
  <c r="G62" i="39" s="1"/>
  <c r="Q59" i="28"/>
  <c r="R61" i="39"/>
  <c r="S61" i="39" s="1"/>
  <c r="E60" i="28"/>
  <c r="H60" i="28" s="1"/>
  <c r="G64" i="48"/>
  <c r="N62" i="39"/>
  <c r="E62" i="38"/>
  <c r="H62" i="38" s="1"/>
  <c r="I62" i="38" s="1"/>
  <c r="T61" i="38"/>
  <c r="V61" i="38" s="1"/>
  <c r="Q61" i="38"/>
  <c r="K65" i="47"/>
  <c r="T61" i="36"/>
  <c r="V61" i="36" s="1"/>
  <c r="E62" i="36"/>
  <c r="H62" i="36" s="1"/>
  <c r="Q61" i="36"/>
  <c r="P56" i="38"/>
  <c r="G57" i="38" s="1"/>
  <c r="M65" i="47"/>
  <c r="N61" i="37"/>
  <c r="F59" i="36"/>
  <c r="L59" i="36" s="1"/>
  <c r="M59" i="36" s="1"/>
  <c r="R58" i="36"/>
  <c r="S58" i="36" s="1"/>
  <c r="P58" i="36"/>
  <c r="G59" i="36" s="1"/>
  <c r="L62" i="39" l="1"/>
  <c r="R56" i="38"/>
  <c r="S56" i="38" s="1"/>
  <c r="E62" i="42"/>
  <c r="H62" i="42" s="1"/>
  <c r="I62" i="42" s="1"/>
  <c r="T61" i="42"/>
  <c r="V61" i="42" s="1"/>
  <c r="M61" i="42"/>
  <c r="O61" i="42"/>
  <c r="R61" i="42" s="1"/>
  <c r="S61" i="42" s="1"/>
  <c r="L57" i="38"/>
  <c r="M57" i="38" s="1"/>
  <c r="E54" i="33"/>
  <c r="G54" i="33" s="1"/>
  <c r="B54" i="33"/>
  <c r="L55" i="43"/>
  <c r="O55" i="43" s="1"/>
  <c r="P55" i="43" s="1"/>
  <c r="G56" i="43" s="1"/>
  <c r="O62" i="39"/>
  <c r="E56" i="43"/>
  <c r="T55" i="43"/>
  <c r="V55" i="43" s="1"/>
  <c r="Q55" i="43"/>
  <c r="N62" i="40"/>
  <c r="E63" i="40" s="1"/>
  <c r="C78" i="47"/>
  <c r="O77" i="47"/>
  <c r="E63" i="39"/>
  <c r="F57" i="35"/>
  <c r="R56" i="35"/>
  <c r="S56" i="35" s="1"/>
  <c r="P56" i="35"/>
  <c r="G57" i="35" s="1"/>
  <c r="N57" i="35"/>
  <c r="I57" i="35"/>
  <c r="M62" i="39"/>
  <c r="Q62" i="39"/>
  <c r="T62" i="39"/>
  <c r="V62" i="39" s="1"/>
  <c r="E62" i="37"/>
  <c r="H62" i="37" s="1"/>
  <c r="I62" i="37" s="1"/>
  <c r="T61" i="37"/>
  <c r="V61" i="37" s="1"/>
  <c r="Q61" i="37"/>
  <c r="I61" i="41"/>
  <c r="N61" i="41"/>
  <c r="D66" i="47"/>
  <c r="P65" i="47"/>
  <c r="Q65" i="47" s="1"/>
  <c r="N65" i="47"/>
  <c r="I60" i="28"/>
  <c r="O59" i="36"/>
  <c r="N60" i="28"/>
  <c r="N62" i="36"/>
  <c r="N62" i="42" l="1"/>
  <c r="Q62" i="42"/>
  <c r="H56" i="43"/>
  <c r="E55" i="44" s="1"/>
  <c r="P61" i="42"/>
  <c r="G62" i="42" s="1"/>
  <c r="F62" i="42"/>
  <c r="R55" i="43"/>
  <c r="S55" i="43" s="1"/>
  <c r="F56" i="43"/>
  <c r="N54" i="29"/>
  <c r="K54" i="33" s="1"/>
  <c r="I63" i="39"/>
  <c r="T62" i="40"/>
  <c r="V62" i="40" s="1"/>
  <c r="Q62" i="40"/>
  <c r="I54" i="29"/>
  <c r="H63" i="40"/>
  <c r="I63" i="40" s="1"/>
  <c r="L78" i="47"/>
  <c r="F63" i="39"/>
  <c r="E58" i="35"/>
  <c r="H58" i="35" s="1"/>
  <c r="T57" i="35"/>
  <c r="V57" i="35" s="1"/>
  <c r="Q57" i="35"/>
  <c r="L57" i="35"/>
  <c r="P62" i="39"/>
  <c r="G63" i="39" s="1"/>
  <c r="R62" i="39"/>
  <c r="S62" i="39" s="1"/>
  <c r="N63" i="39"/>
  <c r="N62" i="38"/>
  <c r="F60" i="36"/>
  <c r="L60" i="36" s="1"/>
  <c r="M60" i="36" s="1"/>
  <c r="R59" i="36"/>
  <c r="S59" i="36" s="1"/>
  <c r="P59" i="36"/>
  <c r="G60" i="36" s="1"/>
  <c r="T61" i="41"/>
  <c r="V61" i="41" s="1"/>
  <c r="E62" i="41"/>
  <c r="H62" i="41" s="1"/>
  <c r="Q61" i="41"/>
  <c r="G65" i="48"/>
  <c r="E63" i="36"/>
  <c r="H63" i="36" s="1"/>
  <c r="T62" i="36"/>
  <c r="V62" i="36" s="1"/>
  <c r="Q62" i="36"/>
  <c r="E66" i="47"/>
  <c r="I62" i="36"/>
  <c r="T60" i="28"/>
  <c r="V60" i="28" s="1"/>
  <c r="E61" i="28"/>
  <c r="H61" i="28" s="1"/>
  <c r="Q60" i="28"/>
  <c r="O57" i="38"/>
  <c r="J66" i="47"/>
  <c r="R78" i="47" l="1"/>
  <c r="L63" i="39"/>
  <c r="E63" i="42"/>
  <c r="H63" i="42" s="1"/>
  <c r="I63" i="42" s="1"/>
  <c r="T62" i="42"/>
  <c r="V62" i="42" s="1"/>
  <c r="L62" i="42"/>
  <c r="M62" i="42" s="1"/>
  <c r="Q54" i="29"/>
  <c r="T54" i="29"/>
  <c r="V54" i="29" s="1"/>
  <c r="E55" i="29"/>
  <c r="F54" i="33"/>
  <c r="Q54" i="33"/>
  <c r="N54" i="33"/>
  <c r="O63" i="39"/>
  <c r="N56" i="43"/>
  <c r="I56" i="43"/>
  <c r="F55" i="44" s="1"/>
  <c r="N63" i="40"/>
  <c r="E64" i="40" s="1"/>
  <c r="H64" i="40" s="1"/>
  <c r="C79" i="47"/>
  <c r="L79" i="47" s="1"/>
  <c r="R79" i="47" s="1"/>
  <c r="O78" i="47"/>
  <c r="T63" i="39"/>
  <c r="V63" i="39" s="1"/>
  <c r="T62" i="38"/>
  <c r="V62" i="38" s="1"/>
  <c r="O57" i="35"/>
  <c r="F58" i="35" s="1"/>
  <c r="M57" i="35"/>
  <c r="M63" i="39"/>
  <c r="Q62" i="38"/>
  <c r="Q63" i="39"/>
  <c r="E64" i="39"/>
  <c r="E63" i="38"/>
  <c r="H63" i="38" s="1"/>
  <c r="I63" i="38" s="1"/>
  <c r="N62" i="37"/>
  <c r="F58" i="38"/>
  <c r="R57" i="38"/>
  <c r="S57" i="38" s="1"/>
  <c r="P57" i="38"/>
  <c r="G58" i="38" s="1"/>
  <c r="K66" i="47"/>
  <c r="M66" i="47"/>
  <c r="N63" i="42" l="1"/>
  <c r="E64" i="42" s="1"/>
  <c r="H64" i="42" s="1"/>
  <c r="I64" i="42" s="1"/>
  <c r="Q63" i="42"/>
  <c r="T63" i="42"/>
  <c r="V63" i="42" s="1"/>
  <c r="O62" i="42"/>
  <c r="F63" i="42" s="1"/>
  <c r="L58" i="38"/>
  <c r="M58" i="38" s="1"/>
  <c r="H55" i="29"/>
  <c r="E55" i="33" s="1"/>
  <c r="B55" i="33"/>
  <c r="L56" i="43"/>
  <c r="I64" i="39"/>
  <c r="N63" i="38"/>
  <c r="T56" i="43"/>
  <c r="V56" i="43" s="1"/>
  <c r="E57" i="43"/>
  <c r="Q56" i="43"/>
  <c r="Q63" i="40"/>
  <c r="T63" i="40"/>
  <c r="V63" i="40" s="1"/>
  <c r="D67" i="47"/>
  <c r="J67" i="47" s="1"/>
  <c r="C80" i="47"/>
  <c r="O79" i="47"/>
  <c r="F64" i="39"/>
  <c r="E63" i="37"/>
  <c r="H63" i="37" s="1"/>
  <c r="I63" i="37" s="1"/>
  <c r="R57" i="35"/>
  <c r="S57" i="35" s="1"/>
  <c r="P57" i="35"/>
  <c r="G58" i="35" s="1"/>
  <c r="N58" i="35"/>
  <c r="I58" i="35"/>
  <c r="P63" i="39"/>
  <c r="G64" i="39" s="1"/>
  <c r="R63" i="39"/>
  <c r="S63" i="39" s="1"/>
  <c r="N62" i="41"/>
  <c r="N61" i="28"/>
  <c r="Q62" i="37"/>
  <c r="T62" i="37"/>
  <c r="V62" i="37" s="1"/>
  <c r="I61" i="28"/>
  <c r="I63" i="36"/>
  <c r="O60" i="36"/>
  <c r="I64" i="40"/>
  <c r="P66" i="47"/>
  <c r="Q66" i="47" s="1"/>
  <c r="N66" i="47"/>
  <c r="N64" i="39"/>
  <c r="N63" i="36"/>
  <c r="I62" i="41"/>
  <c r="O56" i="43" l="1"/>
  <c r="F57" i="43" s="1"/>
  <c r="M56" i="43"/>
  <c r="L64" i="39"/>
  <c r="O64" i="39" s="1"/>
  <c r="P62" i="42"/>
  <c r="G63" i="42" s="1"/>
  <c r="R62" i="42"/>
  <c r="S62" i="42" s="1"/>
  <c r="N55" i="29"/>
  <c r="E56" i="29" s="1"/>
  <c r="H56" i="29" s="1"/>
  <c r="E56" i="33" s="1"/>
  <c r="G56" i="33" s="1"/>
  <c r="I55" i="29"/>
  <c r="F55" i="33" s="1"/>
  <c r="H57" i="43"/>
  <c r="E56" i="44" s="1"/>
  <c r="L63" i="42"/>
  <c r="O63" i="42" s="1"/>
  <c r="P63" i="42" s="1"/>
  <c r="G64" i="42" s="1"/>
  <c r="P56" i="43"/>
  <c r="G57" i="43" s="1"/>
  <c r="R56" i="43"/>
  <c r="S56" i="43" s="1"/>
  <c r="T63" i="38"/>
  <c r="V63" i="38" s="1"/>
  <c r="E64" i="38"/>
  <c r="Q63" i="38"/>
  <c r="M67" i="47"/>
  <c r="D68" i="47" s="1"/>
  <c r="K67" i="47"/>
  <c r="L80" i="47"/>
  <c r="R80" i="47" s="1"/>
  <c r="E67" i="47"/>
  <c r="T62" i="41"/>
  <c r="V62" i="41" s="1"/>
  <c r="T61" i="28"/>
  <c r="V61" i="28" s="1"/>
  <c r="L58" i="35"/>
  <c r="E59" i="35"/>
  <c r="H59" i="35" s="1"/>
  <c r="T58" i="35"/>
  <c r="V58" i="35" s="1"/>
  <c r="Q58" i="35"/>
  <c r="Q62" i="41"/>
  <c r="E63" i="41"/>
  <c r="H63" i="41" s="1"/>
  <c r="Q61" i="28"/>
  <c r="E62" i="28"/>
  <c r="H62" i="28" s="1"/>
  <c r="M64" i="39"/>
  <c r="G66" i="48"/>
  <c r="O58" i="38"/>
  <c r="F61" i="36"/>
  <c r="L61" i="36" s="1"/>
  <c r="M61" i="36" s="1"/>
  <c r="R60" i="36"/>
  <c r="S60" i="36" s="1"/>
  <c r="P60" i="36"/>
  <c r="G61" i="36" s="1"/>
  <c r="N64" i="40"/>
  <c r="E65" i="39"/>
  <c r="T64" i="39"/>
  <c r="V64" i="39" s="1"/>
  <c r="Q64" i="39"/>
  <c r="E64" i="36"/>
  <c r="H64" i="36" s="1"/>
  <c r="T63" i="36"/>
  <c r="V63" i="36" s="1"/>
  <c r="Q63" i="36"/>
  <c r="N64" i="42"/>
  <c r="R63" i="42" l="1"/>
  <c r="S63" i="42" s="1"/>
  <c r="G55" i="33"/>
  <c r="N57" i="43"/>
  <c r="Q57" i="43" s="1"/>
  <c r="B56" i="33"/>
  <c r="K55" i="33"/>
  <c r="Q55" i="29"/>
  <c r="T55" i="29"/>
  <c r="V55" i="29" s="1"/>
  <c r="F64" i="42"/>
  <c r="L64" i="42" s="1"/>
  <c r="M64" i="42" s="1"/>
  <c r="M63" i="42"/>
  <c r="H64" i="38"/>
  <c r="I64" i="38" s="1"/>
  <c r="N63" i="37"/>
  <c r="T63" i="37" s="1"/>
  <c r="V63" i="37" s="1"/>
  <c r="N56" i="29"/>
  <c r="I57" i="43"/>
  <c r="F56" i="44" s="1"/>
  <c r="I56" i="29"/>
  <c r="N67" i="47"/>
  <c r="E68" i="47" s="1"/>
  <c r="P67" i="47"/>
  <c r="Q67" i="47" s="1"/>
  <c r="J68" i="47"/>
  <c r="K68" i="47" s="1"/>
  <c r="C81" i="47"/>
  <c r="O80" i="47"/>
  <c r="P64" i="39"/>
  <c r="G65" i="39" s="1"/>
  <c r="M58" i="35"/>
  <c r="O58" i="35"/>
  <c r="R64" i="39"/>
  <c r="S64" i="39" s="1"/>
  <c r="F65" i="39"/>
  <c r="N63" i="41"/>
  <c r="I65" i="39"/>
  <c r="F59" i="38"/>
  <c r="R58" i="38"/>
  <c r="S58" i="38" s="1"/>
  <c r="P58" i="38"/>
  <c r="G59" i="38" s="1"/>
  <c r="T64" i="40"/>
  <c r="V64" i="40" s="1"/>
  <c r="E65" i="40"/>
  <c r="H65" i="40" s="1"/>
  <c r="Q64" i="40"/>
  <c r="O61" i="36"/>
  <c r="I62" i="28"/>
  <c r="T64" i="42"/>
  <c r="V64" i="42" s="1"/>
  <c r="E65" i="42"/>
  <c r="H65" i="42" s="1"/>
  <c r="I65" i="42" s="1"/>
  <c r="Q64" i="42"/>
  <c r="N62" i="28"/>
  <c r="I63" i="41"/>
  <c r="T57" i="43" l="1"/>
  <c r="V57" i="43" s="1"/>
  <c r="E58" i="43"/>
  <c r="O64" i="42"/>
  <c r="L65" i="39"/>
  <c r="Q55" i="33"/>
  <c r="N55" i="33"/>
  <c r="Q63" i="37"/>
  <c r="E64" i="37"/>
  <c r="H64" i="37" s="1"/>
  <c r="I64" i="37" s="1"/>
  <c r="N64" i="38"/>
  <c r="Q64" i="38" s="1"/>
  <c r="H58" i="43"/>
  <c r="E57" i="44" s="1"/>
  <c r="L59" i="38"/>
  <c r="M59" i="38" s="1"/>
  <c r="F56" i="33"/>
  <c r="Q56" i="29"/>
  <c r="K56" i="33"/>
  <c r="L57" i="43"/>
  <c r="E57" i="29"/>
  <c r="H57" i="29" s="1"/>
  <c r="T56" i="29"/>
  <c r="V56" i="29" s="1"/>
  <c r="M68" i="47"/>
  <c r="D69" i="47" s="1"/>
  <c r="L81" i="47"/>
  <c r="R81" i="47" s="1"/>
  <c r="F65" i="42"/>
  <c r="L65" i="42" s="1"/>
  <c r="T63" i="41"/>
  <c r="V63" i="41" s="1"/>
  <c r="N59" i="35"/>
  <c r="I59" i="35"/>
  <c r="F59" i="35"/>
  <c r="R58" i="35"/>
  <c r="S58" i="35" s="1"/>
  <c r="P58" i="35"/>
  <c r="G59" i="35" s="1"/>
  <c r="E64" i="41"/>
  <c r="H64" i="41" s="1"/>
  <c r="Q63" i="41"/>
  <c r="P64" i="42"/>
  <c r="G65" i="42" s="1"/>
  <c r="R64" i="42"/>
  <c r="S64" i="42" s="1"/>
  <c r="M65" i="39"/>
  <c r="E63" i="28"/>
  <c r="H63" i="28" s="1"/>
  <c r="T62" i="28"/>
  <c r="V62" i="28" s="1"/>
  <c r="Q62" i="28"/>
  <c r="I64" i="36"/>
  <c r="I65" i="40"/>
  <c r="F62" i="36"/>
  <c r="L62" i="36" s="1"/>
  <c r="M62" i="36" s="1"/>
  <c r="R61" i="36"/>
  <c r="S61" i="36" s="1"/>
  <c r="P61" i="36"/>
  <c r="G62" i="36" s="1"/>
  <c r="N64" i="36"/>
  <c r="N65" i="39"/>
  <c r="O57" i="43" l="1"/>
  <c r="F58" i="43" s="1"/>
  <c r="M57" i="43"/>
  <c r="N58" i="43"/>
  <c r="E59" i="43" s="1"/>
  <c r="T64" i="38"/>
  <c r="V64" i="38" s="1"/>
  <c r="E65" i="38"/>
  <c r="H65" i="38" s="1"/>
  <c r="I65" i="38" s="1"/>
  <c r="P57" i="43"/>
  <c r="G58" i="43" s="1"/>
  <c r="R57" i="43"/>
  <c r="S57" i="43" s="1"/>
  <c r="E57" i="33"/>
  <c r="G57" i="33" s="1"/>
  <c r="B57" i="33"/>
  <c r="Q56" i="33"/>
  <c r="N56" i="33"/>
  <c r="O65" i="39"/>
  <c r="R65" i="39" s="1"/>
  <c r="I57" i="29"/>
  <c r="I58" i="43"/>
  <c r="F57" i="44" s="1"/>
  <c r="N68" i="47"/>
  <c r="E69" i="47" s="1"/>
  <c r="P68" i="47"/>
  <c r="Q68" i="47" s="1"/>
  <c r="J69" i="47"/>
  <c r="K69" i="47" s="1"/>
  <c r="C82" i="47"/>
  <c r="O81" i="47"/>
  <c r="E60" i="35"/>
  <c r="H60" i="35" s="1"/>
  <c r="Q59" i="35"/>
  <c r="T59" i="35"/>
  <c r="V59" i="35" s="1"/>
  <c r="L59" i="35"/>
  <c r="N64" i="41"/>
  <c r="N65" i="40"/>
  <c r="N65" i="42"/>
  <c r="E66" i="39"/>
  <c r="T65" i="39"/>
  <c r="V65" i="39" s="1"/>
  <c r="Q65" i="39"/>
  <c r="O59" i="38"/>
  <c r="T64" i="36"/>
  <c r="V64" i="36" s="1"/>
  <c r="E65" i="36"/>
  <c r="H65" i="36" s="1"/>
  <c r="Q64" i="36"/>
  <c r="I64" i="41"/>
  <c r="N64" i="37"/>
  <c r="T58" i="43" l="1"/>
  <c r="V58" i="43" s="1"/>
  <c r="P65" i="39"/>
  <c r="G66" i="39" s="1"/>
  <c r="Q58" i="43"/>
  <c r="N65" i="38"/>
  <c r="E66" i="38" s="1"/>
  <c r="H66" i="38" s="1"/>
  <c r="I66" i="38" s="1"/>
  <c r="H59" i="43"/>
  <c r="E58" i="44" s="1"/>
  <c r="F66" i="39"/>
  <c r="F57" i="33"/>
  <c r="L58" i="43"/>
  <c r="N57" i="29"/>
  <c r="K57" i="33" s="1"/>
  <c r="M69" i="47"/>
  <c r="N69" i="47" s="1"/>
  <c r="E70" i="47" s="1"/>
  <c r="L82" i="47"/>
  <c r="R82" i="47" s="1"/>
  <c r="E65" i="41"/>
  <c r="H65" i="41" s="1"/>
  <c r="T65" i="40"/>
  <c r="V65" i="40" s="1"/>
  <c r="N60" i="35"/>
  <c r="T64" i="41"/>
  <c r="V64" i="41" s="1"/>
  <c r="Q64" i="41"/>
  <c r="M59" i="35"/>
  <c r="O59" i="35"/>
  <c r="S65" i="39"/>
  <c r="N63" i="28"/>
  <c r="O65" i="42"/>
  <c r="M65" i="42"/>
  <c r="E66" i="40"/>
  <c r="Q65" i="40"/>
  <c r="T65" i="42"/>
  <c r="V65" i="42" s="1"/>
  <c r="E66" i="42"/>
  <c r="H66" i="42" s="1"/>
  <c r="I66" i="42" s="1"/>
  <c r="Q65" i="42"/>
  <c r="T64" i="37"/>
  <c r="V64" i="37" s="1"/>
  <c r="E65" i="37"/>
  <c r="H65" i="37" s="1"/>
  <c r="I65" i="37" s="1"/>
  <c r="Q64" i="37"/>
  <c r="N65" i="36"/>
  <c r="O62" i="36"/>
  <c r="F60" i="38"/>
  <c r="R59" i="38"/>
  <c r="S59" i="38" s="1"/>
  <c r="P59" i="38"/>
  <c r="G60" i="38" s="1"/>
  <c r="I66" i="39"/>
  <c r="I63" i="28"/>
  <c r="Q65" i="38" l="1"/>
  <c r="T65" i="38"/>
  <c r="V65" i="38" s="1"/>
  <c r="O58" i="43"/>
  <c r="F59" i="43" s="1"/>
  <c r="M58" i="43"/>
  <c r="L66" i="39"/>
  <c r="O66" i="39" s="1"/>
  <c r="N59" i="43"/>
  <c r="E60" i="43" s="1"/>
  <c r="L60" i="38"/>
  <c r="M60" i="38" s="1"/>
  <c r="R58" i="43"/>
  <c r="S58" i="43" s="1"/>
  <c r="Q57" i="33"/>
  <c r="N57" i="33"/>
  <c r="M66" i="39"/>
  <c r="T57" i="29"/>
  <c r="V57" i="29" s="1"/>
  <c r="Q57" i="29"/>
  <c r="E58" i="29"/>
  <c r="H58" i="29" s="1"/>
  <c r="D70" i="47"/>
  <c r="J70" i="47" s="1"/>
  <c r="K70" i="47" s="1"/>
  <c r="P69" i="47"/>
  <c r="Q69" i="47" s="1"/>
  <c r="I59" i="43"/>
  <c r="F58" i="44" s="1"/>
  <c r="H66" i="40"/>
  <c r="I66" i="40" s="1"/>
  <c r="C83" i="47"/>
  <c r="L83" i="47" s="1"/>
  <c r="R83" i="47" s="1"/>
  <c r="O82" i="47"/>
  <c r="F66" i="42"/>
  <c r="L66" i="42" s="1"/>
  <c r="E66" i="36"/>
  <c r="H66" i="36" s="1"/>
  <c r="I60" i="35"/>
  <c r="T63" i="28"/>
  <c r="V63" i="28" s="1"/>
  <c r="Q60" i="35"/>
  <c r="E61" i="35"/>
  <c r="H61" i="35" s="1"/>
  <c r="T60" i="35"/>
  <c r="V60" i="35" s="1"/>
  <c r="F60" i="35"/>
  <c r="P59" i="35"/>
  <c r="G60" i="35" s="1"/>
  <c r="R59" i="35"/>
  <c r="S59" i="35" s="1"/>
  <c r="Q63" i="28"/>
  <c r="E64" i="28"/>
  <c r="H64" i="28" s="1"/>
  <c r="P65" i="42"/>
  <c r="G66" i="42" s="1"/>
  <c r="R65" i="42"/>
  <c r="S65" i="42" s="1"/>
  <c r="I65" i="41"/>
  <c r="N65" i="41"/>
  <c r="T65" i="36"/>
  <c r="V65" i="36" s="1"/>
  <c r="Q65" i="36"/>
  <c r="I65" i="36"/>
  <c r="N66" i="39"/>
  <c r="F63" i="36"/>
  <c r="L63" i="36" s="1"/>
  <c r="M63" i="36" s="1"/>
  <c r="R62" i="36"/>
  <c r="S62" i="36" s="1"/>
  <c r="P62" i="36"/>
  <c r="G63" i="36" s="1"/>
  <c r="T59" i="43" l="1"/>
  <c r="V59" i="43" s="1"/>
  <c r="P58" i="43"/>
  <c r="G59" i="43" s="1"/>
  <c r="Q59" i="43"/>
  <c r="H60" i="43"/>
  <c r="E59" i="44" s="1"/>
  <c r="E58" i="33"/>
  <c r="B58" i="33"/>
  <c r="N66" i="38"/>
  <c r="Q66" i="38" s="1"/>
  <c r="I64" i="28"/>
  <c r="N66" i="42"/>
  <c r="T66" i="42" s="1"/>
  <c r="V66" i="42" s="1"/>
  <c r="L59" i="43"/>
  <c r="O66" i="42"/>
  <c r="N58" i="29"/>
  <c r="K58" i="33" s="1"/>
  <c r="N66" i="40"/>
  <c r="Q66" i="40" s="1"/>
  <c r="M70" i="47"/>
  <c r="P70" i="47" s="1"/>
  <c r="Q70" i="47" s="1"/>
  <c r="C84" i="47"/>
  <c r="O83" i="47"/>
  <c r="E67" i="39"/>
  <c r="R66" i="39"/>
  <c r="F67" i="39"/>
  <c r="I61" i="35"/>
  <c r="L60" i="35"/>
  <c r="N61" i="35"/>
  <c r="N65" i="37"/>
  <c r="O60" i="38"/>
  <c r="T65" i="41"/>
  <c r="V65" i="41" s="1"/>
  <c r="E66" i="41"/>
  <c r="H66" i="41" s="1"/>
  <c r="Q65" i="41"/>
  <c r="O63" i="36"/>
  <c r="T66" i="39"/>
  <c r="V66" i="39" s="1"/>
  <c r="P66" i="39"/>
  <c r="G67" i="39" s="1"/>
  <c r="Q66" i="39"/>
  <c r="O59" i="43" l="1"/>
  <c r="P59" i="43" s="1"/>
  <c r="G60" i="43" s="1"/>
  <c r="M59" i="43"/>
  <c r="T66" i="38"/>
  <c r="V66" i="38" s="1"/>
  <c r="E67" i="38"/>
  <c r="H67" i="38" s="1"/>
  <c r="I67" i="38" s="1"/>
  <c r="N64" i="28"/>
  <c r="E65" i="28" s="1"/>
  <c r="H65" i="28" s="1"/>
  <c r="M66" i="42"/>
  <c r="E67" i="42"/>
  <c r="H67" i="42" s="1"/>
  <c r="I67" i="42" s="1"/>
  <c r="Q66" i="42"/>
  <c r="R59" i="43"/>
  <c r="S59" i="43" s="1"/>
  <c r="F60" i="43"/>
  <c r="Q58" i="33"/>
  <c r="N58" i="33"/>
  <c r="E67" i="40"/>
  <c r="H67" i="40" s="1"/>
  <c r="I67" i="40" s="1"/>
  <c r="T66" i="40"/>
  <c r="V66" i="40" s="1"/>
  <c r="T58" i="29"/>
  <c r="V58" i="29" s="1"/>
  <c r="E59" i="29"/>
  <c r="H59" i="29" s="1"/>
  <c r="Q58" i="29"/>
  <c r="I58" i="29"/>
  <c r="I60" i="43"/>
  <c r="F59" i="44" s="1"/>
  <c r="N60" i="43"/>
  <c r="N70" i="47"/>
  <c r="E71" i="47" s="1"/>
  <c r="D71" i="47"/>
  <c r="J71" i="47" s="1"/>
  <c r="K71" i="47" s="1"/>
  <c r="S66" i="39"/>
  <c r="L84" i="47"/>
  <c r="R84" i="47" s="1"/>
  <c r="R66" i="42"/>
  <c r="F67" i="42"/>
  <c r="N67" i="39"/>
  <c r="I67" i="39"/>
  <c r="L67" i="39" s="1"/>
  <c r="Q65" i="37"/>
  <c r="E66" i="37"/>
  <c r="H66" i="37" s="1"/>
  <c r="I66" i="37" s="1"/>
  <c r="I66" i="36"/>
  <c r="N66" i="36"/>
  <c r="O60" i="35"/>
  <c r="M60" i="35"/>
  <c r="T61" i="35"/>
  <c r="V61" i="35" s="1"/>
  <c r="E62" i="35"/>
  <c r="H62" i="35" s="1"/>
  <c r="Q61" i="35"/>
  <c r="P66" i="42"/>
  <c r="G67" i="42" s="1"/>
  <c r="T65" i="37"/>
  <c r="V65" i="37" s="1"/>
  <c r="F61" i="38"/>
  <c r="R60" i="38"/>
  <c r="S60" i="38" s="1"/>
  <c r="P60" i="38"/>
  <c r="G61" i="38" s="1"/>
  <c r="F64" i="36"/>
  <c r="L64" i="36" s="1"/>
  <c r="M64" i="36" s="1"/>
  <c r="R63" i="36"/>
  <c r="S63" i="36" s="1"/>
  <c r="P63" i="36"/>
  <c r="G64" i="36" s="1"/>
  <c r="S66" i="42" l="1"/>
  <c r="Q64" i="28"/>
  <c r="T64" i="28"/>
  <c r="V64" i="28" s="1"/>
  <c r="L67" i="42"/>
  <c r="L61" i="38"/>
  <c r="M61" i="38" s="1"/>
  <c r="F58" i="33"/>
  <c r="E59" i="33"/>
  <c r="G59" i="33" s="1"/>
  <c r="B59" i="33"/>
  <c r="L60" i="43"/>
  <c r="T60" i="43"/>
  <c r="V60" i="43" s="1"/>
  <c r="E61" i="43"/>
  <c r="Q60" i="43"/>
  <c r="M71" i="47"/>
  <c r="D72" i="47" s="1"/>
  <c r="C85" i="47"/>
  <c r="O84" i="47"/>
  <c r="N67" i="42"/>
  <c r="N67" i="38"/>
  <c r="E68" i="38" s="1"/>
  <c r="H68" i="38" s="1"/>
  <c r="I68" i="38" s="1"/>
  <c r="N67" i="40"/>
  <c r="Q67" i="39"/>
  <c r="T67" i="39"/>
  <c r="V67" i="39" s="1"/>
  <c r="E68" i="39"/>
  <c r="O67" i="39"/>
  <c r="E67" i="36"/>
  <c r="H67" i="36" s="1"/>
  <c r="T66" i="36"/>
  <c r="V66" i="36" s="1"/>
  <c r="Q66" i="36"/>
  <c r="P60" i="35"/>
  <c r="G61" i="35" s="1"/>
  <c r="R60" i="35"/>
  <c r="S60" i="35" s="1"/>
  <c r="F61" i="35"/>
  <c r="L61" i="35" s="1"/>
  <c r="N66" i="41"/>
  <c r="I65" i="28"/>
  <c r="I66" i="41"/>
  <c r="O60" i="43" l="1"/>
  <c r="P60" i="43" s="1"/>
  <c r="G61" i="43" s="1"/>
  <c r="M60" i="43"/>
  <c r="G58" i="33"/>
  <c r="H61" i="43"/>
  <c r="E60" i="44" s="1"/>
  <c r="F61" i="43"/>
  <c r="R60" i="43"/>
  <c r="S60" i="43" s="1"/>
  <c r="N59" i="29"/>
  <c r="K59" i="33" s="1"/>
  <c r="I59" i="29"/>
  <c r="N71" i="47"/>
  <c r="E72" i="47" s="1"/>
  <c r="P71" i="47"/>
  <c r="Q71" i="47" s="1"/>
  <c r="L85" i="47"/>
  <c r="R85" i="47" s="1"/>
  <c r="J72" i="47"/>
  <c r="O67" i="42"/>
  <c r="R67" i="42" s="1"/>
  <c r="M67" i="42"/>
  <c r="Q67" i="38"/>
  <c r="T67" i="38"/>
  <c r="V67" i="38" s="1"/>
  <c r="E68" i="42"/>
  <c r="H68" i="42" s="1"/>
  <c r="I68" i="42" s="1"/>
  <c r="T67" i="42"/>
  <c r="V67" i="42" s="1"/>
  <c r="Q67" i="42"/>
  <c r="E67" i="41"/>
  <c r="H67" i="41" s="1"/>
  <c r="T67" i="40"/>
  <c r="V67" i="40" s="1"/>
  <c r="E68" i="40"/>
  <c r="H68" i="40" s="1"/>
  <c r="Q67" i="40"/>
  <c r="I68" i="39"/>
  <c r="F68" i="39"/>
  <c r="R67" i="39"/>
  <c r="S67" i="39" s="1"/>
  <c r="P67" i="39"/>
  <c r="G68" i="39" s="1"/>
  <c r="N66" i="37"/>
  <c r="E67" i="37" s="1"/>
  <c r="H67" i="37" s="1"/>
  <c r="I67" i="37" s="1"/>
  <c r="N67" i="36"/>
  <c r="M61" i="35"/>
  <c r="O61" i="35"/>
  <c r="N62" i="35"/>
  <c r="I62" i="35"/>
  <c r="Q66" i="41"/>
  <c r="T66" i="41"/>
  <c r="V66" i="41" s="1"/>
  <c r="N65" i="28"/>
  <c r="O61" i="38"/>
  <c r="O64" i="36"/>
  <c r="L68" i="39" l="1"/>
  <c r="N61" i="43"/>
  <c r="E62" i="43" s="1"/>
  <c r="Q59" i="29"/>
  <c r="E60" i="29"/>
  <c r="H60" i="29" s="1"/>
  <c r="E60" i="33" s="1"/>
  <c r="T59" i="29"/>
  <c r="V59" i="29" s="1"/>
  <c r="Q59" i="33"/>
  <c r="N59" i="33"/>
  <c r="F59" i="33"/>
  <c r="T61" i="43"/>
  <c r="V61" i="43" s="1"/>
  <c r="Q61" i="43"/>
  <c r="I61" i="43"/>
  <c r="F60" i="44" s="1"/>
  <c r="F68" i="42"/>
  <c r="L68" i="42" s="1"/>
  <c r="M72" i="47"/>
  <c r="N72" i="47" s="1"/>
  <c r="E73" i="47" s="1"/>
  <c r="K72" i="47"/>
  <c r="P67" i="42"/>
  <c r="G68" i="42" s="1"/>
  <c r="C86" i="47"/>
  <c r="O85" i="47"/>
  <c r="S67" i="42"/>
  <c r="I67" i="41"/>
  <c r="Q66" i="37"/>
  <c r="T66" i="37"/>
  <c r="V66" i="37" s="1"/>
  <c r="N68" i="39"/>
  <c r="N68" i="38"/>
  <c r="E69" i="38" s="1"/>
  <c r="H69" i="38" s="1"/>
  <c r="I69" i="38" s="1"/>
  <c r="I68" i="40"/>
  <c r="R61" i="38"/>
  <c r="S61" i="38" s="1"/>
  <c r="E68" i="36"/>
  <c r="H68" i="36" s="1"/>
  <c r="T67" i="36"/>
  <c r="V67" i="36" s="1"/>
  <c r="Q67" i="36"/>
  <c r="I67" i="36"/>
  <c r="E66" i="28"/>
  <c r="H66" i="28" s="1"/>
  <c r="E63" i="35"/>
  <c r="H63" i="35" s="1"/>
  <c r="T62" i="35"/>
  <c r="V62" i="35" s="1"/>
  <c r="Q62" i="35"/>
  <c r="F62" i="35"/>
  <c r="R61" i="35"/>
  <c r="S61" i="35" s="1"/>
  <c r="P61" i="35"/>
  <c r="G62" i="35" s="1"/>
  <c r="Q65" i="28"/>
  <c r="T65" i="28"/>
  <c r="V65" i="28" s="1"/>
  <c r="F62" i="38"/>
  <c r="P61" i="38"/>
  <c r="G62" i="38" s="1"/>
  <c r="F65" i="36"/>
  <c r="L65" i="36" s="1"/>
  <c r="M65" i="36" s="1"/>
  <c r="R64" i="36"/>
  <c r="S64" i="36" s="1"/>
  <c r="P64" i="36"/>
  <c r="G65" i="36" s="1"/>
  <c r="B60" i="33" l="1"/>
  <c r="H62" i="43"/>
  <c r="E61" i="44" s="1"/>
  <c r="L62" i="38"/>
  <c r="M62" i="38" s="1"/>
  <c r="L61" i="43"/>
  <c r="Q68" i="39"/>
  <c r="O68" i="39"/>
  <c r="P68" i="39" s="1"/>
  <c r="G69" i="39" s="1"/>
  <c r="I60" i="29"/>
  <c r="N60" i="29"/>
  <c r="K60" i="33" s="1"/>
  <c r="P72" i="47"/>
  <c r="Q72" i="47" s="1"/>
  <c r="D73" i="47"/>
  <c r="J73" i="47" s="1"/>
  <c r="M73" i="47" s="1"/>
  <c r="N68" i="42"/>
  <c r="E69" i="42" s="1"/>
  <c r="H69" i="42" s="1"/>
  <c r="I69" i="42" s="1"/>
  <c r="O68" i="42"/>
  <c r="L86" i="47"/>
  <c r="R86" i="47" s="1"/>
  <c r="E69" i="39"/>
  <c r="T68" i="39"/>
  <c r="V68" i="39" s="1"/>
  <c r="N67" i="41"/>
  <c r="T68" i="38"/>
  <c r="V68" i="38" s="1"/>
  <c r="Q68" i="38"/>
  <c r="N68" i="40"/>
  <c r="E69" i="40" s="1"/>
  <c r="H69" i="40" s="1"/>
  <c r="N67" i="37"/>
  <c r="N68" i="36"/>
  <c r="L62" i="35"/>
  <c r="O61" i="43" l="1"/>
  <c r="F62" i="43" s="1"/>
  <c r="M61" i="43"/>
  <c r="O62" i="38"/>
  <c r="F63" i="38" s="1"/>
  <c r="N62" i="43"/>
  <c r="T62" i="43" s="1"/>
  <c r="V62" i="43" s="1"/>
  <c r="P61" i="43"/>
  <c r="G62" i="43" s="1"/>
  <c r="F60" i="33"/>
  <c r="R61" i="43"/>
  <c r="S61" i="43" s="1"/>
  <c r="Q60" i="33"/>
  <c r="N60" i="33"/>
  <c r="I69" i="39"/>
  <c r="R68" i="39"/>
  <c r="S68" i="39" s="1"/>
  <c r="F69" i="39"/>
  <c r="T60" i="29"/>
  <c r="V60" i="29" s="1"/>
  <c r="Q60" i="29"/>
  <c r="E61" i="29"/>
  <c r="H61" i="29" s="1"/>
  <c r="I62" i="43"/>
  <c r="F61" i="44" s="1"/>
  <c r="K73" i="47"/>
  <c r="D74" i="47"/>
  <c r="J74" i="47" s="1"/>
  <c r="N73" i="47"/>
  <c r="E74" i="47" s="1"/>
  <c r="P73" i="47"/>
  <c r="Q73" i="47" s="1"/>
  <c r="T68" i="42"/>
  <c r="V68" i="42" s="1"/>
  <c r="Q68" i="42"/>
  <c r="M68" i="42"/>
  <c r="F69" i="42"/>
  <c r="L69" i="42" s="1"/>
  <c r="P68" i="42"/>
  <c r="G69" i="42" s="1"/>
  <c r="Q68" i="40"/>
  <c r="R68" i="42"/>
  <c r="C87" i="47"/>
  <c r="O86" i="47"/>
  <c r="T68" i="40"/>
  <c r="V68" i="40" s="1"/>
  <c r="T67" i="41"/>
  <c r="V67" i="41" s="1"/>
  <c r="E68" i="41"/>
  <c r="H68" i="41" s="1"/>
  <c r="Q67" i="41"/>
  <c r="N69" i="38"/>
  <c r="E70" i="38" s="1"/>
  <c r="H70" i="38" s="1"/>
  <c r="I70" i="38" s="1"/>
  <c r="I69" i="40"/>
  <c r="N69" i="39"/>
  <c r="R62" i="38"/>
  <c r="S62" i="38" s="1"/>
  <c r="T67" i="37"/>
  <c r="V67" i="37" s="1"/>
  <c r="E68" i="37"/>
  <c r="H68" i="37" s="1"/>
  <c r="I68" i="37" s="1"/>
  <c r="Q67" i="37"/>
  <c r="E69" i="36"/>
  <c r="H69" i="36" s="1"/>
  <c r="T68" i="36"/>
  <c r="V68" i="36" s="1"/>
  <c r="Q68" i="36"/>
  <c r="I68" i="36"/>
  <c r="I66" i="28"/>
  <c r="N66" i="28"/>
  <c r="N63" i="35"/>
  <c r="E64" i="35" s="1"/>
  <c r="H64" i="35" s="1"/>
  <c r="I63" i="35"/>
  <c r="M62" i="35"/>
  <c r="O62" i="35"/>
  <c r="O65" i="36"/>
  <c r="P62" i="38" l="1"/>
  <c r="G63" i="38" s="1"/>
  <c r="L69" i="39"/>
  <c r="G60" i="33"/>
  <c r="E63" i="43"/>
  <c r="H63" i="43" s="1"/>
  <c r="E62" i="44" s="1"/>
  <c r="Q62" i="43"/>
  <c r="L63" i="38"/>
  <c r="M63" i="38" s="1"/>
  <c r="E61" i="33"/>
  <c r="B61" i="33"/>
  <c r="L62" i="43"/>
  <c r="E70" i="39"/>
  <c r="O69" i="39"/>
  <c r="R69" i="39" s="1"/>
  <c r="N61" i="29"/>
  <c r="K61" i="33" s="1"/>
  <c r="S68" i="42"/>
  <c r="M74" i="47"/>
  <c r="P74" i="47" s="1"/>
  <c r="Q74" i="47" s="1"/>
  <c r="K74" i="47"/>
  <c r="N69" i="40"/>
  <c r="E70" i="40" s="1"/>
  <c r="H70" i="40" s="1"/>
  <c r="O69" i="42"/>
  <c r="R69" i="42" s="1"/>
  <c r="L87" i="47"/>
  <c r="R87" i="47" s="1"/>
  <c r="N69" i="42"/>
  <c r="Q69" i="42" s="1"/>
  <c r="T69" i="38"/>
  <c r="V69" i="38" s="1"/>
  <c r="Q69" i="38"/>
  <c r="T69" i="39"/>
  <c r="V69" i="39" s="1"/>
  <c r="I68" i="41"/>
  <c r="Q69" i="39"/>
  <c r="I70" i="39"/>
  <c r="N69" i="36"/>
  <c r="F66" i="36"/>
  <c r="T63" i="35"/>
  <c r="V63" i="35" s="1"/>
  <c r="Q63" i="35"/>
  <c r="T66" i="28"/>
  <c r="V66" i="28" s="1"/>
  <c r="E67" i="28"/>
  <c r="H67" i="28" s="1"/>
  <c r="Q66" i="28"/>
  <c r="F63" i="35"/>
  <c r="P62" i="35"/>
  <c r="G63" i="35" s="1"/>
  <c r="R62" i="35"/>
  <c r="S62" i="35" s="1"/>
  <c r="R65" i="36"/>
  <c r="S65" i="36" s="1"/>
  <c r="P65" i="36"/>
  <c r="G66" i="36" s="1"/>
  <c r="O62" i="43" l="1"/>
  <c r="F63" i="43" s="1"/>
  <c r="M62" i="43"/>
  <c r="P69" i="39"/>
  <c r="G70" i="39" s="1"/>
  <c r="N63" i="43"/>
  <c r="T63" i="43" s="1"/>
  <c r="V63" i="43" s="1"/>
  <c r="P62" i="43"/>
  <c r="G63" i="43" s="1"/>
  <c r="R62" i="43"/>
  <c r="S62" i="43" s="1"/>
  <c r="Q61" i="33"/>
  <c r="N61" i="33"/>
  <c r="F70" i="39"/>
  <c r="L70" i="39" s="1"/>
  <c r="E62" i="29"/>
  <c r="H62" i="29" s="1"/>
  <c r="Q61" i="29"/>
  <c r="T61" i="29"/>
  <c r="V61" i="29" s="1"/>
  <c r="I61" i="29"/>
  <c r="I63" i="43"/>
  <c r="F62" i="44" s="1"/>
  <c r="T69" i="40"/>
  <c r="V69" i="40" s="1"/>
  <c r="Q69" i="40"/>
  <c r="D75" i="47"/>
  <c r="J75" i="47" s="1"/>
  <c r="N74" i="47"/>
  <c r="E75" i="47" s="1"/>
  <c r="M69" i="42"/>
  <c r="E70" i="42"/>
  <c r="H70" i="42" s="1"/>
  <c r="I70" i="42" s="1"/>
  <c r="T69" i="42"/>
  <c r="V69" i="42" s="1"/>
  <c r="S69" i="39"/>
  <c r="F70" i="42"/>
  <c r="P69" i="42"/>
  <c r="G70" i="42" s="1"/>
  <c r="C88" i="47"/>
  <c r="O87" i="47"/>
  <c r="S69" i="42"/>
  <c r="N68" i="41"/>
  <c r="N70" i="38"/>
  <c r="E71" i="38" s="1"/>
  <c r="H71" i="38" s="1"/>
  <c r="I71" i="38" s="1"/>
  <c r="I70" i="40"/>
  <c r="N70" i="39"/>
  <c r="N68" i="37"/>
  <c r="L66" i="36"/>
  <c r="M66" i="36" s="1"/>
  <c r="I69" i="36"/>
  <c r="T69" i="36"/>
  <c r="V69" i="36" s="1"/>
  <c r="E70" i="36"/>
  <c r="H70" i="36" s="1"/>
  <c r="Q69" i="36"/>
  <c r="N64" i="35"/>
  <c r="I64" i="35"/>
  <c r="L63" i="35"/>
  <c r="O63" i="38"/>
  <c r="E64" i="43" l="1"/>
  <c r="Q63" i="43"/>
  <c r="O70" i="39"/>
  <c r="F71" i="39" s="1"/>
  <c r="L70" i="42"/>
  <c r="M70" i="42" s="1"/>
  <c r="H64" i="43"/>
  <c r="E63" i="44" s="1"/>
  <c r="F61" i="33"/>
  <c r="E62" i="33"/>
  <c r="B62" i="33"/>
  <c r="L63" i="43"/>
  <c r="M75" i="47"/>
  <c r="N75" i="47" s="1"/>
  <c r="E76" i="47" s="1"/>
  <c r="K75" i="47"/>
  <c r="L88" i="47"/>
  <c r="R88" i="47" s="1"/>
  <c r="Q70" i="38"/>
  <c r="R70" i="39"/>
  <c r="N70" i="40"/>
  <c r="T70" i="40" s="1"/>
  <c r="V70" i="40" s="1"/>
  <c r="T70" i="38"/>
  <c r="V70" i="38" s="1"/>
  <c r="T68" i="41"/>
  <c r="V68" i="41" s="1"/>
  <c r="E69" i="41"/>
  <c r="H69" i="41" s="1"/>
  <c r="Q68" i="41"/>
  <c r="T70" i="39"/>
  <c r="V70" i="39" s="1"/>
  <c r="E71" i="39"/>
  <c r="P70" i="39"/>
  <c r="G71" i="39" s="1"/>
  <c r="Q70" i="39"/>
  <c r="R63" i="38"/>
  <c r="S63" i="38" s="1"/>
  <c r="T68" i="37"/>
  <c r="V68" i="37" s="1"/>
  <c r="E69" i="37"/>
  <c r="H69" i="37" s="1"/>
  <c r="I69" i="37" s="1"/>
  <c r="Q68" i="37"/>
  <c r="N70" i="36"/>
  <c r="O66" i="36"/>
  <c r="I67" i="28"/>
  <c r="N67" i="28"/>
  <c r="O63" i="35"/>
  <c r="F64" i="35" s="1"/>
  <c r="T64" i="35"/>
  <c r="V64" i="35" s="1"/>
  <c r="E65" i="35"/>
  <c r="H65" i="35" s="1"/>
  <c r="Q64" i="35"/>
  <c r="M63" i="35"/>
  <c r="P63" i="38"/>
  <c r="G64" i="38" s="1"/>
  <c r="F64" i="38"/>
  <c r="O63" i="43" l="1"/>
  <c r="P63" i="43" s="1"/>
  <c r="G64" i="43" s="1"/>
  <c r="M63" i="43"/>
  <c r="G61" i="33"/>
  <c r="N64" i="43"/>
  <c r="T64" i="43" s="1"/>
  <c r="V64" i="43" s="1"/>
  <c r="L64" i="38"/>
  <c r="M64" i="38" s="1"/>
  <c r="R63" i="43"/>
  <c r="S63" i="43" s="1"/>
  <c r="F64" i="43"/>
  <c r="N70" i="42"/>
  <c r="Q70" i="42" s="1"/>
  <c r="I62" i="29"/>
  <c r="N62" i="29"/>
  <c r="K62" i="33" s="1"/>
  <c r="I64" i="43"/>
  <c r="F63" i="44" s="1"/>
  <c r="O70" i="42"/>
  <c r="F71" i="42" s="1"/>
  <c r="P75" i="47"/>
  <c r="Q75" i="47" s="1"/>
  <c r="D76" i="47"/>
  <c r="J76" i="47" s="1"/>
  <c r="E71" i="40"/>
  <c r="S70" i="39"/>
  <c r="C89" i="47"/>
  <c r="O88" i="47"/>
  <c r="Q70" i="40"/>
  <c r="I69" i="41"/>
  <c r="I71" i="39"/>
  <c r="L71" i="39" s="1"/>
  <c r="N71" i="38"/>
  <c r="T70" i="36"/>
  <c r="V70" i="36" s="1"/>
  <c r="E71" i="36"/>
  <c r="H71" i="36" s="1"/>
  <c r="Q70" i="36"/>
  <c r="I70" i="36"/>
  <c r="F67" i="36"/>
  <c r="R66" i="36"/>
  <c r="S66" i="36" s="1"/>
  <c r="P66" i="36"/>
  <c r="G67" i="36" s="1"/>
  <c r="T67" i="28"/>
  <c r="V67" i="28" s="1"/>
  <c r="E68" i="28"/>
  <c r="H68" i="28" s="1"/>
  <c r="Q67" i="28"/>
  <c r="R63" i="35"/>
  <c r="S63" i="35" s="1"/>
  <c r="P63" i="35"/>
  <c r="G64" i="35" s="1"/>
  <c r="L64" i="35"/>
  <c r="Q64" i="43" l="1"/>
  <c r="E65" i="43"/>
  <c r="H65" i="43" s="1"/>
  <c r="E64" i="44" s="1"/>
  <c r="Q62" i="33"/>
  <c r="N62" i="33"/>
  <c r="F62" i="33"/>
  <c r="G62" i="33" s="1"/>
  <c r="E71" i="42"/>
  <c r="T70" i="42"/>
  <c r="V70" i="42" s="1"/>
  <c r="L64" i="43"/>
  <c r="O71" i="39"/>
  <c r="F72" i="39" s="1"/>
  <c r="E63" i="29"/>
  <c r="H63" i="29" s="1"/>
  <c r="T62" i="29"/>
  <c r="V62" i="29" s="1"/>
  <c r="Q62" i="29"/>
  <c r="R70" i="42"/>
  <c r="S70" i="42" s="1"/>
  <c r="P70" i="42"/>
  <c r="G71" i="42" s="1"/>
  <c r="H71" i="40"/>
  <c r="I71" i="40" s="1"/>
  <c r="M76" i="47"/>
  <c r="D77" i="47" s="1"/>
  <c r="J77" i="47" s="1"/>
  <c r="K76" i="47"/>
  <c r="L89" i="47"/>
  <c r="R89" i="47" s="1"/>
  <c r="N69" i="41"/>
  <c r="Q69" i="41" s="1"/>
  <c r="N71" i="39"/>
  <c r="T71" i="38"/>
  <c r="V71" i="38" s="1"/>
  <c r="E72" i="38"/>
  <c r="H72" i="38" s="1"/>
  <c r="I72" i="38" s="1"/>
  <c r="Q71" i="38"/>
  <c r="N69" i="37"/>
  <c r="L67" i="36"/>
  <c r="M67" i="36" s="1"/>
  <c r="N71" i="36"/>
  <c r="O64" i="35"/>
  <c r="R64" i="35" s="1"/>
  <c r="S64" i="35" s="1"/>
  <c r="N65" i="35"/>
  <c r="I65" i="35"/>
  <c r="M64" i="35"/>
  <c r="O64" i="38"/>
  <c r="O64" i="43" l="1"/>
  <c r="R64" i="43" s="1"/>
  <c r="S64" i="43" s="1"/>
  <c r="M64" i="43"/>
  <c r="H71" i="42"/>
  <c r="R71" i="39"/>
  <c r="E63" i="33"/>
  <c r="B63" i="33"/>
  <c r="F65" i="43"/>
  <c r="P64" i="43"/>
  <c r="G65" i="43" s="1"/>
  <c r="E72" i="39"/>
  <c r="N63" i="29"/>
  <c r="K63" i="33" s="1"/>
  <c r="N71" i="40"/>
  <c r="T71" i="40" s="1"/>
  <c r="V71" i="40" s="1"/>
  <c r="N65" i="43"/>
  <c r="I65" i="43"/>
  <c r="F64" i="44" s="1"/>
  <c r="N76" i="47"/>
  <c r="E77" i="47" s="1"/>
  <c r="P76" i="47"/>
  <c r="Q76" i="47" s="1"/>
  <c r="M77" i="47"/>
  <c r="D78" i="47" s="1"/>
  <c r="K77" i="47"/>
  <c r="C90" i="47"/>
  <c r="O89" i="47"/>
  <c r="Q71" i="39"/>
  <c r="S71" i="39" s="1"/>
  <c r="T69" i="41"/>
  <c r="V69" i="41" s="1"/>
  <c r="E70" i="41"/>
  <c r="H70" i="41" s="1"/>
  <c r="T71" i="39"/>
  <c r="V71" i="39" s="1"/>
  <c r="P71" i="39"/>
  <c r="G72" i="39" s="1"/>
  <c r="I72" i="39"/>
  <c r="T69" i="37"/>
  <c r="V69" i="37" s="1"/>
  <c r="E70" i="37"/>
  <c r="H70" i="37" s="1"/>
  <c r="I70" i="37" s="1"/>
  <c r="Q69" i="37"/>
  <c r="T71" i="36"/>
  <c r="V71" i="36" s="1"/>
  <c r="E72" i="36"/>
  <c r="H72" i="36" s="1"/>
  <c r="Q71" i="36"/>
  <c r="I71" i="36"/>
  <c r="O67" i="36"/>
  <c r="I68" i="28"/>
  <c r="F65" i="35"/>
  <c r="L65" i="35" s="1"/>
  <c r="P64" i="35"/>
  <c r="G65" i="35" s="1"/>
  <c r="E66" i="35"/>
  <c r="H66" i="35" s="1"/>
  <c r="N68" i="28"/>
  <c r="T65" i="35"/>
  <c r="V65" i="35" s="1"/>
  <c r="Q65" i="35"/>
  <c r="R64" i="38"/>
  <c r="S64" i="38" s="1"/>
  <c r="P64" i="38"/>
  <c r="G65" i="38" s="1"/>
  <c r="F65" i="38"/>
  <c r="L72" i="39" l="1"/>
  <c r="O72" i="39" s="1"/>
  <c r="I71" i="42"/>
  <c r="L71" i="42" s="1"/>
  <c r="N71" i="42"/>
  <c r="E72" i="42" s="1"/>
  <c r="H72" i="42" s="1"/>
  <c r="I72" i="42" s="1"/>
  <c r="L65" i="38"/>
  <c r="M65" i="38" s="1"/>
  <c r="T68" i="28"/>
  <c r="V68" i="28" s="1"/>
  <c r="Q63" i="33"/>
  <c r="N63" i="33"/>
  <c r="L65" i="43"/>
  <c r="I70" i="41"/>
  <c r="Q63" i="29"/>
  <c r="E64" i="29"/>
  <c r="H64" i="29" s="1"/>
  <c r="T63" i="29"/>
  <c r="V63" i="29" s="1"/>
  <c r="I63" i="29"/>
  <c r="E72" i="40"/>
  <c r="H72" i="40" s="1"/>
  <c r="I72" i="40" s="1"/>
  <c r="Q71" i="40"/>
  <c r="T65" i="43"/>
  <c r="V65" i="43" s="1"/>
  <c r="E66" i="43"/>
  <c r="Q65" i="43"/>
  <c r="P77" i="47"/>
  <c r="Q77" i="47" s="1"/>
  <c r="N77" i="47"/>
  <c r="E78" i="47" s="1"/>
  <c r="J78" i="47"/>
  <c r="L90" i="47"/>
  <c r="N72" i="39"/>
  <c r="N72" i="38"/>
  <c r="T72" i="38" s="1"/>
  <c r="V72" i="38" s="1"/>
  <c r="E69" i="28"/>
  <c r="H69" i="28" s="1"/>
  <c r="Q68" i="28"/>
  <c r="N72" i="36"/>
  <c r="F68" i="36"/>
  <c r="R67" i="36"/>
  <c r="S67" i="36" s="1"/>
  <c r="P67" i="36"/>
  <c r="G68" i="36" s="1"/>
  <c r="O65" i="35"/>
  <c r="M65" i="35"/>
  <c r="O65" i="43" l="1"/>
  <c r="P65" i="43" s="1"/>
  <c r="G66" i="43" s="1"/>
  <c r="M65" i="43"/>
  <c r="R90" i="47"/>
  <c r="Q71" i="42"/>
  <c r="H66" i="43"/>
  <c r="E65" i="44" s="1"/>
  <c r="M71" i="42"/>
  <c r="O71" i="42"/>
  <c r="P71" i="42" s="1"/>
  <c r="G72" i="42" s="1"/>
  <c r="T71" i="42"/>
  <c r="V71" i="42" s="1"/>
  <c r="R65" i="43"/>
  <c r="S65" i="43" s="1"/>
  <c r="F66" i="43"/>
  <c r="F63" i="33"/>
  <c r="E64" i="33"/>
  <c r="G64" i="33" s="1"/>
  <c r="B64" i="33"/>
  <c r="N70" i="41"/>
  <c r="E71" i="41" s="1"/>
  <c r="E73" i="39"/>
  <c r="N72" i="40"/>
  <c r="T72" i="40" s="1"/>
  <c r="V72" i="40" s="1"/>
  <c r="M78" i="47"/>
  <c r="K78" i="47"/>
  <c r="N72" i="42"/>
  <c r="T72" i="42" s="1"/>
  <c r="V72" i="42" s="1"/>
  <c r="O90" i="47"/>
  <c r="Q72" i="39"/>
  <c r="T72" i="39"/>
  <c r="V72" i="39" s="1"/>
  <c r="N70" i="37"/>
  <c r="T70" i="37" s="1"/>
  <c r="V70" i="37" s="1"/>
  <c r="Q72" i="38"/>
  <c r="E73" i="38"/>
  <c r="H73" i="38" s="1"/>
  <c r="I73" i="38" s="1"/>
  <c r="F73" i="39"/>
  <c r="R72" i="39"/>
  <c r="I73" i="39"/>
  <c r="P72" i="39"/>
  <c r="G73" i="39" s="1"/>
  <c r="I66" i="35"/>
  <c r="E73" i="36"/>
  <c r="H73" i="36" s="1"/>
  <c r="T72" i="36"/>
  <c r="V72" i="36" s="1"/>
  <c r="Q72" i="36"/>
  <c r="I72" i="36"/>
  <c r="L68" i="36"/>
  <c r="M68" i="36" s="1"/>
  <c r="I69" i="28"/>
  <c r="P65" i="35"/>
  <c r="G66" i="35" s="1"/>
  <c r="F66" i="35"/>
  <c r="N66" i="35"/>
  <c r="R65" i="35"/>
  <c r="S65" i="35" s="1"/>
  <c r="N69" i="28"/>
  <c r="O65" i="38"/>
  <c r="D79" i="47" l="1"/>
  <c r="G63" i="33"/>
  <c r="R71" i="42"/>
  <c r="S71" i="42" s="1"/>
  <c r="F72" i="42"/>
  <c r="L72" i="42" s="1"/>
  <c r="O72" i="42" s="1"/>
  <c r="H71" i="41"/>
  <c r="I71" i="41" s="1"/>
  <c r="L73" i="39"/>
  <c r="Q70" i="41"/>
  <c r="T70" i="41"/>
  <c r="V70" i="41" s="1"/>
  <c r="Q69" i="28"/>
  <c r="N64" i="29"/>
  <c r="K64" i="33" s="1"/>
  <c r="I64" i="29"/>
  <c r="Q72" i="40"/>
  <c r="E73" i="40"/>
  <c r="H73" i="40" s="1"/>
  <c r="I73" i="40" s="1"/>
  <c r="N66" i="43"/>
  <c r="I66" i="43"/>
  <c r="F65" i="44" s="1"/>
  <c r="P78" i="47"/>
  <c r="Q78" i="47" s="1"/>
  <c r="N78" i="47"/>
  <c r="E79" i="47" s="1"/>
  <c r="Q72" i="42"/>
  <c r="E73" i="42"/>
  <c r="H73" i="42" s="1"/>
  <c r="I73" i="42" s="1"/>
  <c r="J79" i="47"/>
  <c r="K79" i="47" s="1"/>
  <c r="S72" i="39"/>
  <c r="Q70" i="37"/>
  <c r="E71" i="37"/>
  <c r="H71" i="37" s="1"/>
  <c r="I71" i="37" s="1"/>
  <c r="N73" i="39"/>
  <c r="T69" i="28"/>
  <c r="V69" i="28" s="1"/>
  <c r="O68" i="36"/>
  <c r="N73" i="36"/>
  <c r="E70" i="28"/>
  <c r="H70" i="28" s="1"/>
  <c r="T66" i="35"/>
  <c r="V66" i="35" s="1"/>
  <c r="E67" i="35"/>
  <c r="H67" i="35" s="1"/>
  <c r="Q66" i="35"/>
  <c r="L66" i="35"/>
  <c r="F66" i="38"/>
  <c r="R65" i="38"/>
  <c r="S65" i="38" s="1"/>
  <c r="P65" i="38"/>
  <c r="G66" i="38" s="1"/>
  <c r="N71" i="41" l="1"/>
  <c r="T71" i="41" s="1"/>
  <c r="V71" i="41" s="1"/>
  <c r="M72" i="42"/>
  <c r="F73" i="42"/>
  <c r="L73" i="42" s="1"/>
  <c r="R72" i="42"/>
  <c r="S72" i="42" s="1"/>
  <c r="P72" i="42"/>
  <c r="G73" i="42" s="1"/>
  <c r="L66" i="38"/>
  <c r="M66" i="38" s="1"/>
  <c r="Q64" i="33"/>
  <c r="N64" i="33"/>
  <c r="F64" i="33"/>
  <c r="N73" i="38"/>
  <c r="E74" i="38" s="1"/>
  <c r="L66" i="43"/>
  <c r="Q73" i="39"/>
  <c r="O73" i="39"/>
  <c r="F74" i="39" s="1"/>
  <c r="Q64" i="29"/>
  <c r="E65" i="29"/>
  <c r="H65" i="29" s="1"/>
  <c r="T64" i="29"/>
  <c r="V64" i="29" s="1"/>
  <c r="N73" i="40"/>
  <c r="Q73" i="40" s="1"/>
  <c r="E67" i="43"/>
  <c r="T66" i="43"/>
  <c r="V66" i="43" s="1"/>
  <c r="Q66" i="43"/>
  <c r="M79" i="47"/>
  <c r="N79" i="47" s="1"/>
  <c r="E80" i="47" s="1"/>
  <c r="Q71" i="41"/>
  <c r="E72" i="41"/>
  <c r="H72" i="41" s="1"/>
  <c r="E74" i="39"/>
  <c r="T73" i="39"/>
  <c r="V73" i="39" s="1"/>
  <c r="T73" i="36"/>
  <c r="V73" i="36" s="1"/>
  <c r="E74" i="36"/>
  <c r="H74" i="36" s="1"/>
  <c r="Q73" i="36"/>
  <c r="I73" i="36"/>
  <c r="F69" i="36"/>
  <c r="R68" i="36"/>
  <c r="S68" i="36" s="1"/>
  <c r="P68" i="36"/>
  <c r="G69" i="36" s="1"/>
  <c r="O66" i="35"/>
  <c r="M66" i="35"/>
  <c r="N70" i="28"/>
  <c r="O66" i="43" l="1"/>
  <c r="P66" i="43" s="1"/>
  <c r="G67" i="43" s="1"/>
  <c r="M66" i="43"/>
  <c r="P73" i="39"/>
  <c r="G74" i="39" s="1"/>
  <c r="H67" i="43"/>
  <c r="E66" i="44" s="1"/>
  <c r="H74" i="38"/>
  <c r="I74" i="38" s="1"/>
  <c r="Q73" i="38"/>
  <c r="T73" i="38"/>
  <c r="V73" i="38" s="1"/>
  <c r="Q70" i="28"/>
  <c r="E65" i="33"/>
  <c r="G65" i="33" s="1"/>
  <c r="B65" i="33"/>
  <c r="R66" i="43"/>
  <c r="S66" i="43" s="1"/>
  <c r="F67" i="43"/>
  <c r="N73" i="42"/>
  <c r="E74" i="42" s="1"/>
  <c r="N71" i="37"/>
  <c r="E72" i="37" s="1"/>
  <c r="H72" i="37" s="1"/>
  <c r="I72" i="37" s="1"/>
  <c r="I74" i="39"/>
  <c r="L74" i="39" s="1"/>
  <c r="R73" i="39"/>
  <c r="S73" i="39" s="1"/>
  <c r="I72" i="41"/>
  <c r="T73" i="40"/>
  <c r="V73" i="40" s="1"/>
  <c r="E74" i="40"/>
  <c r="H74" i="40" s="1"/>
  <c r="I74" i="40" s="1"/>
  <c r="P79" i="47"/>
  <c r="Q79" i="47" s="1"/>
  <c r="D80" i="47"/>
  <c r="J80" i="47" s="1"/>
  <c r="K80" i="47" s="1"/>
  <c r="O73" i="42"/>
  <c r="F74" i="42" s="1"/>
  <c r="M73" i="42"/>
  <c r="N74" i="39"/>
  <c r="R66" i="35"/>
  <c r="S66" i="35" s="1"/>
  <c r="F67" i="35"/>
  <c r="P66" i="35"/>
  <c r="G67" i="35" s="1"/>
  <c r="E71" i="28"/>
  <c r="H71" i="28" s="1"/>
  <c r="T70" i="28"/>
  <c r="V70" i="28" s="1"/>
  <c r="I67" i="35"/>
  <c r="L69" i="36"/>
  <c r="M69" i="36" s="1"/>
  <c r="N74" i="36"/>
  <c r="I70" i="28"/>
  <c r="N67" i="35"/>
  <c r="E68" i="35" s="1"/>
  <c r="H68" i="35" s="1"/>
  <c r="O66" i="38"/>
  <c r="N67" i="43" l="1"/>
  <c r="T71" i="37"/>
  <c r="V71" i="37" s="1"/>
  <c r="N74" i="38"/>
  <c r="T74" i="38" s="1"/>
  <c r="V74" i="38" s="1"/>
  <c r="Q71" i="37"/>
  <c r="H74" i="42"/>
  <c r="N74" i="42" s="1"/>
  <c r="E75" i="42" s="1"/>
  <c r="H75" i="42" s="1"/>
  <c r="I75" i="42" s="1"/>
  <c r="Q73" i="42"/>
  <c r="T73" i="42"/>
  <c r="V73" i="42" s="1"/>
  <c r="N71" i="28"/>
  <c r="O74" i="39"/>
  <c r="R74" i="39" s="1"/>
  <c r="T74" i="39"/>
  <c r="V74" i="39" s="1"/>
  <c r="N72" i="41"/>
  <c r="E73" i="41" s="1"/>
  <c r="I65" i="29"/>
  <c r="N65" i="29"/>
  <c r="K65" i="33" s="1"/>
  <c r="I67" i="43"/>
  <c r="F66" i="44" s="1"/>
  <c r="E68" i="43"/>
  <c r="T67" i="43"/>
  <c r="V67" i="43" s="1"/>
  <c r="Q67" i="43"/>
  <c r="N74" i="40"/>
  <c r="E75" i="40" s="1"/>
  <c r="H75" i="40" s="1"/>
  <c r="I75" i="40" s="1"/>
  <c r="M80" i="47"/>
  <c r="N80" i="47" s="1"/>
  <c r="E81" i="47" s="1"/>
  <c r="P73" i="42"/>
  <c r="G74" i="42" s="1"/>
  <c r="R73" i="42"/>
  <c r="Q74" i="39"/>
  <c r="E75" i="39"/>
  <c r="T67" i="35"/>
  <c r="V67" i="35" s="1"/>
  <c r="F67" i="38"/>
  <c r="L67" i="38" s="1"/>
  <c r="N72" i="37"/>
  <c r="T72" i="37" s="1"/>
  <c r="V72" i="37" s="1"/>
  <c r="L67" i="35"/>
  <c r="M67" i="35" s="1"/>
  <c r="Q67" i="35"/>
  <c r="O69" i="36"/>
  <c r="I74" i="36"/>
  <c r="T74" i="36"/>
  <c r="V74" i="36" s="1"/>
  <c r="E75" i="36"/>
  <c r="H75" i="36" s="1"/>
  <c r="Q74" i="36"/>
  <c r="R66" i="38"/>
  <c r="S66" i="38" s="1"/>
  <c r="P66" i="38"/>
  <c r="G67" i="38" s="1"/>
  <c r="P74" i="39" l="1"/>
  <c r="G75" i="39" s="1"/>
  <c r="Q74" i="38"/>
  <c r="S73" i="42"/>
  <c r="E75" i="38"/>
  <c r="H75" i="38" s="1"/>
  <c r="I75" i="38" s="1"/>
  <c r="H68" i="43"/>
  <c r="E67" i="44" s="1"/>
  <c r="I74" i="42"/>
  <c r="L74" i="42" s="1"/>
  <c r="H73" i="41"/>
  <c r="I73" i="41" s="1"/>
  <c r="F65" i="33"/>
  <c r="Q65" i="33"/>
  <c r="N65" i="33"/>
  <c r="Q72" i="41"/>
  <c r="T72" i="41"/>
  <c r="V72" i="41" s="1"/>
  <c r="I75" i="39"/>
  <c r="F75" i="39"/>
  <c r="I71" i="28"/>
  <c r="Q65" i="29"/>
  <c r="E66" i="29"/>
  <c r="H66" i="29" s="1"/>
  <c r="T65" i="29"/>
  <c r="V65" i="29" s="1"/>
  <c r="E72" i="28"/>
  <c r="H72" i="28" s="1"/>
  <c r="T71" i="28"/>
  <c r="V71" i="28" s="1"/>
  <c r="Q71" i="28"/>
  <c r="D81" i="47"/>
  <c r="J81" i="47" s="1"/>
  <c r="K81" i="47" s="1"/>
  <c r="P80" i="47"/>
  <c r="Q80" i="47" s="1"/>
  <c r="Q74" i="40"/>
  <c r="T74" i="40"/>
  <c r="V74" i="40" s="1"/>
  <c r="L67" i="43"/>
  <c r="O67" i="43" s="1"/>
  <c r="S74" i="39"/>
  <c r="T74" i="42"/>
  <c r="V74" i="42" s="1"/>
  <c r="Q74" i="42"/>
  <c r="N75" i="40"/>
  <c r="Q75" i="40" s="1"/>
  <c r="Q72" i="37"/>
  <c r="E73" i="37"/>
  <c r="H73" i="37" s="1"/>
  <c r="I73" i="37" s="1"/>
  <c r="N75" i="39"/>
  <c r="M75" i="39"/>
  <c r="M67" i="38"/>
  <c r="I68" i="35"/>
  <c r="O67" i="35"/>
  <c r="N75" i="36"/>
  <c r="F70" i="36"/>
  <c r="R69" i="36"/>
  <c r="S69" i="36" s="1"/>
  <c r="P69" i="36"/>
  <c r="G70" i="36" s="1"/>
  <c r="N68" i="35"/>
  <c r="G11" i="44"/>
  <c r="O11" i="34"/>
  <c r="L75" i="39" l="1"/>
  <c r="N68" i="43"/>
  <c r="Q68" i="43" s="1"/>
  <c r="N73" i="41"/>
  <c r="E74" i="41" s="1"/>
  <c r="H74" i="41" s="1"/>
  <c r="I74" i="41" s="1"/>
  <c r="M74" i="42"/>
  <c r="O74" i="42"/>
  <c r="P74" i="42" s="1"/>
  <c r="G75" i="42" s="1"/>
  <c r="N75" i="38"/>
  <c r="E76" i="38" s="1"/>
  <c r="H76" i="38" s="1"/>
  <c r="I76" i="38" s="1"/>
  <c r="E66" i="33"/>
  <c r="G66" i="33" s="1"/>
  <c r="B66" i="33"/>
  <c r="O75" i="39"/>
  <c r="R75" i="39" s="1"/>
  <c r="N72" i="28"/>
  <c r="Q75" i="39"/>
  <c r="N66" i="29"/>
  <c r="K66" i="33" s="1"/>
  <c r="M81" i="47"/>
  <c r="D82" i="47" s="1"/>
  <c r="J82" i="47" s="1"/>
  <c r="K82" i="47" s="1"/>
  <c r="F68" i="43"/>
  <c r="R67" i="43"/>
  <c r="S67" i="43" s="1"/>
  <c r="P67" i="43"/>
  <c r="G68" i="43" s="1"/>
  <c r="I68" i="43"/>
  <c r="F67" i="44" s="1"/>
  <c r="T68" i="43"/>
  <c r="V68" i="43" s="1"/>
  <c r="E69" i="43"/>
  <c r="N75" i="42"/>
  <c r="T75" i="42" s="1"/>
  <c r="V75" i="42" s="1"/>
  <c r="T75" i="40"/>
  <c r="V75" i="40" s="1"/>
  <c r="E76" i="40"/>
  <c r="T75" i="39"/>
  <c r="V75" i="39" s="1"/>
  <c r="E76" i="39"/>
  <c r="O67" i="38"/>
  <c r="Q68" i="35"/>
  <c r="T68" i="35"/>
  <c r="V68" i="35" s="1"/>
  <c r="E69" i="35"/>
  <c r="H69" i="35" s="1"/>
  <c r="P67" i="35"/>
  <c r="G68" i="35" s="1"/>
  <c r="R67" i="35"/>
  <c r="S67" i="35" s="1"/>
  <c r="F68" i="35"/>
  <c r="I75" i="36"/>
  <c r="L70" i="36"/>
  <c r="M70" i="36" s="1"/>
  <c r="E76" i="36"/>
  <c r="H76" i="36" s="1"/>
  <c r="T75" i="36"/>
  <c r="V75" i="36" s="1"/>
  <c r="Q75" i="36"/>
  <c r="J11" i="44"/>
  <c r="M11" i="34"/>
  <c r="F12" i="34"/>
  <c r="P11" i="34"/>
  <c r="G12" i="34" s="1"/>
  <c r="M11" i="44"/>
  <c r="P75" i="39" l="1"/>
  <c r="G76" i="39" s="1"/>
  <c r="S75" i="39"/>
  <c r="T75" i="38"/>
  <c r="V75" i="38" s="1"/>
  <c r="F75" i="42"/>
  <c r="L75" i="42" s="1"/>
  <c r="M75" i="42" s="1"/>
  <c r="R74" i="42"/>
  <c r="S74" i="42" s="1"/>
  <c r="Q75" i="38"/>
  <c r="T73" i="41"/>
  <c r="V73" i="41" s="1"/>
  <c r="Q73" i="41"/>
  <c r="H69" i="43"/>
  <c r="E68" i="44" s="1"/>
  <c r="F76" i="39"/>
  <c r="N73" i="37"/>
  <c r="E74" i="37" s="1"/>
  <c r="H74" i="37" s="1"/>
  <c r="I74" i="37" s="1"/>
  <c r="T72" i="28"/>
  <c r="V72" i="28" s="1"/>
  <c r="Q66" i="33"/>
  <c r="N66" i="33"/>
  <c r="I72" i="28"/>
  <c r="I76" i="39"/>
  <c r="M82" i="47"/>
  <c r="N82" i="47" s="1"/>
  <c r="E83" i="47" s="1"/>
  <c r="N81" i="47"/>
  <c r="E82" i="47" s="1"/>
  <c r="P81" i="47"/>
  <c r="Q81" i="47" s="1"/>
  <c r="Q66" i="29"/>
  <c r="E67" i="29"/>
  <c r="H67" i="29" s="1"/>
  <c r="T66" i="29"/>
  <c r="V66" i="29" s="1"/>
  <c r="I66" i="29"/>
  <c r="F66" i="33" s="1"/>
  <c r="E76" i="42"/>
  <c r="H76" i="42" s="1"/>
  <c r="I76" i="42" s="1"/>
  <c r="Q75" i="42"/>
  <c r="L68" i="43"/>
  <c r="O68" i="43" s="1"/>
  <c r="H76" i="40"/>
  <c r="I76" i="40" s="1"/>
  <c r="N76" i="38"/>
  <c r="T76" i="38" s="1"/>
  <c r="V76" i="38" s="1"/>
  <c r="N69" i="35"/>
  <c r="N74" i="41"/>
  <c r="Q74" i="41" s="1"/>
  <c r="N76" i="39"/>
  <c r="F68" i="38"/>
  <c r="L68" i="38" s="1"/>
  <c r="R67" i="38"/>
  <c r="S67" i="38" s="1"/>
  <c r="P67" i="38"/>
  <c r="G68" i="38" s="1"/>
  <c r="L68" i="35"/>
  <c r="N76" i="36"/>
  <c r="O70" i="36"/>
  <c r="Q72" i="28"/>
  <c r="E73" i="28"/>
  <c r="H73" i="28" s="1"/>
  <c r="D12" i="44"/>
  <c r="L76" i="39" l="1"/>
  <c r="O76" i="39" s="1"/>
  <c r="F77" i="39" s="1"/>
  <c r="O75" i="42"/>
  <c r="F76" i="42" s="1"/>
  <c r="L76" i="42" s="1"/>
  <c r="N69" i="43"/>
  <c r="E70" i="43" s="1"/>
  <c r="T73" i="37"/>
  <c r="V73" i="37" s="1"/>
  <c r="Q73" i="37"/>
  <c r="D83" i="47"/>
  <c r="J83" i="47" s="1"/>
  <c r="K83" i="47" s="1"/>
  <c r="P82" i="47"/>
  <c r="Q82" i="47" s="1"/>
  <c r="E67" i="33"/>
  <c r="G67" i="33" s="1"/>
  <c r="B67" i="33"/>
  <c r="Q76" i="39"/>
  <c r="R75" i="42"/>
  <c r="S75" i="42" s="1"/>
  <c r="P75" i="42"/>
  <c r="G76" i="42" s="1"/>
  <c r="N76" i="40"/>
  <c r="E77" i="40" s="1"/>
  <c r="H77" i="40" s="1"/>
  <c r="I77" i="40" s="1"/>
  <c r="I69" i="43"/>
  <c r="F68" i="44" s="1"/>
  <c r="R68" i="43"/>
  <c r="S68" i="43" s="1"/>
  <c r="F69" i="43"/>
  <c r="P68" i="43"/>
  <c r="G69" i="43" s="1"/>
  <c r="I69" i="35"/>
  <c r="Q69" i="35"/>
  <c r="E70" i="35"/>
  <c r="H70" i="35" s="1"/>
  <c r="T69" i="35"/>
  <c r="V69" i="35" s="1"/>
  <c r="Q76" i="38"/>
  <c r="E77" i="38"/>
  <c r="H77" i="38" s="1"/>
  <c r="I77" i="38" s="1"/>
  <c r="E75" i="41"/>
  <c r="H75" i="41" s="1"/>
  <c r="T74" i="41"/>
  <c r="V74" i="41" s="1"/>
  <c r="E77" i="39"/>
  <c r="T76" i="39"/>
  <c r="V76" i="39" s="1"/>
  <c r="M68" i="38"/>
  <c r="N74" i="37"/>
  <c r="E75" i="37" s="1"/>
  <c r="H75" i="37" s="1"/>
  <c r="I75" i="37" s="1"/>
  <c r="O68" i="35"/>
  <c r="I76" i="36"/>
  <c r="F71" i="36"/>
  <c r="R70" i="36"/>
  <c r="S70" i="36" s="1"/>
  <c r="P70" i="36"/>
  <c r="G71" i="36" s="1"/>
  <c r="T76" i="36"/>
  <c r="V76" i="36" s="1"/>
  <c r="E77" i="36"/>
  <c r="H77" i="36" s="1"/>
  <c r="Q76" i="36"/>
  <c r="G12" i="44"/>
  <c r="O12" i="34"/>
  <c r="M12" i="34"/>
  <c r="O76" i="42" l="1"/>
  <c r="Q69" i="43"/>
  <c r="M83" i="47"/>
  <c r="P83" i="47" s="1"/>
  <c r="Q83" i="47" s="1"/>
  <c r="T69" i="43"/>
  <c r="V69" i="43" s="1"/>
  <c r="P76" i="39"/>
  <c r="G77" i="39" s="1"/>
  <c r="H70" i="43"/>
  <c r="E69" i="44" s="1"/>
  <c r="F13" i="34"/>
  <c r="N76" i="42"/>
  <c r="E77" i="42" s="1"/>
  <c r="N67" i="29"/>
  <c r="K67" i="33" s="1"/>
  <c r="N67" i="33" s="1"/>
  <c r="I77" i="39"/>
  <c r="L77" i="39" s="1"/>
  <c r="R76" i="39"/>
  <c r="S76" i="39" s="1"/>
  <c r="I75" i="41"/>
  <c r="I67" i="29"/>
  <c r="F67" i="33" s="1"/>
  <c r="T76" i="40"/>
  <c r="V76" i="40" s="1"/>
  <c r="Q76" i="40"/>
  <c r="L69" i="43"/>
  <c r="I70" i="35"/>
  <c r="M76" i="42"/>
  <c r="F77" i="42"/>
  <c r="R76" i="42"/>
  <c r="N77" i="40"/>
  <c r="E78" i="40" s="1"/>
  <c r="H78" i="40" s="1"/>
  <c r="T74" i="37"/>
  <c r="V74" i="37" s="1"/>
  <c r="Q74" i="37"/>
  <c r="N77" i="39"/>
  <c r="O68" i="38"/>
  <c r="F69" i="35"/>
  <c r="P68" i="35"/>
  <c r="G69" i="35" s="1"/>
  <c r="R68" i="35"/>
  <c r="S68" i="35" s="1"/>
  <c r="N77" i="36"/>
  <c r="L71" i="36"/>
  <c r="M71" i="36" s="1"/>
  <c r="I73" i="28"/>
  <c r="N73" i="28"/>
  <c r="P12" i="34"/>
  <c r="G13" i="34" s="1"/>
  <c r="O13" i="41"/>
  <c r="F14" i="41" s="1"/>
  <c r="M13" i="41"/>
  <c r="N83" i="47" l="1"/>
  <c r="E84" i="47" s="1"/>
  <c r="O69" i="43"/>
  <c r="M69" i="43"/>
  <c r="D84" i="47"/>
  <c r="J84" i="47" s="1"/>
  <c r="K84" i="47" s="1"/>
  <c r="Q67" i="33"/>
  <c r="Q76" i="42"/>
  <c r="S76" i="42" s="1"/>
  <c r="P76" i="42"/>
  <c r="G77" i="42" s="1"/>
  <c r="T76" i="42"/>
  <c r="V76" i="42" s="1"/>
  <c r="N70" i="43"/>
  <c r="E71" i="43" s="1"/>
  <c r="H77" i="42"/>
  <c r="N77" i="42" s="1"/>
  <c r="T77" i="42" s="1"/>
  <c r="V77" i="42" s="1"/>
  <c r="E68" i="29"/>
  <c r="H68" i="29" s="1"/>
  <c r="E68" i="33" s="1"/>
  <c r="G68" i="33" s="1"/>
  <c r="Q67" i="29"/>
  <c r="T67" i="29"/>
  <c r="V67" i="29" s="1"/>
  <c r="T73" i="28"/>
  <c r="V73" i="28" s="1"/>
  <c r="N77" i="38"/>
  <c r="T77" i="38" s="1"/>
  <c r="V77" i="38" s="1"/>
  <c r="N75" i="41"/>
  <c r="Q75" i="41" s="1"/>
  <c r="T77" i="39"/>
  <c r="V77" i="39" s="1"/>
  <c r="O77" i="39"/>
  <c r="F78" i="39" s="1"/>
  <c r="I70" i="43"/>
  <c r="F69" i="44" s="1"/>
  <c r="F70" i="43"/>
  <c r="P69" i="43"/>
  <c r="G70" i="43" s="1"/>
  <c r="R69" i="43"/>
  <c r="S69" i="43" s="1"/>
  <c r="N70" i="35"/>
  <c r="E71" i="35" s="1"/>
  <c r="H71" i="35" s="1"/>
  <c r="E78" i="39"/>
  <c r="Q77" i="40"/>
  <c r="T77" i="40"/>
  <c r="V77" i="40" s="1"/>
  <c r="Q77" i="39"/>
  <c r="I78" i="40"/>
  <c r="F69" i="38"/>
  <c r="L69" i="38" s="1"/>
  <c r="R68" i="38"/>
  <c r="S68" i="38" s="1"/>
  <c r="P68" i="38"/>
  <c r="G69" i="38" s="1"/>
  <c r="N75" i="37"/>
  <c r="Q75" i="37" s="1"/>
  <c r="E74" i="28"/>
  <c r="H74" i="28" s="1"/>
  <c r="L69" i="35"/>
  <c r="O69" i="35" s="1"/>
  <c r="O71" i="36"/>
  <c r="T77" i="36"/>
  <c r="V77" i="36" s="1"/>
  <c r="E78" i="36"/>
  <c r="H78" i="36" s="1"/>
  <c r="Q77" i="36"/>
  <c r="I77" i="36"/>
  <c r="Q73" i="28"/>
  <c r="P13" i="41"/>
  <c r="G14" i="41" s="1"/>
  <c r="M13" i="34"/>
  <c r="J12" i="44"/>
  <c r="O13" i="34"/>
  <c r="M84" i="47" l="1"/>
  <c r="P84" i="47" s="1"/>
  <c r="Q84" i="47" s="1"/>
  <c r="P77" i="39"/>
  <c r="G78" i="39" s="1"/>
  <c r="T70" i="43"/>
  <c r="V70" i="43" s="1"/>
  <c r="Q70" i="43"/>
  <c r="B68" i="33"/>
  <c r="H71" i="43"/>
  <c r="E70" i="44" s="1"/>
  <c r="I77" i="42"/>
  <c r="L77" i="42" s="1"/>
  <c r="E78" i="38"/>
  <c r="H78" i="38" s="1"/>
  <c r="I78" i="38" s="1"/>
  <c r="F14" i="34"/>
  <c r="Q77" i="38"/>
  <c r="E76" i="41"/>
  <c r="N68" i="29"/>
  <c r="K68" i="33" s="1"/>
  <c r="T75" i="41"/>
  <c r="V75" i="41" s="1"/>
  <c r="N74" i="28"/>
  <c r="R77" i="39"/>
  <c r="S77" i="39" s="1"/>
  <c r="I78" i="39"/>
  <c r="L78" i="39" s="1"/>
  <c r="I68" i="29"/>
  <c r="F68" i="33" s="1"/>
  <c r="N84" i="47"/>
  <c r="E85" i="47" s="1"/>
  <c r="D85" i="47"/>
  <c r="J85" i="47" s="1"/>
  <c r="K85" i="47" s="1"/>
  <c r="Q70" i="35"/>
  <c r="T70" i="35"/>
  <c r="V70" i="35" s="1"/>
  <c r="L70" i="43"/>
  <c r="Q77" i="42"/>
  <c r="E78" i="42"/>
  <c r="H78" i="42" s="1"/>
  <c r="I78" i="42" s="1"/>
  <c r="T75" i="37"/>
  <c r="V75" i="37" s="1"/>
  <c r="N78" i="39"/>
  <c r="N78" i="40"/>
  <c r="T78" i="40" s="1"/>
  <c r="V78" i="40" s="1"/>
  <c r="I71" i="35"/>
  <c r="E76" i="37"/>
  <c r="H76" i="37" s="1"/>
  <c r="I76" i="37" s="1"/>
  <c r="M69" i="38"/>
  <c r="F70" i="35"/>
  <c r="P69" i="35"/>
  <c r="G70" i="35" s="1"/>
  <c r="R69" i="35"/>
  <c r="S69" i="35" s="1"/>
  <c r="M69" i="35"/>
  <c r="N78" i="36"/>
  <c r="F72" i="36"/>
  <c r="R71" i="36"/>
  <c r="S71" i="36" s="1"/>
  <c r="P71" i="36"/>
  <c r="G72" i="36" s="1"/>
  <c r="M12" i="44"/>
  <c r="P13" i="34"/>
  <c r="G14" i="34" s="1"/>
  <c r="M14" i="34"/>
  <c r="O70" i="43" l="1"/>
  <c r="M70" i="43"/>
  <c r="N71" i="43"/>
  <c r="E72" i="43" s="1"/>
  <c r="O77" i="42"/>
  <c r="M77" i="42"/>
  <c r="H76" i="41"/>
  <c r="I76" i="41" s="1"/>
  <c r="E69" i="29"/>
  <c r="H69" i="29" s="1"/>
  <c r="E69" i="33" s="1"/>
  <c r="T68" i="29"/>
  <c r="V68" i="29" s="1"/>
  <c r="Q68" i="29"/>
  <c r="I74" i="28"/>
  <c r="M85" i="47"/>
  <c r="D86" i="47" s="1"/>
  <c r="J86" i="47" s="1"/>
  <c r="T74" i="28"/>
  <c r="V74" i="28" s="1"/>
  <c r="Q68" i="33"/>
  <c r="N68" i="33"/>
  <c r="O78" i="39"/>
  <c r="R78" i="39" s="1"/>
  <c r="T78" i="39"/>
  <c r="V78" i="39" s="1"/>
  <c r="F71" i="43"/>
  <c r="P70" i="43"/>
  <c r="G71" i="43" s="1"/>
  <c r="R70" i="43"/>
  <c r="S70" i="43" s="1"/>
  <c r="I71" i="43"/>
  <c r="F70" i="44" s="1"/>
  <c r="Q78" i="39"/>
  <c r="E79" i="39"/>
  <c r="N71" i="35"/>
  <c r="E72" i="35" s="1"/>
  <c r="H72" i="35" s="1"/>
  <c r="Q78" i="40"/>
  <c r="E79" i="40"/>
  <c r="N78" i="38"/>
  <c r="O69" i="38"/>
  <c r="L70" i="35"/>
  <c r="O70" i="35" s="1"/>
  <c r="L72" i="36"/>
  <c r="M72" i="36" s="1"/>
  <c r="T78" i="36"/>
  <c r="V78" i="36" s="1"/>
  <c r="E79" i="36"/>
  <c r="H79" i="36" s="1"/>
  <c r="Q78" i="36"/>
  <c r="I78" i="36"/>
  <c r="E75" i="28"/>
  <c r="H75" i="28" s="1"/>
  <c r="Q74" i="28"/>
  <c r="D13" i="44"/>
  <c r="O14" i="34"/>
  <c r="T71" i="43" l="1"/>
  <c r="V71" i="43" s="1"/>
  <c r="Q71" i="43"/>
  <c r="P78" i="39"/>
  <c r="G79" i="39" s="1"/>
  <c r="N76" i="41"/>
  <c r="E77" i="41" s="1"/>
  <c r="H77" i="41" s="1"/>
  <c r="I77" i="41" s="1"/>
  <c r="N69" i="29"/>
  <c r="K69" i="33" s="1"/>
  <c r="Q69" i="33" s="1"/>
  <c r="B69" i="33"/>
  <c r="H72" i="43"/>
  <c r="E71" i="44" s="1"/>
  <c r="F78" i="42"/>
  <c r="R77" i="42"/>
  <c r="S77" i="42" s="1"/>
  <c r="P77" i="42"/>
  <c r="G78" i="42" s="1"/>
  <c r="F15" i="34"/>
  <c r="P85" i="47"/>
  <c r="Q85" i="47" s="1"/>
  <c r="N85" i="47"/>
  <c r="E86" i="47" s="1"/>
  <c r="N76" i="37"/>
  <c r="E77" i="37" s="1"/>
  <c r="F79" i="39"/>
  <c r="Q76" i="41"/>
  <c r="I75" i="28"/>
  <c r="N78" i="42"/>
  <c r="Q78" i="42" s="1"/>
  <c r="I79" i="39"/>
  <c r="I69" i="29"/>
  <c r="F69" i="33" s="1"/>
  <c r="G69" i="33" s="1"/>
  <c r="L71" i="43"/>
  <c r="H79" i="40"/>
  <c r="I79" i="40" s="1"/>
  <c r="M86" i="47"/>
  <c r="D87" i="47" s="1"/>
  <c r="K86" i="47"/>
  <c r="T71" i="35"/>
  <c r="V71" i="35" s="1"/>
  <c r="S78" i="39"/>
  <c r="Q71" i="35"/>
  <c r="N79" i="39"/>
  <c r="F70" i="38"/>
  <c r="L70" i="38" s="1"/>
  <c r="R69" i="38"/>
  <c r="S69" i="38" s="1"/>
  <c r="P69" i="38"/>
  <c r="G70" i="38" s="1"/>
  <c r="T78" i="38"/>
  <c r="V78" i="38" s="1"/>
  <c r="E79" i="38"/>
  <c r="H79" i="38" s="1"/>
  <c r="I79" i="38" s="1"/>
  <c r="Q78" i="38"/>
  <c r="R70" i="35"/>
  <c r="S70" i="35" s="1"/>
  <c r="F71" i="35"/>
  <c r="P70" i="35"/>
  <c r="G71" i="35" s="1"/>
  <c r="M70" i="35"/>
  <c r="N79" i="36"/>
  <c r="O72" i="36"/>
  <c r="P14" i="34"/>
  <c r="G15" i="34" s="1"/>
  <c r="T76" i="41" l="1"/>
  <c r="V76" i="41" s="1"/>
  <c r="O71" i="43"/>
  <c r="M71" i="43"/>
  <c r="L79" i="39"/>
  <c r="O79" i="39" s="1"/>
  <c r="R79" i="39" s="1"/>
  <c r="N69" i="33"/>
  <c r="E70" i="29"/>
  <c r="H70" i="29" s="1"/>
  <c r="E70" i="33" s="1"/>
  <c r="Q69" i="29"/>
  <c r="T69" i="29"/>
  <c r="V69" i="29" s="1"/>
  <c r="N77" i="41"/>
  <c r="E78" i="41" s="1"/>
  <c r="H78" i="41" s="1"/>
  <c r="I78" i="41" s="1"/>
  <c r="N72" i="43"/>
  <c r="E73" i="43" s="1"/>
  <c r="L78" i="42"/>
  <c r="M78" i="42" s="1"/>
  <c r="H77" i="37"/>
  <c r="I77" i="37" s="1"/>
  <c r="Q76" i="37"/>
  <c r="T76" i="37"/>
  <c r="V76" i="37" s="1"/>
  <c r="E79" i="42"/>
  <c r="T78" i="42"/>
  <c r="V78" i="42" s="1"/>
  <c r="N75" i="28"/>
  <c r="T75" i="28" s="1"/>
  <c r="V75" i="28" s="1"/>
  <c r="I72" i="43"/>
  <c r="F71" i="44" s="1"/>
  <c r="F72" i="43"/>
  <c r="P71" i="43"/>
  <c r="G72" i="43" s="1"/>
  <c r="R71" i="43"/>
  <c r="S71" i="43" s="1"/>
  <c r="N79" i="40"/>
  <c r="E80" i="40" s="1"/>
  <c r="H80" i="40" s="1"/>
  <c r="I80" i="40" s="1"/>
  <c r="I72" i="35"/>
  <c r="N72" i="35"/>
  <c r="T72" i="35" s="1"/>
  <c r="V72" i="35" s="1"/>
  <c r="P86" i="47"/>
  <c r="Q86" i="47" s="1"/>
  <c r="N86" i="47"/>
  <c r="E87" i="47" s="1"/>
  <c r="J87" i="47"/>
  <c r="E80" i="39"/>
  <c r="T79" i="39"/>
  <c r="V79" i="39" s="1"/>
  <c r="Q79" i="39"/>
  <c r="M70" i="38"/>
  <c r="L71" i="35"/>
  <c r="O71" i="35" s="1"/>
  <c r="I79" i="36"/>
  <c r="F73" i="36"/>
  <c r="R72" i="36"/>
  <c r="S72" i="36" s="1"/>
  <c r="P72" i="36"/>
  <c r="G73" i="36" s="1"/>
  <c r="E80" i="36"/>
  <c r="H80" i="36" s="1"/>
  <c r="T79" i="36"/>
  <c r="V79" i="36" s="1"/>
  <c r="Q79" i="36"/>
  <c r="M15" i="34"/>
  <c r="O15" i="34"/>
  <c r="B70" i="33" l="1"/>
  <c r="Q77" i="41"/>
  <c r="Q75" i="28"/>
  <c r="P79" i="39"/>
  <c r="G80" i="39" s="1"/>
  <c r="T77" i="41"/>
  <c r="V77" i="41" s="1"/>
  <c r="N77" i="37"/>
  <c r="T77" i="37" s="1"/>
  <c r="V77" i="37" s="1"/>
  <c r="Q72" i="43"/>
  <c r="T72" i="43"/>
  <c r="V72" i="43" s="1"/>
  <c r="H73" i="43"/>
  <c r="E72" i="44" s="1"/>
  <c r="O78" i="42"/>
  <c r="H79" i="42"/>
  <c r="I79" i="42" s="1"/>
  <c r="E76" i="28"/>
  <c r="H76" i="28" s="1"/>
  <c r="N76" i="28" s="1"/>
  <c r="N70" i="29"/>
  <c r="K70" i="33" s="1"/>
  <c r="I80" i="39"/>
  <c r="F80" i="39"/>
  <c r="I70" i="29"/>
  <c r="F70" i="33" s="1"/>
  <c r="G70" i="33" s="1"/>
  <c r="T79" i="40"/>
  <c r="V79" i="40" s="1"/>
  <c r="L72" i="43"/>
  <c r="Q79" i="40"/>
  <c r="Q72" i="35"/>
  <c r="E73" i="35"/>
  <c r="H73" i="35" s="1"/>
  <c r="S79" i="39"/>
  <c r="M87" i="47"/>
  <c r="N87" i="47" s="1"/>
  <c r="E88" i="47" s="1"/>
  <c r="K87" i="47"/>
  <c r="N78" i="41"/>
  <c r="Q78" i="41" s="1"/>
  <c r="N80" i="39"/>
  <c r="N80" i="40"/>
  <c r="E81" i="40" s="1"/>
  <c r="H81" i="40" s="1"/>
  <c r="N79" i="38"/>
  <c r="Q79" i="38" s="1"/>
  <c r="O70" i="38"/>
  <c r="F72" i="35"/>
  <c r="P71" i="35"/>
  <c r="G72" i="35" s="1"/>
  <c r="R71" i="35"/>
  <c r="S71" i="35" s="1"/>
  <c r="M71" i="35"/>
  <c r="N80" i="36"/>
  <c r="L73" i="36"/>
  <c r="M73" i="36" s="1"/>
  <c r="F16" i="34"/>
  <c r="P15" i="34"/>
  <c r="G16" i="34" s="1"/>
  <c r="O72" i="43" l="1"/>
  <c r="M72" i="43"/>
  <c r="E78" i="37"/>
  <c r="H78" i="37" s="1"/>
  <c r="I78" i="37" s="1"/>
  <c r="L80" i="39"/>
  <c r="O80" i="39" s="1"/>
  <c r="P80" i="39" s="1"/>
  <c r="G81" i="39" s="1"/>
  <c r="Q77" i="37"/>
  <c r="N79" i="42"/>
  <c r="E80" i="42" s="1"/>
  <c r="H80" i="42" s="1"/>
  <c r="I80" i="42" s="1"/>
  <c r="E71" i="29"/>
  <c r="H71" i="29" s="1"/>
  <c r="E71" i="33" s="1"/>
  <c r="G71" i="33" s="1"/>
  <c r="T70" i="29"/>
  <c r="V70" i="29" s="1"/>
  <c r="N73" i="43"/>
  <c r="Q73" i="43" s="1"/>
  <c r="F79" i="42"/>
  <c r="L79" i="42" s="1"/>
  <c r="O79" i="42" s="1"/>
  <c r="R78" i="42"/>
  <c r="S78" i="42" s="1"/>
  <c r="P78" i="42"/>
  <c r="G79" i="42" s="1"/>
  <c r="Q70" i="29"/>
  <c r="Q70" i="33"/>
  <c r="N70" i="33"/>
  <c r="E81" i="39"/>
  <c r="I76" i="28"/>
  <c r="Q76" i="28"/>
  <c r="T76" i="28"/>
  <c r="V76" i="28" s="1"/>
  <c r="E77" i="28"/>
  <c r="H77" i="28" s="1"/>
  <c r="I73" i="43"/>
  <c r="F72" i="44" s="1"/>
  <c r="F73" i="43"/>
  <c r="P72" i="43"/>
  <c r="G73" i="43" s="1"/>
  <c r="R72" i="43"/>
  <c r="S72" i="43" s="1"/>
  <c r="N73" i="35"/>
  <c r="P87" i="47"/>
  <c r="Q87" i="47" s="1"/>
  <c r="D88" i="47"/>
  <c r="J88" i="47" s="1"/>
  <c r="T78" i="41"/>
  <c r="V78" i="41" s="1"/>
  <c r="Q80" i="39"/>
  <c r="E79" i="41"/>
  <c r="H79" i="41" s="1"/>
  <c r="T80" i="39"/>
  <c r="V80" i="39" s="1"/>
  <c r="Q80" i="40"/>
  <c r="T80" i="40"/>
  <c r="V80" i="40" s="1"/>
  <c r="T79" i="38"/>
  <c r="V79" i="38" s="1"/>
  <c r="I81" i="40"/>
  <c r="E80" i="38"/>
  <c r="H80" i="38" s="1"/>
  <c r="I80" i="38" s="1"/>
  <c r="I81" i="39"/>
  <c r="F71" i="38"/>
  <c r="L71" i="38" s="1"/>
  <c r="R70" i="38"/>
  <c r="S70" i="38" s="1"/>
  <c r="P70" i="38"/>
  <c r="G71" i="38" s="1"/>
  <c r="L72" i="35"/>
  <c r="O72" i="35" s="1"/>
  <c r="O73" i="36"/>
  <c r="T80" i="36"/>
  <c r="V80" i="36" s="1"/>
  <c r="E81" i="36"/>
  <c r="H81" i="36" s="1"/>
  <c r="Q80" i="36"/>
  <c r="I80" i="36"/>
  <c r="M16" i="34"/>
  <c r="O16" i="34"/>
  <c r="T79" i="42" l="1"/>
  <c r="V79" i="42" s="1"/>
  <c r="N71" i="29"/>
  <c r="K71" i="33" s="1"/>
  <c r="N71" i="33" s="1"/>
  <c r="B71" i="33"/>
  <c r="Q79" i="42"/>
  <c r="T73" i="43"/>
  <c r="V73" i="43" s="1"/>
  <c r="E74" i="43"/>
  <c r="H74" i="43" s="1"/>
  <c r="E73" i="44" s="1"/>
  <c r="R79" i="42"/>
  <c r="F80" i="42"/>
  <c r="L80" i="42" s="1"/>
  <c r="M80" i="42" s="1"/>
  <c r="M79" i="42"/>
  <c r="N80" i="42"/>
  <c r="T80" i="42" s="1"/>
  <c r="V80" i="42" s="1"/>
  <c r="P79" i="42"/>
  <c r="G80" i="42" s="1"/>
  <c r="Q71" i="33"/>
  <c r="N78" i="37"/>
  <c r="Q78" i="37" s="1"/>
  <c r="N77" i="28"/>
  <c r="E78" i="28" s="1"/>
  <c r="H78" i="28" s="1"/>
  <c r="F81" i="39"/>
  <c r="L81" i="39" s="1"/>
  <c r="R80" i="39"/>
  <c r="S80" i="39" s="1"/>
  <c r="I79" i="41"/>
  <c r="T71" i="29"/>
  <c r="V71" i="29" s="1"/>
  <c r="Q71" i="29"/>
  <c r="I71" i="29"/>
  <c r="F71" i="33" s="1"/>
  <c r="L73" i="43"/>
  <c r="T73" i="35"/>
  <c r="V73" i="35" s="1"/>
  <c r="I73" i="35"/>
  <c r="Q73" i="35"/>
  <c r="E74" i="35"/>
  <c r="H74" i="35" s="1"/>
  <c r="M88" i="47"/>
  <c r="D89" i="47" s="1"/>
  <c r="K88" i="47"/>
  <c r="N81" i="40"/>
  <c r="Q81" i="40" s="1"/>
  <c r="N81" i="39"/>
  <c r="M71" i="38"/>
  <c r="M72" i="35"/>
  <c r="F73" i="35"/>
  <c r="R72" i="35"/>
  <c r="S72" i="35" s="1"/>
  <c r="P72" i="35"/>
  <c r="G73" i="35" s="1"/>
  <c r="N81" i="36"/>
  <c r="F74" i="36"/>
  <c r="R73" i="36"/>
  <c r="S73" i="36" s="1"/>
  <c r="P73" i="36"/>
  <c r="G74" i="36" s="1"/>
  <c r="I77" i="28"/>
  <c r="P16" i="34"/>
  <c r="F17" i="34"/>
  <c r="O73" i="43" l="1"/>
  <c r="M73" i="43"/>
  <c r="E72" i="29"/>
  <c r="H72" i="29" s="1"/>
  <c r="E72" i="33" s="1"/>
  <c r="S79" i="42"/>
  <c r="Q80" i="42"/>
  <c r="E81" i="42"/>
  <c r="H81" i="42" s="1"/>
  <c r="I81" i="42" s="1"/>
  <c r="Q77" i="28"/>
  <c r="O80" i="42"/>
  <c r="O81" i="39"/>
  <c r="R81" i="39" s="1"/>
  <c r="T77" i="28"/>
  <c r="V77" i="28" s="1"/>
  <c r="T78" i="37"/>
  <c r="V78" i="37" s="1"/>
  <c r="E79" i="37"/>
  <c r="H79" i="37" s="1"/>
  <c r="I79" i="37" s="1"/>
  <c r="I74" i="43"/>
  <c r="F73" i="44" s="1"/>
  <c r="N79" i="41"/>
  <c r="T79" i="41" s="1"/>
  <c r="V79" i="41" s="1"/>
  <c r="T81" i="39"/>
  <c r="V81" i="39" s="1"/>
  <c r="F74" i="43"/>
  <c r="P73" i="43"/>
  <c r="G74" i="43" s="1"/>
  <c r="R73" i="43"/>
  <c r="S73" i="43" s="1"/>
  <c r="N74" i="43"/>
  <c r="I74" i="35"/>
  <c r="P88" i="47"/>
  <c r="Q88" i="47" s="1"/>
  <c r="N88" i="47"/>
  <c r="E89" i="47" s="1"/>
  <c r="J89" i="47"/>
  <c r="E82" i="40"/>
  <c r="T81" i="40"/>
  <c r="V81" i="40" s="1"/>
  <c r="Q81" i="39"/>
  <c r="E82" i="39"/>
  <c r="N80" i="38"/>
  <c r="O71" i="38"/>
  <c r="R71" i="38" s="1"/>
  <c r="S71" i="38" s="1"/>
  <c r="L73" i="35"/>
  <c r="O73" i="35" s="1"/>
  <c r="L74" i="36"/>
  <c r="M74" i="36" s="1"/>
  <c r="T81" i="36"/>
  <c r="V81" i="36" s="1"/>
  <c r="E82" i="36"/>
  <c r="H82" i="36" s="1"/>
  <c r="Q81" i="36"/>
  <c r="I81" i="36"/>
  <c r="G17" i="34"/>
  <c r="B72" i="33" l="1"/>
  <c r="F82" i="39"/>
  <c r="P81" i="39"/>
  <c r="G82" i="39" s="1"/>
  <c r="S81" i="39"/>
  <c r="R80" i="42"/>
  <c r="S80" i="42" s="1"/>
  <c r="F81" i="42"/>
  <c r="L81" i="42" s="1"/>
  <c r="M81" i="42" s="1"/>
  <c r="P80" i="42"/>
  <c r="G81" i="42" s="1"/>
  <c r="Q79" i="41"/>
  <c r="E80" i="41"/>
  <c r="H80" i="41" s="1"/>
  <c r="I80" i="41" s="1"/>
  <c r="N78" i="28"/>
  <c r="T78" i="28" s="1"/>
  <c r="V78" i="28" s="1"/>
  <c r="N81" i="42"/>
  <c r="E82" i="42" s="1"/>
  <c r="N79" i="37"/>
  <c r="T79" i="37" s="1"/>
  <c r="V79" i="37" s="1"/>
  <c r="I82" i="39"/>
  <c r="L82" i="39" s="1"/>
  <c r="I72" i="29"/>
  <c r="F72" i="33" s="1"/>
  <c r="G72" i="33" s="1"/>
  <c r="N72" i="29"/>
  <c r="K72" i="33" s="1"/>
  <c r="N74" i="35"/>
  <c r="E75" i="35" s="1"/>
  <c r="H75" i="35" s="1"/>
  <c r="Q74" i="43"/>
  <c r="T74" i="43"/>
  <c r="V74" i="43" s="1"/>
  <c r="E75" i="43"/>
  <c r="L74" i="43"/>
  <c r="H82" i="40"/>
  <c r="I82" i="40" s="1"/>
  <c r="M89" i="47"/>
  <c r="P89" i="47" s="1"/>
  <c r="Q89" i="47" s="1"/>
  <c r="K89" i="47"/>
  <c r="F72" i="38"/>
  <c r="P71" i="38"/>
  <c r="G72" i="38" s="1"/>
  <c r="E81" i="38"/>
  <c r="H81" i="38" s="1"/>
  <c r="I81" i="38" s="1"/>
  <c r="T80" i="38"/>
  <c r="V80" i="38" s="1"/>
  <c r="Q80" i="38"/>
  <c r="N82" i="39"/>
  <c r="P73" i="35"/>
  <c r="G74" i="35" s="1"/>
  <c r="F74" i="35"/>
  <c r="R73" i="35"/>
  <c r="S73" i="35" s="1"/>
  <c r="M73" i="35"/>
  <c r="O74" i="36"/>
  <c r="I78" i="28"/>
  <c r="O17" i="34"/>
  <c r="O74" i="43" l="1"/>
  <c r="M74" i="43"/>
  <c r="O81" i="42"/>
  <c r="F82" i="42" s="1"/>
  <c r="H75" i="43"/>
  <c r="E74" i="44" s="1"/>
  <c r="H82" i="42"/>
  <c r="I82" i="42" s="1"/>
  <c r="Q78" i="28"/>
  <c r="E79" i="28"/>
  <c r="H79" i="28" s="1"/>
  <c r="T81" i="42"/>
  <c r="V81" i="42" s="1"/>
  <c r="L72" i="38"/>
  <c r="M72" i="38" s="1"/>
  <c r="F18" i="34"/>
  <c r="N80" i="41"/>
  <c r="Q80" i="41" s="1"/>
  <c r="E80" i="37"/>
  <c r="H80" i="37" s="1"/>
  <c r="I80" i="37" s="1"/>
  <c r="Q79" i="37"/>
  <c r="Q81" i="42"/>
  <c r="Q72" i="33"/>
  <c r="N72" i="33"/>
  <c r="O82" i="39"/>
  <c r="F83" i="39" s="1"/>
  <c r="Q82" i="39"/>
  <c r="E73" i="29"/>
  <c r="H73" i="29" s="1"/>
  <c r="Q72" i="29"/>
  <c r="T72" i="29"/>
  <c r="V72" i="29" s="1"/>
  <c r="T74" i="35"/>
  <c r="V74" i="35" s="1"/>
  <c r="Q74" i="35"/>
  <c r="F75" i="43"/>
  <c r="R74" i="43"/>
  <c r="S74" i="43" s="1"/>
  <c r="P74" i="43"/>
  <c r="G75" i="43" s="1"/>
  <c r="N82" i="40"/>
  <c r="E83" i="40" s="1"/>
  <c r="H83" i="40" s="1"/>
  <c r="I83" i="40" s="1"/>
  <c r="N89" i="47"/>
  <c r="E90" i="47" s="1"/>
  <c r="D90" i="47"/>
  <c r="J90" i="47" s="1"/>
  <c r="R81" i="42"/>
  <c r="E83" i="39"/>
  <c r="T82" i="39"/>
  <c r="V82" i="39" s="1"/>
  <c r="L74" i="35"/>
  <c r="O74" i="35" s="1"/>
  <c r="I82" i="36"/>
  <c r="F75" i="36"/>
  <c r="R74" i="36"/>
  <c r="S74" i="36" s="1"/>
  <c r="P74" i="36"/>
  <c r="G75" i="36" s="1"/>
  <c r="N82" i="36"/>
  <c r="P17" i="34"/>
  <c r="G18" i="34" s="1"/>
  <c r="M17" i="34"/>
  <c r="P81" i="42" l="1"/>
  <c r="G82" i="42" s="1"/>
  <c r="S81" i="42"/>
  <c r="P82" i="39"/>
  <c r="G83" i="39" s="1"/>
  <c r="N79" i="28"/>
  <c r="N82" i="42"/>
  <c r="T82" i="42" s="1"/>
  <c r="V82" i="42" s="1"/>
  <c r="N75" i="43"/>
  <c r="T75" i="43" s="1"/>
  <c r="V75" i="43" s="1"/>
  <c r="L82" i="42"/>
  <c r="O82" i="42" s="1"/>
  <c r="O72" i="38"/>
  <c r="F73" i="38" s="1"/>
  <c r="L73" i="38" s="1"/>
  <c r="M73" i="38" s="1"/>
  <c r="E81" i="41"/>
  <c r="H81" i="41" s="1"/>
  <c r="I81" i="41" s="1"/>
  <c r="T80" i="41"/>
  <c r="V80" i="41" s="1"/>
  <c r="O18" i="34"/>
  <c r="C18" i="44"/>
  <c r="D18" i="44" s="1"/>
  <c r="R82" i="39"/>
  <c r="S82" i="39" s="1"/>
  <c r="E73" i="33"/>
  <c r="G73" i="33" s="1"/>
  <c r="B73" i="33"/>
  <c r="N80" i="37"/>
  <c r="Q80" i="37" s="1"/>
  <c r="I83" i="39"/>
  <c r="L83" i="39" s="1"/>
  <c r="T82" i="40"/>
  <c r="V82" i="40" s="1"/>
  <c r="Q82" i="40"/>
  <c r="I75" i="43"/>
  <c r="F74" i="44" s="1"/>
  <c r="N75" i="35"/>
  <c r="Q75" i="35" s="1"/>
  <c r="I75" i="35"/>
  <c r="M90" i="47"/>
  <c r="K90" i="47"/>
  <c r="N81" i="38"/>
  <c r="E82" i="38" s="1"/>
  <c r="H82" i="38" s="1"/>
  <c r="I82" i="38" s="1"/>
  <c r="N83" i="40"/>
  <c r="T83" i="40" s="1"/>
  <c r="V83" i="40" s="1"/>
  <c r="N83" i="39"/>
  <c r="F75" i="35"/>
  <c r="P74" i="35"/>
  <c r="G75" i="35" s="1"/>
  <c r="R74" i="35"/>
  <c r="S74" i="35" s="1"/>
  <c r="M74" i="35"/>
  <c r="E83" i="36"/>
  <c r="H83" i="36" s="1"/>
  <c r="T82" i="36"/>
  <c r="V82" i="36" s="1"/>
  <c r="Q82" i="36"/>
  <c r="L75" i="36"/>
  <c r="M75" i="36" s="1"/>
  <c r="I79" i="28"/>
  <c r="T79" i="28"/>
  <c r="V79" i="28" s="1"/>
  <c r="E80" i="28"/>
  <c r="H80" i="28" s="1"/>
  <c r="Q79" i="28"/>
  <c r="N90" i="47" l="1"/>
  <c r="E76" i="43"/>
  <c r="Q82" i="42"/>
  <c r="E83" i="42"/>
  <c r="H83" i="42" s="1"/>
  <c r="I83" i="42" s="1"/>
  <c r="N81" i="41"/>
  <c r="T81" i="41" s="1"/>
  <c r="V81" i="41" s="1"/>
  <c r="Q75" i="43"/>
  <c r="R72" i="38"/>
  <c r="S72" i="38" s="1"/>
  <c r="M82" i="42"/>
  <c r="P72" i="38"/>
  <c r="G73" i="38" s="1"/>
  <c r="H76" i="43"/>
  <c r="E75" i="44" s="1"/>
  <c r="F19" i="34"/>
  <c r="O19" i="34" s="1"/>
  <c r="R18" i="34"/>
  <c r="S18" i="34" s="1"/>
  <c r="E81" i="37"/>
  <c r="N73" i="29"/>
  <c r="K73" i="33" s="1"/>
  <c r="T80" i="37"/>
  <c r="V80" i="37" s="1"/>
  <c r="O83" i="39"/>
  <c r="R83" i="39" s="1"/>
  <c r="T83" i="39"/>
  <c r="V83" i="39" s="1"/>
  <c r="I73" i="29"/>
  <c r="F73" i="33" s="1"/>
  <c r="E76" i="35"/>
  <c r="H76" i="35" s="1"/>
  <c r="T75" i="35"/>
  <c r="V75" i="35" s="1"/>
  <c r="L75" i="35"/>
  <c r="M75" i="35" s="1"/>
  <c r="L75" i="43"/>
  <c r="P90" i="47"/>
  <c r="Q90" i="47" s="1"/>
  <c r="T81" i="38"/>
  <c r="V81" i="38" s="1"/>
  <c r="E84" i="40"/>
  <c r="Q81" i="38"/>
  <c r="F83" i="42"/>
  <c r="P82" i="42"/>
  <c r="G83" i="42" s="1"/>
  <c r="R82" i="42"/>
  <c r="E84" i="39"/>
  <c r="Q83" i="39"/>
  <c r="Q83" i="40"/>
  <c r="O73" i="38"/>
  <c r="O75" i="36"/>
  <c r="N83" i="36"/>
  <c r="N80" i="28"/>
  <c r="O75" i="43" l="1"/>
  <c r="M75" i="43"/>
  <c r="P83" i="39"/>
  <c r="G84" i="39" s="1"/>
  <c r="S82" i="42"/>
  <c r="Q81" i="41"/>
  <c r="N76" i="43"/>
  <c r="Q76" i="43" s="1"/>
  <c r="E82" i="41"/>
  <c r="H82" i="41" s="1"/>
  <c r="I82" i="41" s="1"/>
  <c r="N83" i="42"/>
  <c r="E84" i="42" s="1"/>
  <c r="H84" i="42" s="1"/>
  <c r="I84" i="42" s="1"/>
  <c r="L83" i="42"/>
  <c r="O83" i="42" s="1"/>
  <c r="H81" i="37"/>
  <c r="I81" i="37" s="1"/>
  <c r="E74" i="29"/>
  <c r="H74" i="29" s="1"/>
  <c r="E74" i="33" s="1"/>
  <c r="Q73" i="29"/>
  <c r="F20" i="34"/>
  <c r="O20" i="34" s="1"/>
  <c r="R19" i="34"/>
  <c r="S19" i="34" s="1"/>
  <c r="N82" i="38"/>
  <c r="T82" i="38" s="1"/>
  <c r="V82" i="38" s="1"/>
  <c r="T73" i="29"/>
  <c r="V73" i="29" s="1"/>
  <c r="Q73" i="33"/>
  <c r="N73" i="33"/>
  <c r="I84" i="39"/>
  <c r="F84" i="39"/>
  <c r="O75" i="35"/>
  <c r="P75" i="35" s="1"/>
  <c r="G76" i="35" s="1"/>
  <c r="F76" i="43"/>
  <c r="R75" i="43"/>
  <c r="S75" i="43" s="1"/>
  <c r="P75" i="43"/>
  <c r="G76" i="43" s="1"/>
  <c r="I76" i="43"/>
  <c r="F75" i="44" s="1"/>
  <c r="H84" i="40"/>
  <c r="I84" i="40" s="1"/>
  <c r="S83" i="39"/>
  <c r="N84" i="39"/>
  <c r="F74" i="38"/>
  <c r="L74" i="38" s="1"/>
  <c r="R73" i="38"/>
  <c r="S73" i="38" s="1"/>
  <c r="P73" i="38"/>
  <c r="G74" i="38" s="1"/>
  <c r="I76" i="35"/>
  <c r="N76" i="35"/>
  <c r="E84" i="36"/>
  <c r="H84" i="36" s="1"/>
  <c r="T83" i="36"/>
  <c r="V83" i="36" s="1"/>
  <c r="Q83" i="36"/>
  <c r="I83" i="36"/>
  <c r="F76" i="36"/>
  <c r="R75" i="36"/>
  <c r="S75" i="36" s="1"/>
  <c r="P75" i="36"/>
  <c r="G76" i="36" s="1"/>
  <c r="I80" i="28"/>
  <c r="T80" i="28"/>
  <c r="V80" i="28" s="1"/>
  <c r="E81" i="28"/>
  <c r="H81" i="28" s="1"/>
  <c r="Q80" i="28"/>
  <c r="L84" i="39" l="1"/>
  <c r="T83" i="42"/>
  <c r="V83" i="42" s="1"/>
  <c r="Q83" i="42"/>
  <c r="E77" i="43"/>
  <c r="H77" i="43" s="1"/>
  <c r="E76" i="44" s="1"/>
  <c r="T76" i="43"/>
  <c r="V76" i="43" s="1"/>
  <c r="N81" i="37"/>
  <c r="T81" i="37" s="1"/>
  <c r="V81" i="37" s="1"/>
  <c r="Q82" i="38"/>
  <c r="B74" i="33"/>
  <c r="E83" i="38"/>
  <c r="H83" i="38" s="1"/>
  <c r="I83" i="38" s="1"/>
  <c r="F21" i="34"/>
  <c r="O21" i="34" s="1"/>
  <c r="R20" i="34"/>
  <c r="S20" i="34" s="1"/>
  <c r="N74" i="29"/>
  <c r="K74" i="33" s="1"/>
  <c r="N82" i="41"/>
  <c r="E83" i="41" s="1"/>
  <c r="O84" i="39"/>
  <c r="P84" i="39" s="1"/>
  <c r="G85" i="39" s="1"/>
  <c r="F76" i="35"/>
  <c r="L76" i="35" s="1"/>
  <c r="R75" i="35"/>
  <c r="S75" i="35" s="1"/>
  <c r="I74" i="29"/>
  <c r="F74" i="33" s="1"/>
  <c r="G74" i="33" s="1"/>
  <c r="L76" i="43"/>
  <c r="N84" i="40"/>
  <c r="Q84" i="40" s="1"/>
  <c r="M83" i="42"/>
  <c r="N84" i="42"/>
  <c r="T84" i="42" s="1"/>
  <c r="V84" i="42" s="1"/>
  <c r="R83" i="42"/>
  <c r="F84" i="42"/>
  <c r="L84" i="42" s="1"/>
  <c r="P83" i="42"/>
  <c r="G84" i="42" s="1"/>
  <c r="T84" i="39"/>
  <c r="V84" i="39" s="1"/>
  <c r="E85" i="39"/>
  <c r="Q84" i="39"/>
  <c r="M74" i="38"/>
  <c r="E77" i="35"/>
  <c r="H77" i="35" s="1"/>
  <c r="T76" i="35"/>
  <c r="V76" i="35" s="1"/>
  <c r="Q76" i="35"/>
  <c r="L76" i="36"/>
  <c r="M76" i="36" s="1"/>
  <c r="N84" i="36"/>
  <c r="N81" i="28"/>
  <c r="S83" i="42" l="1"/>
  <c r="O76" i="43"/>
  <c r="M76" i="43"/>
  <c r="N77" i="43"/>
  <c r="T77" i="43" s="1"/>
  <c r="V77" i="43" s="1"/>
  <c r="E82" i="37"/>
  <c r="Q81" i="37"/>
  <c r="H83" i="41"/>
  <c r="I83" i="41" s="1"/>
  <c r="T74" i="29"/>
  <c r="V74" i="29" s="1"/>
  <c r="E75" i="29"/>
  <c r="H75" i="29" s="1"/>
  <c r="E75" i="33" s="1"/>
  <c r="G75" i="33" s="1"/>
  <c r="Q74" i="29"/>
  <c r="F22" i="34"/>
  <c r="O22" i="34" s="1"/>
  <c r="R21" i="34"/>
  <c r="S21" i="34" s="1"/>
  <c r="N83" i="38"/>
  <c r="T83" i="38" s="1"/>
  <c r="V83" i="38" s="1"/>
  <c r="T82" i="41"/>
  <c r="V82" i="41" s="1"/>
  <c r="Q82" i="41"/>
  <c r="Q74" i="33"/>
  <c r="N74" i="33"/>
  <c r="F85" i="39"/>
  <c r="R84" i="39"/>
  <c r="S84" i="39" s="1"/>
  <c r="E85" i="40"/>
  <c r="H85" i="40" s="1"/>
  <c r="I85" i="40" s="1"/>
  <c r="T84" i="40"/>
  <c r="V84" i="40" s="1"/>
  <c r="I77" i="43"/>
  <c r="F76" i="44" s="1"/>
  <c r="F77" i="43"/>
  <c r="P76" i="43"/>
  <c r="G77" i="43" s="1"/>
  <c r="R76" i="43"/>
  <c r="S76" i="43" s="1"/>
  <c r="E85" i="42"/>
  <c r="H85" i="42" s="1"/>
  <c r="I85" i="42" s="1"/>
  <c r="Q84" i="42"/>
  <c r="O84" i="42"/>
  <c r="M84" i="42"/>
  <c r="I85" i="39"/>
  <c r="O74" i="38"/>
  <c r="O76" i="35"/>
  <c r="M76" i="35"/>
  <c r="N77" i="35"/>
  <c r="T84" i="36"/>
  <c r="V84" i="36" s="1"/>
  <c r="E85" i="36"/>
  <c r="H85" i="36" s="1"/>
  <c r="Q84" i="36"/>
  <c r="O76" i="36"/>
  <c r="I84" i="36"/>
  <c r="I81" i="28"/>
  <c r="E82" i="28"/>
  <c r="H82" i="28" s="1"/>
  <c r="T81" i="28"/>
  <c r="V81" i="28" s="1"/>
  <c r="Q81" i="28"/>
  <c r="L85" i="39" l="1"/>
  <c r="Q77" i="43"/>
  <c r="E78" i="43"/>
  <c r="H78" i="43" s="1"/>
  <c r="E77" i="44" s="1"/>
  <c r="B75" i="33"/>
  <c r="H82" i="37"/>
  <c r="I82" i="37" s="1"/>
  <c r="N83" i="41"/>
  <c r="E84" i="41" s="1"/>
  <c r="H84" i="41" s="1"/>
  <c r="I84" i="41" s="1"/>
  <c r="E84" i="38"/>
  <c r="H84" i="38" s="1"/>
  <c r="I84" i="38" s="1"/>
  <c r="Q83" i="38"/>
  <c r="N75" i="29"/>
  <c r="K75" i="33" s="1"/>
  <c r="Q75" i="33" s="1"/>
  <c r="F23" i="34"/>
  <c r="O23" i="34" s="1"/>
  <c r="R22" i="34"/>
  <c r="S22" i="34" s="1"/>
  <c r="I75" i="29"/>
  <c r="F75" i="33" s="1"/>
  <c r="N85" i="40"/>
  <c r="T85" i="40" s="1"/>
  <c r="V85" i="40" s="1"/>
  <c r="L77" i="43"/>
  <c r="P84" i="42"/>
  <c r="G85" i="42" s="1"/>
  <c r="F85" i="42"/>
  <c r="L85" i="42" s="1"/>
  <c r="R84" i="42"/>
  <c r="S84" i="42" s="1"/>
  <c r="N85" i="39"/>
  <c r="O85" i="39"/>
  <c r="F75" i="38"/>
  <c r="L75" i="38" s="1"/>
  <c r="P74" i="38"/>
  <c r="G75" i="38" s="1"/>
  <c r="R74" i="38"/>
  <c r="S74" i="38" s="1"/>
  <c r="E78" i="35"/>
  <c r="H78" i="35" s="1"/>
  <c r="Q77" i="35"/>
  <c r="T77" i="35"/>
  <c r="V77" i="35" s="1"/>
  <c r="I77" i="35"/>
  <c r="F77" i="35"/>
  <c r="R76" i="35"/>
  <c r="S76" i="35" s="1"/>
  <c r="P76" i="35"/>
  <c r="G77" i="35" s="1"/>
  <c r="N85" i="36"/>
  <c r="F77" i="36"/>
  <c r="R76" i="36"/>
  <c r="S76" i="36" s="1"/>
  <c r="P76" i="36"/>
  <c r="G77" i="36" s="1"/>
  <c r="O77" i="43" l="1"/>
  <c r="M77" i="43"/>
  <c r="T83" i="41"/>
  <c r="V83" i="41" s="1"/>
  <c r="N75" i="33"/>
  <c r="Q83" i="41"/>
  <c r="T75" i="29"/>
  <c r="V75" i="29" s="1"/>
  <c r="N82" i="37"/>
  <c r="Q75" i="29"/>
  <c r="E76" i="29"/>
  <c r="H76" i="29" s="1"/>
  <c r="E76" i="33" s="1"/>
  <c r="G76" i="33" s="1"/>
  <c r="F24" i="34"/>
  <c r="O24" i="34" s="1"/>
  <c r="R23" i="34"/>
  <c r="S23" i="34" s="1"/>
  <c r="I78" i="43"/>
  <c r="F77" i="44" s="1"/>
  <c r="N82" i="28"/>
  <c r="E83" i="28" s="1"/>
  <c r="H83" i="28" s="1"/>
  <c r="N85" i="42"/>
  <c r="T85" i="42" s="1"/>
  <c r="V85" i="42" s="1"/>
  <c r="O85" i="42"/>
  <c r="E86" i="40"/>
  <c r="H86" i="40" s="1"/>
  <c r="I86" i="40" s="1"/>
  <c r="N78" i="43"/>
  <c r="Q85" i="40"/>
  <c r="R77" i="43"/>
  <c r="S77" i="43" s="1"/>
  <c r="F78" i="43"/>
  <c r="P77" i="43"/>
  <c r="G78" i="43" s="1"/>
  <c r="N84" i="38"/>
  <c r="E85" i="38" s="1"/>
  <c r="H85" i="38" s="1"/>
  <c r="I85" i="38" s="1"/>
  <c r="N84" i="41"/>
  <c r="F86" i="39"/>
  <c r="R85" i="39"/>
  <c r="T85" i="39"/>
  <c r="V85" i="39" s="1"/>
  <c r="E86" i="39"/>
  <c r="P85" i="39"/>
  <c r="G86" i="39" s="1"/>
  <c r="Q85" i="39"/>
  <c r="M75" i="38"/>
  <c r="L77" i="35"/>
  <c r="M77" i="35" s="1"/>
  <c r="N78" i="35"/>
  <c r="L77" i="36"/>
  <c r="M77" i="36" s="1"/>
  <c r="I85" i="36"/>
  <c r="E86" i="36"/>
  <c r="H86" i="36" s="1"/>
  <c r="T85" i="36"/>
  <c r="V85" i="36" s="1"/>
  <c r="Q85" i="36"/>
  <c r="I82" i="28"/>
  <c r="L78" i="43" l="1"/>
  <c r="M78" i="43" s="1"/>
  <c r="B76" i="33"/>
  <c r="T82" i="28"/>
  <c r="V82" i="28" s="1"/>
  <c r="Q82" i="28"/>
  <c r="E83" i="37"/>
  <c r="Q82" i="37"/>
  <c r="T82" i="37"/>
  <c r="V82" i="37" s="1"/>
  <c r="F25" i="34"/>
  <c r="R24" i="34"/>
  <c r="S24" i="34" s="1"/>
  <c r="M85" i="42"/>
  <c r="Q85" i="42"/>
  <c r="E86" i="42"/>
  <c r="N76" i="29"/>
  <c r="K76" i="33" s="1"/>
  <c r="I76" i="29"/>
  <c r="F76" i="33" s="1"/>
  <c r="T78" i="43"/>
  <c r="V78" i="43" s="1"/>
  <c r="Q78" i="43"/>
  <c r="E79" i="43"/>
  <c r="H79" i="43" s="1"/>
  <c r="E78" i="44" s="1"/>
  <c r="N86" i="40"/>
  <c r="T86" i="40" s="1"/>
  <c r="V86" i="40" s="1"/>
  <c r="Q84" i="38"/>
  <c r="F86" i="42"/>
  <c r="P85" i="42"/>
  <c r="G86" i="42" s="1"/>
  <c r="R85" i="42"/>
  <c r="T84" i="38"/>
  <c r="V84" i="38" s="1"/>
  <c r="E85" i="41"/>
  <c r="H85" i="41" s="1"/>
  <c r="T84" i="41"/>
  <c r="V84" i="41" s="1"/>
  <c r="Q84" i="41"/>
  <c r="O77" i="35"/>
  <c r="R77" i="35" s="1"/>
  <c r="S77" i="35" s="1"/>
  <c r="S85" i="39"/>
  <c r="I86" i="39"/>
  <c r="L86" i="39" s="1"/>
  <c r="O75" i="38"/>
  <c r="Q78" i="35"/>
  <c r="E79" i="35"/>
  <c r="H79" i="35" s="1"/>
  <c r="T78" i="35"/>
  <c r="V78" i="35" s="1"/>
  <c r="I78" i="35"/>
  <c r="N86" i="36"/>
  <c r="O77" i="36"/>
  <c r="O78" i="43" l="1"/>
  <c r="T76" i="29"/>
  <c r="V76" i="29" s="1"/>
  <c r="H83" i="37"/>
  <c r="I83" i="37" s="1"/>
  <c r="H86" i="42"/>
  <c r="S85" i="42"/>
  <c r="Q76" i="29"/>
  <c r="C25" i="44"/>
  <c r="O25" i="34"/>
  <c r="Q76" i="33"/>
  <c r="N76" i="33"/>
  <c r="E77" i="29"/>
  <c r="H77" i="29" s="1"/>
  <c r="O86" i="39"/>
  <c r="F87" i="39" s="1"/>
  <c r="Q86" i="40"/>
  <c r="E87" i="40"/>
  <c r="F79" i="43"/>
  <c r="R78" i="43"/>
  <c r="S78" i="43" s="1"/>
  <c r="P78" i="43"/>
  <c r="G79" i="43" s="1"/>
  <c r="F78" i="35"/>
  <c r="L78" i="35" s="1"/>
  <c r="M78" i="35" s="1"/>
  <c r="P77" i="35"/>
  <c r="G78" i="35" s="1"/>
  <c r="I85" i="41"/>
  <c r="N85" i="38"/>
  <c r="N86" i="39"/>
  <c r="F76" i="38"/>
  <c r="L76" i="38" s="1"/>
  <c r="P75" i="38"/>
  <c r="G76" i="38" s="1"/>
  <c r="R75" i="38"/>
  <c r="S75" i="38" s="1"/>
  <c r="N79" i="35"/>
  <c r="E87" i="36"/>
  <c r="H87" i="36" s="1"/>
  <c r="T86" i="36"/>
  <c r="V86" i="36" s="1"/>
  <c r="Q86" i="36"/>
  <c r="F78" i="36"/>
  <c r="R77" i="36"/>
  <c r="S77" i="36" s="1"/>
  <c r="P77" i="36"/>
  <c r="G78" i="36" s="1"/>
  <c r="I86" i="36"/>
  <c r="I83" i="28"/>
  <c r="N83" i="28"/>
  <c r="N86" i="42" l="1"/>
  <c r="E87" i="42" s="1"/>
  <c r="H87" i="42" s="1"/>
  <c r="I87" i="42" s="1"/>
  <c r="N83" i="37"/>
  <c r="I86" i="42"/>
  <c r="L86" i="42" s="1"/>
  <c r="F26" i="34"/>
  <c r="O26" i="34" s="1"/>
  <c r="R25" i="34"/>
  <c r="S25" i="34" s="1"/>
  <c r="R86" i="39"/>
  <c r="B77" i="33"/>
  <c r="T83" i="28"/>
  <c r="V83" i="28" s="1"/>
  <c r="N79" i="43"/>
  <c r="E80" i="43" s="1"/>
  <c r="H80" i="43" s="1"/>
  <c r="E79" i="44" s="1"/>
  <c r="P86" i="39"/>
  <c r="G87" i="39" s="1"/>
  <c r="I77" i="29"/>
  <c r="F77" i="33" s="1"/>
  <c r="I79" i="43"/>
  <c r="F78" i="44" s="1"/>
  <c r="H87" i="40"/>
  <c r="I87" i="40" s="1"/>
  <c r="E87" i="39"/>
  <c r="N85" i="41"/>
  <c r="E86" i="41" s="1"/>
  <c r="H86" i="41" s="1"/>
  <c r="T86" i="39"/>
  <c r="V86" i="39" s="1"/>
  <c r="Q85" i="38"/>
  <c r="E86" i="38"/>
  <c r="H86" i="38" s="1"/>
  <c r="I86" i="38" s="1"/>
  <c r="T85" i="38"/>
  <c r="V85" i="38" s="1"/>
  <c r="Q86" i="39"/>
  <c r="M76" i="38"/>
  <c r="O78" i="35"/>
  <c r="F79" i="35" s="1"/>
  <c r="Q83" i="28"/>
  <c r="T79" i="35"/>
  <c r="V79" i="35" s="1"/>
  <c r="Q79" i="35"/>
  <c r="E80" i="35"/>
  <c r="H80" i="35" s="1"/>
  <c r="E84" i="28"/>
  <c r="H84" i="28" s="1"/>
  <c r="I79" i="35"/>
  <c r="L78" i="36"/>
  <c r="M78" i="36" s="1"/>
  <c r="N87" i="36"/>
  <c r="T86" i="42" l="1"/>
  <c r="V86" i="42" s="1"/>
  <c r="Q86" i="42"/>
  <c r="S86" i="39"/>
  <c r="N87" i="42"/>
  <c r="Q87" i="42" s="1"/>
  <c r="T83" i="37"/>
  <c r="V83" i="37" s="1"/>
  <c r="Q83" i="37"/>
  <c r="E84" i="37"/>
  <c r="O86" i="42"/>
  <c r="M86" i="42"/>
  <c r="F27" i="34"/>
  <c r="O27" i="34" s="1"/>
  <c r="R26" i="34"/>
  <c r="S26" i="34" s="1"/>
  <c r="T79" i="43"/>
  <c r="V79" i="43" s="1"/>
  <c r="Q79" i="43"/>
  <c r="E77" i="33"/>
  <c r="G77" i="33" s="1"/>
  <c r="N77" i="29"/>
  <c r="I87" i="39"/>
  <c r="L87" i="39" s="1"/>
  <c r="G78" i="44"/>
  <c r="L79" i="43"/>
  <c r="N87" i="40"/>
  <c r="Q85" i="41"/>
  <c r="T85" i="41"/>
  <c r="V85" i="41" s="1"/>
  <c r="I86" i="41"/>
  <c r="N87" i="39"/>
  <c r="O76" i="38"/>
  <c r="R78" i="35"/>
  <c r="S78" i="35" s="1"/>
  <c r="P78" i="35"/>
  <c r="G79" i="35" s="1"/>
  <c r="N80" i="35"/>
  <c r="L79" i="35"/>
  <c r="M79" i="35" s="1"/>
  <c r="E88" i="36"/>
  <c r="H88" i="36" s="1"/>
  <c r="T87" i="36"/>
  <c r="V87" i="36" s="1"/>
  <c r="Q87" i="36"/>
  <c r="I87" i="36"/>
  <c r="O78" i="36"/>
  <c r="I84" i="28"/>
  <c r="N84" i="28"/>
  <c r="E88" i="42" l="1"/>
  <c r="H88" i="42" s="1"/>
  <c r="I88" i="42" s="1"/>
  <c r="O79" i="43"/>
  <c r="M79" i="43"/>
  <c r="T87" i="42"/>
  <c r="V87" i="42" s="1"/>
  <c r="H84" i="37"/>
  <c r="I84" i="37" s="1"/>
  <c r="P86" i="42"/>
  <c r="G87" i="42" s="1"/>
  <c r="F87" i="42"/>
  <c r="L87" i="42" s="1"/>
  <c r="R86" i="42"/>
  <c r="S86" i="42" s="1"/>
  <c r="F28" i="34"/>
  <c r="O28" i="34" s="1"/>
  <c r="R27" i="34"/>
  <c r="S27" i="34" s="1"/>
  <c r="T84" i="28"/>
  <c r="V84" i="28" s="1"/>
  <c r="K77" i="33"/>
  <c r="T77" i="29"/>
  <c r="V77" i="29" s="1"/>
  <c r="Q77" i="29"/>
  <c r="E78" i="29"/>
  <c r="H78" i="29" s="1"/>
  <c r="I80" i="43"/>
  <c r="F79" i="44" s="1"/>
  <c r="O87" i="39"/>
  <c r="F88" i="39" s="1"/>
  <c r="E88" i="39"/>
  <c r="M87" i="39"/>
  <c r="F80" i="43"/>
  <c r="R79" i="43"/>
  <c r="S79" i="43" s="1"/>
  <c r="P79" i="43"/>
  <c r="G80" i="43" s="1"/>
  <c r="N80" i="43"/>
  <c r="E81" i="43" s="1"/>
  <c r="T87" i="40"/>
  <c r="V87" i="40" s="1"/>
  <c r="Q87" i="40"/>
  <c r="E88" i="40"/>
  <c r="N86" i="38"/>
  <c r="E87" i="38" s="1"/>
  <c r="H87" i="38" s="1"/>
  <c r="I87" i="38" s="1"/>
  <c r="Q87" i="39"/>
  <c r="T87" i="39"/>
  <c r="V87" i="39" s="1"/>
  <c r="N86" i="41"/>
  <c r="T86" i="41" s="1"/>
  <c r="V86" i="41" s="1"/>
  <c r="Q84" i="28"/>
  <c r="I88" i="39"/>
  <c r="F77" i="38"/>
  <c r="L77" i="38" s="1"/>
  <c r="P76" i="38"/>
  <c r="G77" i="38" s="1"/>
  <c r="R76" i="38"/>
  <c r="S76" i="38" s="1"/>
  <c r="O79" i="35"/>
  <c r="F80" i="35" s="1"/>
  <c r="Q80" i="35"/>
  <c r="E81" i="35"/>
  <c r="H81" i="35" s="1"/>
  <c r="T80" i="35"/>
  <c r="V80" i="35" s="1"/>
  <c r="I80" i="35"/>
  <c r="N88" i="36"/>
  <c r="F79" i="36"/>
  <c r="R78" i="36"/>
  <c r="S78" i="36" s="1"/>
  <c r="P78" i="36"/>
  <c r="G79" i="36" s="1"/>
  <c r="E85" i="28"/>
  <c r="H85" i="28" s="1"/>
  <c r="P87" i="39" l="1"/>
  <c r="G88" i="39" s="1"/>
  <c r="N84" i="37"/>
  <c r="R87" i="39"/>
  <c r="S87" i="39" s="1"/>
  <c r="H81" i="43"/>
  <c r="E80" i="44" s="1"/>
  <c r="M87" i="42"/>
  <c r="O87" i="42"/>
  <c r="L88" i="39"/>
  <c r="F29" i="34"/>
  <c r="O29" i="34" s="1"/>
  <c r="R29" i="34" s="1"/>
  <c r="R28" i="34"/>
  <c r="S28" i="34" s="1"/>
  <c r="L80" i="43"/>
  <c r="O80" i="43" s="1"/>
  <c r="F81" i="43" s="1"/>
  <c r="B78" i="33"/>
  <c r="N78" i="29"/>
  <c r="N88" i="42"/>
  <c r="T88" i="42" s="1"/>
  <c r="V88" i="42" s="1"/>
  <c r="Q77" i="33"/>
  <c r="N77" i="33"/>
  <c r="I81" i="35"/>
  <c r="Q80" i="43"/>
  <c r="T80" i="43"/>
  <c r="V80" i="43" s="1"/>
  <c r="H88" i="40"/>
  <c r="I88" i="40" s="1"/>
  <c r="Q86" i="41"/>
  <c r="E87" i="41"/>
  <c r="H87" i="41" s="1"/>
  <c r="T86" i="38"/>
  <c r="V86" i="38" s="1"/>
  <c r="Q86" i="38"/>
  <c r="N88" i="39"/>
  <c r="P79" i="35"/>
  <c r="G80" i="35" s="1"/>
  <c r="M77" i="38"/>
  <c r="R79" i="35"/>
  <c r="S79" i="35" s="1"/>
  <c r="L80" i="35"/>
  <c r="M80" i="35" s="1"/>
  <c r="I88" i="36"/>
  <c r="L79" i="36"/>
  <c r="T88" i="36"/>
  <c r="V88" i="36" s="1"/>
  <c r="E89" i="36"/>
  <c r="H89" i="36" s="1"/>
  <c r="Q88" i="36"/>
  <c r="J13" i="44"/>
  <c r="M14" i="41"/>
  <c r="O14" i="41"/>
  <c r="G13" i="44"/>
  <c r="N81" i="43" l="1"/>
  <c r="Q81" i="43" s="1"/>
  <c r="T84" i="37"/>
  <c r="V84" i="37" s="1"/>
  <c r="E85" i="37"/>
  <c r="Q84" i="37"/>
  <c r="P80" i="43"/>
  <c r="G81" i="43" s="1"/>
  <c r="F88" i="42"/>
  <c r="P87" i="42"/>
  <c r="G88" i="42" s="1"/>
  <c r="R87" i="42"/>
  <c r="S87" i="42" s="1"/>
  <c r="R80" i="43"/>
  <c r="S80" i="43" s="1"/>
  <c r="E89" i="42"/>
  <c r="H89" i="42" s="1"/>
  <c r="I89" i="42" s="1"/>
  <c r="Q88" i="42"/>
  <c r="K78" i="33"/>
  <c r="Q78" i="29"/>
  <c r="E79" i="29"/>
  <c r="H79" i="29" s="1"/>
  <c r="T78" i="29"/>
  <c r="V78" i="29" s="1"/>
  <c r="I85" i="28"/>
  <c r="E78" i="33"/>
  <c r="G78" i="33" s="1"/>
  <c r="I78" i="29"/>
  <c r="F78" i="33" s="1"/>
  <c r="N85" i="28"/>
  <c r="Q85" i="28" s="1"/>
  <c r="N81" i="35"/>
  <c r="Q81" i="35" s="1"/>
  <c r="E89" i="39"/>
  <c r="M88" i="39"/>
  <c r="N88" i="40"/>
  <c r="T88" i="40" s="1"/>
  <c r="V88" i="40" s="1"/>
  <c r="I81" i="43"/>
  <c r="F80" i="44" s="1"/>
  <c r="I87" i="41"/>
  <c r="N87" i="41"/>
  <c r="T87" i="41" s="1"/>
  <c r="V87" i="41" s="1"/>
  <c r="O88" i="39"/>
  <c r="Q88" i="39"/>
  <c r="T88" i="39"/>
  <c r="V88" i="39" s="1"/>
  <c r="N87" i="38"/>
  <c r="E88" i="38" s="1"/>
  <c r="H88" i="38" s="1"/>
  <c r="I88" i="38" s="1"/>
  <c r="I89" i="39"/>
  <c r="O77" i="38"/>
  <c r="M79" i="36"/>
  <c r="O80" i="35"/>
  <c r="R80" i="35" s="1"/>
  <c r="S80" i="35" s="1"/>
  <c r="N89" i="36"/>
  <c r="O79" i="36"/>
  <c r="P14" i="41"/>
  <c r="G15" i="41" s="1"/>
  <c r="F15" i="41"/>
  <c r="T81" i="43" l="1"/>
  <c r="V81" i="43" s="1"/>
  <c r="E82" i="43"/>
  <c r="H82" i="43" s="1"/>
  <c r="E81" i="44" s="1"/>
  <c r="T85" i="28"/>
  <c r="V85" i="28" s="1"/>
  <c r="H85" i="37"/>
  <c r="I85" i="37" s="1"/>
  <c r="L88" i="42"/>
  <c r="M88" i="42" s="1"/>
  <c r="E82" i="35"/>
  <c r="H82" i="35" s="1"/>
  <c r="I82" i="35" s="1"/>
  <c r="Q78" i="33"/>
  <c r="N78" i="33"/>
  <c r="B79" i="33"/>
  <c r="T81" i="35"/>
  <c r="V81" i="35" s="1"/>
  <c r="E86" i="28"/>
  <c r="H86" i="28" s="1"/>
  <c r="N89" i="42"/>
  <c r="T89" i="42" s="1"/>
  <c r="V89" i="42" s="1"/>
  <c r="F89" i="39"/>
  <c r="L89" i="39" s="1"/>
  <c r="E89" i="40"/>
  <c r="H89" i="40" s="1"/>
  <c r="I89" i="40" s="1"/>
  <c r="Q88" i="40"/>
  <c r="L81" i="43"/>
  <c r="Q87" i="38"/>
  <c r="Q87" i="41"/>
  <c r="E88" i="41"/>
  <c r="H88" i="41" s="1"/>
  <c r="P88" i="39"/>
  <c r="G89" i="39" s="1"/>
  <c r="T87" i="38"/>
  <c r="V87" i="38" s="1"/>
  <c r="R88" i="39"/>
  <c r="S88" i="39" s="1"/>
  <c r="N89" i="39"/>
  <c r="F78" i="38"/>
  <c r="L78" i="38" s="1"/>
  <c r="P77" i="38"/>
  <c r="G78" i="38" s="1"/>
  <c r="R77" i="38"/>
  <c r="S77" i="38" s="1"/>
  <c r="P80" i="35"/>
  <c r="G81" i="35" s="1"/>
  <c r="F81" i="35"/>
  <c r="L81" i="35" s="1"/>
  <c r="M81" i="35" s="1"/>
  <c r="T89" i="36"/>
  <c r="V89" i="36" s="1"/>
  <c r="Q89" i="36"/>
  <c r="F80" i="36"/>
  <c r="R79" i="36"/>
  <c r="S79" i="36" s="1"/>
  <c r="P79" i="36"/>
  <c r="G80" i="36" s="1"/>
  <c r="I89" i="36"/>
  <c r="M13" i="44"/>
  <c r="O81" i="43" l="1"/>
  <c r="M81" i="43"/>
  <c r="N82" i="35"/>
  <c r="E83" i="35" s="1"/>
  <c r="H83" i="35" s="1"/>
  <c r="N82" i="43"/>
  <c r="E83" i="43" s="1"/>
  <c r="N85" i="37"/>
  <c r="O88" i="42"/>
  <c r="E90" i="42"/>
  <c r="H90" i="42" s="1"/>
  <c r="I90" i="42" s="1"/>
  <c r="E79" i="33"/>
  <c r="G79" i="33" s="1"/>
  <c r="I79" i="29"/>
  <c r="F79" i="33" s="1"/>
  <c r="N79" i="29"/>
  <c r="Q89" i="42"/>
  <c r="O89" i="39"/>
  <c r="F90" i="39" s="1"/>
  <c r="T89" i="39"/>
  <c r="V89" i="39" s="1"/>
  <c r="I88" i="41"/>
  <c r="N89" i="40"/>
  <c r="Q89" i="40" s="1"/>
  <c r="F82" i="43"/>
  <c r="R81" i="43"/>
  <c r="S81" i="43" s="1"/>
  <c r="P81" i="43"/>
  <c r="G82" i="43" s="1"/>
  <c r="I82" i="43"/>
  <c r="F81" i="44" s="1"/>
  <c r="Q89" i="39"/>
  <c r="E90" i="39"/>
  <c r="N88" i="38"/>
  <c r="T88" i="38" s="1"/>
  <c r="V88" i="38" s="1"/>
  <c r="M78" i="38"/>
  <c r="O81" i="35"/>
  <c r="L80" i="36"/>
  <c r="D14" i="44"/>
  <c r="Q82" i="35" l="1"/>
  <c r="T82" i="35"/>
  <c r="V82" i="35" s="1"/>
  <c r="P89" i="39"/>
  <c r="G90" i="39" s="1"/>
  <c r="Q82" i="43"/>
  <c r="T85" i="37"/>
  <c r="V85" i="37" s="1"/>
  <c r="E86" i="37"/>
  <c r="Q85" i="37"/>
  <c r="T82" i="43"/>
  <c r="V82" i="43" s="1"/>
  <c r="H83" i="43"/>
  <c r="E82" i="44" s="1"/>
  <c r="F89" i="42"/>
  <c r="R88" i="42"/>
  <c r="S88" i="42" s="1"/>
  <c r="P88" i="42"/>
  <c r="G89" i="42" s="1"/>
  <c r="I86" i="28"/>
  <c r="N86" i="28"/>
  <c r="K79" i="33"/>
  <c r="E80" i="29"/>
  <c r="H80" i="29" s="1"/>
  <c r="Q79" i="29"/>
  <c r="T79" i="29"/>
  <c r="V79" i="29" s="1"/>
  <c r="I90" i="39"/>
  <c r="L90" i="39" s="1"/>
  <c r="R89" i="39"/>
  <c r="S89" i="39" s="1"/>
  <c r="N88" i="41"/>
  <c r="T88" i="41" s="1"/>
  <c r="V88" i="41" s="1"/>
  <c r="N90" i="42"/>
  <c r="T90" i="42" s="1"/>
  <c r="V90" i="42" s="1"/>
  <c r="E90" i="40"/>
  <c r="H90" i="40" s="1"/>
  <c r="I90" i="40" s="1"/>
  <c r="T89" i="40"/>
  <c r="V89" i="40" s="1"/>
  <c r="L82" i="43"/>
  <c r="Q88" i="38"/>
  <c r="E89" i="38"/>
  <c r="H89" i="38" s="1"/>
  <c r="I89" i="38" s="1"/>
  <c r="N90" i="39"/>
  <c r="O78" i="38"/>
  <c r="M80" i="36"/>
  <c r="F82" i="35"/>
  <c r="P81" i="35"/>
  <c r="G82" i="35" s="1"/>
  <c r="R81" i="35"/>
  <c r="S81" i="35" s="1"/>
  <c r="O80" i="36"/>
  <c r="F81" i="36" s="1"/>
  <c r="M15" i="41"/>
  <c r="O82" i="43" l="1"/>
  <c r="M82" i="43"/>
  <c r="H86" i="37"/>
  <c r="I86" i="37" s="1"/>
  <c r="L89" i="42"/>
  <c r="M89" i="42" s="1"/>
  <c r="Q79" i="33"/>
  <c r="N79" i="33"/>
  <c r="Q86" i="28"/>
  <c r="T86" i="28"/>
  <c r="V86" i="28" s="1"/>
  <c r="E87" i="28"/>
  <c r="H87" i="28" s="1"/>
  <c r="N80" i="29"/>
  <c r="B80" i="33"/>
  <c r="E89" i="41"/>
  <c r="H89" i="41" s="1"/>
  <c r="I89" i="41" s="1"/>
  <c r="Q88" i="41"/>
  <c r="Q90" i="42"/>
  <c r="O90" i="39"/>
  <c r="P90" i="39" s="1"/>
  <c r="T90" i="39"/>
  <c r="V90" i="39" s="1"/>
  <c r="N90" i="40"/>
  <c r="Q90" i="40" s="1"/>
  <c r="I83" i="43"/>
  <c r="F82" i="44" s="1"/>
  <c r="N83" i="43"/>
  <c r="F83" i="43"/>
  <c r="P82" i="43"/>
  <c r="G83" i="43" s="1"/>
  <c r="R82" i="43"/>
  <c r="S82" i="43" s="1"/>
  <c r="Q90" i="39"/>
  <c r="N83" i="35"/>
  <c r="I83" i="35"/>
  <c r="F79" i="38"/>
  <c r="L79" i="38" s="1"/>
  <c r="P78" i="38"/>
  <c r="G79" i="38" s="1"/>
  <c r="R78" i="38"/>
  <c r="S78" i="38" s="1"/>
  <c r="R80" i="36"/>
  <c r="S80" i="36" s="1"/>
  <c r="P80" i="36"/>
  <c r="G81" i="36" s="1"/>
  <c r="L82" i="35"/>
  <c r="M82" i="35" s="1"/>
  <c r="L81" i="36"/>
  <c r="O81" i="36" s="1"/>
  <c r="O15" i="41"/>
  <c r="O89" i="42" l="1"/>
  <c r="N86" i="37"/>
  <c r="R89" i="42"/>
  <c r="S89" i="42" s="1"/>
  <c r="F90" i="42"/>
  <c r="P89" i="42"/>
  <c r="G90" i="42" s="1"/>
  <c r="N87" i="28"/>
  <c r="E80" i="33"/>
  <c r="G80" i="33" s="1"/>
  <c r="I80" i="29"/>
  <c r="F80" i="33" s="1"/>
  <c r="K80" i="33"/>
  <c r="E81" i="29"/>
  <c r="H81" i="29" s="1"/>
  <c r="T80" i="29"/>
  <c r="V80" i="29" s="1"/>
  <c r="Q80" i="29"/>
  <c r="T90" i="40"/>
  <c r="V90" i="40" s="1"/>
  <c r="N89" i="38"/>
  <c r="E90" i="38" s="1"/>
  <c r="N89" i="41"/>
  <c r="T89" i="41" s="1"/>
  <c r="V89" i="41" s="1"/>
  <c r="R90" i="39"/>
  <c r="S90" i="39" s="1"/>
  <c r="T83" i="43"/>
  <c r="V83" i="43" s="1"/>
  <c r="E84" i="43"/>
  <c r="Q83" i="43"/>
  <c r="L83" i="43"/>
  <c r="E84" i="35"/>
  <c r="H84" i="35" s="1"/>
  <c r="T83" i="35"/>
  <c r="V83" i="35" s="1"/>
  <c r="Q83" i="35"/>
  <c r="M79" i="38"/>
  <c r="O82" i="35"/>
  <c r="F83" i="35" s="1"/>
  <c r="M81" i="36"/>
  <c r="F82" i="36"/>
  <c r="R81" i="36"/>
  <c r="S81" i="36" s="1"/>
  <c r="P81" i="36"/>
  <c r="G82" i="36" s="1"/>
  <c r="P15" i="41"/>
  <c r="G16" i="41" s="1"/>
  <c r="F16" i="41"/>
  <c r="O14" i="37"/>
  <c r="O83" i="43" l="1"/>
  <c r="M83" i="43"/>
  <c r="Q89" i="41"/>
  <c r="T86" i="37"/>
  <c r="V86" i="37" s="1"/>
  <c r="E87" i="37"/>
  <c r="Q86" i="37"/>
  <c r="H84" i="43"/>
  <c r="E83" i="44" s="1"/>
  <c r="L90" i="42"/>
  <c r="M90" i="42" s="1"/>
  <c r="H90" i="38"/>
  <c r="I90" i="38" s="1"/>
  <c r="E88" i="28"/>
  <c r="H88" i="28" s="1"/>
  <c r="Q87" i="28"/>
  <c r="T87" i="28"/>
  <c r="V87" i="28" s="1"/>
  <c r="E90" i="41"/>
  <c r="Q89" i="38"/>
  <c r="B81" i="33"/>
  <c r="Q80" i="33"/>
  <c r="N80" i="33"/>
  <c r="T89" i="38"/>
  <c r="V89" i="38" s="1"/>
  <c r="I87" i="28"/>
  <c r="F84" i="43"/>
  <c r="R83" i="43"/>
  <c r="S83" i="43" s="1"/>
  <c r="P83" i="43"/>
  <c r="G84" i="43" s="1"/>
  <c r="O79" i="38"/>
  <c r="R82" i="35"/>
  <c r="S82" i="35" s="1"/>
  <c r="P82" i="35"/>
  <c r="G83" i="35" s="1"/>
  <c r="L83" i="35"/>
  <c r="M83" i="35" s="1"/>
  <c r="L82" i="36"/>
  <c r="M82" i="36" s="1"/>
  <c r="P14" i="37"/>
  <c r="G15" i="37" s="1"/>
  <c r="F15" i="37"/>
  <c r="G14" i="44"/>
  <c r="M14" i="37"/>
  <c r="N90" i="38" l="1"/>
  <c r="T90" i="38" s="1"/>
  <c r="V90" i="38" s="1"/>
  <c r="N84" i="43"/>
  <c r="E85" i="43" s="1"/>
  <c r="H87" i="37"/>
  <c r="I87" i="37" s="1"/>
  <c r="O90" i="42"/>
  <c r="P90" i="42" s="1"/>
  <c r="H90" i="41"/>
  <c r="I90" i="41" s="1"/>
  <c r="E81" i="33"/>
  <c r="G81" i="33" s="1"/>
  <c r="I81" i="29"/>
  <c r="F81" i="33" s="1"/>
  <c r="N81" i="29"/>
  <c r="I84" i="43"/>
  <c r="F83" i="44" s="1"/>
  <c r="Q90" i="38"/>
  <c r="N84" i="35"/>
  <c r="I84" i="35"/>
  <c r="F80" i="38"/>
  <c r="P79" i="38"/>
  <c r="G80" i="38" s="1"/>
  <c r="R79" i="38"/>
  <c r="S79" i="38" s="1"/>
  <c r="O83" i="35"/>
  <c r="F84" i="35" s="1"/>
  <c r="O82" i="36"/>
  <c r="O15" i="37"/>
  <c r="M14" i="44"/>
  <c r="J14" i="44"/>
  <c r="Q84" i="43" l="1"/>
  <c r="T84" i="43"/>
  <c r="V84" i="43" s="1"/>
  <c r="N90" i="41"/>
  <c r="T90" i="41" s="1"/>
  <c r="V90" i="41" s="1"/>
  <c r="N87" i="37"/>
  <c r="T87" i="37" s="1"/>
  <c r="V87" i="37" s="1"/>
  <c r="R90" i="42"/>
  <c r="S90" i="42" s="1"/>
  <c r="H85" i="43"/>
  <c r="E84" i="44" s="1"/>
  <c r="L80" i="38"/>
  <c r="O80" i="38" s="1"/>
  <c r="I88" i="28"/>
  <c r="N88" i="28"/>
  <c r="K81" i="33"/>
  <c r="T81" i="29"/>
  <c r="V81" i="29" s="1"/>
  <c r="E82" i="29"/>
  <c r="H82" i="29" s="1"/>
  <c r="Q81" i="29"/>
  <c r="L84" i="43"/>
  <c r="O84" i="43" s="1"/>
  <c r="R83" i="35"/>
  <c r="S83" i="35" s="1"/>
  <c r="T84" i="35"/>
  <c r="V84" i="35" s="1"/>
  <c r="Q84" i="35"/>
  <c r="E85" i="35"/>
  <c r="H85" i="35" s="1"/>
  <c r="P83" i="35"/>
  <c r="G84" i="35" s="1"/>
  <c r="L84" i="35"/>
  <c r="M84" i="35" s="1"/>
  <c r="F83" i="36"/>
  <c r="R82" i="36"/>
  <c r="S82" i="36" s="1"/>
  <c r="P82" i="36"/>
  <c r="G83" i="36" s="1"/>
  <c r="P15" i="37"/>
  <c r="G16" i="37" s="1"/>
  <c r="F16" i="37"/>
  <c r="D15" i="44"/>
  <c r="M15" i="37"/>
  <c r="E88" i="37" l="1"/>
  <c r="Q90" i="41"/>
  <c r="Q87" i="37"/>
  <c r="H88" i="37"/>
  <c r="I88" i="37" s="1"/>
  <c r="N85" i="43"/>
  <c r="E86" i="43" s="1"/>
  <c r="H86" i="43" s="1"/>
  <c r="E85" i="44" s="1"/>
  <c r="F81" i="38"/>
  <c r="L81" i="38" s="1"/>
  <c r="M81" i="38" s="1"/>
  <c r="P80" i="38"/>
  <c r="G81" i="38" s="1"/>
  <c r="R80" i="38"/>
  <c r="S80" i="38" s="1"/>
  <c r="B82" i="33"/>
  <c r="N82" i="29"/>
  <c r="Q81" i="33"/>
  <c r="N81" i="33"/>
  <c r="T88" i="28"/>
  <c r="V88" i="28" s="1"/>
  <c r="Q88" i="28"/>
  <c r="E89" i="28"/>
  <c r="H89" i="28" s="1"/>
  <c r="F85" i="43"/>
  <c r="R84" i="43"/>
  <c r="S84" i="43" s="1"/>
  <c r="P84" i="43"/>
  <c r="G85" i="43" s="1"/>
  <c r="I85" i="43"/>
  <c r="F84" i="44" s="1"/>
  <c r="O84" i="35"/>
  <c r="F85" i="35" s="1"/>
  <c r="L83" i="36"/>
  <c r="M83" i="36" s="1"/>
  <c r="O16" i="37"/>
  <c r="Q85" i="43" l="1"/>
  <c r="T85" i="43"/>
  <c r="V85" i="43" s="1"/>
  <c r="N88" i="37"/>
  <c r="K82" i="33"/>
  <c r="E83" i="29"/>
  <c r="H83" i="29" s="1"/>
  <c r="Q82" i="29"/>
  <c r="T82" i="29"/>
  <c r="V82" i="29" s="1"/>
  <c r="E82" i="33"/>
  <c r="G82" i="33" s="1"/>
  <c r="I82" i="29"/>
  <c r="F82" i="33" s="1"/>
  <c r="L85" i="43"/>
  <c r="P84" i="35"/>
  <c r="G85" i="35" s="1"/>
  <c r="R84" i="35"/>
  <c r="S84" i="35" s="1"/>
  <c r="N85" i="35"/>
  <c r="I85" i="35"/>
  <c r="O81" i="38"/>
  <c r="O83" i="36"/>
  <c r="F17" i="37"/>
  <c r="P16" i="37"/>
  <c r="G17" i="37" s="1"/>
  <c r="M16" i="37"/>
  <c r="O85" i="43" l="1"/>
  <c r="M85" i="43"/>
  <c r="T88" i="37"/>
  <c r="V88" i="37" s="1"/>
  <c r="E89" i="37"/>
  <c r="Q88" i="37"/>
  <c r="I86" i="43"/>
  <c r="F85" i="44" s="1"/>
  <c r="B83" i="33"/>
  <c r="N83" i="29"/>
  <c r="N89" i="28"/>
  <c r="I89" i="28"/>
  <c r="Q82" i="33"/>
  <c r="N82" i="33"/>
  <c r="N86" i="43"/>
  <c r="Q86" i="43" s="1"/>
  <c r="F86" i="43"/>
  <c r="P85" i="43"/>
  <c r="G86" i="43" s="1"/>
  <c r="R85" i="43"/>
  <c r="S85" i="43" s="1"/>
  <c r="L85" i="35"/>
  <c r="M85" i="35" s="1"/>
  <c r="T85" i="35"/>
  <c r="V85" i="35" s="1"/>
  <c r="E86" i="35"/>
  <c r="H86" i="35" s="1"/>
  <c r="Q85" i="35"/>
  <c r="F82" i="38"/>
  <c r="L82" i="38" s="1"/>
  <c r="P81" i="38"/>
  <c r="G82" i="38" s="1"/>
  <c r="R81" i="38"/>
  <c r="S81" i="38" s="1"/>
  <c r="F84" i="36"/>
  <c r="R83" i="36"/>
  <c r="S83" i="36" s="1"/>
  <c r="P83" i="36"/>
  <c r="G84" i="36" s="1"/>
  <c r="O17" i="37"/>
  <c r="P17" i="37" s="1"/>
  <c r="M17" i="37"/>
  <c r="L86" i="43" l="1"/>
  <c r="H89" i="37"/>
  <c r="I89" i="37" s="1"/>
  <c r="K83" i="33"/>
  <c r="E84" i="29"/>
  <c r="H84" i="29" s="1"/>
  <c r="T83" i="29"/>
  <c r="V83" i="29" s="1"/>
  <c r="Q83" i="29"/>
  <c r="T89" i="28"/>
  <c r="V89" i="28" s="1"/>
  <c r="Q89" i="28"/>
  <c r="E83" i="33"/>
  <c r="I83" i="29"/>
  <c r="F83" i="33" s="1"/>
  <c r="E87" i="43"/>
  <c r="T86" i="43"/>
  <c r="V86" i="43" s="1"/>
  <c r="O85" i="35"/>
  <c r="F86" i="35" s="1"/>
  <c r="M82" i="38"/>
  <c r="L84" i="36"/>
  <c r="M84" i="36" s="1"/>
  <c r="O86" i="43" l="1"/>
  <c r="M86" i="43"/>
  <c r="G83" i="33"/>
  <c r="N89" i="37"/>
  <c r="H87" i="43"/>
  <c r="B84" i="33"/>
  <c r="Q83" i="33"/>
  <c r="N83" i="33"/>
  <c r="P85" i="35"/>
  <c r="G86" i="35" s="1"/>
  <c r="R85" i="35"/>
  <c r="S85" i="35" s="1"/>
  <c r="I86" i="35"/>
  <c r="N86" i="35"/>
  <c r="O82" i="38"/>
  <c r="O84" i="36"/>
  <c r="F87" i="43" l="1"/>
  <c r="P86" i="43"/>
  <c r="G87" i="43" s="1"/>
  <c r="R86" i="43"/>
  <c r="S86" i="43" s="1"/>
  <c r="I87" i="43"/>
  <c r="L87" i="43" s="1"/>
  <c r="E86" i="44"/>
  <c r="N87" i="43"/>
  <c r="T87" i="43" s="1"/>
  <c r="V87" i="43" s="1"/>
  <c r="T89" i="37"/>
  <c r="V89" i="37" s="1"/>
  <c r="Q89" i="37"/>
  <c r="E84" i="33"/>
  <c r="N84" i="29"/>
  <c r="I84" i="29"/>
  <c r="F84" i="33" s="1"/>
  <c r="L86" i="35"/>
  <c r="M86" i="35" s="1"/>
  <c r="T86" i="35"/>
  <c r="V86" i="35" s="1"/>
  <c r="E87" i="35"/>
  <c r="H87" i="35" s="1"/>
  <c r="Q86" i="35"/>
  <c r="F83" i="38"/>
  <c r="L83" i="38" s="1"/>
  <c r="P82" i="38"/>
  <c r="G83" i="38" s="1"/>
  <c r="R82" i="38"/>
  <c r="S82" i="38" s="1"/>
  <c r="F85" i="36"/>
  <c r="P84" i="36"/>
  <c r="G85" i="36" s="1"/>
  <c r="R84" i="36"/>
  <c r="S84" i="36" s="1"/>
  <c r="O87" i="43" l="1"/>
  <c r="R87" i="43" s="1"/>
  <c r="M87" i="43"/>
  <c r="G84" i="33"/>
  <c r="F88" i="43"/>
  <c r="F86" i="44"/>
  <c r="E88" i="43"/>
  <c r="H88" i="43" s="1"/>
  <c r="I88" i="43" s="1"/>
  <c r="L88" i="43" s="1"/>
  <c r="Q87" i="43"/>
  <c r="S87" i="43" s="1"/>
  <c r="P87" i="43"/>
  <c r="G88" i="43" s="1"/>
  <c r="K84" i="33"/>
  <c r="E85" i="29"/>
  <c r="H85" i="29" s="1"/>
  <c r="Q84" i="29"/>
  <c r="T84" i="29"/>
  <c r="V84" i="29" s="1"/>
  <c r="O86" i="35"/>
  <c r="P86" i="35" s="1"/>
  <c r="G87" i="35" s="1"/>
  <c r="N87" i="35"/>
  <c r="M83" i="38"/>
  <c r="L85" i="36"/>
  <c r="M85" i="36" s="1"/>
  <c r="O88" i="43" l="1"/>
  <c r="F89" i="43" s="1"/>
  <c r="M88" i="43"/>
  <c r="N88" i="43"/>
  <c r="Q88" i="43" s="1"/>
  <c r="E87" i="44"/>
  <c r="R88" i="43"/>
  <c r="B85" i="33"/>
  <c r="Q84" i="33"/>
  <c r="N84" i="33"/>
  <c r="F87" i="35"/>
  <c r="R86" i="35"/>
  <c r="S86" i="35" s="1"/>
  <c r="Q87" i="35"/>
  <c r="E88" i="35"/>
  <c r="H88" i="35" s="1"/>
  <c r="T87" i="35"/>
  <c r="V87" i="35" s="1"/>
  <c r="I87" i="35"/>
  <c r="F87" i="44" s="1"/>
  <c r="O83" i="38"/>
  <c r="O85" i="36"/>
  <c r="E89" i="43" l="1"/>
  <c r="T88" i="43"/>
  <c r="V88" i="43" s="1"/>
  <c r="S88" i="43"/>
  <c r="P88" i="43"/>
  <c r="G89" i="43" s="1"/>
  <c r="H89" i="43"/>
  <c r="I89" i="43" s="1"/>
  <c r="L89" i="43" s="1"/>
  <c r="E85" i="33"/>
  <c r="N85" i="29"/>
  <c r="I85" i="29"/>
  <c r="F85" i="33" s="1"/>
  <c r="L87" i="35"/>
  <c r="M87" i="35" s="1"/>
  <c r="N88" i="35"/>
  <c r="F84" i="38"/>
  <c r="L84" i="38" s="1"/>
  <c r="P83" i="38"/>
  <c r="G84" i="38" s="1"/>
  <c r="R83" i="38"/>
  <c r="S83" i="38" s="1"/>
  <c r="F86" i="36"/>
  <c r="P85" i="36"/>
  <c r="G86" i="36" s="1"/>
  <c r="R85" i="36"/>
  <c r="S85" i="36" s="1"/>
  <c r="O89" i="43" l="1"/>
  <c r="M89" i="43"/>
  <c r="G85" i="33"/>
  <c r="N89" i="43"/>
  <c r="T89" i="43" s="1"/>
  <c r="V89" i="43" s="1"/>
  <c r="E88" i="44"/>
  <c r="R89" i="43"/>
  <c r="F90" i="43"/>
  <c r="K85" i="33"/>
  <c r="E86" i="29"/>
  <c r="H86" i="29" s="1"/>
  <c r="Q85" i="29"/>
  <c r="T85" i="29"/>
  <c r="V85" i="29" s="1"/>
  <c r="E90" i="43"/>
  <c r="Q89" i="43"/>
  <c r="O87" i="35"/>
  <c r="F88" i="35" s="1"/>
  <c r="I88" i="35"/>
  <c r="F88" i="44" s="1"/>
  <c r="T88" i="35"/>
  <c r="V88" i="35" s="1"/>
  <c r="E89" i="35"/>
  <c r="H89" i="35" s="1"/>
  <c r="Q88" i="35"/>
  <c r="M84" i="38"/>
  <c r="L86" i="36"/>
  <c r="M86" i="36" s="1"/>
  <c r="P89" i="43" l="1"/>
  <c r="G90" i="43" s="1"/>
  <c r="S89" i="43"/>
  <c r="H90" i="43"/>
  <c r="I90" i="43" s="1"/>
  <c r="B86" i="33"/>
  <c r="N86" i="29"/>
  <c r="Q85" i="33"/>
  <c r="N85" i="33"/>
  <c r="P87" i="35"/>
  <c r="G88" i="35" s="1"/>
  <c r="F30" i="34"/>
  <c r="L88" i="35"/>
  <c r="M88" i="35" s="1"/>
  <c r="R87" i="35"/>
  <c r="S87" i="35" s="1"/>
  <c r="N89" i="35"/>
  <c r="O84" i="38"/>
  <c r="F85" i="38" s="1"/>
  <c r="L85" i="38" s="1"/>
  <c r="O86" i="36"/>
  <c r="G30" i="34"/>
  <c r="E89" i="44" l="1"/>
  <c r="L90" i="43"/>
  <c r="N90" i="43"/>
  <c r="Q90" i="43" s="1"/>
  <c r="K86" i="33"/>
  <c r="Q86" i="29"/>
  <c r="T86" i="29"/>
  <c r="V86" i="29" s="1"/>
  <c r="E87" i="29"/>
  <c r="H87" i="29" s="1"/>
  <c r="E86" i="33"/>
  <c r="G86" i="33" s="1"/>
  <c r="I86" i="29"/>
  <c r="F86" i="33" s="1"/>
  <c r="O88" i="35"/>
  <c r="F89" i="35" s="1"/>
  <c r="R84" i="38"/>
  <c r="S84" i="38" s="1"/>
  <c r="P84" i="38"/>
  <c r="G85" i="38" s="1"/>
  <c r="T89" i="35"/>
  <c r="V89" i="35" s="1"/>
  <c r="Q89" i="35"/>
  <c r="I89" i="35"/>
  <c r="F89" i="44" s="1"/>
  <c r="M85" i="38"/>
  <c r="F87" i="36"/>
  <c r="P86" i="36"/>
  <c r="G87" i="36" s="1"/>
  <c r="R86" i="36"/>
  <c r="S86" i="36" s="1"/>
  <c r="O90" i="43" l="1"/>
  <c r="M90" i="43"/>
  <c r="R90" i="43"/>
  <c r="S90" i="43" s="1"/>
  <c r="P90" i="43"/>
  <c r="T90" i="43"/>
  <c r="V90" i="43" s="1"/>
  <c r="B87" i="33"/>
  <c r="N87" i="29"/>
  <c r="Q86" i="33"/>
  <c r="N86" i="33"/>
  <c r="R88" i="35"/>
  <c r="S88" i="35" s="1"/>
  <c r="P88" i="35"/>
  <c r="G89" i="35" s="1"/>
  <c r="O85" i="38"/>
  <c r="L89" i="35"/>
  <c r="M89" i="35" s="1"/>
  <c r="L87" i="36"/>
  <c r="K87" i="33" l="1"/>
  <c r="T87" i="29"/>
  <c r="V87" i="29" s="1"/>
  <c r="Q87" i="29"/>
  <c r="E88" i="29"/>
  <c r="H88" i="29" s="1"/>
  <c r="E87" i="33"/>
  <c r="G87" i="33" s="1"/>
  <c r="I87" i="29"/>
  <c r="F87" i="33" s="1"/>
  <c r="P85" i="38"/>
  <c r="G86" i="38" s="1"/>
  <c r="F86" i="38"/>
  <c r="L86" i="38" s="1"/>
  <c r="R85" i="38"/>
  <c r="S85" i="38" s="1"/>
  <c r="M87" i="36"/>
  <c r="O89" i="35"/>
  <c r="O87" i="36"/>
  <c r="B88" i="33" l="1"/>
  <c r="N88" i="29"/>
  <c r="Q87" i="33"/>
  <c r="N87" i="33"/>
  <c r="M86" i="38"/>
  <c r="R89" i="35"/>
  <c r="S89" i="35" s="1"/>
  <c r="P89" i="35"/>
  <c r="F88" i="36"/>
  <c r="P87" i="36"/>
  <c r="G88" i="36" s="1"/>
  <c r="R87" i="36"/>
  <c r="S87" i="36" s="1"/>
  <c r="K88" i="33" l="1"/>
  <c r="Q88" i="29"/>
  <c r="E89" i="29"/>
  <c r="H89" i="29" s="1"/>
  <c r="T88" i="29"/>
  <c r="V88" i="29" s="1"/>
  <c r="E88" i="33"/>
  <c r="G88" i="33" s="1"/>
  <c r="I88" i="29"/>
  <c r="F88" i="33" s="1"/>
  <c r="O86" i="38"/>
  <c r="L88" i="36"/>
  <c r="M88" i="36" s="1"/>
  <c r="B89" i="33" l="1"/>
  <c r="Q88" i="33"/>
  <c r="N88" i="33"/>
  <c r="N89" i="29"/>
  <c r="K89" i="33" s="1"/>
  <c r="F87" i="38"/>
  <c r="L87" i="38" s="1"/>
  <c r="P86" i="38"/>
  <c r="G87" i="38" s="1"/>
  <c r="R86" i="38"/>
  <c r="S86" i="38" s="1"/>
  <c r="O88" i="36"/>
  <c r="T89" i="29" l="1"/>
  <c r="V89" i="29" s="1"/>
  <c r="Q89" i="33"/>
  <c r="N89" i="33"/>
  <c r="Q89" i="29"/>
  <c r="E89" i="33"/>
  <c r="G89" i="33" s="1"/>
  <c r="I89" i="29"/>
  <c r="F89" i="33" s="1"/>
  <c r="M87" i="38"/>
  <c r="F89" i="36"/>
  <c r="P88" i="36"/>
  <c r="G89" i="36" s="1"/>
  <c r="R88" i="36"/>
  <c r="S88" i="36" s="1"/>
  <c r="O87" i="38" l="1"/>
  <c r="L89" i="36"/>
  <c r="F88" i="38" l="1"/>
  <c r="L88" i="38" s="1"/>
  <c r="P87" i="38"/>
  <c r="G88" i="38" s="1"/>
  <c r="R87" i="38"/>
  <c r="S87" i="38" s="1"/>
  <c r="M89" i="36"/>
  <c r="O89" i="36"/>
  <c r="M88" i="38" l="1"/>
  <c r="R89" i="36"/>
  <c r="S89" i="36" s="1"/>
  <c r="P89" i="36"/>
  <c r="O88" i="38" l="1"/>
  <c r="F89" i="38" l="1"/>
  <c r="L89" i="38" s="1"/>
  <c r="P88" i="38"/>
  <c r="G89" i="38" s="1"/>
  <c r="R88" i="38"/>
  <c r="S88" i="38" s="1"/>
  <c r="M89" i="38" l="1"/>
  <c r="O89" i="38" l="1"/>
  <c r="F90" i="38" s="1"/>
  <c r="L90" i="38" s="1"/>
  <c r="P89" i="38" l="1"/>
  <c r="G90" i="38" s="1"/>
  <c r="R89" i="38"/>
  <c r="S89" i="38" s="1"/>
  <c r="M90" i="38"/>
  <c r="O90" i="38" l="1"/>
  <c r="P90" i="38" l="1"/>
  <c r="R90" i="38"/>
  <c r="S90" i="38" s="1"/>
  <c r="F30" i="37" l="1"/>
  <c r="G30" i="37"/>
  <c r="L30" i="37" l="1"/>
  <c r="M30" i="37" l="1"/>
  <c r="O30" i="37"/>
  <c r="P30" i="37" l="1"/>
  <c r="G31" i="37" s="1"/>
  <c r="F31" i="37"/>
  <c r="R30" i="37"/>
  <c r="S30" i="37" s="1"/>
  <c r="L31" i="37" l="1"/>
  <c r="M31" i="37" l="1"/>
  <c r="O31" i="37"/>
  <c r="P31" i="37" l="1"/>
  <c r="G32" i="37" s="1"/>
  <c r="F32" i="37"/>
  <c r="R31" i="37"/>
  <c r="S31" i="37" s="1"/>
  <c r="L32" i="37" l="1"/>
  <c r="M32" i="37" l="1"/>
  <c r="O32" i="37"/>
  <c r="R32" i="37"/>
  <c r="S32" i="37" s="1"/>
  <c r="P32" i="37" l="1"/>
  <c r="G33" i="37" s="1"/>
  <c r="F33" i="37"/>
  <c r="L33" i="37" s="1"/>
  <c r="M33" i="37" l="1"/>
  <c r="O33" i="37"/>
  <c r="P33" i="37" l="1"/>
  <c r="G34" i="37" s="1"/>
  <c r="F34" i="37"/>
  <c r="R33" i="37"/>
  <c r="S33" i="37" s="1"/>
  <c r="L34" i="37" l="1"/>
  <c r="M34" i="37" l="1"/>
  <c r="O34" i="37"/>
  <c r="P34" i="37" l="1"/>
  <c r="G35" i="37" s="1"/>
  <c r="F35" i="37"/>
  <c r="R34" i="37"/>
  <c r="S34" i="37" s="1"/>
  <c r="L35" i="37" l="1"/>
  <c r="M35" i="37" l="1"/>
  <c r="O35" i="37"/>
  <c r="P35" i="37" l="1"/>
  <c r="G36" i="37" s="1"/>
  <c r="F36" i="37"/>
  <c r="R35" i="37"/>
  <c r="S35" i="37" s="1"/>
  <c r="L36" i="37" l="1"/>
  <c r="M36" i="37" l="1"/>
  <c r="O36" i="37"/>
  <c r="P36" i="37" l="1"/>
  <c r="G37" i="37" s="1"/>
  <c r="F37" i="37"/>
  <c r="R36" i="37"/>
  <c r="S36" i="37" s="1"/>
  <c r="L37" i="37" l="1"/>
  <c r="O37" i="37" l="1"/>
  <c r="P37" i="37" s="1"/>
  <c r="G38" i="37" s="1"/>
  <c r="M37" i="37"/>
  <c r="F38" i="37" l="1"/>
  <c r="L38" i="37" s="1"/>
  <c r="R37" i="37"/>
  <c r="S37" i="37" s="1"/>
  <c r="M38" i="37" l="1"/>
  <c r="O38" i="37"/>
  <c r="R38" i="37" s="1"/>
  <c r="S38" i="37" s="1"/>
  <c r="F39" i="37" l="1"/>
  <c r="L39" i="37" s="1"/>
  <c r="P38" i="37"/>
  <c r="G39" i="37" s="1"/>
  <c r="M39" i="37" l="1"/>
  <c r="O39" i="37"/>
  <c r="P39" i="37" l="1"/>
  <c r="G40" i="37" s="1"/>
  <c r="F40" i="37"/>
  <c r="L40" i="37" s="1"/>
  <c r="R39" i="37"/>
  <c r="S39" i="37" s="1"/>
  <c r="M40" i="37" l="1"/>
  <c r="O40" i="37"/>
  <c r="F41" i="37" l="1"/>
  <c r="P40" i="37"/>
  <c r="G41" i="37" s="1"/>
  <c r="R40" i="37"/>
  <c r="S40" i="37" s="1"/>
  <c r="L41" i="37" l="1"/>
  <c r="M41" i="37" s="1"/>
  <c r="O41" i="37" l="1"/>
  <c r="F42" i="37" s="1"/>
  <c r="R41" i="37" l="1"/>
  <c r="S41" i="37" s="1"/>
  <c r="P41" i="37"/>
  <c r="G42" i="37" s="1"/>
  <c r="L42" i="37"/>
  <c r="M42" i="37" l="1"/>
  <c r="O42" i="37"/>
  <c r="F43" i="37" l="1"/>
  <c r="L43" i="37" s="1"/>
  <c r="R42" i="37"/>
  <c r="S42" i="37" s="1"/>
  <c r="P42" i="37"/>
  <c r="G43" i="37" s="1"/>
  <c r="M43" i="37" l="1"/>
  <c r="O43" i="37"/>
  <c r="P43" i="37" l="1"/>
  <c r="G44" i="37" s="1"/>
  <c r="F44" i="37"/>
  <c r="R43" i="37"/>
  <c r="S43" i="37" s="1"/>
  <c r="L44" i="37" l="1"/>
  <c r="M44" i="37" l="1"/>
  <c r="O44" i="37"/>
  <c r="R44" i="37" s="1"/>
  <c r="S44" i="37" s="1"/>
  <c r="F45" i="37" l="1"/>
  <c r="L45" i="37" s="1"/>
  <c r="P44" i="37"/>
  <c r="G45" i="37" s="1"/>
  <c r="M45" i="37" l="1"/>
  <c r="O45" i="37"/>
  <c r="F46" i="37" l="1"/>
  <c r="L46" i="37" s="1"/>
  <c r="R45" i="37"/>
  <c r="S45" i="37" s="1"/>
  <c r="P45" i="37"/>
  <c r="G46" i="37" s="1"/>
  <c r="M46" i="37" l="1"/>
  <c r="O46" i="37"/>
  <c r="P46" i="37" l="1"/>
  <c r="G47" i="37" s="1"/>
  <c r="F47" i="37"/>
  <c r="R46" i="37"/>
  <c r="S46" i="37" s="1"/>
  <c r="L47" i="37" l="1"/>
  <c r="M47" i="37" l="1"/>
  <c r="O47" i="37"/>
  <c r="P47" i="37" l="1"/>
  <c r="G48" i="37" s="1"/>
  <c r="F48" i="37"/>
  <c r="R47" i="37"/>
  <c r="S47" i="37" s="1"/>
  <c r="L48" i="37" l="1"/>
  <c r="M48" i="37" l="1"/>
  <c r="O48" i="37"/>
  <c r="F49" i="37" l="1"/>
  <c r="P48" i="37"/>
  <c r="G49" i="37" s="1"/>
  <c r="R48" i="37"/>
  <c r="S48" i="37" s="1"/>
  <c r="L49" i="37" l="1"/>
  <c r="M49" i="37" s="1"/>
  <c r="O49" i="37" l="1"/>
  <c r="F50" i="37" s="1"/>
  <c r="R49" i="37" l="1"/>
  <c r="S49" i="37" s="1"/>
  <c r="P49" i="37"/>
  <c r="G50" i="37" s="1"/>
  <c r="L50" i="37"/>
  <c r="M50" i="37" l="1"/>
  <c r="O50" i="37"/>
  <c r="R50" i="37" l="1"/>
  <c r="S50" i="37" s="1"/>
  <c r="F51" i="37"/>
  <c r="P50" i="37"/>
  <c r="G51" i="37" s="1"/>
  <c r="L51" i="37" l="1"/>
  <c r="M51" i="37" s="1"/>
  <c r="O51" i="37" l="1"/>
  <c r="R51" i="37" s="1"/>
  <c r="S51" i="37" s="1"/>
  <c r="F52" i="37" l="1"/>
  <c r="L52" i="37" s="1"/>
  <c r="P51" i="37"/>
  <c r="G52" i="37" s="1"/>
  <c r="O52" i="37" l="1"/>
  <c r="R52" i="37" s="1"/>
  <c r="S52" i="37" s="1"/>
  <c r="M52" i="37"/>
  <c r="P52" i="37" l="1"/>
  <c r="G53" i="37" s="1"/>
  <c r="F53" i="37"/>
  <c r="L53" i="37" s="1"/>
  <c r="M53" i="37" s="1"/>
  <c r="O53" i="37" l="1"/>
  <c r="F54" i="37" s="1"/>
  <c r="P53" i="37"/>
  <c r="G54" i="37" s="1"/>
  <c r="R53" i="37"/>
  <c r="S53" i="37" s="1"/>
  <c r="L54" i="37" l="1"/>
  <c r="M54" i="37" l="1"/>
  <c r="O54" i="37"/>
  <c r="P54" i="37" l="1"/>
  <c r="G55" i="37" s="1"/>
  <c r="F55" i="37"/>
  <c r="R54" i="37"/>
  <c r="S54" i="37" s="1"/>
  <c r="L55" i="37" l="1"/>
  <c r="O55" i="37" l="1"/>
  <c r="M55" i="37"/>
  <c r="F56" i="37" l="1"/>
  <c r="L56" i="37" s="1"/>
  <c r="R55" i="37"/>
  <c r="S55" i="37" s="1"/>
  <c r="P55" i="37"/>
  <c r="G56" i="37" s="1"/>
  <c r="M56" i="37" l="1"/>
  <c r="O56" i="37"/>
  <c r="F57" i="37" l="1"/>
  <c r="P56" i="37"/>
  <c r="G57" i="37" s="1"/>
  <c r="R56" i="37"/>
  <c r="S56" i="37" s="1"/>
  <c r="L57" i="37" l="1"/>
  <c r="M57" i="37" l="1"/>
  <c r="O57" i="37"/>
  <c r="P57" i="37" l="1"/>
  <c r="G58" i="37" s="1"/>
  <c r="F58" i="37"/>
  <c r="R57" i="37"/>
  <c r="S57" i="37" s="1"/>
  <c r="L58" i="37" l="1"/>
  <c r="M58" i="37" l="1"/>
  <c r="O58" i="37"/>
  <c r="F59" i="37" l="1"/>
  <c r="L59" i="37" s="1"/>
  <c r="R58" i="37"/>
  <c r="S58" i="37" s="1"/>
  <c r="P58" i="37"/>
  <c r="G59" i="37" s="1"/>
  <c r="M59" i="37" l="1"/>
  <c r="O59" i="37"/>
  <c r="R59" i="37" s="1"/>
  <c r="S59" i="37" s="1"/>
  <c r="F60" i="37" l="1"/>
  <c r="L60" i="37" s="1"/>
  <c r="P59" i="37"/>
  <c r="G60" i="37" s="1"/>
  <c r="M60" i="37" l="1"/>
  <c r="O60" i="37"/>
  <c r="P60" i="37" l="1"/>
  <c r="G61" i="37" s="1"/>
  <c r="F61" i="37"/>
  <c r="R60" i="37"/>
  <c r="S60" i="37" s="1"/>
  <c r="L61" i="37" l="1"/>
  <c r="O61" i="37" l="1"/>
  <c r="M61" i="37"/>
  <c r="P61" i="37" l="1"/>
  <c r="G62" i="37" s="1"/>
  <c r="F62" i="37"/>
  <c r="L62" i="37" s="1"/>
  <c r="R61" i="37"/>
  <c r="S61" i="37" s="1"/>
  <c r="M62" i="37" l="1"/>
  <c r="O62" i="37"/>
  <c r="P62" i="37" l="1"/>
  <c r="G63" i="37" s="1"/>
  <c r="F63" i="37"/>
  <c r="R62" i="37"/>
  <c r="S62" i="37" s="1"/>
  <c r="L63" i="37" l="1"/>
  <c r="M63" i="37" l="1"/>
  <c r="O63" i="37"/>
  <c r="P63" i="37" l="1"/>
  <c r="G64" i="37" s="1"/>
  <c r="F64" i="37"/>
  <c r="R63" i="37"/>
  <c r="S63" i="37" s="1"/>
  <c r="L64" i="37" l="1"/>
  <c r="M64" i="37" l="1"/>
  <c r="O64" i="37"/>
  <c r="F65" i="37" l="1"/>
  <c r="P64" i="37"/>
  <c r="G65" i="37" s="1"/>
  <c r="R64" i="37"/>
  <c r="S64" i="37" s="1"/>
  <c r="L65" i="37" l="1"/>
  <c r="M65" i="37" l="1"/>
  <c r="O65" i="37"/>
  <c r="R65" i="37" s="1"/>
  <c r="S65" i="37" s="1"/>
  <c r="M16" i="41"/>
  <c r="F66" i="37" l="1"/>
  <c r="P65" i="37"/>
  <c r="G66" i="37" s="1"/>
  <c r="O16" i="41"/>
  <c r="P16" i="41"/>
  <c r="G17" i="41" s="1"/>
  <c r="F17" i="41"/>
  <c r="L66" i="37" l="1"/>
  <c r="M15" i="29"/>
  <c r="O15" i="28"/>
  <c r="F16" i="28" l="1"/>
  <c r="M66" i="37"/>
  <c r="O66" i="37"/>
  <c r="F67" i="37" s="1"/>
  <c r="O17" i="41"/>
  <c r="M17" i="41"/>
  <c r="O15" i="29"/>
  <c r="G16" i="44"/>
  <c r="P17" i="41"/>
  <c r="G18" i="41" s="1"/>
  <c r="F17" i="44" s="1"/>
  <c r="F18" i="41"/>
  <c r="P15" i="28"/>
  <c r="G16" i="28" s="1"/>
  <c r="J15" i="33"/>
  <c r="R66" i="37" l="1"/>
  <c r="S66" i="37" s="1"/>
  <c r="P66" i="37"/>
  <c r="G67" i="37" s="1"/>
  <c r="L67" i="37"/>
  <c r="M67" i="37" s="1"/>
  <c r="F16" i="29"/>
  <c r="P15" i="29"/>
  <c r="G16" i="29" s="1"/>
  <c r="O16" i="28"/>
  <c r="M15" i="33"/>
  <c r="O67" i="37" l="1"/>
  <c r="M16" i="29"/>
  <c r="G16" i="33"/>
  <c r="G17" i="44"/>
  <c r="P18" i="41"/>
  <c r="G19" i="41" s="1"/>
  <c r="F19" i="41"/>
  <c r="D16" i="33"/>
  <c r="P16" i="28"/>
  <c r="G17" i="28" s="1"/>
  <c r="F17" i="28"/>
  <c r="F68" i="37" l="1"/>
  <c r="P67" i="37"/>
  <c r="G68" i="37" s="1"/>
  <c r="R67" i="37"/>
  <c r="S67" i="37" s="1"/>
  <c r="O16" i="29"/>
  <c r="P16" i="29"/>
  <c r="G17" i="29" s="1"/>
  <c r="G17" i="33"/>
  <c r="J16" i="33"/>
  <c r="M17" i="28"/>
  <c r="L68" i="37" l="1"/>
  <c r="M68" i="37" s="1"/>
  <c r="M16" i="33"/>
  <c r="F17" i="29"/>
  <c r="C17" i="33" s="1"/>
  <c r="D17" i="33"/>
  <c r="O17" i="28"/>
  <c r="F18" i="28" l="1"/>
  <c r="O18" i="28" s="1"/>
  <c r="O68" i="37"/>
  <c r="P17" i="28"/>
  <c r="G18" i="28" s="1"/>
  <c r="F19" i="28" l="1"/>
  <c r="O19" i="28" s="1"/>
  <c r="P18" i="28"/>
  <c r="G19" i="28" s="1"/>
  <c r="R18" i="28"/>
  <c r="S18" i="28" s="1"/>
  <c r="F69" i="37"/>
  <c r="P68" i="37"/>
  <c r="G69" i="37" s="1"/>
  <c r="R68" i="37"/>
  <c r="S68" i="37" s="1"/>
  <c r="O17" i="29"/>
  <c r="L17" i="33" s="1"/>
  <c r="M17" i="29"/>
  <c r="F20" i="28" l="1"/>
  <c r="O20" i="28" s="1"/>
  <c r="P19" i="28"/>
  <c r="G20" i="28" s="1"/>
  <c r="R19" i="28"/>
  <c r="S19" i="28" s="1"/>
  <c r="L69" i="37"/>
  <c r="M69" i="37" s="1"/>
  <c r="J17" i="33"/>
  <c r="C18" i="33"/>
  <c r="P17" i="29"/>
  <c r="F21" i="28" l="1"/>
  <c r="O21" i="28" s="1"/>
  <c r="R20" i="28"/>
  <c r="S20" i="28" s="1"/>
  <c r="P20" i="28"/>
  <c r="G21" i="28" s="1"/>
  <c r="O69" i="37"/>
  <c r="M17" i="33"/>
  <c r="F22" i="28" l="1"/>
  <c r="O22" i="28" s="1"/>
  <c r="R21" i="28"/>
  <c r="S21" i="28" s="1"/>
  <c r="P21" i="28"/>
  <c r="G22" i="28" s="1"/>
  <c r="F70" i="37"/>
  <c r="P69" i="37"/>
  <c r="G70" i="37" s="1"/>
  <c r="R69" i="37"/>
  <c r="S69" i="37" s="1"/>
  <c r="I18" i="33"/>
  <c r="J18" i="33" s="1"/>
  <c r="D18" i="33"/>
  <c r="L18" i="33"/>
  <c r="F23" i="28" l="1"/>
  <c r="O23" i="28" s="1"/>
  <c r="R22" i="28"/>
  <c r="S22" i="28" s="1"/>
  <c r="P22" i="28"/>
  <c r="G23" i="28" s="1"/>
  <c r="L70" i="37"/>
  <c r="M70" i="37" s="1"/>
  <c r="M18" i="33"/>
  <c r="O18" i="33"/>
  <c r="C19" i="33"/>
  <c r="F24" i="28" l="1"/>
  <c r="O24" i="28" s="1"/>
  <c r="P23" i="28"/>
  <c r="G24" i="28" s="1"/>
  <c r="R23" i="28"/>
  <c r="S23" i="28" s="1"/>
  <c r="O70" i="37"/>
  <c r="P18" i="33"/>
  <c r="I19" i="33"/>
  <c r="F25" i="28" l="1"/>
  <c r="O25" i="28" s="1"/>
  <c r="P24" i="28"/>
  <c r="G25" i="28" s="1"/>
  <c r="R24" i="28"/>
  <c r="S24" i="28" s="1"/>
  <c r="F71" i="37"/>
  <c r="P70" i="37"/>
  <c r="G71" i="37" s="1"/>
  <c r="R70" i="37"/>
  <c r="S70" i="37" s="1"/>
  <c r="J19" i="33"/>
  <c r="L19" i="33"/>
  <c r="D19" i="33"/>
  <c r="F26" i="28" l="1"/>
  <c r="O26" i="28" s="1"/>
  <c r="P25" i="28"/>
  <c r="G26" i="28" s="1"/>
  <c r="R25" i="28"/>
  <c r="S25" i="28" s="1"/>
  <c r="L71" i="37"/>
  <c r="M19" i="33"/>
  <c r="C20" i="33"/>
  <c r="F27" i="28" l="1"/>
  <c r="O27" i="28" s="1"/>
  <c r="P26" i="28"/>
  <c r="G27" i="28" s="1"/>
  <c r="R26" i="28"/>
  <c r="S26" i="28" s="1"/>
  <c r="M71" i="37"/>
  <c r="O71" i="37"/>
  <c r="O19" i="33"/>
  <c r="P19" i="33" s="1"/>
  <c r="I20" i="33"/>
  <c r="F28" i="28" l="1"/>
  <c r="O28" i="28" s="1"/>
  <c r="P27" i="28"/>
  <c r="G28" i="28" s="1"/>
  <c r="R27" i="28"/>
  <c r="S27" i="28" s="1"/>
  <c r="F72" i="37"/>
  <c r="P71" i="37"/>
  <c r="G72" i="37" s="1"/>
  <c r="R71" i="37"/>
  <c r="S71" i="37" s="1"/>
  <c r="L20" i="33"/>
  <c r="J20" i="33"/>
  <c r="D20" i="33"/>
  <c r="F29" i="28" l="1"/>
  <c r="O29" i="28" s="1"/>
  <c r="P28" i="28"/>
  <c r="G29" i="28" s="1"/>
  <c r="R28" i="28"/>
  <c r="S28" i="28" s="1"/>
  <c r="C21" i="33"/>
  <c r="L72" i="37"/>
  <c r="M20" i="33"/>
  <c r="O20" i="33"/>
  <c r="P20" i="33" s="1"/>
  <c r="P29" i="28" l="1"/>
  <c r="R29" i="28"/>
  <c r="S29" i="28" s="1"/>
  <c r="M72" i="37"/>
  <c r="O72" i="37"/>
  <c r="F73" i="37" s="1"/>
  <c r="I21" i="33"/>
  <c r="J21" i="33" s="1"/>
  <c r="D21" i="33"/>
  <c r="R72" i="37" l="1"/>
  <c r="S72" i="37" s="1"/>
  <c r="P72" i="37"/>
  <c r="G73" i="37" s="1"/>
  <c r="L21" i="33"/>
  <c r="M21" i="33" s="1"/>
  <c r="L73" i="37"/>
  <c r="O21" i="33" l="1"/>
  <c r="P21" i="33" s="1"/>
  <c r="M73" i="37"/>
  <c r="O73" i="37"/>
  <c r="R73" i="37" s="1"/>
  <c r="S73" i="37" s="1"/>
  <c r="D22" i="33"/>
  <c r="P73" i="37" l="1"/>
  <c r="G74" i="37" s="1"/>
  <c r="F74" i="37"/>
  <c r="L74" i="37" s="1"/>
  <c r="C22" i="33"/>
  <c r="I22" i="33" l="1"/>
  <c r="M74" i="37"/>
  <c r="O74" i="37"/>
  <c r="L22" i="33" l="1"/>
  <c r="J22" i="33"/>
  <c r="F75" i="37"/>
  <c r="P74" i="37"/>
  <c r="G75" i="37" s="1"/>
  <c r="R74" i="37"/>
  <c r="S74" i="37" s="1"/>
  <c r="C23" i="33" l="1"/>
  <c r="O22" i="33"/>
  <c r="P22" i="33" s="1"/>
  <c r="M22" i="33"/>
  <c r="L75" i="37"/>
  <c r="M75" i="37" s="1"/>
  <c r="D23" i="33" l="1"/>
  <c r="I23" i="33"/>
  <c r="O75" i="37"/>
  <c r="L23" i="33" l="1"/>
  <c r="J23" i="33"/>
  <c r="F76" i="37"/>
  <c r="P75" i="37"/>
  <c r="G76" i="37" s="1"/>
  <c r="R75" i="37"/>
  <c r="S75" i="37" s="1"/>
  <c r="C24" i="33" l="1"/>
  <c r="O23" i="33"/>
  <c r="P23" i="33" s="1"/>
  <c r="M23" i="33"/>
  <c r="L76" i="37"/>
  <c r="M76" i="37" s="1"/>
  <c r="D24" i="33" l="1"/>
  <c r="L24" i="33"/>
  <c r="I24" i="33"/>
  <c r="O76" i="37"/>
  <c r="C25" i="33" l="1"/>
  <c r="J24" i="33"/>
  <c r="M24" i="33"/>
  <c r="O24" i="33"/>
  <c r="P24" i="33" s="1"/>
  <c r="F77" i="37"/>
  <c r="P76" i="37"/>
  <c r="G77" i="37" s="1"/>
  <c r="R76" i="37"/>
  <c r="S76" i="37" s="1"/>
  <c r="D25" i="33" l="1"/>
  <c r="I25" i="33"/>
  <c r="L77" i="37"/>
  <c r="M77" i="37" s="1"/>
  <c r="J25" i="33" l="1"/>
  <c r="L25" i="33"/>
  <c r="O77" i="37"/>
  <c r="M25" i="33" l="1"/>
  <c r="O25" i="33"/>
  <c r="P25" i="33" s="1"/>
  <c r="C26" i="33"/>
  <c r="F78" i="37"/>
  <c r="P77" i="37"/>
  <c r="G78" i="37" s="1"/>
  <c r="R77" i="37"/>
  <c r="S77" i="37" s="1"/>
  <c r="I26" i="33" l="1"/>
  <c r="D26" i="33"/>
  <c r="L78" i="37"/>
  <c r="M78" i="37" s="1"/>
  <c r="J26" i="33" l="1"/>
  <c r="L26" i="33"/>
  <c r="O78" i="37"/>
  <c r="C27" i="33" l="1"/>
  <c r="M26" i="33"/>
  <c r="O26" i="33"/>
  <c r="P26" i="33" s="1"/>
  <c r="F79" i="37"/>
  <c r="P78" i="37"/>
  <c r="G79" i="37" s="1"/>
  <c r="R78" i="37"/>
  <c r="S78" i="37" s="1"/>
  <c r="G30" i="28"/>
  <c r="L27" i="33" l="1"/>
  <c r="I27" i="33"/>
  <c r="D27" i="33"/>
  <c r="L79" i="37"/>
  <c r="M79" i="37" s="1"/>
  <c r="F30" i="28"/>
  <c r="C28" i="33" l="1"/>
  <c r="M27" i="33"/>
  <c r="O27" i="33"/>
  <c r="P27" i="33" s="1"/>
  <c r="J27" i="33"/>
  <c r="O79" i="37"/>
  <c r="L30" i="28"/>
  <c r="M30" i="28" l="1"/>
  <c r="I28" i="33"/>
  <c r="D28" i="33"/>
  <c r="L28" i="33"/>
  <c r="O30" i="28"/>
  <c r="F80" i="37"/>
  <c r="P79" i="37"/>
  <c r="G80" i="37" s="1"/>
  <c r="R79" i="37"/>
  <c r="S79" i="37" s="1"/>
  <c r="R30" i="28" l="1"/>
  <c r="S30" i="28" s="1"/>
  <c r="P30" i="28"/>
  <c r="G31" i="28" s="1"/>
  <c r="J28" i="33"/>
  <c r="I29" i="33"/>
  <c r="C29" i="33"/>
  <c r="F31" i="28"/>
  <c r="M28" i="33"/>
  <c r="O28" i="33"/>
  <c r="P28" i="33" s="1"/>
  <c r="L80" i="37"/>
  <c r="J29" i="33" l="1"/>
  <c r="D29" i="33"/>
  <c r="L31" i="28"/>
  <c r="M80" i="37"/>
  <c r="O80" i="37"/>
  <c r="O31" i="28" l="1"/>
  <c r="L29" i="33"/>
  <c r="G30" i="29"/>
  <c r="F30" i="29"/>
  <c r="C30" i="33" s="1"/>
  <c r="M31" i="28"/>
  <c r="F32" i="28"/>
  <c r="L32" i="28" s="1"/>
  <c r="P31" i="28"/>
  <c r="G32" i="28" s="1"/>
  <c r="F81" i="37"/>
  <c r="P80" i="37"/>
  <c r="G81" i="37" s="1"/>
  <c r="R80" i="37"/>
  <c r="S80" i="37" s="1"/>
  <c r="O29" i="33" l="1"/>
  <c r="P29" i="33" s="1"/>
  <c r="M32" i="28"/>
  <c r="R31" i="28"/>
  <c r="S31" i="28" s="1"/>
  <c r="L30" i="29"/>
  <c r="M29" i="33"/>
  <c r="L81" i="37"/>
  <c r="O32" i="28"/>
  <c r="I30" i="33" l="1"/>
  <c r="M30" i="29"/>
  <c r="O30" i="29"/>
  <c r="D30" i="33"/>
  <c r="M81" i="37"/>
  <c r="R32" i="28"/>
  <c r="S32" i="28" s="1"/>
  <c r="F33" i="28"/>
  <c r="L33" i="28" s="1"/>
  <c r="P32" i="28"/>
  <c r="G33" i="28" s="1"/>
  <c r="O81" i="37"/>
  <c r="J30" i="33" l="1"/>
  <c r="R30" i="29"/>
  <c r="S30" i="29" s="1"/>
  <c r="P30" i="29"/>
  <c r="G31" i="29" s="1"/>
  <c r="L30" i="33"/>
  <c r="F31" i="29"/>
  <c r="L31" i="29" s="1"/>
  <c r="F82" i="37"/>
  <c r="P81" i="37"/>
  <c r="G82" i="37" s="1"/>
  <c r="R81" i="37"/>
  <c r="S81" i="37" s="1"/>
  <c r="M33" i="28"/>
  <c r="O33" i="28"/>
  <c r="C31" i="33" l="1"/>
  <c r="O30" i="33"/>
  <c r="P30" i="33" s="1"/>
  <c r="M30" i="33"/>
  <c r="D31" i="33" s="1"/>
  <c r="I31" i="33"/>
  <c r="M31" i="29"/>
  <c r="O31" i="29"/>
  <c r="L82" i="37"/>
  <c r="R33" i="28"/>
  <c r="S33" i="28" s="1"/>
  <c r="F34" i="28"/>
  <c r="P33" i="28"/>
  <c r="G34" i="28" s="1"/>
  <c r="R31" i="29" l="1"/>
  <c r="S31" i="29" s="1"/>
  <c r="P31" i="29"/>
  <c r="G32" i="29" s="1"/>
  <c r="F32" i="29"/>
  <c r="L32" i="29" s="1"/>
  <c r="J31" i="33"/>
  <c r="L31" i="33"/>
  <c r="M82" i="37"/>
  <c r="O82" i="37"/>
  <c r="L34" i="28"/>
  <c r="O32" i="29" l="1"/>
  <c r="C32" i="33"/>
  <c r="O31" i="33"/>
  <c r="P31" i="33" s="1"/>
  <c r="M31" i="33"/>
  <c r="M32" i="29"/>
  <c r="I32" i="33"/>
  <c r="F83" i="37"/>
  <c r="P82" i="37"/>
  <c r="G83" i="37" s="1"/>
  <c r="R82" i="37"/>
  <c r="S82" i="37" s="1"/>
  <c r="M34" i="28"/>
  <c r="O34" i="28"/>
  <c r="P32" i="29" l="1"/>
  <c r="G33" i="29" s="1"/>
  <c r="R32" i="29"/>
  <c r="S32" i="29" s="1"/>
  <c r="L32" i="33"/>
  <c r="F33" i="29"/>
  <c r="L33" i="29" s="1"/>
  <c r="D32" i="33"/>
  <c r="J32" i="33"/>
  <c r="L83" i="37"/>
  <c r="M83" i="37" s="1"/>
  <c r="R34" i="28"/>
  <c r="S34" i="28" s="1"/>
  <c r="P34" i="28"/>
  <c r="G35" i="28" s="1"/>
  <c r="F35" i="28"/>
  <c r="C33" i="33" l="1"/>
  <c r="O32" i="33"/>
  <c r="P32" i="33" s="1"/>
  <c r="M32" i="33"/>
  <c r="D33" i="33" s="1"/>
  <c r="O33" i="29"/>
  <c r="R33" i="29" s="1"/>
  <c r="S33" i="29" s="1"/>
  <c r="M33" i="29"/>
  <c r="I33" i="33"/>
  <c r="O83" i="37"/>
  <c r="L35" i="28"/>
  <c r="P33" i="29" l="1"/>
  <c r="G34" i="29" s="1"/>
  <c r="L33" i="33"/>
  <c r="M33" i="33" s="1"/>
  <c r="F34" i="29"/>
  <c r="C34" i="33" s="1"/>
  <c r="J33" i="33"/>
  <c r="F84" i="37"/>
  <c r="P83" i="37"/>
  <c r="G84" i="37" s="1"/>
  <c r="R83" i="37"/>
  <c r="S83" i="37" s="1"/>
  <c r="M35" i="28"/>
  <c r="O35" i="28"/>
  <c r="L34" i="29" l="1"/>
  <c r="O34" i="29" s="1"/>
  <c r="O33" i="33"/>
  <c r="P33" i="33" s="1"/>
  <c r="F36" i="28"/>
  <c r="L36" i="28" s="1"/>
  <c r="I34" i="33"/>
  <c r="D34" i="33"/>
  <c r="L84" i="37"/>
  <c r="M84" i="37" s="1"/>
  <c r="R35" i="28"/>
  <c r="S35" i="28" s="1"/>
  <c r="P35" i="28"/>
  <c r="G36" i="28" s="1"/>
  <c r="M34" i="29" l="1"/>
  <c r="L34" i="33"/>
  <c r="M34" i="33" s="1"/>
  <c r="P34" i="29"/>
  <c r="G35" i="29" s="1"/>
  <c r="F35" i="29"/>
  <c r="C35" i="33" s="1"/>
  <c r="R34" i="29"/>
  <c r="S34" i="29" s="1"/>
  <c r="J34" i="33"/>
  <c r="O84" i="37"/>
  <c r="M36" i="28"/>
  <c r="O36" i="28"/>
  <c r="O34" i="33" l="1"/>
  <c r="P34" i="33" s="1"/>
  <c r="L35" i="29"/>
  <c r="O35" i="29"/>
  <c r="D35" i="33"/>
  <c r="F85" i="37"/>
  <c r="P84" i="37"/>
  <c r="G85" i="37" s="1"/>
  <c r="R84" i="37"/>
  <c r="S84" i="37" s="1"/>
  <c r="F37" i="28"/>
  <c r="R36" i="28"/>
  <c r="S36" i="28" s="1"/>
  <c r="P36" i="28"/>
  <c r="G37" i="28" s="1"/>
  <c r="I35" i="33" l="1"/>
  <c r="M35" i="29"/>
  <c r="R35" i="29"/>
  <c r="S35" i="29" s="1"/>
  <c r="F36" i="29"/>
  <c r="P35" i="29"/>
  <c r="G36" i="29" s="1"/>
  <c r="L35" i="33"/>
  <c r="L36" i="29"/>
  <c r="C36" i="33"/>
  <c r="J35" i="33"/>
  <c r="L85" i="37"/>
  <c r="M85" i="37" s="1"/>
  <c r="L37" i="28"/>
  <c r="O35" i="33" l="1"/>
  <c r="P35" i="33" s="1"/>
  <c r="M35" i="33"/>
  <c r="O36" i="29"/>
  <c r="D36" i="33"/>
  <c r="M36" i="29"/>
  <c r="I36" i="33"/>
  <c r="O85" i="37"/>
  <c r="M37" i="28"/>
  <c r="O37" i="28"/>
  <c r="L36" i="33" l="1"/>
  <c r="O36" i="33" s="1"/>
  <c r="P36" i="33" s="1"/>
  <c r="P36" i="29"/>
  <c r="G37" i="29" s="1"/>
  <c r="R36" i="29"/>
  <c r="S36" i="29" s="1"/>
  <c r="F37" i="29"/>
  <c r="L37" i="29" s="1"/>
  <c r="J36" i="33"/>
  <c r="F86" i="37"/>
  <c r="P85" i="37"/>
  <c r="G86" i="37" s="1"/>
  <c r="R85" i="37"/>
  <c r="S85" i="37" s="1"/>
  <c r="P37" i="28"/>
  <c r="G38" i="28" s="1"/>
  <c r="R37" i="28"/>
  <c r="S37" i="28" s="1"/>
  <c r="F38" i="28"/>
  <c r="M36" i="33" l="1"/>
  <c r="C37" i="33"/>
  <c r="O37" i="29"/>
  <c r="P37" i="29" s="1"/>
  <c r="G38" i="29" s="1"/>
  <c r="M37" i="29"/>
  <c r="I37" i="33"/>
  <c r="L86" i="37"/>
  <c r="M86" i="37" s="1"/>
  <c r="L38" i="28"/>
  <c r="D37" i="33" l="1"/>
  <c r="R37" i="29"/>
  <c r="S37" i="29" s="1"/>
  <c r="F38" i="29"/>
  <c r="C38" i="33" s="1"/>
  <c r="L37" i="33"/>
  <c r="J37" i="33"/>
  <c r="O86" i="37"/>
  <c r="M38" i="28"/>
  <c r="O38" i="28"/>
  <c r="L38" i="29" l="1"/>
  <c r="M37" i="33"/>
  <c r="O37" i="33"/>
  <c r="P37" i="33" s="1"/>
  <c r="M38" i="29"/>
  <c r="I38" i="33"/>
  <c r="J38" i="33" s="1"/>
  <c r="O38" i="29"/>
  <c r="F87" i="37"/>
  <c r="P86" i="37"/>
  <c r="G87" i="37" s="1"/>
  <c r="R86" i="37"/>
  <c r="S86" i="37" s="1"/>
  <c r="F39" i="28"/>
  <c r="P38" i="28"/>
  <c r="G39" i="28" s="1"/>
  <c r="R38" i="28"/>
  <c r="S38" i="28" s="1"/>
  <c r="P38" i="29" l="1"/>
  <c r="G39" i="29" s="1"/>
  <c r="D38" i="33"/>
  <c r="L38" i="33"/>
  <c r="R38" i="29"/>
  <c r="S38" i="29" s="1"/>
  <c r="F39" i="29"/>
  <c r="L39" i="29" s="1"/>
  <c r="L87" i="37"/>
  <c r="M87" i="37" s="1"/>
  <c r="L39" i="28"/>
  <c r="M39" i="29" l="1"/>
  <c r="M38" i="33"/>
  <c r="D39" i="33" s="1"/>
  <c r="C39" i="33"/>
  <c r="O38" i="33"/>
  <c r="P38" i="33" s="1"/>
  <c r="O39" i="29"/>
  <c r="O87" i="37"/>
  <c r="M39" i="28"/>
  <c r="I39" i="33"/>
  <c r="O39" i="28"/>
  <c r="F40" i="29" l="1"/>
  <c r="R39" i="29"/>
  <c r="S39" i="29" s="1"/>
  <c r="P39" i="29"/>
  <c r="G40" i="29" s="1"/>
  <c r="L40" i="29"/>
  <c r="F88" i="37"/>
  <c r="P87" i="37"/>
  <c r="G88" i="37" s="1"/>
  <c r="R87" i="37"/>
  <c r="S87" i="37" s="1"/>
  <c r="J39" i="33"/>
  <c r="L39" i="33"/>
  <c r="P39" i="28"/>
  <c r="G40" i="28" s="1"/>
  <c r="F40" i="28"/>
  <c r="R39" i="28"/>
  <c r="S39" i="28" s="1"/>
  <c r="O40" i="29" l="1"/>
  <c r="R40" i="29" s="1"/>
  <c r="S40" i="29" s="1"/>
  <c r="M40" i="29"/>
  <c r="L88" i="37"/>
  <c r="O88" i="37" s="1"/>
  <c r="M39" i="33"/>
  <c r="O39" i="33"/>
  <c r="P39" i="33" s="1"/>
  <c r="C40" i="33"/>
  <c r="L40" i="28"/>
  <c r="P40" i="29" l="1"/>
  <c r="G41" i="29" s="1"/>
  <c r="I40" i="33"/>
  <c r="F41" i="29"/>
  <c r="L41" i="29" s="1"/>
  <c r="M88" i="37"/>
  <c r="F89" i="37"/>
  <c r="P88" i="37"/>
  <c r="G89" i="37" s="1"/>
  <c r="R88" i="37"/>
  <c r="S88" i="37" s="1"/>
  <c r="M40" i="28"/>
  <c r="O40" i="28"/>
  <c r="D40" i="33"/>
  <c r="O41" i="29" l="1"/>
  <c r="M41" i="29"/>
  <c r="L89" i="37"/>
  <c r="M89" i="37" s="1"/>
  <c r="J40" i="33"/>
  <c r="L40" i="33"/>
  <c r="P40" i="28"/>
  <c r="G41" i="28" s="1"/>
  <c r="F41" i="28"/>
  <c r="R40" i="28"/>
  <c r="S40" i="28" s="1"/>
  <c r="F42" i="29" l="1"/>
  <c r="L42" i="29" s="1"/>
  <c r="M42" i="29" s="1"/>
  <c r="R41" i="29"/>
  <c r="S41" i="29" s="1"/>
  <c r="P41" i="29"/>
  <c r="G42" i="29" s="1"/>
  <c r="O89" i="37"/>
  <c r="C41" i="33"/>
  <c r="L41" i="28"/>
  <c r="M40" i="33"/>
  <c r="O40" i="33"/>
  <c r="P40" i="33" s="1"/>
  <c r="I41" i="33" l="1"/>
  <c r="O42" i="29"/>
  <c r="P42" i="29" s="1"/>
  <c r="G43" i="29" s="1"/>
  <c r="R89" i="37"/>
  <c r="S89" i="37" s="1"/>
  <c r="P89" i="37"/>
  <c r="O41" i="28"/>
  <c r="M41" i="28"/>
  <c r="D41" i="33"/>
  <c r="R42" i="29" l="1"/>
  <c r="S42" i="29" s="1"/>
  <c r="F43" i="29"/>
  <c r="L43" i="29" s="1"/>
  <c r="L41" i="33"/>
  <c r="F42" i="28"/>
  <c r="R41" i="28"/>
  <c r="S41" i="28" s="1"/>
  <c r="P41" i="28"/>
  <c r="G42" i="28" s="1"/>
  <c r="J41" i="33"/>
  <c r="O41" i="33" l="1"/>
  <c r="P41" i="33" s="1"/>
  <c r="O43" i="29"/>
  <c r="R43" i="29" s="1"/>
  <c r="S43" i="29" s="1"/>
  <c r="M43" i="29"/>
  <c r="L42" i="28"/>
  <c r="I42" i="33" s="1"/>
  <c r="C42" i="33"/>
  <c r="M41" i="33"/>
  <c r="F44" i="29" l="1"/>
  <c r="P43" i="29"/>
  <c r="G44" i="29" s="1"/>
  <c r="M42" i="28"/>
  <c r="J42" i="33"/>
  <c r="D42" i="33"/>
  <c r="O42" i="28"/>
  <c r="R42" i="28" s="1"/>
  <c r="S42" i="28" s="1"/>
  <c r="L44" i="29"/>
  <c r="L42" i="33" l="1"/>
  <c r="P42" i="28"/>
  <c r="G43" i="28" s="1"/>
  <c r="F43" i="28"/>
  <c r="C43" i="33" s="1"/>
  <c r="O44" i="29"/>
  <c r="R44" i="29" s="1"/>
  <c r="S44" i="29" s="1"/>
  <c r="M44" i="29"/>
  <c r="P44" i="29" l="1"/>
  <c r="G45" i="29" s="1"/>
  <c r="F45" i="29"/>
  <c r="L43" i="28"/>
  <c r="I43" i="33" s="1"/>
  <c r="J43" i="33" s="1"/>
  <c r="M42" i="33"/>
  <c r="D43" i="33" s="1"/>
  <c r="O42" i="33"/>
  <c r="P42" i="33" s="1"/>
  <c r="M43" i="28"/>
  <c r="O43" i="28"/>
  <c r="F44" i="28" s="1"/>
  <c r="C44" i="33" s="1"/>
  <c r="L45" i="29"/>
  <c r="M45" i="29" s="1"/>
  <c r="R43" i="28"/>
  <c r="S43" i="28" s="1"/>
  <c r="P43" i="28"/>
  <c r="G44" i="28" s="1"/>
  <c r="L43" i="33" l="1"/>
  <c r="L44" i="28"/>
  <c r="I44" i="33" s="1"/>
  <c r="J44" i="33" s="1"/>
  <c r="M43" i="33"/>
  <c r="D44" i="33" s="1"/>
  <c r="O43" i="33"/>
  <c r="P43" i="33" s="1"/>
  <c r="O45" i="29"/>
  <c r="R45" i="29" s="1"/>
  <c r="S45" i="29" s="1"/>
  <c r="O44" i="28" l="1"/>
  <c r="L44" i="33" s="1"/>
  <c r="M44" i="28"/>
  <c r="M44" i="33"/>
  <c r="D45" i="33" s="1"/>
  <c r="O44" i="33"/>
  <c r="P44" i="33" s="1"/>
  <c r="F46" i="29"/>
  <c r="L46" i="29" s="1"/>
  <c r="M46" i="29" s="1"/>
  <c r="P45" i="29"/>
  <c r="G46" i="29" s="1"/>
  <c r="F45" i="28" l="1"/>
  <c r="C45" i="33" s="1"/>
  <c r="P44" i="28"/>
  <c r="G45" i="28" s="1"/>
  <c r="R44" i="28"/>
  <c r="S44" i="28" s="1"/>
  <c r="O46" i="29"/>
  <c r="P46" i="29" s="1"/>
  <c r="G47" i="29" s="1"/>
  <c r="L45" i="28"/>
  <c r="M45" i="28" l="1"/>
  <c r="I45" i="33"/>
  <c r="J45" i="33" s="1"/>
  <c r="F47" i="29"/>
  <c r="L47" i="29" s="1"/>
  <c r="M47" i="29" s="1"/>
  <c r="R46" i="29"/>
  <c r="S46" i="29" s="1"/>
  <c r="O45" i="28"/>
  <c r="R45" i="28" l="1"/>
  <c r="S45" i="28" s="1"/>
  <c r="L45" i="33"/>
  <c r="P45" i="28"/>
  <c r="G46" i="28" s="1"/>
  <c r="O47" i="29"/>
  <c r="F48" i="29" s="1"/>
  <c r="F46" i="28"/>
  <c r="C46" i="33" s="1"/>
  <c r="R47" i="29" l="1"/>
  <c r="S47" i="29" s="1"/>
  <c r="M45" i="33"/>
  <c r="O45" i="33"/>
  <c r="P45" i="33" s="1"/>
  <c r="P47" i="29"/>
  <c r="G48" i="29" s="1"/>
  <c r="L48" i="29"/>
  <c r="M48" i="29" s="1"/>
  <c r="L46" i="28"/>
  <c r="I46" i="33" s="1"/>
  <c r="J46" i="33" s="1"/>
  <c r="D46" i="33" l="1"/>
  <c r="O48" i="29"/>
  <c r="F49" i="29" s="1"/>
  <c r="O46" i="28"/>
  <c r="L46" i="33" s="1"/>
  <c r="M46" i="28"/>
  <c r="M46" i="33" l="1"/>
  <c r="D47" i="33" s="1"/>
  <c r="O46" i="33"/>
  <c r="P46" i="33" s="1"/>
  <c r="P48" i="29"/>
  <c r="G49" i="29" s="1"/>
  <c r="R48" i="29"/>
  <c r="S48" i="29" s="1"/>
  <c r="L49" i="29"/>
  <c r="M49" i="29" s="1"/>
  <c r="P46" i="28"/>
  <c r="G47" i="28" s="1"/>
  <c r="F47" i="28"/>
  <c r="C47" i="33" s="1"/>
  <c r="R46" i="28"/>
  <c r="S46" i="28" s="1"/>
  <c r="O49" i="29" l="1"/>
  <c r="F50" i="29" s="1"/>
  <c r="L47" i="28"/>
  <c r="O47" i="28" l="1"/>
  <c r="L47" i="33" s="1"/>
  <c r="I47" i="33"/>
  <c r="J47" i="33" s="1"/>
  <c r="R49" i="29"/>
  <c r="S49" i="29" s="1"/>
  <c r="P49" i="29"/>
  <c r="G50" i="29" s="1"/>
  <c r="L50" i="29"/>
  <c r="M50" i="29" s="1"/>
  <c r="R47" i="28"/>
  <c r="S47" i="28" s="1"/>
  <c r="F48" i="28"/>
  <c r="C48" i="33" s="1"/>
  <c r="P47" i="28"/>
  <c r="G48" i="28" s="1"/>
  <c r="M47" i="28"/>
  <c r="M47" i="33" l="1"/>
  <c r="D48" i="33" s="1"/>
  <c r="O47" i="33"/>
  <c r="P47" i="33" s="1"/>
  <c r="O50" i="29"/>
  <c r="F51" i="29" s="1"/>
  <c r="L48" i="28"/>
  <c r="M48" i="28" l="1"/>
  <c r="I48" i="33"/>
  <c r="J48" i="33" s="1"/>
  <c r="R50" i="29"/>
  <c r="S50" i="29" s="1"/>
  <c r="P50" i="29"/>
  <c r="G51" i="29" s="1"/>
  <c r="O48" i="28"/>
  <c r="L48" i="33" s="1"/>
  <c r="L51" i="29"/>
  <c r="M51" i="29" s="1"/>
  <c r="P48" i="28" l="1"/>
  <c r="G49" i="28" s="1"/>
  <c r="M48" i="33"/>
  <c r="D49" i="33" s="1"/>
  <c r="O48" i="33"/>
  <c r="P48" i="33" s="1"/>
  <c r="R48" i="28"/>
  <c r="S48" i="28" s="1"/>
  <c r="F49" i="28"/>
  <c r="C49" i="33" s="1"/>
  <c r="O51" i="29"/>
  <c r="P51" i="29" s="1"/>
  <c r="G52" i="29" s="1"/>
  <c r="L49" i="28" l="1"/>
  <c r="I49" i="33" s="1"/>
  <c r="J49" i="33" s="1"/>
  <c r="R51" i="29"/>
  <c r="S51" i="29" s="1"/>
  <c r="F52" i="29"/>
  <c r="L52" i="29" s="1"/>
  <c r="O49" i="28"/>
  <c r="L49" i="33" s="1"/>
  <c r="M49" i="28" l="1"/>
  <c r="O52" i="29"/>
  <c r="M52" i="29"/>
  <c r="M49" i="33"/>
  <c r="D50" i="33" s="1"/>
  <c r="O49" i="33"/>
  <c r="P49" i="33" s="1"/>
  <c r="F53" i="29"/>
  <c r="P52" i="29"/>
  <c r="G53" i="29" s="1"/>
  <c r="R52" i="29"/>
  <c r="S52" i="29" s="1"/>
  <c r="P49" i="28"/>
  <c r="G50" i="28" s="1"/>
  <c r="F50" i="28"/>
  <c r="C50" i="33" s="1"/>
  <c r="R49" i="28"/>
  <c r="S49" i="28" s="1"/>
  <c r="L53" i="29" l="1"/>
  <c r="L50" i="28"/>
  <c r="I50" i="33" s="1"/>
  <c r="J50" i="33" s="1"/>
  <c r="O53" i="29" l="1"/>
  <c r="M53" i="29"/>
  <c r="R53" i="29"/>
  <c r="S53" i="29" s="1"/>
  <c r="P53" i="29"/>
  <c r="G54" i="29" s="1"/>
  <c r="F54" i="29"/>
  <c r="M50" i="28"/>
  <c r="O50" i="28"/>
  <c r="L50" i="33" s="1"/>
  <c r="M50" i="33" l="1"/>
  <c r="D51" i="33" s="1"/>
  <c r="O50" i="33"/>
  <c r="P50" i="33" s="1"/>
  <c r="L54" i="29"/>
  <c r="M54" i="29" s="1"/>
  <c r="F51" i="28"/>
  <c r="C51" i="33" s="1"/>
  <c r="P50" i="28"/>
  <c r="G51" i="28" s="1"/>
  <c r="R50" i="28"/>
  <c r="S50" i="28" s="1"/>
  <c r="O54" i="29" l="1"/>
  <c r="F55" i="29" s="1"/>
  <c r="L51" i="28"/>
  <c r="I51" i="33" s="1"/>
  <c r="J51" i="33" s="1"/>
  <c r="R54" i="29" l="1"/>
  <c r="S54" i="29" s="1"/>
  <c r="P54" i="29"/>
  <c r="G55" i="29" s="1"/>
  <c r="L55" i="29"/>
  <c r="M51" i="28"/>
  <c r="O51" i="28"/>
  <c r="L51" i="33" s="1"/>
  <c r="O55" i="29" l="1"/>
  <c r="F56" i="29" s="1"/>
  <c r="M55" i="29"/>
  <c r="M51" i="33"/>
  <c r="D52" i="33" s="1"/>
  <c r="O51" i="33"/>
  <c r="P51" i="33" s="1"/>
  <c r="P55" i="29"/>
  <c r="G56" i="29" s="1"/>
  <c r="R55" i="29"/>
  <c r="S55" i="29" s="1"/>
  <c r="P51" i="28"/>
  <c r="G52" i="28" s="1"/>
  <c r="F52" i="28"/>
  <c r="C52" i="33" s="1"/>
  <c r="R51" i="28"/>
  <c r="S51" i="28" s="1"/>
  <c r="L56" i="29" l="1"/>
  <c r="L52" i="28"/>
  <c r="I52" i="33" s="1"/>
  <c r="J52" i="33" s="1"/>
  <c r="O56" i="29" l="1"/>
  <c r="M56" i="29"/>
  <c r="P56" i="29"/>
  <c r="G57" i="29" s="1"/>
  <c r="F57" i="29"/>
  <c r="R56" i="29"/>
  <c r="S56" i="29" s="1"/>
  <c r="O52" i="28"/>
  <c r="M52" i="28"/>
  <c r="F53" i="28" l="1"/>
  <c r="C53" i="33" s="1"/>
  <c r="L52" i="33"/>
  <c r="L57" i="29"/>
  <c r="M57" i="29" s="1"/>
  <c r="R52" i="28"/>
  <c r="S52" i="28" s="1"/>
  <c r="P52" i="28"/>
  <c r="G53" i="28" s="1"/>
  <c r="L53" i="28" l="1"/>
  <c r="I53" i="33" s="1"/>
  <c r="J53" i="33" s="1"/>
  <c r="M52" i="33"/>
  <c r="D53" i="33" s="1"/>
  <c r="O52" i="33"/>
  <c r="P52" i="33" s="1"/>
  <c r="O57" i="29"/>
  <c r="F58" i="29" s="1"/>
  <c r="M53" i="28" l="1"/>
  <c r="O53" i="28"/>
  <c r="F54" i="28" s="1"/>
  <c r="C54" i="33" s="1"/>
  <c r="R53" i="28"/>
  <c r="S53" i="28" s="1"/>
  <c r="L53" i="33"/>
  <c r="R57" i="29"/>
  <c r="S57" i="29" s="1"/>
  <c r="P57" i="29"/>
  <c r="G58" i="29" s="1"/>
  <c r="L58" i="29"/>
  <c r="M58" i="29" s="1"/>
  <c r="P53" i="28" l="1"/>
  <c r="G54" i="28" s="1"/>
  <c r="M53" i="33"/>
  <c r="D54" i="33" s="1"/>
  <c r="O53" i="33"/>
  <c r="P53" i="33" s="1"/>
  <c r="O58" i="29"/>
  <c r="F59" i="29" s="1"/>
  <c r="L54" i="28"/>
  <c r="M54" i="28" s="1"/>
  <c r="I54" i="33" l="1"/>
  <c r="R58" i="29"/>
  <c r="S58" i="29" s="1"/>
  <c r="P58" i="29"/>
  <c r="G59" i="29" s="1"/>
  <c r="L59" i="29"/>
  <c r="M59" i="29" s="1"/>
  <c r="O54" i="28"/>
  <c r="J54" i="33" l="1"/>
  <c r="R54" i="28"/>
  <c r="S54" i="28" s="1"/>
  <c r="L54" i="33"/>
  <c r="P54" i="28"/>
  <c r="G55" i="28" s="1"/>
  <c r="O59" i="29"/>
  <c r="P59" i="29" s="1"/>
  <c r="G60" i="29" s="1"/>
  <c r="F55" i="28"/>
  <c r="C55" i="33" s="1"/>
  <c r="M54" i="33" l="1"/>
  <c r="O54" i="33"/>
  <c r="P54" i="33" s="1"/>
  <c r="R59" i="29"/>
  <c r="S59" i="29" s="1"/>
  <c r="F60" i="29"/>
  <c r="L60" i="29" s="1"/>
  <c r="M60" i="29" s="1"/>
  <c r="L55" i="28"/>
  <c r="M55" i="28" s="1"/>
  <c r="I55" i="33" l="1"/>
  <c r="D55" i="33"/>
  <c r="O55" i="28"/>
  <c r="O60" i="29"/>
  <c r="F61" i="29" s="1"/>
  <c r="J55" i="33" l="1"/>
  <c r="R60" i="29"/>
  <c r="S60" i="29" s="1"/>
  <c r="L55" i="33"/>
  <c r="P60" i="29"/>
  <c r="G61" i="29" s="1"/>
  <c r="R55" i="28"/>
  <c r="S55" i="28" s="1"/>
  <c r="P55" i="28"/>
  <c r="G56" i="28" s="1"/>
  <c r="F56" i="28"/>
  <c r="C56" i="33" s="1"/>
  <c r="L61" i="29"/>
  <c r="M61" i="29" s="1"/>
  <c r="M55" i="33" l="1"/>
  <c r="O55" i="33"/>
  <c r="P55" i="33" s="1"/>
  <c r="L56" i="28"/>
  <c r="O61" i="29"/>
  <c r="F62" i="29" s="1"/>
  <c r="I56" i="33" l="1"/>
  <c r="J56" i="33" s="1"/>
  <c r="M56" i="28"/>
  <c r="D56" i="33"/>
  <c r="R61" i="29"/>
  <c r="S61" i="29" s="1"/>
  <c r="P61" i="29"/>
  <c r="G62" i="29" s="1"/>
  <c r="O56" i="28"/>
  <c r="L56" i="33" s="1"/>
  <c r="L62" i="29"/>
  <c r="M62" i="29" s="1"/>
  <c r="M56" i="33" l="1"/>
  <c r="D57" i="33" s="1"/>
  <c r="O56" i="33"/>
  <c r="P56" i="33" s="1"/>
  <c r="P56" i="28"/>
  <c r="G57" i="28" s="1"/>
  <c r="R56" i="28"/>
  <c r="S56" i="28" s="1"/>
  <c r="F57" i="28"/>
  <c r="C57" i="33" s="1"/>
  <c r="O62" i="29"/>
  <c r="P62" i="29" s="1"/>
  <c r="G63" i="29" s="1"/>
  <c r="R62" i="29" l="1"/>
  <c r="S62" i="29" s="1"/>
  <c r="L57" i="28"/>
  <c r="F63" i="29"/>
  <c r="L63" i="29" s="1"/>
  <c r="M63" i="29" s="1"/>
  <c r="O57" i="28" l="1"/>
  <c r="L57" i="33" s="1"/>
  <c r="I57" i="33"/>
  <c r="J57" i="33" s="1"/>
  <c r="M57" i="28"/>
  <c r="F58" i="28"/>
  <c r="C58" i="33" s="1"/>
  <c r="R57" i="28"/>
  <c r="S57" i="28" s="1"/>
  <c r="P57" i="28"/>
  <c r="G58" i="28" s="1"/>
  <c r="O63" i="29"/>
  <c r="F64" i="29" s="1"/>
  <c r="M57" i="33" l="1"/>
  <c r="D58" i="33" s="1"/>
  <c r="O57" i="33"/>
  <c r="P57" i="33" s="1"/>
  <c r="R63" i="29"/>
  <c r="S63" i="29" s="1"/>
  <c r="L58" i="28"/>
  <c r="P63" i="29"/>
  <c r="G64" i="29" s="1"/>
  <c r="L64" i="29"/>
  <c r="O64" i="29" l="1"/>
  <c r="F65" i="29" s="1"/>
  <c r="M64" i="29"/>
  <c r="O58" i="28"/>
  <c r="L58" i="33" s="1"/>
  <c r="I58" i="33"/>
  <c r="J58" i="33" s="1"/>
  <c r="R58" i="28"/>
  <c r="S58" i="28" s="1"/>
  <c r="M58" i="28"/>
  <c r="P64" i="29"/>
  <c r="G65" i="29" s="1"/>
  <c r="R64" i="29"/>
  <c r="S64" i="29" s="1"/>
  <c r="F59" i="28" l="1"/>
  <c r="C59" i="33" s="1"/>
  <c r="P58" i="28"/>
  <c r="G59" i="28" s="1"/>
  <c r="M58" i="33"/>
  <c r="D59" i="33" s="1"/>
  <c r="O58" i="33"/>
  <c r="P58" i="33" s="1"/>
  <c r="L59" i="28"/>
  <c r="I59" i="33" s="1"/>
  <c r="J59" i="33" s="1"/>
  <c r="L65" i="29"/>
  <c r="O65" i="29" l="1"/>
  <c r="M65" i="29"/>
  <c r="O59" i="28"/>
  <c r="L59" i="33" s="1"/>
  <c r="M59" i="28"/>
  <c r="P65" i="29"/>
  <c r="G66" i="29" s="1"/>
  <c r="F66" i="29"/>
  <c r="R65" i="29"/>
  <c r="S65" i="29" s="1"/>
  <c r="M59" i="33" l="1"/>
  <c r="D60" i="33" s="1"/>
  <c r="O59" i="33"/>
  <c r="P59" i="33" s="1"/>
  <c r="R59" i="28"/>
  <c r="S59" i="28" s="1"/>
  <c r="P59" i="28"/>
  <c r="G60" i="28" s="1"/>
  <c r="F60" i="28"/>
  <c r="C60" i="33" s="1"/>
  <c r="L66" i="29"/>
  <c r="M66" i="29" s="1"/>
  <c r="L60" i="28" l="1"/>
  <c r="I60" i="33" s="1"/>
  <c r="J60" i="33" s="1"/>
  <c r="O66" i="29"/>
  <c r="P66" i="29" s="1"/>
  <c r="G67" i="29" s="1"/>
  <c r="F67" i="29" l="1"/>
  <c r="L67" i="29" s="1"/>
  <c r="O60" i="28"/>
  <c r="L60" i="33" s="1"/>
  <c r="M60" i="28"/>
  <c r="R66" i="29"/>
  <c r="S66" i="29" s="1"/>
  <c r="O67" i="29" l="1"/>
  <c r="R67" i="29" s="1"/>
  <c r="S67" i="29" s="1"/>
  <c r="M67" i="29"/>
  <c r="M60" i="33"/>
  <c r="D61" i="33" s="1"/>
  <c r="O60" i="33"/>
  <c r="P60" i="33" s="1"/>
  <c r="F68" i="29"/>
  <c r="L68" i="29" s="1"/>
  <c r="P67" i="29"/>
  <c r="G68" i="29" s="1"/>
  <c r="P60" i="28"/>
  <c r="G61" i="28" s="1"/>
  <c r="F61" i="28"/>
  <c r="C61" i="33" s="1"/>
  <c r="R60" i="28"/>
  <c r="S60" i="28" s="1"/>
  <c r="O68" i="29" l="1"/>
  <c r="F69" i="29" s="1"/>
  <c r="L69" i="29" s="1"/>
  <c r="M68" i="29"/>
  <c r="P68" i="29"/>
  <c r="G69" i="29" s="1"/>
  <c r="R68" i="29"/>
  <c r="S68" i="29" s="1"/>
  <c r="L61" i="28"/>
  <c r="O69" i="29" l="1"/>
  <c r="M69" i="29"/>
  <c r="O61" i="28"/>
  <c r="L61" i="33" s="1"/>
  <c r="I61" i="33"/>
  <c r="J61" i="33" s="1"/>
  <c r="R61" i="28"/>
  <c r="S61" i="28" s="1"/>
  <c r="M61" i="28"/>
  <c r="G15" i="44"/>
  <c r="J16" i="40"/>
  <c r="O16" i="40"/>
  <c r="P61" i="28" l="1"/>
  <c r="G62" i="28" s="1"/>
  <c r="F62" i="28"/>
  <c r="C62" i="33" s="1"/>
  <c r="R69" i="29"/>
  <c r="S69" i="29" s="1"/>
  <c r="P69" i="29"/>
  <c r="G70" i="29" s="1"/>
  <c r="F70" i="29"/>
  <c r="L70" i="29" s="1"/>
  <c r="M70" i="29" s="1"/>
  <c r="M61" i="33"/>
  <c r="D62" i="33" s="1"/>
  <c r="O61" i="33"/>
  <c r="P61" i="33" s="1"/>
  <c r="L62" i="28"/>
  <c r="I62" i="33" s="1"/>
  <c r="J62" i="33" s="1"/>
  <c r="P16" i="40"/>
  <c r="G17" i="40" s="1"/>
  <c r="F17" i="40"/>
  <c r="M16" i="40"/>
  <c r="O70" i="29" l="1"/>
  <c r="P70" i="29" s="1"/>
  <c r="G71" i="29" s="1"/>
  <c r="R70" i="29"/>
  <c r="S70" i="29" s="1"/>
  <c r="F71" i="29"/>
  <c r="M62" i="28"/>
  <c r="O62" i="28"/>
  <c r="L62" i="33" s="1"/>
  <c r="L71" i="29"/>
  <c r="M71" i="29" s="1"/>
  <c r="M15" i="44"/>
  <c r="O17" i="40"/>
  <c r="J15" i="44"/>
  <c r="M62" i="33" l="1"/>
  <c r="D63" i="33" s="1"/>
  <c r="O62" i="33"/>
  <c r="P62" i="33" s="1"/>
  <c r="O71" i="29"/>
  <c r="F72" i="29" s="1"/>
  <c r="R62" i="28"/>
  <c r="S62" i="28" s="1"/>
  <c r="F63" i="28"/>
  <c r="C63" i="33" s="1"/>
  <c r="P62" i="28"/>
  <c r="G63" i="28" s="1"/>
  <c r="D16" i="44"/>
  <c r="M17" i="40"/>
  <c r="P17" i="40"/>
  <c r="G18" i="40" s="1"/>
  <c r="F18" i="40"/>
  <c r="C17" i="44" s="1"/>
  <c r="R71" i="29" l="1"/>
  <c r="S71" i="29" s="1"/>
  <c r="P71" i="29"/>
  <c r="G72" i="29" s="1"/>
  <c r="L63" i="28"/>
  <c r="L72" i="29"/>
  <c r="M72" i="29" s="1"/>
  <c r="J16" i="44"/>
  <c r="M16" i="44"/>
  <c r="O63" i="28" l="1"/>
  <c r="L63" i="33" s="1"/>
  <c r="I63" i="33"/>
  <c r="J63" i="33" s="1"/>
  <c r="P63" i="28"/>
  <c r="G64" i="28" s="1"/>
  <c r="F64" i="28"/>
  <c r="C64" i="33" s="1"/>
  <c r="R63" i="28"/>
  <c r="S63" i="28" s="1"/>
  <c r="M63" i="28"/>
  <c r="O72" i="29"/>
  <c r="F73" i="29" s="1"/>
  <c r="O18" i="40"/>
  <c r="L17" i="44" s="1"/>
  <c r="I17" i="44"/>
  <c r="D17" i="44"/>
  <c r="M18" i="40"/>
  <c r="M63" i="33" l="1"/>
  <c r="D64" i="33" s="1"/>
  <c r="O63" i="33"/>
  <c r="P63" i="33" s="1"/>
  <c r="R72" i="29"/>
  <c r="S72" i="29" s="1"/>
  <c r="P72" i="29"/>
  <c r="G73" i="29" s="1"/>
  <c r="L64" i="28"/>
  <c r="M64" i="28" s="1"/>
  <c r="L73" i="29"/>
  <c r="M73" i="29" s="1"/>
  <c r="F19" i="40"/>
  <c r="P18" i="40"/>
  <c r="G19" i="40" s="1"/>
  <c r="J17" i="44"/>
  <c r="M17" i="44"/>
  <c r="I64" i="33" l="1"/>
  <c r="O64" i="28"/>
  <c r="O73" i="29"/>
  <c r="P73" i="29" s="1"/>
  <c r="G74" i="29" s="1"/>
  <c r="O19" i="40"/>
  <c r="R19" i="40" s="1"/>
  <c r="S19" i="40" s="1"/>
  <c r="M19" i="40"/>
  <c r="J64" i="33" l="1"/>
  <c r="F65" i="28"/>
  <c r="C65" i="33" s="1"/>
  <c r="L64" i="33"/>
  <c r="R64" i="28"/>
  <c r="S64" i="28" s="1"/>
  <c r="P64" i="28"/>
  <c r="G65" i="28" s="1"/>
  <c r="R73" i="29"/>
  <c r="S73" i="29" s="1"/>
  <c r="F74" i="29"/>
  <c r="L74" i="29" s="1"/>
  <c r="M74" i="29" s="1"/>
  <c r="P19" i="40"/>
  <c r="G20" i="40" s="1"/>
  <c r="F20" i="40"/>
  <c r="L65" i="28" l="1"/>
  <c r="M65" i="28" s="1"/>
  <c r="M64" i="33"/>
  <c r="D65" i="33" s="1"/>
  <c r="O64" i="33"/>
  <c r="P64" i="33" s="1"/>
  <c r="O74" i="29"/>
  <c r="F75" i="29" s="1"/>
  <c r="O65" i="28"/>
  <c r="L65" i="33" s="1"/>
  <c r="O20" i="40"/>
  <c r="M20" i="40"/>
  <c r="I65" i="33" l="1"/>
  <c r="J65" i="33"/>
  <c r="R74" i="29"/>
  <c r="S74" i="29" s="1"/>
  <c r="M65" i="33"/>
  <c r="D66" i="33" s="1"/>
  <c r="O65" i="33"/>
  <c r="P65" i="33" s="1"/>
  <c r="P74" i="29"/>
  <c r="G75" i="29" s="1"/>
  <c r="P65" i="28"/>
  <c r="G66" i="28" s="1"/>
  <c r="F66" i="28"/>
  <c r="C66" i="33" s="1"/>
  <c r="R65" i="28"/>
  <c r="S65" i="28" s="1"/>
  <c r="L75" i="29"/>
  <c r="M75" i="29" s="1"/>
  <c r="P20" i="40"/>
  <c r="G21" i="40" s="1"/>
  <c r="R20" i="40"/>
  <c r="S20" i="40" s="1"/>
  <c r="F21" i="40"/>
  <c r="L66" i="28" l="1"/>
  <c r="O75" i="29"/>
  <c r="P75" i="29" s="1"/>
  <c r="G76" i="29" s="1"/>
  <c r="O21" i="40"/>
  <c r="O66" i="28" l="1"/>
  <c r="L66" i="33" s="1"/>
  <c r="I66" i="33"/>
  <c r="J66" i="33" s="1"/>
  <c r="R75" i="29"/>
  <c r="S75" i="29" s="1"/>
  <c r="F76" i="29"/>
  <c r="L76" i="29" s="1"/>
  <c r="O76" i="29" s="1"/>
  <c r="R76" i="29" s="1"/>
  <c r="S76" i="29" s="1"/>
  <c r="M66" i="28"/>
  <c r="M21" i="40"/>
  <c r="P21" i="40"/>
  <c r="G22" i="40" s="1"/>
  <c r="F22" i="40"/>
  <c r="R21" i="40"/>
  <c r="S21" i="40" s="1"/>
  <c r="R66" i="28" l="1"/>
  <c r="S66" i="28" s="1"/>
  <c r="P66" i="28"/>
  <c r="G67" i="28" s="1"/>
  <c r="F67" i="28"/>
  <c r="C67" i="33" s="1"/>
  <c r="M66" i="33"/>
  <c r="D67" i="33" s="1"/>
  <c r="O66" i="33"/>
  <c r="P66" i="33" s="1"/>
  <c r="P76" i="29"/>
  <c r="G77" i="29" s="1"/>
  <c r="F77" i="29"/>
  <c r="L77" i="29" s="1"/>
  <c r="O77" i="29" s="1"/>
  <c r="F78" i="29" s="1"/>
  <c r="L78" i="29" s="1"/>
  <c r="L67" i="28"/>
  <c r="I67" i="33" s="1"/>
  <c r="J67" i="33" s="1"/>
  <c r="O22" i="40"/>
  <c r="M22" i="40"/>
  <c r="O78" i="29" l="1"/>
  <c r="R78" i="29" s="1"/>
  <c r="S78" i="29" s="1"/>
  <c r="M78" i="29"/>
  <c r="P77" i="29"/>
  <c r="G78" i="29" s="1"/>
  <c r="R77" i="29"/>
  <c r="S77" i="29" s="1"/>
  <c r="O67" i="28"/>
  <c r="L67" i="33" s="1"/>
  <c r="P22" i="40"/>
  <c r="G23" i="40" s="1"/>
  <c r="F23" i="40"/>
  <c r="R22" i="40"/>
  <c r="S22" i="40" s="1"/>
  <c r="F79" i="29" l="1"/>
  <c r="L79" i="29" s="1"/>
  <c r="O79" i="29" s="1"/>
  <c r="R79" i="29" s="1"/>
  <c r="S79" i="29" s="1"/>
  <c r="P78" i="29"/>
  <c r="G79" i="29" s="1"/>
  <c r="R67" i="28"/>
  <c r="S67" i="28" s="1"/>
  <c r="M67" i="33"/>
  <c r="D68" i="33" s="1"/>
  <c r="O67" i="33"/>
  <c r="P67" i="33" s="1"/>
  <c r="F68" i="28"/>
  <c r="C68" i="33" s="1"/>
  <c r="P67" i="28"/>
  <c r="G68" i="28" s="1"/>
  <c r="O23" i="40"/>
  <c r="F80" i="29" l="1"/>
  <c r="L80" i="29" s="1"/>
  <c r="P79" i="29"/>
  <c r="G80" i="29" s="1"/>
  <c r="O80" i="29"/>
  <c r="P80" i="29" s="1"/>
  <c r="G81" i="29" s="1"/>
  <c r="M80" i="29"/>
  <c r="L68" i="28"/>
  <c r="O68" i="28" s="1"/>
  <c r="L68" i="33" s="1"/>
  <c r="R80" i="29"/>
  <c r="S80" i="29" s="1"/>
  <c r="M23" i="40"/>
  <c r="P23" i="40"/>
  <c r="G24" i="40" s="1"/>
  <c r="R23" i="40"/>
  <c r="S23" i="40" s="1"/>
  <c r="F24" i="40"/>
  <c r="F81" i="29" l="1"/>
  <c r="I68" i="33"/>
  <c r="J68" i="33" s="1"/>
  <c r="M68" i="28"/>
  <c r="M68" i="33"/>
  <c r="D69" i="33" s="1"/>
  <c r="O68" i="33"/>
  <c r="P68" i="33" s="1"/>
  <c r="R68" i="28"/>
  <c r="S68" i="28" s="1"/>
  <c r="P68" i="28"/>
  <c r="G69" i="28" s="1"/>
  <c r="F69" i="28"/>
  <c r="C69" i="33" s="1"/>
  <c r="L81" i="29"/>
  <c r="M81" i="29" s="1"/>
  <c r="O24" i="40"/>
  <c r="L69" i="28" l="1"/>
  <c r="O81" i="29"/>
  <c r="P81" i="29" s="1"/>
  <c r="G82" i="29" s="1"/>
  <c r="M24" i="40"/>
  <c r="F25" i="40"/>
  <c r="P24" i="40"/>
  <c r="G25" i="40" s="1"/>
  <c r="R24" i="40"/>
  <c r="S24" i="40" s="1"/>
  <c r="I69" i="33" l="1"/>
  <c r="J69" i="33" s="1"/>
  <c r="M69" i="28"/>
  <c r="O69" i="28"/>
  <c r="R81" i="29"/>
  <c r="S81" i="29" s="1"/>
  <c r="F82" i="29"/>
  <c r="L82" i="29" s="1"/>
  <c r="O25" i="40"/>
  <c r="M25" i="40"/>
  <c r="O82" i="29" l="1"/>
  <c r="R82" i="29" s="1"/>
  <c r="S82" i="29" s="1"/>
  <c r="M82" i="29"/>
  <c r="R69" i="28"/>
  <c r="S69" i="28" s="1"/>
  <c r="L69" i="33"/>
  <c r="F70" i="28"/>
  <c r="C70" i="33" s="1"/>
  <c r="P69" i="28"/>
  <c r="G70" i="28" s="1"/>
  <c r="F83" i="29"/>
  <c r="L83" i="29" s="1"/>
  <c r="M83" i="29" s="1"/>
  <c r="L70" i="28"/>
  <c r="I70" i="33" s="1"/>
  <c r="J70" i="33" s="1"/>
  <c r="P82" i="29"/>
  <c r="G83" i="29" s="1"/>
  <c r="F26" i="40"/>
  <c r="P25" i="40"/>
  <c r="G26" i="40" s="1"/>
  <c r="R25" i="40"/>
  <c r="S25" i="40" s="1"/>
  <c r="M69" i="33" l="1"/>
  <c r="D70" i="33" s="1"/>
  <c r="O69" i="33"/>
  <c r="P69" i="33" s="1"/>
  <c r="O70" i="28"/>
  <c r="L70" i="33" s="1"/>
  <c r="M70" i="28"/>
  <c r="O83" i="29"/>
  <c r="F84" i="29" s="1"/>
  <c r="O26" i="40"/>
  <c r="M26" i="40"/>
  <c r="R83" i="29" l="1"/>
  <c r="S83" i="29" s="1"/>
  <c r="M70" i="33"/>
  <c r="D71" i="33" s="1"/>
  <c r="O70" i="33"/>
  <c r="P70" i="33" s="1"/>
  <c r="P83" i="29"/>
  <c r="G84" i="29" s="1"/>
  <c r="L84" i="29"/>
  <c r="M84" i="29" s="1"/>
  <c r="F71" i="28"/>
  <c r="C71" i="33" s="1"/>
  <c r="R70" i="28"/>
  <c r="S70" i="28" s="1"/>
  <c r="P70" i="28"/>
  <c r="G71" i="28" s="1"/>
  <c r="P26" i="40"/>
  <c r="G27" i="40" s="1"/>
  <c r="F27" i="40"/>
  <c r="R26" i="40"/>
  <c r="S26" i="40" s="1"/>
  <c r="O84" i="29" l="1"/>
  <c r="L71" i="28"/>
  <c r="I71" i="33" s="1"/>
  <c r="J71" i="33" s="1"/>
  <c r="O27" i="40"/>
  <c r="R84" i="29" l="1"/>
  <c r="S84" i="29" s="1"/>
  <c r="P84" i="29"/>
  <c r="G85" i="29" s="1"/>
  <c r="F85" i="29"/>
  <c r="L85" i="29" s="1"/>
  <c r="M85" i="29" s="1"/>
  <c r="M71" i="28"/>
  <c r="O71" i="28"/>
  <c r="L71" i="33" s="1"/>
  <c r="M27" i="40"/>
  <c r="F28" i="40"/>
  <c r="R27" i="40"/>
  <c r="S27" i="40" s="1"/>
  <c r="P27" i="40"/>
  <c r="G28" i="40" s="1"/>
  <c r="M71" i="33" l="1"/>
  <c r="D72" i="33" s="1"/>
  <c r="O71" i="33"/>
  <c r="P71" i="33" s="1"/>
  <c r="O85" i="29"/>
  <c r="F86" i="29" s="1"/>
  <c r="P71" i="28"/>
  <c r="G72" i="28" s="1"/>
  <c r="F72" i="28"/>
  <c r="C72" i="33" s="1"/>
  <c r="R71" i="28"/>
  <c r="S71" i="28" s="1"/>
  <c r="O28" i="40"/>
  <c r="M28" i="40"/>
  <c r="P85" i="29" l="1"/>
  <c r="G86" i="29" s="1"/>
  <c r="R85" i="29"/>
  <c r="S85" i="29" s="1"/>
  <c r="L72" i="28"/>
  <c r="L86" i="29"/>
  <c r="M86" i="29" s="1"/>
  <c r="F29" i="40"/>
  <c r="P28" i="40"/>
  <c r="G29" i="40" s="1"/>
  <c r="R28" i="40"/>
  <c r="S28" i="40" s="1"/>
  <c r="O72" i="28" l="1"/>
  <c r="L72" i="33" s="1"/>
  <c r="I72" i="33"/>
  <c r="J72" i="33" s="1"/>
  <c r="F73" i="28"/>
  <c r="C73" i="33" s="1"/>
  <c r="P72" i="28"/>
  <c r="G73" i="28" s="1"/>
  <c r="R72" i="28"/>
  <c r="S72" i="28" s="1"/>
  <c r="M72" i="28"/>
  <c r="O86" i="29"/>
  <c r="O29" i="40"/>
  <c r="M29" i="40"/>
  <c r="M72" i="33" l="1"/>
  <c r="D73" i="33" s="1"/>
  <c r="O72" i="33"/>
  <c r="P72" i="33" s="1"/>
  <c r="L73" i="28"/>
  <c r="P86" i="29"/>
  <c r="G87" i="29" s="1"/>
  <c r="F87" i="29"/>
  <c r="R86" i="29"/>
  <c r="S86" i="29" s="1"/>
  <c r="F30" i="40"/>
  <c r="P29" i="40"/>
  <c r="G30" i="40" s="1"/>
  <c r="R29" i="40"/>
  <c r="S29" i="40" s="1"/>
  <c r="O73" i="28" l="1"/>
  <c r="L73" i="33" s="1"/>
  <c r="I73" i="33"/>
  <c r="J73" i="33" s="1"/>
  <c r="M73" i="28"/>
  <c r="P73" i="28"/>
  <c r="G74" i="28" s="1"/>
  <c r="R73" i="28"/>
  <c r="S73" i="28" s="1"/>
  <c r="F74" i="28"/>
  <c r="C74" i="33" s="1"/>
  <c r="L87" i="29"/>
  <c r="M87" i="29" s="1"/>
  <c r="M30" i="40"/>
  <c r="O30" i="40"/>
  <c r="M73" i="33" l="1"/>
  <c r="D74" i="33" s="1"/>
  <c r="O73" i="33"/>
  <c r="P73" i="33" s="1"/>
  <c r="L74" i="28"/>
  <c r="O87" i="29"/>
  <c r="P30" i="40"/>
  <c r="G31" i="40" s="1"/>
  <c r="F31" i="40"/>
  <c r="R30" i="40"/>
  <c r="S30" i="40" s="1"/>
  <c r="O74" i="28" l="1"/>
  <c r="L74" i="33" s="1"/>
  <c r="I74" i="33"/>
  <c r="J74" i="33" s="1"/>
  <c r="M74" i="28"/>
  <c r="F75" i="28"/>
  <c r="C75" i="33" s="1"/>
  <c r="R74" i="28"/>
  <c r="S74" i="28" s="1"/>
  <c r="P74" i="28"/>
  <c r="G75" i="28" s="1"/>
  <c r="F88" i="29"/>
  <c r="L88" i="29" s="1"/>
  <c r="P87" i="29"/>
  <c r="G88" i="29" s="1"/>
  <c r="R87" i="29"/>
  <c r="S87" i="29" s="1"/>
  <c r="L31" i="40"/>
  <c r="O88" i="29" l="1"/>
  <c r="M88" i="29"/>
  <c r="M74" i="33"/>
  <c r="D75" i="33" s="1"/>
  <c r="O74" i="33"/>
  <c r="P74" i="33" s="1"/>
  <c r="L75" i="28"/>
  <c r="I75" i="33" s="1"/>
  <c r="J75" i="33" s="1"/>
  <c r="F89" i="29"/>
  <c r="L89" i="29" s="1"/>
  <c r="P88" i="29"/>
  <c r="G89" i="29" s="1"/>
  <c r="R88" i="29"/>
  <c r="S88" i="29" s="1"/>
  <c r="O31" i="40"/>
  <c r="P31" i="40" s="1"/>
  <c r="G32" i="40" s="1"/>
  <c r="M31" i="40"/>
  <c r="O89" i="29" l="1"/>
  <c r="M89" i="29"/>
  <c r="R31" i="40"/>
  <c r="S31" i="40" s="1"/>
  <c r="M75" i="28"/>
  <c r="O75" i="28"/>
  <c r="L75" i="33" s="1"/>
  <c r="R89" i="29"/>
  <c r="S89" i="29" s="1"/>
  <c r="P89" i="29"/>
  <c r="F32" i="40"/>
  <c r="L32" i="40" s="1"/>
  <c r="M75" i="33" l="1"/>
  <c r="D76" i="33" s="1"/>
  <c r="O75" i="33"/>
  <c r="P75" i="33" s="1"/>
  <c r="F76" i="28"/>
  <c r="C76" i="33" s="1"/>
  <c r="P75" i="28"/>
  <c r="G76" i="28" s="1"/>
  <c r="R75" i="28"/>
  <c r="S75" i="28" s="1"/>
  <c r="M32" i="40"/>
  <c r="O32" i="40"/>
  <c r="L76" i="28" l="1"/>
  <c r="P32" i="40"/>
  <c r="G33" i="40" s="1"/>
  <c r="F33" i="40"/>
  <c r="R32" i="40"/>
  <c r="S32" i="40" s="1"/>
  <c r="I76" i="33" l="1"/>
  <c r="J76" i="33" s="1"/>
  <c r="M76" i="28"/>
  <c r="O76" i="28"/>
  <c r="L76" i="33" s="1"/>
  <c r="L33" i="40"/>
  <c r="M33" i="40" s="1"/>
  <c r="M76" i="33" l="1"/>
  <c r="D77" i="33" s="1"/>
  <c r="O76" i="33"/>
  <c r="P76" i="33" s="1"/>
  <c r="R76" i="28"/>
  <c r="S76" i="28" s="1"/>
  <c r="P76" i="28"/>
  <c r="G77" i="28" s="1"/>
  <c r="F77" i="28"/>
  <c r="C77" i="33" s="1"/>
  <c r="O33" i="40"/>
  <c r="P33" i="40" s="1"/>
  <c r="G34" i="40" s="1"/>
  <c r="R33" i="40" l="1"/>
  <c r="S33" i="40" s="1"/>
  <c r="L77" i="28"/>
  <c r="F34" i="40"/>
  <c r="L34" i="40" s="1"/>
  <c r="I77" i="33" l="1"/>
  <c r="J77" i="33" s="1"/>
  <c r="M77" i="28"/>
  <c r="O77" i="28"/>
  <c r="L77" i="33" s="1"/>
  <c r="O34" i="40"/>
  <c r="R34" i="40" s="1"/>
  <c r="S34" i="40" s="1"/>
  <c r="M34" i="40"/>
  <c r="M77" i="33" l="1"/>
  <c r="D78" i="33" s="1"/>
  <c r="O77" i="33"/>
  <c r="P77" i="33" s="1"/>
  <c r="F78" i="28"/>
  <c r="C78" i="33" s="1"/>
  <c r="R77" i="28"/>
  <c r="S77" i="28" s="1"/>
  <c r="P77" i="28"/>
  <c r="G78" i="28" s="1"/>
  <c r="P34" i="40"/>
  <c r="G35" i="40" s="1"/>
  <c r="F35" i="40"/>
  <c r="L35" i="40" s="1"/>
  <c r="M35" i="40" s="1"/>
  <c r="L78" i="28" l="1"/>
  <c r="O35" i="40"/>
  <c r="R35" i="40" s="1"/>
  <c r="S35" i="40" s="1"/>
  <c r="I78" i="33" l="1"/>
  <c r="J78" i="33" s="1"/>
  <c r="M78" i="28"/>
  <c r="O78" i="28"/>
  <c r="L78" i="33" s="1"/>
  <c r="P35" i="40"/>
  <c r="G36" i="40" s="1"/>
  <c r="F36" i="40"/>
  <c r="L36" i="40" s="1"/>
  <c r="M78" i="33" l="1"/>
  <c r="D79" i="33" s="1"/>
  <c r="O78" i="33"/>
  <c r="P78" i="33" s="1"/>
  <c r="R78" i="28"/>
  <c r="S78" i="28" s="1"/>
  <c r="F79" i="28"/>
  <c r="C79" i="33" s="1"/>
  <c r="P78" i="28"/>
  <c r="G79" i="28" s="1"/>
  <c r="M36" i="40"/>
  <c r="O36" i="40"/>
  <c r="L79" i="28" l="1"/>
  <c r="I79" i="33" s="1"/>
  <c r="P36" i="40"/>
  <c r="G37" i="40" s="1"/>
  <c r="F37" i="40"/>
  <c r="R36" i="40"/>
  <c r="S36" i="40" s="1"/>
  <c r="O79" i="28" l="1"/>
  <c r="L79" i="33" s="1"/>
  <c r="L37" i="40"/>
  <c r="M79" i="33" l="1"/>
  <c r="D80" i="33" s="1"/>
  <c r="O79" i="33"/>
  <c r="P79" i="33" s="1"/>
  <c r="R79" i="28"/>
  <c r="S79" i="28" s="1"/>
  <c r="P79" i="28"/>
  <c r="G80" i="28" s="1"/>
  <c r="F80" i="28"/>
  <c r="C80" i="33" s="1"/>
  <c r="O37" i="40"/>
  <c r="M37" i="40"/>
  <c r="L80" i="28" l="1"/>
  <c r="P37" i="40"/>
  <c r="G38" i="40" s="1"/>
  <c r="F38" i="40"/>
  <c r="R37" i="40"/>
  <c r="S37" i="40" s="1"/>
  <c r="I80" i="33" l="1"/>
  <c r="J80" i="33" s="1"/>
  <c r="M80" i="28"/>
  <c r="O80" i="28"/>
  <c r="L80" i="33" s="1"/>
  <c r="L38" i="40"/>
  <c r="M80" i="33" l="1"/>
  <c r="D81" i="33" s="1"/>
  <c r="O80" i="33"/>
  <c r="P80" i="33" s="1"/>
  <c r="F81" i="28"/>
  <c r="C81" i="33" s="1"/>
  <c r="R80" i="28"/>
  <c r="S80" i="28" s="1"/>
  <c r="P80" i="28"/>
  <c r="G81" i="28" s="1"/>
  <c r="M38" i="40"/>
  <c r="O38" i="40"/>
  <c r="L81" i="28" l="1"/>
  <c r="I81" i="33" s="1"/>
  <c r="J81" i="33" s="1"/>
  <c r="F39" i="40"/>
  <c r="R38" i="40"/>
  <c r="S38" i="40" s="1"/>
  <c r="P38" i="40"/>
  <c r="G39" i="40" s="1"/>
  <c r="O81" i="28" l="1"/>
  <c r="L81" i="33" s="1"/>
  <c r="M81" i="28"/>
  <c r="L39" i="40"/>
  <c r="M81" i="33" l="1"/>
  <c r="D82" i="33" s="1"/>
  <c r="O81" i="33"/>
  <c r="P81" i="33" s="1"/>
  <c r="F82" i="28"/>
  <c r="C82" i="33" s="1"/>
  <c r="P81" i="28"/>
  <c r="G82" i="28" s="1"/>
  <c r="R81" i="28"/>
  <c r="S81" i="28" s="1"/>
  <c r="O39" i="40"/>
  <c r="M39" i="40"/>
  <c r="L82" i="28" l="1"/>
  <c r="R39" i="40"/>
  <c r="S39" i="40" s="1"/>
  <c r="P39" i="40"/>
  <c r="G40" i="40" s="1"/>
  <c r="F40" i="40"/>
  <c r="I82" i="33" l="1"/>
  <c r="J82" i="33" s="1"/>
  <c r="M82" i="28"/>
  <c r="O82" i="28"/>
  <c r="L82" i="33" s="1"/>
  <c r="L40" i="40"/>
  <c r="M82" i="33" l="1"/>
  <c r="D83" i="33" s="1"/>
  <c r="O82" i="33"/>
  <c r="P82" i="33" s="1"/>
  <c r="F83" i="28"/>
  <c r="R82" i="28"/>
  <c r="S82" i="28" s="1"/>
  <c r="P82" i="28"/>
  <c r="G83" i="28" s="1"/>
  <c r="O40" i="40"/>
  <c r="M40" i="40"/>
  <c r="L83" i="28" l="1"/>
  <c r="C83" i="33"/>
  <c r="P40" i="40"/>
  <c r="G41" i="40" s="1"/>
  <c r="F41" i="40"/>
  <c r="R40" i="40"/>
  <c r="S40" i="40" s="1"/>
  <c r="I83" i="33" l="1"/>
  <c r="J83" i="33" s="1"/>
  <c r="M83" i="28"/>
  <c r="O83" i="28"/>
  <c r="L83" i="33" s="1"/>
  <c r="O83" i="33" s="1"/>
  <c r="P83" i="33" s="1"/>
  <c r="L41" i="40"/>
  <c r="M83" i="33" l="1"/>
  <c r="D84" i="33" s="1"/>
  <c r="R83" i="28"/>
  <c r="S83" i="28" s="1"/>
  <c r="F84" i="28"/>
  <c r="C84" i="33" s="1"/>
  <c r="P83" i="28"/>
  <c r="G84" i="28" s="1"/>
  <c r="O41" i="40"/>
  <c r="F42" i="40" s="1"/>
  <c r="M41" i="40"/>
  <c r="L84" i="28" l="1"/>
  <c r="I84" i="33" s="1"/>
  <c r="J84" i="33" s="1"/>
  <c r="R41" i="40"/>
  <c r="S41" i="40" s="1"/>
  <c r="O84" i="28"/>
  <c r="L84" i="33" s="1"/>
  <c r="M84" i="28"/>
  <c r="P41" i="40"/>
  <c r="G42" i="40" s="1"/>
  <c r="L42" i="40"/>
  <c r="M84" i="33" l="1"/>
  <c r="D85" i="33" s="1"/>
  <c r="O84" i="33"/>
  <c r="P84" i="33" s="1"/>
  <c r="F85" i="28"/>
  <c r="C85" i="33" s="1"/>
  <c r="R84" i="28"/>
  <c r="S84" i="28" s="1"/>
  <c r="P84" i="28"/>
  <c r="G85" i="28" s="1"/>
  <c r="O42" i="40"/>
  <c r="M42" i="40"/>
  <c r="L85" i="28" l="1"/>
  <c r="I85" i="33" s="1"/>
  <c r="J85" i="33" s="1"/>
  <c r="P42" i="40"/>
  <c r="G43" i="40" s="1"/>
  <c r="F43" i="40"/>
  <c r="R42" i="40"/>
  <c r="S42" i="40" s="1"/>
  <c r="O85" i="28" l="1"/>
  <c r="L85" i="33" s="1"/>
  <c r="M85" i="28"/>
  <c r="L43" i="40"/>
  <c r="M85" i="33" l="1"/>
  <c r="D86" i="33" s="1"/>
  <c r="O85" i="33"/>
  <c r="P85" i="33" s="1"/>
  <c r="P85" i="28"/>
  <c r="G86" i="28" s="1"/>
  <c r="F86" i="28"/>
  <c r="C86" i="33" s="1"/>
  <c r="R85" i="28"/>
  <c r="S85" i="28" s="1"/>
  <c r="O43" i="40"/>
  <c r="M43" i="40"/>
  <c r="L86" i="28" l="1"/>
  <c r="I86" i="33" s="1"/>
  <c r="J86" i="33" s="1"/>
  <c r="P43" i="40"/>
  <c r="G44" i="40" s="1"/>
  <c r="F44" i="40"/>
  <c r="R43" i="40"/>
  <c r="S43" i="40" s="1"/>
  <c r="O86" i="28" l="1"/>
  <c r="L86" i="33" s="1"/>
  <c r="M86" i="28"/>
  <c r="L44" i="40"/>
  <c r="M86" i="33" l="1"/>
  <c r="D87" i="33" s="1"/>
  <c r="O86" i="33"/>
  <c r="P86" i="33" s="1"/>
  <c r="F87" i="28"/>
  <c r="C87" i="33" s="1"/>
  <c r="P86" i="28"/>
  <c r="G87" i="28" s="1"/>
  <c r="R86" i="28"/>
  <c r="S86" i="28" s="1"/>
  <c r="M44" i="40"/>
  <c r="O44" i="40"/>
  <c r="L87" i="28" l="1"/>
  <c r="R44" i="40"/>
  <c r="S44" i="40" s="1"/>
  <c r="F45" i="40"/>
  <c r="P44" i="40"/>
  <c r="G45" i="40" s="1"/>
  <c r="O87" i="28" l="1"/>
  <c r="L87" i="33" s="1"/>
  <c r="I87" i="33"/>
  <c r="J87" i="33" s="1"/>
  <c r="F88" i="28"/>
  <c r="C88" i="33" s="1"/>
  <c r="P87" i="28"/>
  <c r="G88" i="28" s="1"/>
  <c r="R87" i="28"/>
  <c r="S87" i="28" s="1"/>
  <c r="M87" i="28"/>
  <c r="L45" i="40"/>
  <c r="M87" i="33" l="1"/>
  <c r="D88" i="33" s="1"/>
  <c r="O87" i="33"/>
  <c r="P87" i="33" s="1"/>
  <c r="L88" i="28"/>
  <c r="O45" i="40"/>
  <c r="M45" i="40"/>
  <c r="I88" i="33" l="1"/>
  <c r="J88" i="33" s="1"/>
  <c r="M88" i="28"/>
  <c r="O88" i="28"/>
  <c r="F46" i="40"/>
  <c r="P45" i="40"/>
  <c r="G46" i="40" s="1"/>
  <c r="R45" i="40"/>
  <c r="S45" i="40" s="1"/>
  <c r="P88" i="28" l="1"/>
  <c r="G89" i="28" s="1"/>
  <c r="L88" i="33"/>
  <c r="R88" i="28"/>
  <c r="S88" i="28" s="1"/>
  <c r="F89" i="28"/>
  <c r="L46" i="40"/>
  <c r="L89" i="28" l="1"/>
  <c r="O89" i="28" s="1"/>
  <c r="C89" i="33"/>
  <c r="M88" i="33"/>
  <c r="D89" i="33" s="1"/>
  <c r="O88" i="33"/>
  <c r="P88" i="33" s="1"/>
  <c r="O46" i="40"/>
  <c r="F47" i="40" s="1"/>
  <c r="M46" i="40"/>
  <c r="I89" i="33" l="1"/>
  <c r="J89" i="33" s="1"/>
  <c r="M89" i="28"/>
  <c r="P89" i="28"/>
  <c r="L89" i="33"/>
  <c r="R89" i="28"/>
  <c r="S89" i="28" s="1"/>
  <c r="R46" i="40"/>
  <c r="S46" i="40" s="1"/>
  <c r="P46" i="40"/>
  <c r="G47" i="40" s="1"/>
  <c r="L47" i="40"/>
  <c r="M89" i="33" l="1"/>
  <c r="O89" i="33"/>
  <c r="P89" i="33" s="1"/>
  <c r="O47" i="40"/>
  <c r="P47" i="40" s="1"/>
  <c r="G48" i="40" s="1"/>
  <c r="M47" i="40"/>
  <c r="R47" i="40" l="1"/>
  <c r="S47" i="40" s="1"/>
  <c r="F48" i="40"/>
  <c r="L48" i="40" s="1"/>
  <c r="O48" i="40" l="1"/>
  <c r="M48" i="40"/>
  <c r="P48" i="40" l="1"/>
  <c r="G49" i="40" s="1"/>
  <c r="F49" i="40"/>
  <c r="R48" i="40"/>
  <c r="S48" i="40" s="1"/>
  <c r="L49" i="40" l="1"/>
  <c r="O49" i="40" l="1"/>
  <c r="M49" i="40"/>
  <c r="R49" i="40" l="1"/>
  <c r="S49" i="40" s="1"/>
  <c r="P49" i="40"/>
  <c r="G50" i="40" s="1"/>
  <c r="F50" i="40"/>
  <c r="L50" i="40" s="1"/>
  <c r="O50" i="40" l="1"/>
  <c r="M50" i="40"/>
  <c r="P50" i="40" l="1"/>
  <c r="G51" i="40" s="1"/>
  <c r="F51" i="40"/>
  <c r="R50" i="40"/>
  <c r="S50" i="40" s="1"/>
  <c r="L51" i="40" l="1"/>
  <c r="O51" i="40" l="1"/>
  <c r="F52" i="40" s="1"/>
  <c r="M51" i="40"/>
  <c r="R51" i="40" l="1"/>
  <c r="S51" i="40" s="1"/>
  <c r="P51" i="40"/>
  <c r="G52" i="40" s="1"/>
  <c r="L52" i="40"/>
  <c r="O52" i="40" s="1"/>
  <c r="M52" i="40" l="1"/>
  <c r="F53" i="40"/>
  <c r="P52" i="40"/>
  <c r="G53" i="40" s="1"/>
  <c r="R52" i="40"/>
  <c r="S52" i="40" s="1"/>
  <c r="L53" i="40" l="1"/>
  <c r="O53" i="40" l="1"/>
  <c r="M53" i="40"/>
  <c r="P53" i="40" l="1"/>
  <c r="G54" i="40" s="1"/>
  <c r="F54" i="40"/>
  <c r="R53" i="40"/>
  <c r="S53" i="40" s="1"/>
  <c r="L54" i="40" l="1"/>
  <c r="O54" i="40" l="1"/>
  <c r="P54" i="40" s="1"/>
  <c r="G55" i="40" s="1"/>
  <c r="M54" i="40"/>
  <c r="R54" i="40"/>
  <c r="S54" i="40" s="1"/>
  <c r="F55" i="40" l="1"/>
  <c r="L55" i="40" s="1"/>
  <c r="O55" i="40" l="1"/>
  <c r="F56" i="40" s="1"/>
  <c r="M55" i="40"/>
  <c r="R55" i="40"/>
  <c r="S55" i="40" s="1"/>
  <c r="P55" i="40"/>
  <c r="G56" i="40" s="1"/>
  <c r="L56" i="40" l="1"/>
  <c r="M56" i="40" l="1"/>
  <c r="O56" i="40"/>
  <c r="P56" i="40" l="1"/>
  <c r="G57" i="40" s="1"/>
  <c r="F57" i="40"/>
  <c r="R56" i="40"/>
  <c r="S56" i="40" s="1"/>
  <c r="L57" i="40" l="1"/>
  <c r="O57" i="40" l="1"/>
  <c r="M57" i="40"/>
  <c r="P57" i="40" l="1"/>
  <c r="G58" i="40" s="1"/>
  <c r="R57" i="40"/>
  <c r="S57" i="40" s="1"/>
  <c r="F58" i="40"/>
  <c r="L58" i="40" l="1"/>
  <c r="O58" i="40" s="1"/>
  <c r="M58" i="40" l="1"/>
  <c r="P58" i="40"/>
  <c r="G59" i="40" s="1"/>
  <c r="R58" i="40"/>
  <c r="S58" i="40" s="1"/>
  <c r="F59" i="40"/>
  <c r="L59" i="40" l="1"/>
  <c r="O59" i="40" s="1"/>
  <c r="M59" i="40" l="1"/>
  <c r="R59" i="40"/>
  <c r="S59" i="40" s="1"/>
  <c r="P59" i="40"/>
  <c r="G60" i="40" s="1"/>
  <c r="F60" i="40"/>
  <c r="L60" i="40" l="1"/>
  <c r="M60" i="40" s="1"/>
  <c r="O60" i="40" l="1"/>
  <c r="P60" i="40"/>
  <c r="G61" i="40" s="1"/>
  <c r="F61" i="40"/>
  <c r="L61" i="40" s="1"/>
  <c r="R60" i="40"/>
  <c r="S60" i="40" s="1"/>
  <c r="M61" i="40" l="1"/>
  <c r="O61" i="40"/>
  <c r="P61" i="40" l="1"/>
  <c r="G62" i="40" s="1"/>
  <c r="F62" i="40"/>
  <c r="R61" i="40"/>
  <c r="S61" i="40" s="1"/>
  <c r="L62" i="40" l="1"/>
  <c r="O62" i="40" l="1"/>
  <c r="F63" i="40" s="1"/>
  <c r="M62" i="40"/>
  <c r="R62" i="40"/>
  <c r="S62" i="40" s="1"/>
  <c r="P62" i="40" l="1"/>
  <c r="G63" i="40" s="1"/>
  <c r="L63" i="40"/>
  <c r="M63" i="40" l="1"/>
  <c r="O63" i="40"/>
  <c r="F18" i="44"/>
  <c r="P63" i="40" l="1"/>
  <c r="G64" i="40" s="1"/>
  <c r="F64" i="40"/>
  <c r="R63" i="40"/>
  <c r="S63" i="40" s="1"/>
  <c r="O19" i="41"/>
  <c r="L18" i="44" s="1"/>
  <c r="G18" i="44"/>
  <c r="L64" i="40" l="1"/>
  <c r="M19" i="41"/>
  <c r="I18" i="44"/>
  <c r="P19" i="41"/>
  <c r="G20" i="41" s="1"/>
  <c r="R19" i="41"/>
  <c r="S19" i="41" s="1"/>
  <c r="F20" i="41"/>
  <c r="C19" i="44" s="1"/>
  <c r="D19" i="44" s="1"/>
  <c r="O64" i="40" l="1"/>
  <c r="R64" i="40" s="1"/>
  <c r="S64" i="40" s="1"/>
  <c r="M64" i="40"/>
  <c r="J18" i="44"/>
  <c r="I19" i="44"/>
  <c r="J19" i="44" s="1"/>
  <c r="O18" i="44"/>
  <c r="P18" i="44" s="1"/>
  <c r="M18" i="44"/>
  <c r="F65" i="40" l="1"/>
  <c r="L65" i="40" s="1"/>
  <c r="P64" i="40"/>
  <c r="G65" i="40" s="1"/>
  <c r="O20" i="41"/>
  <c r="P20" i="41" s="1"/>
  <c r="G21" i="41" s="1"/>
  <c r="M20" i="41"/>
  <c r="F21" i="41" l="1"/>
  <c r="C20" i="44" s="1"/>
  <c r="D20" i="44" s="1"/>
  <c r="L19" i="44"/>
  <c r="M19" i="44" s="1"/>
  <c r="R20" i="41"/>
  <c r="S20" i="41" s="1"/>
  <c r="O65" i="40"/>
  <c r="R65" i="40" s="1"/>
  <c r="S65" i="40" s="1"/>
  <c r="M65" i="40"/>
  <c r="I20" i="44"/>
  <c r="J20" i="44" s="1"/>
  <c r="F66" i="40" l="1"/>
  <c r="L66" i="40" s="1"/>
  <c r="P65" i="40"/>
  <c r="G66" i="40" s="1"/>
  <c r="O19" i="44"/>
  <c r="P19" i="44" s="1"/>
  <c r="O21" i="41"/>
  <c r="P21" i="41" s="1"/>
  <c r="G22" i="41" s="1"/>
  <c r="M21" i="41"/>
  <c r="R21" i="41" l="1"/>
  <c r="S21" i="41" s="1"/>
  <c r="F22" i="41"/>
  <c r="C21" i="44" s="1"/>
  <c r="D21" i="44" s="1"/>
  <c r="L20" i="44"/>
  <c r="M20" i="44" s="1"/>
  <c r="O66" i="40"/>
  <c r="P66" i="40" s="1"/>
  <c r="G67" i="40" s="1"/>
  <c r="M66" i="40"/>
  <c r="R66" i="40" l="1"/>
  <c r="S66" i="40" s="1"/>
  <c r="I21" i="44"/>
  <c r="J21" i="44" s="1"/>
  <c r="F67" i="40"/>
  <c r="O20" i="44"/>
  <c r="P20" i="44" s="1"/>
  <c r="O22" i="41" l="1"/>
  <c r="F23" i="41" s="1"/>
  <c r="C22" i="44" s="1"/>
  <c r="D22" i="44" s="1"/>
  <c r="M22" i="41"/>
  <c r="L67" i="40"/>
  <c r="L21" i="44"/>
  <c r="M21" i="44" s="1"/>
  <c r="R22" i="41" l="1"/>
  <c r="S22" i="41" s="1"/>
  <c r="P22" i="41"/>
  <c r="G23" i="41" s="1"/>
  <c r="I22" i="44"/>
  <c r="J22" i="44" s="1"/>
  <c r="M67" i="40"/>
  <c r="O67" i="40"/>
  <c r="O21" i="44"/>
  <c r="P21" i="44" s="1"/>
  <c r="O23" i="41" l="1"/>
  <c r="R23" i="41" s="1"/>
  <c r="S23" i="41" s="1"/>
  <c r="M23" i="41"/>
  <c r="F68" i="40"/>
  <c r="P67" i="40"/>
  <c r="G68" i="40" s="1"/>
  <c r="R67" i="40"/>
  <c r="S67" i="40" s="1"/>
  <c r="L22" i="44"/>
  <c r="M22" i="44" s="1"/>
  <c r="F24" i="41"/>
  <c r="C23" i="44" s="1"/>
  <c r="D23" i="44" s="1"/>
  <c r="P23" i="41"/>
  <c r="G24" i="41" s="1"/>
  <c r="O22" i="44" l="1"/>
  <c r="P22" i="44" s="1"/>
  <c r="L68" i="40"/>
  <c r="O68" i="40" s="1"/>
  <c r="I23" i="44"/>
  <c r="J23" i="44" s="1"/>
  <c r="M68" i="40" l="1"/>
  <c r="F69" i="40"/>
  <c r="P68" i="40"/>
  <c r="G69" i="40" s="1"/>
  <c r="R68" i="40"/>
  <c r="S68" i="40" s="1"/>
  <c r="M24" i="41"/>
  <c r="O24" i="41"/>
  <c r="L23" i="44" s="1"/>
  <c r="M23" i="44" s="1"/>
  <c r="L69" i="40" l="1"/>
  <c r="M69" i="40" s="1"/>
  <c r="F25" i="41"/>
  <c r="C24" i="44" s="1"/>
  <c r="D24" i="44" s="1"/>
  <c r="R24" i="41"/>
  <c r="S24" i="41" s="1"/>
  <c r="P24" i="41"/>
  <c r="G25" i="41" s="1"/>
  <c r="O69" i="40" l="1"/>
  <c r="I24" i="44"/>
  <c r="J24" i="44" s="1"/>
  <c r="O23" i="44"/>
  <c r="P23" i="44" s="1"/>
  <c r="F70" i="40" l="1"/>
  <c r="P69" i="40"/>
  <c r="G70" i="40" s="1"/>
  <c r="R69" i="40"/>
  <c r="S69" i="40" s="1"/>
  <c r="O25" i="41"/>
  <c r="L24" i="44" s="1"/>
  <c r="M24" i="44" s="1"/>
  <c r="M25" i="41"/>
  <c r="L70" i="40" l="1"/>
  <c r="M70" i="40" s="1"/>
  <c r="P25" i="41"/>
  <c r="G26" i="41" s="1"/>
  <c r="F26" i="41"/>
  <c r="D25" i="44" s="1"/>
  <c r="R25" i="41"/>
  <c r="S25" i="41" s="1"/>
  <c r="O70" i="40" l="1"/>
  <c r="O24" i="44"/>
  <c r="P24" i="44" s="1"/>
  <c r="I25" i="44" l="1"/>
  <c r="J25" i="44" s="1"/>
  <c r="F71" i="40"/>
  <c r="P70" i="40"/>
  <c r="G71" i="40" s="1"/>
  <c r="R70" i="40"/>
  <c r="S70" i="40" s="1"/>
  <c r="O26" i="41"/>
  <c r="M26" i="41"/>
  <c r="L25" i="44" l="1"/>
  <c r="M25" i="44" s="1"/>
  <c r="F27" i="41"/>
  <c r="P26" i="41"/>
  <c r="G27" i="41" s="1"/>
  <c r="R26" i="41"/>
  <c r="S26" i="41" s="1"/>
  <c r="L71" i="40"/>
  <c r="M71" i="40" s="1"/>
  <c r="C26" i="44" l="1"/>
  <c r="D26" i="44" s="1"/>
  <c r="O25" i="44"/>
  <c r="P25" i="44" s="1"/>
  <c r="O71" i="40"/>
  <c r="O27" i="41" l="1"/>
  <c r="F28" i="41" s="1"/>
  <c r="M27" i="41"/>
  <c r="F72" i="40"/>
  <c r="P71" i="40"/>
  <c r="G72" i="40" s="1"/>
  <c r="R71" i="40"/>
  <c r="S71" i="40" s="1"/>
  <c r="R27" i="41" l="1"/>
  <c r="S27" i="41" s="1"/>
  <c r="P27" i="41"/>
  <c r="G28" i="41" s="1"/>
  <c r="L72" i="40"/>
  <c r="M72" i="40" s="1"/>
  <c r="O72" i="40" l="1"/>
  <c r="O28" i="41"/>
  <c r="M28" i="41"/>
  <c r="R28" i="41" l="1"/>
  <c r="S28" i="41" s="1"/>
  <c r="P28" i="41"/>
  <c r="G29" i="41" s="1"/>
  <c r="F29" i="41"/>
  <c r="F73" i="40"/>
  <c r="P72" i="40"/>
  <c r="G73" i="40" s="1"/>
  <c r="R72" i="40"/>
  <c r="S72" i="40" s="1"/>
  <c r="L73" i="40" l="1"/>
  <c r="M73" i="40" s="1"/>
  <c r="O29" i="41"/>
  <c r="M29" i="41"/>
  <c r="F30" i="41" l="1"/>
  <c r="P29" i="41"/>
  <c r="G30" i="41" s="1"/>
  <c r="R29" i="41"/>
  <c r="S29" i="41" s="1"/>
  <c r="O73" i="40"/>
  <c r="F74" i="40" l="1"/>
  <c r="P73" i="40"/>
  <c r="G74" i="40" s="1"/>
  <c r="R73" i="40"/>
  <c r="S73" i="40" s="1"/>
  <c r="O30" i="41"/>
  <c r="M30" i="41"/>
  <c r="F31" i="41" l="1"/>
  <c r="R30" i="41"/>
  <c r="S30" i="41" s="1"/>
  <c r="P30" i="41"/>
  <c r="G31" i="41" s="1"/>
  <c r="L74" i="40"/>
  <c r="M74" i="40" s="1"/>
  <c r="L31" i="41"/>
  <c r="O74" i="40" l="1"/>
  <c r="O31" i="41"/>
  <c r="F32" i="41" s="1"/>
  <c r="R31" i="41"/>
  <c r="S31" i="41" s="1"/>
  <c r="M31" i="41"/>
  <c r="P31" i="41" l="1"/>
  <c r="G32" i="41" s="1"/>
  <c r="F75" i="40"/>
  <c r="P74" i="40"/>
  <c r="G75" i="40" s="1"/>
  <c r="R74" i="40"/>
  <c r="S74" i="40" s="1"/>
  <c r="L32" i="41"/>
  <c r="L75" i="40" l="1"/>
  <c r="M75" i="40" s="1"/>
  <c r="O32" i="41"/>
  <c r="R32" i="41" s="1"/>
  <c r="S32" i="41" s="1"/>
  <c r="M32" i="41"/>
  <c r="P32" i="41" l="1"/>
  <c r="G33" i="41" s="1"/>
  <c r="F33" i="41"/>
  <c r="L33" i="41" s="1"/>
  <c r="O75" i="40"/>
  <c r="F76" i="40" l="1"/>
  <c r="P75" i="40"/>
  <c r="G76" i="40" s="1"/>
  <c r="R75" i="40"/>
  <c r="S75" i="40" s="1"/>
  <c r="O33" i="41"/>
  <c r="M33" i="41"/>
  <c r="L76" i="40" l="1"/>
  <c r="M76" i="40" s="1"/>
  <c r="F34" i="41"/>
  <c r="R33" i="41"/>
  <c r="S33" i="41" s="1"/>
  <c r="P33" i="41"/>
  <c r="G34" i="41" s="1"/>
  <c r="O76" i="40" l="1"/>
  <c r="L34" i="41"/>
  <c r="F77" i="40" l="1"/>
  <c r="P76" i="40"/>
  <c r="G77" i="40" s="1"/>
  <c r="R76" i="40"/>
  <c r="S76" i="40" s="1"/>
  <c r="O34" i="41"/>
  <c r="R34" i="41" s="1"/>
  <c r="S34" i="41" s="1"/>
  <c r="M34" i="41"/>
  <c r="F35" i="41" l="1"/>
  <c r="L35" i="41" s="1"/>
  <c r="P34" i="41"/>
  <c r="G35" i="41" s="1"/>
  <c r="L77" i="40"/>
  <c r="M77" i="40" s="1"/>
  <c r="O77" i="40" l="1"/>
  <c r="M35" i="41"/>
  <c r="O35" i="41"/>
  <c r="F78" i="40" l="1"/>
  <c r="P77" i="40"/>
  <c r="G78" i="40" s="1"/>
  <c r="R77" i="40"/>
  <c r="S77" i="40" s="1"/>
  <c r="R35" i="41"/>
  <c r="S35" i="41" s="1"/>
  <c r="P35" i="41"/>
  <c r="G36" i="41" s="1"/>
  <c r="F36" i="41"/>
  <c r="L78" i="40" l="1"/>
  <c r="M78" i="40" s="1"/>
  <c r="L36" i="41"/>
  <c r="O78" i="40" l="1"/>
  <c r="O36" i="41"/>
  <c r="R36" i="41" s="1"/>
  <c r="S36" i="41" s="1"/>
  <c r="M36" i="41"/>
  <c r="F37" i="41" l="1"/>
  <c r="L37" i="41" s="1"/>
  <c r="P36" i="41"/>
  <c r="G37" i="41" s="1"/>
  <c r="F79" i="40"/>
  <c r="P78" i="40"/>
  <c r="G79" i="40" s="1"/>
  <c r="R78" i="40"/>
  <c r="S78" i="40" s="1"/>
  <c r="L79" i="40" l="1"/>
  <c r="M79" i="40" s="1"/>
  <c r="M37" i="41"/>
  <c r="O37" i="41"/>
  <c r="O79" i="40" l="1"/>
  <c r="P37" i="41"/>
  <c r="G38" i="41" s="1"/>
  <c r="F38" i="41"/>
  <c r="R37" i="41"/>
  <c r="S37" i="41" s="1"/>
  <c r="F80" i="40" l="1"/>
  <c r="P79" i="40"/>
  <c r="G80" i="40" s="1"/>
  <c r="R79" i="40"/>
  <c r="S79" i="40" s="1"/>
  <c r="L38" i="41"/>
  <c r="L80" i="40" l="1"/>
  <c r="O38" i="41"/>
  <c r="P38" i="41" s="1"/>
  <c r="G39" i="41" s="1"/>
  <c r="M38" i="41"/>
  <c r="M80" i="40" l="1"/>
  <c r="F39" i="41"/>
  <c r="L39" i="41" s="1"/>
  <c r="O80" i="40"/>
  <c r="R80" i="40" s="1"/>
  <c r="S80" i="40" s="1"/>
  <c r="R38" i="41"/>
  <c r="S38" i="41" s="1"/>
  <c r="P80" i="40" l="1"/>
  <c r="G81" i="40" s="1"/>
  <c r="F81" i="40"/>
  <c r="L81" i="40" s="1"/>
  <c r="O39" i="41"/>
  <c r="R39" i="41" s="1"/>
  <c r="S39" i="41" s="1"/>
  <c r="M39" i="41"/>
  <c r="P39" i="41" l="1"/>
  <c r="G40" i="41" s="1"/>
  <c r="F40" i="41"/>
  <c r="L40" i="41" s="1"/>
  <c r="M81" i="40"/>
  <c r="O81" i="40"/>
  <c r="F82" i="40" l="1"/>
  <c r="P81" i="40"/>
  <c r="G82" i="40" s="1"/>
  <c r="R81" i="40"/>
  <c r="S81" i="40" s="1"/>
  <c r="O40" i="41"/>
  <c r="R40" i="41" s="1"/>
  <c r="S40" i="41" s="1"/>
  <c r="M40" i="41"/>
  <c r="P40" i="41" l="1"/>
  <c r="G41" i="41" s="1"/>
  <c r="F41" i="41"/>
  <c r="L41" i="41" s="1"/>
  <c r="L82" i="40"/>
  <c r="M82" i="40" s="1"/>
  <c r="O82" i="40" l="1"/>
  <c r="O41" i="41"/>
  <c r="R41" i="41" s="1"/>
  <c r="S41" i="41" s="1"/>
  <c r="M41" i="41"/>
  <c r="P41" i="41" l="1"/>
  <c r="G42" i="41" s="1"/>
  <c r="F42" i="41"/>
  <c r="L42" i="41" s="1"/>
  <c r="F83" i="40"/>
  <c r="P82" i="40"/>
  <c r="G83" i="40" s="1"/>
  <c r="R82" i="40"/>
  <c r="S82" i="40" s="1"/>
  <c r="L83" i="40" l="1"/>
  <c r="M83" i="40" s="1"/>
  <c r="O42" i="41"/>
  <c r="R42" i="41" s="1"/>
  <c r="S42" i="41" s="1"/>
  <c r="M42" i="41"/>
  <c r="F43" i="41" l="1"/>
  <c r="L43" i="41" s="1"/>
  <c r="O83" i="40"/>
  <c r="P42" i="41"/>
  <c r="G43" i="41" s="1"/>
  <c r="F84" i="40" l="1"/>
  <c r="P83" i="40"/>
  <c r="G84" i="40" s="1"/>
  <c r="R83" i="40"/>
  <c r="S83" i="40" s="1"/>
  <c r="O43" i="41"/>
  <c r="P43" i="41" s="1"/>
  <c r="G44" i="41" s="1"/>
  <c r="M43" i="41"/>
  <c r="R43" i="41" l="1"/>
  <c r="S43" i="41" s="1"/>
  <c r="L84" i="40"/>
  <c r="M84" i="40" s="1"/>
  <c r="F44" i="41"/>
  <c r="L44" i="41" s="1"/>
  <c r="O84" i="40" l="1"/>
  <c r="O44" i="41"/>
  <c r="P44" i="41" s="1"/>
  <c r="G45" i="41" s="1"/>
  <c r="M44" i="41"/>
  <c r="F85" i="40" l="1"/>
  <c r="P84" i="40"/>
  <c r="G85" i="40" s="1"/>
  <c r="R84" i="40"/>
  <c r="S84" i="40" s="1"/>
  <c r="R44" i="41"/>
  <c r="S44" i="41" s="1"/>
  <c r="F45" i="41"/>
  <c r="L45" i="41" s="1"/>
  <c r="L85" i="40" l="1"/>
  <c r="M85" i="40" s="1"/>
  <c r="O45" i="41"/>
  <c r="F46" i="41" s="1"/>
  <c r="M45" i="41"/>
  <c r="P45" i="41" l="1"/>
  <c r="G46" i="41" s="1"/>
  <c r="O85" i="40"/>
  <c r="R45" i="41"/>
  <c r="S45" i="41" s="1"/>
  <c r="L46" i="41"/>
  <c r="P85" i="40" l="1"/>
  <c r="G86" i="40" s="1"/>
  <c r="F86" i="40"/>
  <c r="R85" i="40"/>
  <c r="S85" i="40" s="1"/>
  <c r="O46" i="41"/>
  <c r="P46" i="41" s="1"/>
  <c r="G47" i="41" s="1"/>
  <c r="M46" i="41"/>
  <c r="R46" i="41" l="1"/>
  <c r="S46" i="41" s="1"/>
  <c r="F47" i="41"/>
  <c r="L47" i="41" s="1"/>
  <c r="L86" i="40"/>
  <c r="M86" i="40" s="1"/>
  <c r="O86" i="40" l="1"/>
  <c r="M47" i="41"/>
  <c r="O47" i="41"/>
  <c r="F87" i="40" l="1"/>
  <c r="P86" i="40"/>
  <c r="G87" i="40" s="1"/>
  <c r="R86" i="40"/>
  <c r="S86" i="40" s="1"/>
  <c r="P47" i="41"/>
  <c r="G48" i="41" s="1"/>
  <c r="F48" i="41"/>
  <c r="R47" i="41"/>
  <c r="S47" i="41" s="1"/>
  <c r="L87" i="40" l="1"/>
  <c r="L48" i="41"/>
  <c r="M87" i="40" l="1"/>
  <c r="O87" i="40"/>
  <c r="M48" i="41"/>
  <c r="O48" i="41"/>
  <c r="F88" i="40" l="1"/>
  <c r="P87" i="40"/>
  <c r="G88" i="40" s="1"/>
  <c r="R87" i="40"/>
  <c r="S87" i="40" s="1"/>
  <c r="F49" i="41"/>
  <c r="P48" i="41"/>
  <c r="G49" i="41" s="1"/>
  <c r="R48" i="41"/>
  <c r="S48" i="41" s="1"/>
  <c r="L88" i="40" l="1"/>
  <c r="L49" i="41"/>
  <c r="M88" i="40" l="1"/>
  <c r="O88" i="40"/>
  <c r="O49" i="41"/>
  <c r="P49" i="41" s="1"/>
  <c r="G50" i="41" s="1"/>
  <c r="R49" i="41"/>
  <c r="S49" i="41" s="1"/>
  <c r="M49" i="41"/>
  <c r="F50" i="41" l="1"/>
  <c r="F89" i="40"/>
  <c r="P88" i="40"/>
  <c r="G89" i="40" s="1"/>
  <c r="R88" i="40"/>
  <c r="S88" i="40" s="1"/>
  <c r="L50" i="41"/>
  <c r="L89" i="40" l="1"/>
  <c r="O50" i="41"/>
  <c r="P50" i="41" s="1"/>
  <c r="G51" i="41" s="1"/>
  <c r="R50" i="41"/>
  <c r="S50" i="41" s="1"/>
  <c r="M50" i="41"/>
  <c r="M89" i="40" l="1"/>
  <c r="O89" i="40"/>
  <c r="F90" i="40" s="1"/>
  <c r="F51" i="41"/>
  <c r="L51" i="41" s="1"/>
  <c r="R89" i="40" l="1"/>
  <c r="S89" i="40" s="1"/>
  <c r="P89" i="40"/>
  <c r="G90" i="40" s="1"/>
  <c r="L90" i="40"/>
  <c r="O51" i="41"/>
  <c r="P51" i="41" s="1"/>
  <c r="G52" i="41" s="1"/>
  <c r="M51" i="41"/>
  <c r="R51" i="41" l="1"/>
  <c r="S51" i="41" s="1"/>
  <c r="M90" i="40"/>
  <c r="O90" i="40"/>
  <c r="F52" i="41"/>
  <c r="L52" i="41" s="1"/>
  <c r="R90" i="40" l="1"/>
  <c r="S90" i="40" s="1"/>
  <c r="P90" i="40"/>
  <c r="O52" i="41"/>
  <c r="F53" i="41" s="1"/>
  <c r="M52" i="41"/>
  <c r="R52" i="41" l="1"/>
  <c r="S52" i="41" s="1"/>
  <c r="P52" i="41"/>
  <c r="G53" i="41" s="1"/>
  <c r="L53" i="41"/>
  <c r="O53" i="41" l="1"/>
  <c r="F54" i="41" s="1"/>
  <c r="M53" i="41"/>
  <c r="R53" i="41" l="1"/>
  <c r="S53" i="41" s="1"/>
  <c r="P53" i="41"/>
  <c r="G54" i="41" s="1"/>
  <c r="L54" i="41"/>
  <c r="O54" i="41" l="1"/>
  <c r="R54" i="41" s="1"/>
  <c r="S54" i="41" s="1"/>
  <c r="M54" i="41"/>
  <c r="F55" i="41" l="1"/>
  <c r="L55" i="41" s="1"/>
  <c r="P54" i="41"/>
  <c r="G55" i="41" s="1"/>
  <c r="M55" i="41" l="1"/>
  <c r="O55" i="41"/>
  <c r="R55" i="41" l="1"/>
  <c r="S55" i="41" s="1"/>
  <c r="F56" i="41"/>
  <c r="P55" i="41"/>
  <c r="G56" i="41" s="1"/>
  <c r="L56" i="41" l="1"/>
  <c r="O56" i="41" l="1"/>
  <c r="F57" i="41" s="1"/>
  <c r="P56" i="41"/>
  <c r="G57" i="41" s="1"/>
  <c r="R56" i="41"/>
  <c r="S56" i="41" s="1"/>
  <c r="M56" i="41"/>
  <c r="L57" i="41" l="1"/>
  <c r="O57" i="41" s="1"/>
  <c r="P57" i="41" l="1"/>
  <c r="G58" i="41" s="1"/>
  <c r="F58" i="41"/>
  <c r="R57" i="41"/>
  <c r="S57" i="41" s="1"/>
  <c r="M57" i="41"/>
  <c r="L58" i="41" l="1"/>
  <c r="O58" i="41" l="1"/>
  <c r="F59" i="41" s="1"/>
  <c r="M58" i="41"/>
  <c r="P58" i="41" l="1"/>
  <c r="G59" i="41" s="1"/>
  <c r="R58" i="41"/>
  <c r="S58" i="41" s="1"/>
  <c r="L59" i="41"/>
  <c r="M59" i="41" l="1"/>
  <c r="O59" i="41"/>
  <c r="P59" i="41" l="1"/>
  <c r="G60" i="41" s="1"/>
  <c r="F60" i="41"/>
  <c r="R59" i="41"/>
  <c r="S59" i="41" s="1"/>
  <c r="L60" i="41" l="1"/>
  <c r="O60" i="41" l="1"/>
  <c r="F61" i="41" s="1"/>
  <c r="P60" i="41"/>
  <c r="G61" i="41" s="1"/>
  <c r="R60" i="41"/>
  <c r="S60" i="41" s="1"/>
  <c r="M60" i="41"/>
  <c r="L61" i="41" l="1"/>
  <c r="O61" i="41" l="1"/>
  <c r="R61" i="41"/>
  <c r="S61" i="41" s="1"/>
  <c r="M61" i="41"/>
  <c r="P61" i="41" l="1"/>
  <c r="G62" i="41" s="1"/>
  <c r="F62" i="41"/>
  <c r="L62" i="41" s="1"/>
  <c r="O62" i="41" l="1"/>
  <c r="P62" i="41" s="1"/>
  <c r="G63" i="41" s="1"/>
  <c r="R62" i="41"/>
  <c r="S62" i="41" s="1"/>
  <c r="M62" i="41"/>
  <c r="F63" i="41" l="1"/>
  <c r="L63" i="41"/>
  <c r="O63" i="41" l="1"/>
  <c r="F64" i="41" s="1"/>
  <c r="M63" i="41"/>
  <c r="P63" i="41" l="1"/>
  <c r="G64" i="41" s="1"/>
  <c r="R63" i="41"/>
  <c r="S63" i="41" s="1"/>
  <c r="L64" i="41"/>
  <c r="O64" i="41" l="1"/>
  <c r="P64" i="41" s="1"/>
  <c r="G65" i="41" s="1"/>
  <c r="M64" i="41"/>
  <c r="F65" i="41" l="1"/>
  <c r="L65" i="41" s="1"/>
  <c r="R64" i="41"/>
  <c r="S64" i="41" s="1"/>
  <c r="O65" i="41" l="1"/>
  <c r="R65" i="41"/>
  <c r="S65" i="41" s="1"/>
  <c r="M65" i="41"/>
  <c r="F66" i="41" l="1"/>
  <c r="L66" i="41" s="1"/>
  <c r="P65" i="41"/>
  <c r="G66" i="41" s="1"/>
  <c r="O66" i="41" l="1"/>
  <c r="P66" i="41" s="1"/>
  <c r="G67" i="41" s="1"/>
  <c r="M66" i="41"/>
  <c r="R66" i="41" l="1"/>
  <c r="S66" i="41" s="1"/>
  <c r="F67" i="41"/>
  <c r="M38" i="34"/>
  <c r="G80" i="44"/>
  <c r="M30" i="34"/>
  <c r="G81" i="44"/>
  <c r="G69" i="44"/>
  <c r="J32" i="34"/>
  <c r="I32" i="34" s="1"/>
  <c r="J36" i="34"/>
  <c r="I36" i="34" s="1"/>
  <c r="J40" i="34"/>
  <c r="I40" i="34" s="1"/>
  <c r="F40" i="44" s="1"/>
  <c r="G68" i="44"/>
  <c r="J37" i="34"/>
  <c r="I37" i="34" s="1"/>
  <c r="F37" i="44" s="1"/>
  <c r="L32" i="34"/>
  <c r="M32" i="34" s="1"/>
  <c r="M37" i="34"/>
  <c r="G67" i="44"/>
  <c r="G71" i="44"/>
  <c r="G86" i="44"/>
  <c r="G85" i="44"/>
  <c r="G83" i="44"/>
  <c r="L37" i="34"/>
  <c r="L38" i="34"/>
  <c r="M41" i="34"/>
  <c r="G72" i="44"/>
  <c r="G87" i="44"/>
  <c r="L34" i="34"/>
  <c r="M34" i="34" s="1"/>
  <c r="L36" i="34"/>
  <c r="L39" i="34"/>
  <c r="M39" i="34" s="1"/>
  <c r="G66" i="44"/>
  <c r="G82" i="44"/>
  <c r="G75" i="44"/>
  <c r="J38" i="34"/>
  <c r="I38" i="34"/>
  <c r="L41" i="34"/>
  <c r="G89" i="44"/>
  <c r="J39" i="34"/>
  <c r="I39" i="34" s="1"/>
  <c r="L33" i="34"/>
  <c r="G70" i="44"/>
  <c r="J33" i="34"/>
  <c r="I33" i="34"/>
  <c r="L40" i="34"/>
  <c r="M40" i="34" s="1"/>
  <c r="J34" i="34"/>
  <c r="I34" i="34"/>
  <c r="L30" i="34"/>
  <c r="G74" i="44"/>
  <c r="G88" i="44"/>
  <c r="G76" i="44"/>
  <c r="J41" i="34"/>
  <c r="I41" i="34"/>
  <c r="G73" i="44"/>
  <c r="J31" i="34"/>
  <c r="I31" i="34" s="1"/>
  <c r="L35" i="34"/>
  <c r="M35" i="34" s="1"/>
  <c r="J35" i="34"/>
  <c r="I35" i="34" s="1"/>
  <c r="F35" i="44" s="1"/>
  <c r="G79" i="44"/>
  <c r="L31" i="34"/>
  <c r="M31" i="34" s="1"/>
  <c r="G84" i="44"/>
  <c r="G77" i="44"/>
  <c r="J30" i="34"/>
  <c r="I30" i="34" s="1"/>
  <c r="F34" i="44" l="1"/>
  <c r="F41" i="44"/>
  <c r="F36" i="44"/>
  <c r="F33" i="44"/>
  <c r="F39" i="44"/>
  <c r="F32" i="44"/>
  <c r="F30" i="44"/>
  <c r="F38" i="44"/>
  <c r="F31" i="44"/>
  <c r="G49" i="44"/>
  <c r="O30" i="34"/>
  <c r="R30" i="34" s="1"/>
  <c r="G63" i="44"/>
  <c r="G45" i="44"/>
  <c r="G44" i="44"/>
  <c r="G55" i="44"/>
  <c r="G65" i="44"/>
  <c r="G56" i="44"/>
  <c r="G54" i="44"/>
  <c r="G57" i="44"/>
  <c r="L67" i="41"/>
  <c r="G48" i="44"/>
  <c r="G58" i="44"/>
  <c r="G53" i="44"/>
  <c r="G62" i="44"/>
  <c r="G42" i="44"/>
  <c r="G43" i="44"/>
  <c r="G60" i="44"/>
  <c r="G35" i="44"/>
  <c r="G64" i="44"/>
  <c r="G46" i="44"/>
  <c r="P30" i="34"/>
  <c r="G31" i="34" s="1"/>
  <c r="G47" i="44"/>
  <c r="G40" i="44"/>
  <c r="G52" i="44"/>
  <c r="M33" i="34"/>
  <c r="S30" i="34"/>
  <c r="G61" i="44"/>
  <c r="G51" i="44"/>
  <c r="G50" i="44"/>
  <c r="G59" i="44"/>
  <c r="G37" i="44"/>
  <c r="M36" i="34"/>
  <c r="G38" i="44" l="1"/>
  <c r="G31" i="44"/>
  <c r="G39" i="44"/>
  <c r="G34" i="44"/>
  <c r="G36" i="44"/>
  <c r="G32" i="44"/>
  <c r="G41" i="44"/>
  <c r="G33" i="44"/>
  <c r="G30" i="44"/>
  <c r="F31" i="34"/>
  <c r="M67" i="41"/>
  <c r="O67" i="41"/>
  <c r="O31" i="34"/>
  <c r="F68" i="41" l="1"/>
  <c r="P67" i="41"/>
  <c r="G68" i="41" s="1"/>
  <c r="R67" i="41"/>
  <c r="S67" i="41" s="1"/>
  <c r="P31" i="34"/>
  <c r="G32" i="34" s="1"/>
  <c r="F32" i="34"/>
  <c r="R31" i="34"/>
  <c r="S31" i="34" s="1"/>
  <c r="L68" i="41" l="1"/>
  <c r="O32" i="34"/>
  <c r="M68" i="41" l="1"/>
  <c r="O68" i="41"/>
  <c r="P32" i="34"/>
  <c r="G33" i="34" s="1"/>
  <c r="F33" i="34"/>
  <c r="R32" i="34"/>
  <c r="S32" i="34" s="1"/>
  <c r="F69" i="41" l="1"/>
  <c r="P68" i="41"/>
  <c r="G69" i="41" s="1"/>
  <c r="R68" i="41"/>
  <c r="S68" i="41" s="1"/>
  <c r="O33" i="34"/>
  <c r="L69" i="41" l="1"/>
  <c r="P33" i="34"/>
  <c r="G34" i="34" s="1"/>
  <c r="F34" i="34"/>
  <c r="R33" i="34"/>
  <c r="S33" i="34" s="1"/>
  <c r="M69" i="41" l="1"/>
  <c r="O69" i="41"/>
  <c r="O34" i="34"/>
  <c r="F70" i="41" l="1"/>
  <c r="P69" i="41"/>
  <c r="G70" i="41" s="1"/>
  <c r="R69" i="41"/>
  <c r="S69" i="41" s="1"/>
  <c r="P34" i="34"/>
  <c r="G35" i="34" s="1"/>
  <c r="F35" i="34"/>
  <c r="R34" i="34"/>
  <c r="S34" i="34" s="1"/>
  <c r="L70" i="41" l="1"/>
  <c r="M70" i="41" s="1"/>
  <c r="O35" i="34"/>
  <c r="O70" i="41" l="1"/>
  <c r="P35" i="34"/>
  <c r="G36" i="34" s="1"/>
  <c r="F36" i="34"/>
  <c r="R35" i="34"/>
  <c r="S35" i="34" s="1"/>
  <c r="F71" i="41" l="1"/>
  <c r="P70" i="41"/>
  <c r="G71" i="41" s="1"/>
  <c r="R70" i="41"/>
  <c r="S70" i="41" s="1"/>
  <c r="O36" i="34"/>
  <c r="L71" i="41" l="1"/>
  <c r="P36" i="34"/>
  <c r="G37" i="34" s="1"/>
  <c r="F37" i="34"/>
  <c r="R36" i="34"/>
  <c r="S36" i="34" s="1"/>
  <c r="M71" i="41" l="1"/>
  <c r="O71" i="41"/>
  <c r="O37" i="34"/>
  <c r="F72" i="41" l="1"/>
  <c r="P71" i="41"/>
  <c r="G72" i="41" s="1"/>
  <c r="R71" i="41"/>
  <c r="S71" i="41" s="1"/>
  <c r="P37" i="34"/>
  <c r="G38" i="34" s="1"/>
  <c r="F38" i="34"/>
  <c r="R37" i="34"/>
  <c r="S37" i="34" s="1"/>
  <c r="L72" i="41" l="1"/>
  <c r="O38" i="34"/>
  <c r="M72" i="41" l="1"/>
  <c r="O72" i="41"/>
  <c r="P38" i="34"/>
  <c r="G39" i="34" s="1"/>
  <c r="F39" i="34"/>
  <c r="R38" i="34"/>
  <c r="S38" i="34" s="1"/>
  <c r="F73" i="41" l="1"/>
  <c r="P72" i="41"/>
  <c r="G73" i="41" s="1"/>
  <c r="R72" i="41"/>
  <c r="S72" i="41" s="1"/>
  <c r="O39" i="34"/>
  <c r="L73" i="41" l="1"/>
  <c r="M73" i="41" s="1"/>
  <c r="P39" i="34"/>
  <c r="G40" i="34" s="1"/>
  <c r="F40" i="34"/>
  <c r="R39" i="34"/>
  <c r="S39" i="34" s="1"/>
  <c r="O73" i="41" l="1"/>
  <c r="O40" i="34"/>
  <c r="F74" i="41" l="1"/>
  <c r="P73" i="41"/>
  <c r="G74" i="41" s="1"/>
  <c r="R73" i="41"/>
  <c r="S73" i="41" s="1"/>
  <c r="P40" i="34"/>
  <c r="G41" i="34" s="1"/>
  <c r="F41" i="34"/>
  <c r="R40" i="34"/>
  <c r="S40" i="34" s="1"/>
  <c r="L74" i="41" l="1"/>
  <c r="O41" i="34"/>
  <c r="M74" i="41" l="1"/>
  <c r="O74" i="41"/>
  <c r="F75" i="41" s="1"/>
  <c r="P41" i="34"/>
  <c r="R41" i="34"/>
  <c r="S41" i="34" s="1"/>
  <c r="R74" i="41" l="1"/>
  <c r="S74" i="41" s="1"/>
  <c r="P74" i="41"/>
  <c r="G75" i="41" s="1"/>
  <c r="L75" i="41"/>
  <c r="M75" i="41" l="1"/>
  <c r="O75" i="41"/>
  <c r="F76" i="41" s="1"/>
  <c r="R75" i="41" l="1"/>
  <c r="S75" i="41" s="1"/>
  <c r="P75" i="41"/>
  <c r="G76" i="41" s="1"/>
  <c r="L76" i="41"/>
  <c r="M76" i="41" s="1"/>
  <c r="O76" i="41" l="1"/>
  <c r="F77" i="41" l="1"/>
  <c r="P76" i="41"/>
  <c r="G77" i="41" s="1"/>
  <c r="R76" i="41"/>
  <c r="S76" i="41" s="1"/>
  <c r="L77" i="41" l="1"/>
  <c r="M77" i="41" l="1"/>
  <c r="O77" i="41"/>
  <c r="F78" i="41" s="1"/>
  <c r="R77" i="41" l="1"/>
  <c r="S77" i="41" s="1"/>
  <c r="P77" i="41"/>
  <c r="G78" i="41" s="1"/>
  <c r="L78" i="41"/>
  <c r="M78" i="41" l="1"/>
  <c r="O78" i="41"/>
  <c r="F79" i="41" s="1"/>
  <c r="R78" i="41" l="1"/>
  <c r="S78" i="41" s="1"/>
  <c r="P78" i="41"/>
  <c r="G79" i="41" s="1"/>
  <c r="L79" i="41"/>
  <c r="M79" i="41" l="1"/>
  <c r="O79" i="41"/>
  <c r="F80" i="41" s="1"/>
  <c r="R79" i="41" l="1"/>
  <c r="S79" i="41" s="1"/>
  <c r="P79" i="41"/>
  <c r="G80" i="41" s="1"/>
  <c r="L80" i="41"/>
  <c r="M80" i="41" s="1"/>
  <c r="O80" i="41" l="1"/>
  <c r="F81" i="41" l="1"/>
  <c r="P80" i="41"/>
  <c r="G81" i="41" s="1"/>
  <c r="R80" i="41"/>
  <c r="S80" i="41" s="1"/>
  <c r="L81" i="41" l="1"/>
  <c r="M81" i="41" s="1"/>
  <c r="O81" i="41" l="1"/>
  <c r="F82" i="41" l="1"/>
  <c r="P81" i="41"/>
  <c r="G82" i="41" s="1"/>
  <c r="R81" i="41"/>
  <c r="S81" i="41" s="1"/>
  <c r="L82" i="41" l="1"/>
  <c r="M82" i="41" s="1"/>
  <c r="O82" i="41" l="1"/>
  <c r="F83" i="41" l="1"/>
  <c r="P82" i="41"/>
  <c r="G83" i="41" s="1"/>
  <c r="R82" i="41"/>
  <c r="S82" i="41" s="1"/>
  <c r="L83" i="41" l="1"/>
  <c r="M83" i="41" l="1"/>
  <c r="O83" i="41"/>
  <c r="F84" i="41" l="1"/>
  <c r="P83" i="41"/>
  <c r="G84" i="41" s="1"/>
  <c r="R83" i="41"/>
  <c r="S83" i="41" s="1"/>
  <c r="L84" i="41" l="1"/>
  <c r="M84" i="41" l="1"/>
  <c r="O84" i="41"/>
  <c r="F85" i="41" l="1"/>
  <c r="P84" i="41"/>
  <c r="G85" i="41" s="1"/>
  <c r="R84" i="41"/>
  <c r="S84" i="41" s="1"/>
  <c r="L85" i="41" l="1"/>
  <c r="M85" i="41" s="1"/>
  <c r="O85" i="41" l="1"/>
  <c r="F86" i="41" l="1"/>
  <c r="P85" i="41"/>
  <c r="G86" i="41" s="1"/>
  <c r="R85" i="41"/>
  <c r="S85" i="41" s="1"/>
  <c r="L86" i="41" l="1"/>
  <c r="M86" i="41" s="1"/>
  <c r="O86" i="41" l="1"/>
  <c r="F87" i="41" l="1"/>
  <c r="P86" i="41"/>
  <c r="G87" i="41" s="1"/>
  <c r="R86" i="41"/>
  <c r="S86" i="41" s="1"/>
  <c r="L87" i="41" l="1"/>
  <c r="M87" i="41" l="1"/>
  <c r="O87" i="41"/>
  <c r="F88" i="41" l="1"/>
  <c r="P87" i="41"/>
  <c r="G88" i="41" s="1"/>
  <c r="R87" i="41"/>
  <c r="S87" i="41" s="1"/>
  <c r="L88" i="41" l="1"/>
  <c r="M88" i="41" l="1"/>
  <c r="O88" i="41"/>
  <c r="F89" i="41" l="1"/>
  <c r="P88" i="41"/>
  <c r="G89" i="41" s="1"/>
  <c r="R88" i="41"/>
  <c r="S88" i="41" s="1"/>
  <c r="L89" i="41" l="1"/>
  <c r="M89" i="41" l="1"/>
  <c r="O89" i="41"/>
  <c r="F90" i="41" l="1"/>
  <c r="P89" i="41"/>
  <c r="G90" i="41" s="1"/>
  <c r="R89" i="41"/>
  <c r="S89" i="41" s="1"/>
  <c r="L90" i="41" l="1"/>
  <c r="M90" i="41" l="1"/>
  <c r="O90" i="41"/>
  <c r="R90" i="41" s="1"/>
  <c r="S90" i="41" s="1"/>
  <c r="P90" i="41" l="1"/>
  <c r="L21" i="48" l="1"/>
  <c r="R21" i="48" l="1"/>
  <c r="O21" i="48"/>
  <c r="C22" i="48"/>
  <c r="L22" i="48" l="1"/>
  <c r="M21" i="48" l="1"/>
  <c r="K21" i="48"/>
  <c r="R22" i="48"/>
  <c r="C23" i="48"/>
  <c r="O22" i="48"/>
  <c r="D22" i="48" l="1"/>
  <c r="M22" i="48" s="1"/>
  <c r="P22" i="48" s="1"/>
  <c r="Q22" i="48" s="1"/>
  <c r="N21" i="48"/>
  <c r="P21" i="48"/>
  <c r="Q21" i="48" s="1"/>
  <c r="L23" i="48"/>
  <c r="D23" i="48" l="1"/>
  <c r="N22" i="48"/>
  <c r="K22" i="48"/>
  <c r="E22" i="48"/>
  <c r="R23" i="48"/>
  <c r="C24" i="48"/>
  <c r="O23" i="48"/>
  <c r="E23" i="48" l="1"/>
  <c r="L24" i="48"/>
  <c r="K23" i="48"/>
  <c r="M23" i="48"/>
  <c r="R24" i="48" l="1"/>
  <c r="C25" i="48"/>
  <c r="O24" i="48"/>
  <c r="D24" i="48"/>
  <c r="P23" i="48"/>
  <c r="Q23" i="48" s="1"/>
  <c r="N23" i="48"/>
  <c r="L25" i="48" l="1"/>
  <c r="E24" i="48"/>
  <c r="K24" i="48" l="1"/>
  <c r="R25" i="48"/>
  <c r="C26" i="48"/>
  <c r="O25" i="48"/>
  <c r="M24" i="48"/>
  <c r="L26" i="48" l="1"/>
  <c r="D25" i="48"/>
  <c r="N24" i="48"/>
  <c r="P24" i="48"/>
  <c r="Q24" i="48" s="1"/>
  <c r="R26" i="48" l="1"/>
  <c r="C27" i="48"/>
  <c r="O26" i="48"/>
  <c r="E25" i="48"/>
  <c r="L27" i="48" l="1"/>
  <c r="K25" i="48"/>
  <c r="M25" i="48"/>
  <c r="D26" i="48" l="1"/>
  <c r="N25" i="48"/>
  <c r="P25" i="48"/>
  <c r="Q25" i="48" s="1"/>
  <c r="R27" i="48"/>
  <c r="C28" i="48"/>
  <c r="O27" i="48"/>
  <c r="L28" i="48" l="1"/>
  <c r="E26" i="48"/>
  <c r="K26" i="48" l="1"/>
  <c r="M26" i="48"/>
  <c r="R28" i="48"/>
  <c r="C29" i="48"/>
  <c r="O28" i="48"/>
  <c r="D27" i="48" l="1"/>
  <c r="N26" i="48"/>
  <c r="P26" i="48"/>
  <c r="Q26" i="48" s="1"/>
  <c r="L29" i="48"/>
  <c r="R29" i="48" l="1"/>
  <c r="C30" i="48"/>
  <c r="O29" i="48"/>
  <c r="E27" i="48"/>
  <c r="M27" i="48"/>
  <c r="D28" i="48" l="1"/>
  <c r="P27" i="48"/>
  <c r="Q27" i="48" s="1"/>
  <c r="N27" i="48"/>
  <c r="K27" i="48"/>
  <c r="L30" i="48"/>
  <c r="R30" i="48" l="1"/>
  <c r="C31" i="48"/>
  <c r="O30" i="48"/>
  <c r="E28" i="48"/>
  <c r="M28" i="48"/>
  <c r="D29" i="48" l="1"/>
  <c r="P28" i="48"/>
  <c r="Q28" i="48" s="1"/>
  <c r="N28" i="48"/>
  <c r="L31" i="48"/>
  <c r="K28" i="48"/>
  <c r="E29" i="48" l="1"/>
  <c r="R31" i="48"/>
  <c r="C32" i="48"/>
  <c r="O31" i="48"/>
  <c r="M29" i="48"/>
  <c r="D30" i="48" l="1"/>
  <c r="P29" i="48"/>
  <c r="Q29" i="48" s="1"/>
  <c r="N29" i="48"/>
  <c r="L32" i="48"/>
  <c r="K29" i="48"/>
  <c r="E30" i="48" l="1"/>
  <c r="R32" i="48"/>
  <c r="C33" i="48"/>
  <c r="O32" i="48"/>
  <c r="M30" i="48"/>
  <c r="L33" i="48" l="1"/>
  <c r="D31" i="48"/>
  <c r="P30" i="48"/>
  <c r="Q30" i="48" s="1"/>
  <c r="N30" i="48"/>
  <c r="K30" i="48"/>
  <c r="E31" i="48" l="1"/>
  <c r="J31" i="48"/>
  <c r="R33" i="48"/>
  <c r="C34" i="48"/>
  <c r="O33" i="48"/>
  <c r="M31" i="48" l="1"/>
  <c r="L34" i="48"/>
  <c r="K31" i="48"/>
  <c r="N31" i="48" l="1"/>
  <c r="P31" i="48"/>
  <c r="Q31" i="48" s="1"/>
  <c r="D32" i="48"/>
  <c r="J32" i="48" s="1"/>
  <c r="R34" i="48"/>
  <c r="C35" i="48"/>
  <c r="O34" i="48"/>
  <c r="E32" i="48"/>
  <c r="M32" i="48" l="1"/>
  <c r="L35" i="48"/>
  <c r="K32" i="48"/>
  <c r="D33" i="48" l="1"/>
  <c r="J33" i="48" s="1"/>
  <c r="N32" i="48"/>
  <c r="P32" i="48"/>
  <c r="Q32" i="48" s="1"/>
  <c r="R35" i="48"/>
  <c r="C36" i="48"/>
  <c r="O35" i="48"/>
  <c r="E33" i="48" l="1"/>
  <c r="M33" i="48"/>
  <c r="L36" i="48"/>
  <c r="K33" i="48"/>
  <c r="N33" i="48" l="1"/>
  <c r="P33" i="48"/>
  <c r="Q33" i="48" s="1"/>
  <c r="D34" i="48"/>
  <c r="J34" i="48" s="1"/>
  <c r="R36" i="48"/>
  <c r="C37" i="48"/>
  <c r="O36" i="48"/>
  <c r="E34" i="48" l="1"/>
  <c r="M34" i="48"/>
  <c r="L37" i="48"/>
  <c r="K34" i="48"/>
  <c r="N34" i="48" l="1"/>
  <c r="E35" i="48" s="1"/>
  <c r="P34" i="48"/>
  <c r="Q34" i="48" s="1"/>
  <c r="D35" i="48"/>
  <c r="J35" i="48" s="1"/>
  <c r="R37" i="48"/>
  <c r="C38" i="48"/>
  <c r="O37" i="48"/>
  <c r="K35" i="48" l="1"/>
  <c r="M35" i="48"/>
  <c r="L38" i="48"/>
  <c r="R38" i="48" l="1"/>
  <c r="C39" i="48"/>
  <c r="O38" i="48"/>
  <c r="D36" i="48"/>
  <c r="P35" i="48"/>
  <c r="Q35" i="48" s="1"/>
  <c r="N35" i="48"/>
  <c r="L39" i="48" l="1"/>
  <c r="J36" i="48"/>
  <c r="E36" i="48"/>
  <c r="K36" i="48" l="1"/>
  <c r="C40" i="48"/>
  <c r="R39" i="48"/>
  <c r="O39" i="48"/>
  <c r="M36" i="48"/>
  <c r="D37" i="48" l="1"/>
  <c r="P36" i="48"/>
  <c r="Q36" i="48" s="1"/>
  <c r="N36" i="48"/>
  <c r="L40" i="48"/>
  <c r="R40" i="48" l="1"/>
  <c r="C41" i="48"/>
  <c r="O40" i="48"/>
  <c r="J37" i="48"/>
  <c r="E37" i="48"/>
  <c r="K37" i="48" l="1"/>
  <c r="M37" i="48"/>
  <c r="L41" i="48"/>
  <c r="R41" i="48" l="1"/>
  <c r="C42" i="48"/>
  <c r="O41" i="48"/>
  <c r="D38" i="48"/>
  <c r="P37" i="48"/>
  <c r="Q37" i="48" s="1"/>
  <c r="N37" i="48"/>
  <c r="J38" i="48" l="1"/>
  <c r="L42" i="48"/>
  <c r="E38" i="48"/>
  <c r="M38" i="48" l="1"/>
  <c r="R42" i="48"/>
  <c r="C43" i="48"/>
  <c r="O42" i="48"/>
  <c r="K38" i="48"/>
  <c r="D39" i="48" l="1"/>
  <c r="J39" i="48" s="1"/>
  <c r="N38" i="48"/>
  <c r="P38" i="48"/>
  <c r="Q38" i="48" s="1"/>
  <c r="L43" i="48"/>
  <c r="E39" i="48" l="1"/>
  <c r="M39" i="48"/>
  <c r="R43" i="48"/>
  <c r="C44" i="48"/>
  <c r="O43" i="48"/>
  <c r="K39" i="48"/>
  <c r="N39" i="48" l="1"/>
  <c r="P39" i="48"/>
  <c r="Q39" i="48" s="1"/>
  <c r="D40" i="48"/>
  <c r="J40" i="48" s="1"/>
  <c r="L44" i="48"/>
  <c r="E40" i="48" l="1"/>
  <c r="M40" i="48"/>
  <c r="R44" i="48"/>
  <c r="C45" i="48"/>
  <c r="O44" i="48"/>
  <c r="K40" i="48"/>
  <c r="N40" i="48" l="1"/>
  <c r="P40" i="48"/>
  <c r="Q40" i="48" s="1"/>
  <c r="D41" i="48"/>
  <c r="J41" i="48" s="1"/>
  <c r="L45" i="48"/>
  <c r="E41" i="48" l="1"/>
  <c r="M41" i="48"/>
  <c r="R45" i="48"/>
  <c r="C46" i="48"/>
  <c r="O45" i="48"/>
  <c r="K41" i="48"/>
  <c r="P41" i="48" l="1"/>
  <c r="Q41" i="48" s="1"/>
  <c r="D42" i="48"/>
  <c r="J42" i="48" s="1"/>
  <c r="N41" i="48"/>
  <c r="L46" i="48"/>
  <c r="E42" i="48" l="1"/>
  <c r="R46" i="48"/>
  <c r="C47" i="48"/>
  <c r="O46" i="48"/>
  <c r="K42" i="48"/>
  <c r="M42" i="48"/>
  <c r="D43" i="48" l="1"/>
  <c r="P42" i="48"/>
  <c r="Q42" i="48" s="1"/>
  <c r="N42" i="48"/>
  <c r="L47" i="48"/>
  <c r="J43" i="48" l="1"/>
  <c r="M43" i="48" s="1"/>
  <c r="E43" i="48"/>
  <c r="R47" i="48"/>
  <c r="C48" i="48"/>
  <c r="O47" i="48"/>
  <c r="D44" i="48" l="1"/>
  <c r="P43" i="48"/>
  <c r="Q43" i="48" s="1"/>
  <c r="N43" i="48"/>
  <c r="L48" i="48"/>
  <c r="K43" i="48"/>
  <c r="E44" i="48" l="1"/>
  <c r="R48" i="48"/>
  <c r="C49" i="48"/>
  <c r="O48" i="48"/>
  <c r="J44" i="48"/>
  <c r="M44" i="48" s="1"/>
  <c r="D45" i="48" l="1"/>
  <c r="P44" i="48"/>
  <c r="Q44" i="48" s="1"/>
  <c r="N44" i="48"/>
  <c r="L49" i="48"/>
  <c r="K44" i="48"/>
  <c r="J45" i="48" l="1"/>
  <c r="E45" i="48"/>
  <c r="R49" i="48"/>
  <c r="C50" i="48"/>
  <c r="O49" i="48"/>
  <c r="L50" i="48" l="1"/>
  <c r="K45" i="48"/>
  <c r="M45" i="48"/>
  <c r="D46" i="48" l="1"/>
  <c r="P45" i="48"/>
  <c r="Q45" i="48" s="1"/>
  <c r="N45" i="48"/>
  <c r="R50" i="48"/>
  <c r="C51" i="48"/>
  <c r="O50" i="48"/>
  <c r="L51" i="48" l="1"/>
  <c r="J46" i="48"/>
  <c r="E46" i="48"/>
  <c r="R51" i="48" l="1"/>
  <c r="C52" i="48"/>
  <c r="O51" i="48"/>
  <c r="K46" i="48"/>
  <c r="M46" i="48"/>
  <c r="D47" i="48" l="1"/>
  <c r="P46" i="48"/>
  <c r="Q46" i="48" s="1"/>
  <c r="N46" i="48"/>
  <c r="L52" i="48"/>
  <c r="E47" i="48" l="1"/>
  <c r="J47" i="48"/>
  <c r="R52" i="48"/>
  <c r="C53" i="48"/>
  <c r="O52" i="48"/>
  <c r="K47" i="48" l="1"/>
  <c r="M47" i="48"/>
  <c r="L53" i="48"/>
  <c r="R53" i="48" l="1"/>
  <c r="C54" i="48"/>
  <c r="O53" i="48"/>
  <c r="D48" i="48"/>
  <c r="P47" i="48"/>
  <c r="Q47" i="48" s="1"/>
  <c r="N47" i="48"/>
  <c r="J48" i="48" l="1"/>
  <c r="M48" i="48" s="1"/>
  <c r="L54" i="48"/>
  <c r="E48" i="48"/>
  <c r="D49" i="48" l="1"/>
  <c r="P48" i="48"/>
  <c r="Q48" i="48" s="1"/>
  <c r="N48" i="48"/>
  <c r="R54" i="48"/>
  <c r="C55" i="48"/>
  <c r="O54" i="48"/>
  <c r="K48" i="48"/>
  <c r="E49" i="48" l="1"/>
  <c r="L55" i="48"/>
  <c r="J49" i="48"/>
  <c r="M49" i="48" s="1"/>
  <c r="D50" i="48" l="1"/>
  <c r="P49" i="48"/>
  <c r="Q49" i="48" s="1"/>
  <c r="N49" i="48"/>
  <c r="K49" i="48"/>
  <c r="R55" i="48"/>
  <c r="C56" i="48"/>
  <c r="O55" i="48"/>
  <c r="E50" i="48" l="1"/>
  <c r="J50" i="48"/>
  <c r="M50" i="48" s="1"/>
  <c r="L56" i="48"/>
  <c r="D51" i="48" l="1"/>
  <c r="P50" i="48"/>
  <c r="Q50" i="48" s="1"/>
  <c r="N50" i="48"/>
  <c r="K50" i="48"/>
  <c r="R56" i="48"/>
  <c r="C57" i="48"/>
  <c r="O56" i="48"/>
  <c r="L57" i="48" l="1"/>
  <c r="E51" i="48"/>
  <c r="J51" i="48"/>
  <c r="M51" i="48" s="1"/>
  <c r="D52" i="48" l="1"/>
  <c r="P51" i="48"/>
  <c r="Q51" i="48" s="1"/>
  <c r="N51" i="48"/>
  <c r="C58" i="48"/>
  <c r="R57" i="48"/>
  <c r="O57" i="48"/>
  <c r="K51" i="48"/>
  <c r="L58" i="48" l="1"/>
  <c r="E52" i="48"/>
  <c r="J52" i="48"/>
  <c r="M52" i="48" s="1"/>
  <c r="D53" i="48" l="1"/>
  <c r="P52" i="48"/>
  <c r="Q52" i="48" s="1"/>
  <c r="N52" i="48"/>
  <c r="R58" i="48"/>
  <c r="C59" i="48"/>
  <c r="O58" i="48"/>
  <c r="K52" i="48"/>
  <c r="E53" i="48" l="1"/>
  <c r="L59" i="48"/>
  <c r="J53" i="48"/>
  <c r="R59" i="48" l="1"/>
  <c r="C60" i="48"/>
  <c r="O59" i="48"/>
  <c r="K53" i="48"/>
  <c r="M53" i="48"/>
  <c r="D54" i="48" l="1"/>
  <c r="P53" i="48"/>
  <c r="Q53" i="48" s="1"/>
  <c r="N53" i="48"/>
  <c r="L60" i="48"/>
  <c r="E54" i="48" l="1"/>
  <c r="R60" i="48"/>
  <c r="C61" i="48"/>
  <c r="O60" i="48"/>
  <c r="J54" i="48"/>
  <c r="M54" i="48" s="1"/>
  <c r="D55" i="48" l="1"/>
  <c r="P54" i="48"/>
  <c r="Q54" i="48" s="1"/>
  <c r="N54" i="48"/>
  <c r="L61" i="48"/>
  <c r="K54" i="48"/>
  <c r="E55" i="48" l="1"/>
  <c r="R61" i="48"/>
  <c r="C62" i="48"/>
  <c r="O61" i="48"/>
  <c r="J55" i="48"/>
  <c r="L62" i="48" l="1"/>
  <c r="K55" i="48"/>
  <c r="M55" i="48"/>
  <c r="D56" i="48" l="1"/>
  <c r="P55" i="48"/>
  <c r="Q55" i="48" s="1"/>
  <c r="N55" i="48"/>
  <c r="R62" i="48"/>
  <c r="C63" i="48"/>
  <c r="O62" i="48"/>
  <c r="L63" i="48" l="1"/>
  <c r="E56" i="48"/>
  <c r="J56" i="48"/>
  <c r="K56" i="48" l="1"/>
  <c r="M56" i="48"/>
  <c r="R63" i="48"/>
  <c r="C64" i="48"/>
  <c r="O63" i="48"/>
  <c r="D57" i="48" l="1"/>
  <c r="P56" i="48"/>
  <c r="Q56" i="48" s="1"/>
  <c r="N56" i="48"/>
  <c r="L64" i="48"/>
  <c r="E57" i="48" l="1"/>
  <c r="R64" i="48"/>
  <c r="C65" i="48"/>
  <c r="O64" i="48"/>
  <c r="J57" i="48"/>
  <c r="M57" i="48" s="1"/>
  <c r="D58" i="48" l="1"/>
  <c r="P57" i="48"/>
  <c r="Q57" i="48" s="1"/>
  <c r="N57" i="48"/>
  <c r="L65" i="48"/>
  <c r="K57" i="48"/>
  <c r="E58" i="48" l="1"/>
  <c r="J58" i="48"/>
  <c r="M58" i="48" s="1"/>
  <c r="R65" i="48"/>
  <c r="C66" i="48"/>
  <c r="O65" i="48"/>
  <c r="D59" i="48" l="1"/>
  <c r="P58" i="48"/>
  <c r="Q58" i="48" s="1"/>
  <c r="N58" i="48"/>
  <c r="K58" i="48"/>
  <c r="L66" i="48"/>
  <c r="E59" i="48" l="1"/>
  <c r="R66" i="48"/>
  <c r="C67" i="48"/>
  <c r="O66" i="48"/>
  <c r="J59" i="48"/>
  <c r="M59" i="48" s="1"/>
  <c r="D60" i="48" l="1"/>
  <c r="P59" i="48"/>
  <c r="Q59" i="48" s="1"/>
  <c r="N59" i="48"/>
  <c r="K59" i="48"/>
  <c r="L67" i="48"/>
  <c r="R67" i="48" l="1"/>
  <c r="C68" i="48"/>
  <c r="O67" i="48"/>
  <c r="J60" i="48"/>
  <c r="M60" i="48" s="1"/>
  <c r="E60" i="48"/>
  <c r="D61" i="48" l="1"/>
  <c r="P60" i="48"/>
  <c r="Q60" i="48" s="1"/>
  <c r="N60" i="48"/>
  <c r="L68" i="48"/>
  <c r="K60" i="48"/>
  <c r="J61" i="48" l="1"/>
  <c r="E61" i="48"/>
  <c r="R68" i="48"/>
  <c r="C69" i="48"/>
  <c r="O68" i="48"/>
  <c r="K61" i="48" l="1"/>
  <c r="L69" i="48"/>
  <c r="M61" i="48"/>
  <c r="R69" i="48" l="1"/>
  <c r="C70" i="48"/>
  <c r="O69" i="48"/>
  <c r="D62" i="48"/>
  <c r="P61" i="48"/>
  <c r="Q61" i="48" s="1"/>
  <c r="N61" i="48"/>
  <c r="L70" i="48" l="1"/>
  <c r="J62" i="48"/>
  <c r="M62" i="48" s="1"/>
  <c r="E62" i="48"/>
  <c r="D63" i="48" l="1"/>
  <c r="P62" i="48"/>
  <c r="Q62" i="48" s="1"/>
  <c r="N62" i="48"/>
  <c r="R70" i="48"/>
  <c r="C71" i="48"/>
  <c r="O70" i="48"/>
  <c r="K62" i="48"/>
  <c r="L71" i="48" l="1"/>
  <c r="E63" i="48"/>
  <c r="J63" i="48"/>
  <c r="M63" i="48" s="1"/>
  <c r="D64" i="48" l="1"/>
  <c r="P63" i="48"/>
  <c r="Q63" i="48" s="1"/>
  <c r="N63" i="48"/>
  <c r="K63" i="48"/>
  <c r="R71" i="48"/>
  <c r="C72" i="48"/>
  <c r="O71" i="48"/>
  <c r="J64" i="48" l="1"/>
  <c r="E64" i="48"/>
  <c r="L72" i="48"/>
  <c r="K64" i="48" l="1"/>
  <c r="R72" i="48"/>
  <c r="C73" i="48"/>
  <c r="O72" i="48"/>
  <c r="M64" i="48"/>
  <c r="L73" i="48" l="1"/>
  <c r="D65" i="48"/>
  <c r="P64" i="48"/>
  <c r="Q64" i="48" s="1"/>
  <c r="N64" i="48"/>
  <c r="J65" i="48" l="1"/>
  <c r="R73" i="48"/>
  <c r="C74" i="48"/>
  <c r="O73" i="48"/>
  <c r="E65" i="48"/>
  <c r="L74" i="48" l="1"/>
  <c r="K65" i="48"/>
  <c r="M65" i="48"/>
  <c r="D66" i="48" l="1"/>
  <c r="P65" i="48"/>
  <c r="Q65" i="48" s="1"/>
  <c r="N65" i="48"/>
  <c r="R74" i="48"/>
  <c r="C75" i="48"/>
  <c r="O74" i="48"/>
  <c r="E66" i="48" l="1"/>
  <c r="L75" i="48"/>
  <c r="J66" i="48"/>
  <c r="K66" i="48" l="1"/>
  <c r="R75" i="48"/>
  <c r="C76" i="48"/>
  <c r="O75" i="48"/>
  <c r="M66" i="48"/>
  <c r="D67" i="48" l="1"/>
  <c r="P66" i="48"/>
  <c r="Q66" i="48" s="1"/>
  <c r="N66" i="48"/>
  <c r="L76" i="48"/>
  <c r="E67" i="48" l="1"/>
  <c r="R76" i="48"/>
  <c r="C77" i="48"/>
  <c r="O76" i="48"/>
  <c r="J67" i="48"/>
  <c r="K67" i="48" s="1"/>
  <c r="M67" i="48" l="1"/>
  <c r="L77" i="48"/>
  <c r="N67" i="48" l="1"/>
  <c r="E68" i="48" s="1"/>
  <c r="P67" i="48"/>
  <c r="Q67" i="48" s="1"/>
  <c r="D68" i="48"/>
  <c r="J68" i="48" s="1"/>
  <c r="K68" i="48" s="1"/>
  <c r="R77" i="48"/>
  <c r="C78" i="48"/>
  <c r="O77" i="48"/>
  <c r="L78" i="48" l="1"/>
  <c r="M68" i="48"/>
  <c r="D69" i="48" l="1"/>
  <c r="P68" i="48"/>
  <c r="Q68" i="48" s="1"/>
  <c r="N68" i="48"/>
  <c r="E69" i="48" s="1"/>
  <c r="R78" i="48"/>
  <c r="C79" i="48"/>
  <c r="O78" i="48"/>
  <c r="L79" i="48" l="1"/>
  <c r="J69" i="48"/>
  <c r="K69" i="48" s="1"/>
  <c r="M69" i="48" l="1"/>
  <c r="R79" i="48"/>
  <c r="C80" i="48"/>
  <c r="O79" i="48"/>
  <c r="L80" i="48" l="1"/>
  <c r="D70" i="48"/>
  <c r="N69" i="48"/>
  <c r="E70" i="48" s="1"/>
  <c r="P69" i="48"/>
  <c r="Q69" i="48" s="1"/>
  <c r="J70" i="48" l="1"/>
  <c r="K70" i="48" s="1"/>
  <c r="R80" i="48"/>
  <c r="C81" i="48"/>
  <c r="O80" i="48"/>
  <c r="L81" i="48" l="1"/>
  <c r="M70" i="48"/>
  <c r="D71" i="48" l="1"/>
  <c r="N70" i="48"/>
  <c r="E71" i="48" s="1"/>
  <c r="P70" i="48"/>
  <c r="Q70" i="48" s="1"/>
  <c r="R81" i="48"/>
  <c r="C82" i="48"/>
  <c r="O81" i="48"/>
  <c r="L82" i="48" l="1"/>
  <c r="J71" i="48"/>
  <c r="K71" i="48" s="1"/>
  <c r="M71" i="48" l="1"/>
  <c r="R82" i="48"/>
  <c r="C83" i="48"/>
  <c r="O82" i="48"/>
  <c r="L83" i="48" l="1"/>
  <c r="D72" i="48"/>
  <c r="P71" i="48"/>
  <c r="Q71" i="48" s="1"/>
  <c r="N71" i="48"/>
  <c r="E72" i="48" s="1"/>
  <c r="R83" i="48" l="1"/>
  <c r="C84" i="48"/>
  <c r="O83" i="48"/>
  <c r="J72" i="48"/>
  <c r="K72" i="48" s="1"/>
  <c r="M72" i="48" l="1"/>
  <c r="L84" i="48"/>
  <c r="R84" i="48" l="1"/>
  <c r="C85" i="48"/>
  <c r="O84" i="48"/>
  <c r="D73" i="48"/>
  <c r="N72" i="48"/>
  <c r="E73" i="48" s="1"/>
  <c r="P72" i="48"/>
  <c r="Q72" i="48" s="1"/>
  <c r="L85" i="48" l="1"/>
  <c r="J73" i="48"/>
  <c r="K73" i="48" s="1"/>
  <c r="M73" i="48" l="1"/>
  <c r="R85" i="48"/>
  <c r="C86" i="48"/>
  <c r="O85" i="48"/>
  <c r="L86" i="48" l="1"/>
  <c r="D74" i="48"/>
  <c r="N73" i="48"/>
  <c r="E74" i="48" s="1"/>
  <c r="P73" i="48"/>
  <c r="Q73" i="48" s="1"/>
  <c r="J74" i="48" l="1"/>
  <c r="K74" i="48" s="1"/>
  <c r="R86" i="48"/>
  <c r="C87" i="48"/>
  <c r="O86" i="48"/>
  <c r="L87" i="48" l="1"/>
  <c r="M74" i="48"/>
  <c r="R87" i="48" l="1"/>
  <c r="C88" i="48"/>
  <c r="O87" i="48"/>
  <c r="D75" i="48"/>
  <c r="N74" i="48"/>
  <c r="E75" i="48" s="1"/>
  <c r="P74" i="48"/>
  <c r="Q74" i="48" s="1"/>
  <c r="J75" i="48" l="1"/>
  <c r="K75" i="48" s="1"/>
  <c r="L88" i="48"/>
  <c r="R88" i="48" l="1"/>
  <c r="C89" i="48"/>
  <c r="O88" i="48"/>
  <c r="M75" i="48"/>
  <c r="D76" i="48" l="1"/>
  <c r="N75" i="48"/>
  <c r="E76" i="48" s="1"/>
  <c r="P75" i="48"/>
  <c r="Q75" i="48" s="1"/>
  <c r="L89" i="48"/>
  <c r="R89" i="48" l="1"/>
  <c r="C90" i="48"/>
  <c r="O89" i="48"/>
  <c r="J76" i="48"/>
  <c r="K76" i="48" s="1"/>
  <c r="M76" i="48" l="1"/>
  <c r="L90" i="48"/>
  <c r="R90" i="48" l="1"/>
  <c r="O90" i="48"/>
  <c r="D77" i="48"/>
  <c r="N76" i="48"/>
  <c r="E77" i="48" s="1"/>
  <c r="P76" i="48"/>
  <c r="Q76" i="48" s="1"/>
  <c r="J77" i="48" l="1"/>
  <c r="K77" i="48" s="1"/>
  <c r="M77" i="48" l="1"/>
  <c r="D78" i="48" l="1"/>
  <c r="N77" i="48"/>
  <c r="E78" i="48" s="1"/>
  <c r="P77" i="48"/>
  <c r="Q77" i="48" s="1"/>
  <c r="J78" i="48" l="1"/>
  <c r="K78" i="48" s="1"/>
  <c r="M78" i="48" l="1"/>
  <c r="D79" i="48" l="1"/>
  <c r="N78" i="48"/>
  <c r="E79" i="48" s="1"/>
  <c r="P78" i="48"/>
  <c r="Q78" i="48" s="1"/>
  <c r="J79" i="48" l="1"/>
  <c r="K79" i="48" s="1"/>
  <c r="M79" i="48" l="1"/>
  <c r="D80" i="48" l="1"/>
  <c r="N79" i="48"/>
  <c r="E80" i="48" s="1"/>
  <c r="P79" i="48"/>
  <c r="Q79" i="48" s="1"/>
  <c r="J80" i="48" l="1"/>
  <c r="K80" i="48" s="1"/>
  <c r="M80" i="48" l="1"/>
  <c r="D81" i="48" l="1"/>
  <c r="N80" i="48"/>
  <c r="E81" i="48" s="1"/>
  <c r="P80" i="48"/>
  <c r="Q80" i="48" s="1"/>
  <c r="J81" i="48" l="1"/>
  <c r="K81" i="48" s="1"/>
  <c r="M81" i="48" l="1"/>
  <c r="D82" i="48" l="1"/>
  <c r="N81" i="48"/>
  <c r="E82" i="48" s="1"/>
  <c r="P81" i="48"/>
  <c r="Q81" i="48" s="1"/>
  <c r="J82" i="48" l="1"/>
  <c r="K82" i="48" s="1"/>
  <c r="M82" i="48" l="1"/>
  <c r="D83" i="48" l="1"/>
  <c r="N82" i="48"/>
  <c r="E83" i="48" s="1"/>
  <c r="P82" i="48"/>
  <c r="Q82" i="48" s="1"/>
  <c r="J83" i="48" l="1"/>
  <c r="K83" i="48" s="1"/>
  <c r="M83" i="48" l="1"/>
  <c r="D84" i="48" l="1"/>
  <c r="N83" i="48"/>
  <c r="E84" i="48" s="1"/>
  <c r="P83" i="48"/>
  <c r="Q83" i="48" s="1"/>
  <c r="J84" i="48" l="1"/>
  <c r="K84" i="48" s="1"/>
  <c r="M84" i="48" l="1"/>
  <c r="D85" i="48" l="1"/>
  <c r="N84" i="48"/>
  <c r="E85" i="48" s="1"/>
  <c r="P84" i="48"/>
  <c r="Q84" i="48" s="1"/>
  <c r="J85" i="48" l="1"/>
  <c r="K85" i="48" s="1"/>
  <c r="M85" i="48" l="1"/>
  <c r="D86" i="48" l="1"/>
  <c r="N85" i="48"/>
  <c r="E86" i="48" s="1"/>
  <c r="P85" i="48"/>
  <c r="Q85" i="48" s="1"/>
  <c r="J86" i="48" l="1"/>
  <c r="K86" i="48" s="1"/>
  <c r="M86" i="48" l="1"/>
  <c r="D87" i="48" l="1"/>
  <c r="N86" i="48"/>
  <c r="E87" i="48" s="1"/>
  <c r="P86" i="48"/>
  <c r="Q86" i="48" s="1"/>
  <c r="J87" i="48" l="1"/>
  <c r="K87" i="48" s="1"/>
  <c r="M87" i="48" l="1"/>
  <c r="D88" i="48" l="1"/>
  <c r="N87" i="48"/>
  <c r="E88" i="48" s="1"/>
  <c r="P87" i="48"/>
  <c r="Q87" i="48" s="1"/>
  <c r="J88" i="48" l="1"/>
  <c r="K88" i="48" s="1"/>
  <c r="M88" i="48" l="1"/>
  <c r="D89" i="48" l="1"/>
  <c r="N88" i="48"/>
  <c r="E89" i="48" s="1"/>
  <c r="P88" i="48"/>
  <c r="Q88" i="48" s="1"/>
  <c r="J89" i="48" l="1"/>
  <c r="K89" i="48" s="1"/>
  <c r="M89" i="48" l="1"/>
  <c r="D90" i="48" l="1"/>
  <c r="N89" i="48"/>
  <c r="E90" i="48" s="1"/>
  <c r="P89" i="48"/>
  <c r="Q89" i="48" s="1"/>
  <c r="J90" i="48" l="1"/>
  <c r="K90" i="48" s="1"/>
  <c r="M90" i="48" l="1"/>
  <c r="N90" i="48" l="1"/>
  <c r="P90" i="48"/>
  <c r="Q90" i="48" s="1"/>
  <c r="M41" i="70" l="1"/>
  <c r="M40" i="70"/>
  <c r="M38" i="70"/>
  <c r="M35" i="70"/>
  <c r="N26" i="70"/>
  <c r="K26" i="44" s="1"/>
  <c r="Q26" i="44" l="1"/>
  <c r="N26" i="44"/>
  <c r="E27" i="70"/>
  <c r="B27" i="44" s="1"/>
  <c r="Q26" i="70"/>
  <c r="N27" i="70" l="1"/>
  <c r="K27" i="44" s="1"/>
  <c r="Q27" i="44" l="1"/>
  <c r="N27" i="44"/>
  <c r="E28" i="70"/>
  <c r="B28" i="44" s="1"/>
  <c r="Q27" i="70"/>
  <c r="N28" i="70" l="1"/>
  <c r="K28" i="44" s="1"/>
  <c r="Q28" i="44" l="1"/>
  <c r="N28" i="44"/>
  <c r="E29" i="70"/>
  <c r="B29" i="44" s="1"/>
  <c r="Q28" i="70"/>
  <c r="N29" i="70" l="1"/>
  <c r="K29" i="44" s="1"/>
  <c r="Q29" i="44" l="1"/>
  <c r="N29" i="44"/>
  <c r="E30" i="70"/>
  <c r="B30" i="44" s="1"/>
  <c r="Q29" i="70"/>
  <c r="N30" i="70" l="1"/>
  <c r="K30" i="44" s="1"/>
  <c r="Q30" i="44" l="1"/>
  <c r="N30" i="44"/>
  <c r="E31" i="70"/>
  <c r="B31" i="44" s="1"/>
  <c r="Q30" i="70"/>
  <c r="N31" i="70" l="1"/>
  <c r="K31" i="44" s="1"/>
  <c r="Q31" i="44" l="1"/>
  <c r="N31" i="44"/>
  <c r="E32" i="70"/>
  <c r="B32" i="44" s="1"/>
  <c r="Q31" i="70"/>
  <c r="N32" i="70" l="1"/>
  <c r="K32" i="44" s="1"/>
  <c r="Q32" i="44" l="1"/>
  <c r="N32" i="44"/>
  <c r="E33" i="70"/>
  <c r="B33" i="44" s="1"/>
  <c r="Q32" i="70"/>
  <c r="N33" i="70" l="1"/>
  <c r="K33" i="44" s="1"/>
  <c r="Q33" i="44" l="1"/>
  <c r="N33" i="44"/>
  <c r="E34" i="70"/>
  <c r="B34" i="44" s="1"/>
  <c r="Q33" i="70"/>
  <c r="N34" i="70" l="1"/>
  <c r="K34" i="44" s="1"/>
  <c r="Q34" i="44" l="1"/>
  <c r="N34" i="44"/>
  <c r="E35" i="70"/>
  <c r="B35" i="44" s="1"/>
  <c r="Q34" i="70"/>
  <c r="N35" i="70" l="1"/>
  <c r="K35" i="44" s="1"/>
  <c r="Q35" i="44" l="1"/>
  <c r="N35" i="44"/>
  <c r="E36" i="70"/>
  <c r="B36" i="44" s="1"/>
  <c r="Q35" i="70"/>
  <c r="N36" i="70" l="1"/>
  <c r="K36" i="44" s="1"/>
  <c r="Q36" i="44" l="1"/>
  <c r="N36" i="44"/>
  <c r="E37" i="70"/>
  <c r="B37" i="44" s="1"/>
  <c r="Q36" i="70"/>
  <c r="N37" i="70" l="1"/>
  <c r="K37" i="44" s="1"/>
  <c r="Q37" i="44" l="1"/>
  <c r="N37" i="44"/>
  <c r="E38" i="70"/>
  <c r="B38" i="44" s="1"/>
  <c r="Q37" i="70"/>
  <c r="N38" i="70" l="1"/>
  <c r="K38" i="44" s="1"/>
  <c r="Q38" i="44" l="1"/>
  <c r="N38" i="44"/>
  <c r="E39" i="70"/>
  <c r="B39" i="44" s="1"/>
  <c r="Q38" i="70"/>
  <c r="N39" i="70" l="1"/>
  <c r="K39" i="44" s="1"/>
  <c r="Q39" i="44" l="1"/>
  <c r="N39" i="44"/>
  <c r="E40" i="70"/>
  <c r="B40" i="44" s="1"/>
  <c r="Q39" i="70"/>
  <c r="N40" i="70" l="1"/>
  <c r="K40" i="44" s="1"/>
  <c r="Q40" i="44" l="1"/>
  <c r="N40" i="44"/>
  <c r="E41" i="70"/>
  <c r="B41" i="44" s="1"/>
  <c r="Q40" i="70"/>
  <c r="N41" i="70" l="1"/>
  <c r="K41" i="44" s="1"/>
  <c r="Q41" i="44" l="1"/>
  <c r="N41" i="44"/>
  <c r="E42" i="70"/>
  <c r="B42" i="44" s="1"/>
  <c r="Q41" i="70"/>
  <c r="N42" i="70" l="1"/>
  <c r="K42" i="44" s="1"/>
  <c r="Q42" i="44" l="1"/>
  <c r="N42" i="44"/>
  <c r="E43" i="70"/>
  <c r="B43" i="44" s="1"/>
  <c r="Q42" i="70"/>
  <c r="N43" i="70" l="1"/>
  <c r="K43" i="44" s="1"/>
  <c r="Q43" i="44" l="1"/>
  <c r="N43" i="44"/>
  <c r="E44" i="70"/>
  <c r="B44" i="44" s="1"/>
  <c r="Q43" i="70"/>
  <c r="N44" i="70" l="1"/>
  <c r="K44" i="44" s="1"/>
  <c r="Q44" i="44" l="1"/>
  <c r="N44" i="44"/>
  <c r="E45" i="70"/>
  <c r="B45" i="44" s="1"/>
  <c r="Q44" i="70"/>
  <c r="N45" i="70" l="1"/>
  <c r="K45" i="44" s="1"/>
  <c r="Q45" i="44" l="1"/>
  <c r="N45" i="44"/>
  <c r="E46" i="70"/>
  <c r="B46" i="44" s="1"/>
  <c r="Q45" i="70"/>
  <c r="N46" i="70" l="1"/>
  <c r="K46" i="44" s="1"/>
  <c r="Q46" i="44" l="1"/>
  <c r="N46" i="44"/>
  <c r="E47" i="70"/>
  <c r="B47" i="44" s="1"/>
  <c r="Q46" i="70"/>
  <c r="N47" i="70" l="1"/>
  <c r="K47" i="44" s="1"/>
  <c r="Q47" i="44" l="1"/>
  <c r="N47" i="44"/>
  <c r="E48" i="70"/>
  <c r="B48" i="44" s="1"/>
  <c r="Q47" i="70"/>
  <c r="N48" i="70" l="1"/>
  <c r="K48" i="44" s="1"/>
  <c r="Q48" i="44" l="1"/>
  <c r="N48" i="44"/>
  <c r="E49" i="70"/>
  <c r="B49" i="44" s="1"/>
  <c r="Q48" i="70"/>
  <c r="N49" i="70" l="1"/>
  <c r="K49" i="44" s="1"/>
  <c r="Q49" i="44" l="1"/>
  <c r="N49" i="44"/>
  <c r="E50" i="70"/>
  <c r="B50" i="44" s="1"/>
  <c r="Q49" i="70"/>
  <c r="N50" i="70" l="1"/>
  <c r="K50" i="44" s="1"/>
  <c r="Q50" i="44" l="1"/>
  <c r="N50" i="44"/>
  <c r="E51" i="70"/>
  <c r="B51" i="44" s="1"/>
  <c r="Q50" i="70"/>
  <c r="N51" i="70" l="1"/>
  <c r="K51" i="44" s="1"/>
  <c r="Q51" i="44" l="1"/>
  <c r="N51" i="44"/>
  <c r="E52" i="70"/>
  <c r="B52" i="44" s="1"/>
  <c r="Q51" i="70"/>
  <c r="N52" i="70" l="1"/>
  <c r="K52" i="44" s="1"/>
  <c r="Q52" i="44" l="1"/>
  <c r="N52" i="44"/>
  <c r="E53" i="70"/>
  <c r="B53" i="44" s="1"/>
  <c r="Q52" i="70"/>
  <c r="N53" i="70" l="1"/>
  <c r="K53" i="44" s="1"/>
  <c r="Q53" i="44" l="1"/>
  <c r="N53" i="44"/>
  <c r="E54" i="70"/>
  <c r="B54" i="44" s="1"/>
  <c r="Q53" i="70"/>
  <c r="N54" i="70" l="1"/>
  <c r="K54" i="44" s="1"/>
  <c r="Q54" i="44" l="1"/>
  <c r="N54" i="44"/>
  <c r="E55" i="70"/>
  <c r="B55" i="44" s="1"/>
  <c r="Q54" i="70"/>
  <c r="N55" i="70" l="1"/>
  <c r="K55" i="44" s="1"/>
  <c r="Q55" i="44" l="1"/>
  <c r="N55" i="44"/>
  <c r="E56" i="70"/>
  <c r="B56" i="44" s="1"/>
  <c r="Q55" i="70"/>
  <c r="N56" i="70" l="1"/>
  <c r="K56" i="44" s="1"/>
  <c r="Q56" i="44" l="1"/>
  <c r="N56" i="44"/>
  <c r="E57" i="70"/>
  <c r="B57" i="44" s="1"/>
  <c r="Q56" i="70"/>
  <c r="N57" i="70" l="1"/>
  <c r="K57" i="44" s="1"/>
  <c r="Q57" i="44" l="1"/>
  <c r="N57" i="44"/>
  <c r="E58" i="70"/>
  <c r="B58" i="44" s="1"/>
  <c r="Q57" i="70"/>
  <c r="N58" i="70" l="1"/>
  <c r="K58" i="44" s="1"/>
  <c r="Q58" i="44" l="1"/>
  <c r="N58" i="44"/>
  <c r="E59" i="70"/>
  <c r="B59" i="44" s="1"/>
  <c r="Q58" i="70"/>
  <c r="N59" i="70" l="1"/>
  <c r="K59" i="44" s="1"/>
  <c r="Q59" i="44" l="1"/>
  <c r="N59" i="44"/>
  <c r="E60" i="70"/>
  <c r="B60" i="44" s="1"/>
  <c r="Q59" i="70"/>
  <c r="N60" i="70" l="1"/>
  <c r="K60" i="44" s="1"/>
  <c r="Q60" i="44" l="1"/>
  <c r="N60" i="44"/>
  <c r="E61" i="70"/>
  <c r="B61" i="44" s="1"/>
  <c r="Q60" i="70"/>
  <c r="N61" i="70" l="1"/>
  <c r="K61" i="44" s="1"/>
  <c r="Q61" i="44" l="1"/>
  <c r="N61" i="44"/>
  <c r="E62" i="70"/>
  <c r="B62" i="44" s="1"/>
  <c r="Q61" i="70"/>
  <c r="N62" i="70" l="1"/>
  <c r="K62" i="44" s="1"/>
  <c r="Q62" i="44" l="1"/>
  <c r="N62" i="44"/>
  <c r="E63" i="70"/>
  <c r="B63" i="44" s="1"/>
  <c r="Q62" i="70"/>
  <c r="N63" i="70" l="1"/>
  <c r="K63" i="44" s="1"/>
  <c r="Q63" i="44" l="1"/>
  <c r="N63" i="44"/>
  <c r="E64" i="70"/>
  <c r="B64" i="44" s="1"/>
  <c r="Q63" i="70"/>
  <c r="N64" i="70" l="1"/>
  <c r="K64" i="44" s="1"/>
  <c r="Q64" i="44" l="1"/>
  <c r="N64" i="44"/>
  <c r="E65" i="70"/>
  <c r="B65" i="44" s="1"/>
  <c r="Q64" i="70"/>
  <c r="N65" i="70" l="1"/>
  <c r="K65" i="44" s="1"/>
  <c r="Q65" i="44" l="1"/>
  <c r="N65" i="44"/>
  <c r="E66" i="70"/>
  <c r="B66" i="44" s="1"/>
  <c r="Q65" i="70"/>
  <c r="N66" i="70" l="1"/>
  <c r="K66" i="44" s="1"/>
  <c r="Q66" i="44" l="1"/>
  <c r="N66" i="44"/>
  <c r="E67" i="70"/>
  <c r="B67" i="44" s="1"/>
  <c r="Q66" i="70"/>
  <c r="N67" i="70" l="1"/>
  <c r="K67" i="44" s="1"/>
  <c r="Q67" i="44" l="1"/>
  <c r="N67" i="44"/>
  <c r="E68" i="70"/>
  <c r="B68" i="44" s="1"/>
  <c r="Q67" i="70"/>
  <c r="N68" i="70" l="1"/>
  <c r="K68" i="44" s="1"/>
  <c r="Q68" i="44" l="1"/>
  <c r="N68" i="44"/>
  <c r="E69" i="70"/>
  <c r="B69" i="44" s="1"/>
  <c r="Q68" i="70"/>
  <c r="N69" i="70" l="1"/>
  <c r="K69" i="44" s="1"/>
  <c r="Q69" i="44" l="1"/>
  <c r="N69" i="44"/>
  <c r="E70" i="70"/>
  <c r="B70" i="44" s="1"/>
  <c r="Q69" i="70"/>
  <c r="N70" i="70" l="1"/>
  <c r="K70" i="44" s="1"/>
  <c r="Q70" i="44" l="1"/>
  <c r="N70" i="44"/>
  <c r="E71" i="70"/>
  <c r="B71" i="44" s="1"/>
  <c r="Q70" i="70"/>
  <c r="N71" i="70" l="1"/>
  <c r="K71" i="44" s="1"/>
  <c r="Q71" i="44" l="1"/>
  <c r="N71" i="44"/>
  <c r="E72" i="70"/>
  <c r="B72" i="44" s="1"/>
  <c r="Q71" i="70"/>
  <c r="N72" i="70" l="1"/>
  <c r="K72" i="44" s="1"/>
  <c r="Q72" i="44" l="1"/>
  <c r="N72" i="44"/>
  <c r="E73" i="70"/>
  <c r="B73" i="44" s="1"/>
  <c r="Q72" i="70"/>
  <c r="N73" i="70" l="1"/>
  <c r="K73" i="44" s="1"/>
  <c r="Q73" i="44" l="1"/>
  <c r="N73" i="44"/>
  <c r="E74" i="70"/>
  <c r="B74" i="44" s="1"/>
  <c r="Q73" i="70"/>
  <c r="N74" i="70" l="1"/>
  <c r="K74" i="44" s="1"/>
  <c r="Q74" i="44" l="1"/>
  <c r="N74" i="44"/>
  <c r="E75" i="70"/>
  <c r="B75" i="44" s="1"/>
  <c r="Q74" i="70"/>
  <c r="N75" i="70" l="1"/>
  <c r="K75" i="44" s="1"/>
  <c r="Q75" i="44" l="1"/>
  <c r="N75" i="44"/>
  <c r="E76" i="70"/>
  <c r="B76" i="44" s="1"/>
  <c r="Q75" i="70"/>
  <c r="N76" i="70" l="1"/>
  <c r="K76" i="44" s="1"/>
  <c r="Q76" i="44" l="1"/>
  <c r="N76" i="44"/>
  <c r="E77" i="70"/>
  <c r="B77" i="44" s="1"/>
  <c r="Q76" i="70"/>
  <c r="N77" i="70" l="1"/>
  <c r="K77" i="44" s="1"/>
  <c r="Q77" i="44" l="1"/>
  <c r="N77" i="44"/>
  <c r="E78" i="70"/>
  <c r="B78" i="44" s="1"/>
  <c r="Q77" i="70"/>
  <c r="N78" i="70" l="1"/>
  <c r="K78" i="44" s="1"/>
  <c r="Q78" i="44" l="1"/>
  <c r="N78" i="44"/>
  <c r="E79" i="70"/>
  <c r="B79" i="44" s="1"/>
  <c r="Q78" i="70"/>
  <c r="N79" i="70" l="1"/>
  <c r="K79" i="44" s="1"/>
  <c r="Q79" i="44" l="1"/>
  <c r="N79" i="44"/>
  <c r="E80" i="70"/>
  <c r="B80" i="44" s="1"/>
  <c r="Q79" i="70"/>
  <c r="N80" i="70" l="1"/>
  <c r="K80" i="44" s="1"/>
  <c r="Q80" i="44" l="1"/>
  <c r="N80" i="44"/>
  <c r="E81" i="70"/>
  <c r="B81" i="44" s="1"/>
  <c r="Q80" i="70"/>
  <c r="N81" i="70" l="1"/>
  <c r="K81" i="44" s="1"/>
  <c r="Q81" i="44" l="1"/>
  <c r="N81" i="44"/>
  <c r="E82" i="70"/>
  <c r="B82" i="44" s="1"/>
  <c r="Q81" i="70"/>
  <c r="N82" i="70" l="1"/>
  <c r="K82" i="44" s="1"/>
  <c r="Q82" i="44" l="1"/>
  <c r="N82" i="44"/>
  <c r="E83" i="70"/>
  <c r="B83" i="44" s="1"/>
  <c r="Q82" i="70"/>
  <c r="N83" i="70" l="1"/>
  <c r="K83" i="44" s="1"/>
  <c r="Q83" i="44" l="1"/>
  <c r="N83" i="44"/>
  <c r="E84" i="70"/>
  <c r="B84" i="44" s="1"/>
  <c r="Q83" i="70"/>
  <c r="N84" i="70" l="1"/>
  <c r="K84" i="44" s="1"/>
  <c r="Q84" i="44" l="1"/>
  <c r="N84" i="44"/>
  <c r="E85" i="70"/>
  <c r="B85" i="44" s="1"/>
  <c r="Q84" i="70"/>
  <c r="N85" i="70" l="1"/>
  <c r="K85" i="44" s="1"/>
  <c r="Q85" i="44" l="1"/>
  <c r="N85" i="44"/>
  <c r="E86" i="70"/>
  <c r="B86" i="44" s="1"/>
  <c r="Q85" i="70"/>
  <c r="N86" i="70" l="1"/>
  <c r="K86" i="44" s="1"/>
  <c r="Q86" i="44" l="1"/>
  <c r="N86" i="44"/>
  <c r="E87" i="70"/>
  <c r="B87" i="44" s="1"/>
  <c r="Q86" i="70"/>
  <c r="N87" i="70" l="1"/>
  <c r="K87" i="44" s="1"/>
  <c r="Q87" i="44" l="1"/>
  <c r="N87" i="44"/>
  <c r="E88" i="70"/>
  <c r="B88" i="44" s="1"/>
  <c r="Q87" i="70"/>
  <c r="N88" i="70" l="1"/>
  <c r="K88" i="44" s="1"/>
  <c r="Q88" i="44" l="1"/>
  <c r="N88" i="44"/>
  <c r="E89" i="70"/>
  <c r="B89" i="44" s="1"/>
  <c r="Q88" i="70"/>
  <c r="N89" i="70" l="1"/>
  <c r="K89" i="44" s="1"/>
  <c r="Q89" i="44" l="1"/>
  <c r="N89" i="44"/>
  <c r="Q89" i="70"/>
  <c r="F26" i="44" l="1"/>
  <c r="G26" i="44" s="1"/>
  <c r="L26" i="70"/>
  <c r="I26" i="44" s="1"/>
  <c r="J26" i="44" s="1"/>
  <c r="O26" i="70" l="1"/>
  <c r="F27" i="70" s="1"/>
  <c r="P26" i="70"/>
  <c r="G27" i="70" s="1"/>
  <c r="R26" i="70"/>
  <c r="S26" i="70" s="1"/>
  <c r="L26" i="44"/>
  <c r="C27" i="44" l="1"/>
  <c r="D27" i="44" s="1"/>
  <c r="L27" i="70"/>
  <c r="I27" i="44" s="1"/>
  <c r="M26" i="44"/>
  <c r="O26" i="44"/>
  <c r="P26" i="44" s="1"/>
  <c r="O27" i="70" l="1"/>
  <c r="J27" i="44"/>
  <c r="P27" i="70" l="1"/>
  <c r="G28" i="70" s="1"/>
  <c r="L27" i="44"/>
  <c r="F28" i="70"/>
  <c r="R27" i="70"/>
  <c r="S27" i="70" s="1"/>
  <c r="L28" i="70" l="1"/>
  <c r="I28" i="44" s="1"/>
  <c r="C28" i="44"/>
  <c r="D28" i="44" s="1"/>
  <c r="M27" i="44"/>
  <c r="O27" i="44"/>
  <c r="P27" i="44" s="1"/>
  <c r="O28" i="70" l="1"/>
  <c r="L28" i="44" s="1"/>
  <c r="P28" i="70"/>
  <c r="G29" i="70" s="1"/>
  <c r="F29" i="70"/>
  <c r="R28" i="70"/>
  <c r="S28" i="70" s="1"/>
  <c r="J28" i="44"/>
  <c r="M28" i="44" l="1"/>
  <c r="O28" i="44"/>
  <c r="P28" i="44" s="1"/>
  <c r="L29" i="70"/>
  <c r="I29" i="44" s="1"/>
  <c r="C29" i="44"/>
  <c r="D29" i="44" s="1"/>
  <c r="O29" i="70" l="1"/>
  <c r="L29" i="44" s="1"/>
  <c r="J29" i="44"/>
  <c r="P29" i="70"/>
  <c r="G30" i="70" s="1"/>
  <c r="F30" i="70"/>
  <c r="R29" i="70"/>
  <c r="S29" i="70" s="1"/>
  <c r="L30" i="70" l="1"/>
  <c r="I30" i="44" s="1"/>
  <c r="C30" i="44"/>
  <c r="D30" i="44" s="1"/>
  <c r="O30" i="70"/>
  <c r="M29" i="44"/>
  <c r="O29" i="44"/>
  <c r="P29" i="44" s="1"/>
  <c r="P30" i="70" l="1"/>
  <c r="G31" i="70" s="1"/>
  <c r="F31" i="70"/>
  <c r="L30" i="44"/>
  <c r="R30" i="70"/>
  <c r="S30" i="70" s="1"/>
  <c r="J30" i="44"/>
  <c r="M30" i="44" l="1"/>
  <c r="O30" i="44"/>
  <c r="P30" i="44" s="1"/>
  <c r="L31" i="70"/>
  <c r="I31" i="44" s="1"/>
  <c r="C31" i="44"/>
  <c r="D31" i="44" s="1"/>
  <c r="O31" i="70" l="1"/>
  <c r="F32" i="70" s="1"/>
  <c r="L31" i="44"/>
  <c r="P31" i="70"/>
  <c r="G32" i="70" s="1"/>
  <c r="R31" i="70"/>
  <c r="S31" i="70" s="1"/>
  <c r="J31" i="44"/>
  <c r="M31" i="44" l="1"/>
  <c r="O31" i="44"/>
  <c r="P31" i="44" s="1"/>
  <c r="L32" i="70"/>
  <c r="I32" i="44" s="1"/>
  <c r="C32" i="44"/>
  <c r="D32" i="44" s="1"/>
  <c r="J32" i="44" l="1"/>
  <c r="O32" i="70"/>
  <c r="P32" i="70" l="1"/>
  <c r="G33" i="70" s="1"/>
  <c r="F33" i="70"/>
  <c r="L32" i="44"/>
  <c r="R32" i="70"/>
  <c r="S32" i="70" s="1"/>
  <c r="C33" i="44" l="1"/>
  <c r="D33" i="44" s="1"/>
  <c r="L33" i="70"/>
  <c r="I33" i="44" s="1"/>
  <c r="M32" i="44"/>
  <c r="O32" i="44"/>
  <c r="P32" i="44" s="1"/>
  <c r="O33" i="70" l="1"/>
  <c r="F34" i="70" s="1"/>
  <c r="L33" i="44"/>
  <c r="P33" i="70"/>
  <c r="G34" i="70" s="1"/>
  <c r="R33" i="70"/>
  <c r="S33" i="70" s="1"/>
  <c r="J33" i="44"/>
  <c r="M33" i="44" l="1"/>
  <c r="O33" i="44"/>
  <c r="P33" i="44" s="1"/>
  <c r="L34" i="70"/>
  <c r="O34" i="70" s="1"/>
  <c r="C34" i="44"/>
  <c r="D34" i="44" s="1"/>
  <c r="P34" i="70" l="1"/>
  <c r="G35" i="70" s="1"/>
  <c r="F35" i="70"/>
  <c r="L34" i="44"/>
  <c r="R34" i="70"/>
  <c r="S34" i="70" s="1"/>
  <c r="M34" i="70"/>
  <c r="I34" i="44"/>
  <c r="M34" i="44" l="1"/>
  <c r="O34" i="44"/>
  <c r="P34" i="44" s="1"/>
  <c r="C35" i="44"/>
  <c r="D35" i="44" s="1"/>
  <c r="L35" i="70"/>
  <c r="I35" i="44" s="1"/>
  <c r="J34" i="44"/>
  <c r="O35" i="70" l="1"/>
  <c r="F36" i="70" s="1"/>
  <c r="P35" i="70"/>
  <c r="G36" i="70" s="1"/>
  <c r="L35" i="44"/>
  <c r="R35" i="70"/>
  <c r="S35" i="70" s="1"/>
  <c r="J35" i="44"/>
  <c r="M35" i="44" l="1"/>
  <c r="O35" i="44"/>
  <c r="P35" i="44" s="1"/>
  <c r="C36" i="44"/>
  <c r="D36" i="44" s="1"/>
  <c r="L36" i="70"/>
  <c r="O36" i="70" s="1"/>
  <c r="P36" i="70" l="1"/>
  <c r="G37" i="70" s="1"/>
  <c r="L36" i="44"/>
  <c r="F37" i="70"/>
  <c r="R36" i="70"/>
  <c r="S36" i="70" s="1"/>
  <c r="M36" i="70"/>
  <c r="I36" i="44"/>
  <c r="M36" i="44" l="1"/>
  <c r="O36" i="44"/>
  <c r="P36" i="44" s="1"/>
  <c r="J36" i="44"/>
  <c r="C37" i="44"/>
  <c r="D37" i="44" s="1"/>
  <c r="L37" i="70"/>
  <c r="O37" i="70" s="1"/>
  <c r="L37" i="44" l="1"/>
  <c r="P37" i="70"/>
  <c r="G38" i="70" s="1"/>
  <c r="F38" i="70"/>
  <c r="R37" i="70"/>
  <c r="S37" i="70" s="1"/>
  <c r="M37" i="70"/>
  <c r="I37" i="44"/>
  <c r="L38" i="70" l="1"/>
  <c r="I38" i="44" s="1"/>
  <c r="C38" i="44"/>
  <c r="D38" i="44" s="1"/>
  <c r="J37" i="44"/>
  <c r="M37" i="44"/>
  <c r="O37" i="44"/>
  <c r="P37" i="44" s="1"/>
  <c r="O38" i="70" l="1"/>
  <c r="P38" i="70"/>
  <c r="G39" i="70" s="1"/>
  <c r="F39" i="70"/>
  <c r="L38" i="44"/>
  <c r="R38" i="70"/>
  <c r="S38" i="70" s="1"/>
  <c r="J38" i="44"/>
  <c r="L39" i="70" l="1"/>
  <c r="C39" i="44"/>
  <c r="D39" i="44" s="1"/>
  <c r="O39" i="70"/>
  <c r="M38" i="44"/>
  <c r="O38" i="44"/>
  <c r="P38" i="44" s="1"/>
  <c r="P39" i="70" l="1"/>
  <c r="G40" i="70" s="1"/>
  <c r="L39" i="44"/>
  <c r="F40" i="70"/>
  <c r="R39" i="70"/>
  <c r="S39" i="70" s="1"/>
  <c r="M39" i="70"/>
  <c r="I39" i="44"/>
  <c r="J39" i="44" l="1"/>
  <c r="C40" i="44"/>
  <c r="D40" i="44" s="1"/>
  <c r="L40" i="70"/>
  <c r="I40" i="44" s="1"/>
  <c r="M39" i="44"/>
  <c r="O39" i="44"/>
  <c r="P39" i="44" s="1"/>
  <c r="O40" i="70" l="1"/>
  <c r="J40" i="44"/>
  <c r="P40" i="70"/>
  <c r="G41" i="70" s="1"/>
  <c r="L40" i="44"/>
  <c r="F41" i="70"/>
  <c r="R40" i="70"/>
  <c r="S40" i="70" s="1"/>
  <c r="C41" i="44" l="1"/>
  <c r="D41" i="44" s="1"/>
  <c r="L41" i="70"/>
  <c r="I41" i="44" s="1"/>
  <c r="M40" i="44"/>
  <c r="O40" i="44"/>
  <c r="P40" i="44" s="1"/>
  <c r="J41" i="44" l="1"/>
  <c r="O41" i="70"/>
  <c r="P41" i="70" l="1"/>
  <c r="G42" i="70" s="1"/>
  <c r="L41" i="44"/>
  <c r="F42" i="70"/>
  <c r="C42" i="44" s="1"/>
  <c r="R41" i="70"/>
  <c r="S41" i="70" s="1"/>
  <c r="M41" i="44" l="1"/>
  <c r="O41" i="44"/>
  <c r="P41" i="44" s="1"/>
  <c r="D42" i="44"/>
  <c r="L42" i="70"/>
  <c r="I42" i="44" l="1"/>
  <c r="J42" i="44" s="1"/>
  <c r="O42" i="70"/>
  <c r="L42" i="44" s="1"/>
  <c r="M42" i="44" s="1"/>
  <c r="P42" i="70" l="1"/>
  <c r="G43" i="70" s="1"/>
  <c r="F43" i="70"/>
  <c r="C43" i="44" s="1"/>
  <c r="R42" i="70"/>
  <c r="S42" i="70" s="1"/>
  <c r="O42" i="44" l="1"/>
  <c r="P42" i="44" s="1"/>
  <c r="D43" i="44"/>
  <c r="L43" i="70"/>
  <c r="I43" i="44" l="1"/>
  <c r="J43" i="44" s="1"/>
  <c r="O43" i="70"/>
  <c r="L43" i="44" s="1"/>
  <c r="P43" i="70"/>
  <c r="G44" i="70" s="1"/>
  <c r="R43" i="70" l="1"/>
  <c r="S43" i="70" s="1"/>
  <c r="F44" i="70"/>
  <c r="C44" i="44" s="1"/>
  <c r="D44" i="44" s="1"/>
  <c r="M43" i="44"/>
  <c r="L44" i="70"/>
  <c r="O43" i="44"/>
  <c r="P43" i="44" s="1"/>
  <c r="I44" i="44" l="1"/>
  <c r="J44" i="44" s="1"/>
  <c r="O44" i="70"/>
  <c r="L44" i="44" s="1"/>
  <c r="P44" i="70"/>
  <c r="G45" i="70" s="1"/>
  <c r="R44" i="70" l="1"/>
  <c r="S44" i="70" s="1"/>
  <c r="F45" i="70"/>
  <c r="C45" i="44" s="1"/>
  <c r="D45" i="44" s="1"/>
  <c r="M44" i="44"/>
  <c r="O44" i="44"/>
  <c r="P44" i="44" s="1"/>
  <c r="L45" i="70"/>
  <c r="I45" i="44" l="1"/>
  <c r="J45" i="44" s="1"/>
  <c r="O45" i="70"/>
  <c r="L45" i="44" s="1"/>
  <c r="M45" i="44" l="1"/>
  <c r="F46" i="70"/>
  <c r="C46" i="44" s="1"/>
  <c r="P45" i="70"/>
  <c r="G46" i="70" s="1"/>
  <c r="R45" i="70"/>
  <c r="S45" i="70" s="1"/>
  <c r="L46" i="70" l="1"/>
  <c r="D46" i="44"/>
  <c r="O46" i="70"/>
  <c r="L46" i="44" s="1"/>
  <c r="O45" i="44"/>
  <c r="P45" i="44" s="1"/>
  <c r="M46" i="44" l="1"/>
  <c r="I46" i="44"/>
  <c r="J46" i="44" s="1"/>
  <c r="P46" i="70"/>
  <c r="G47" i="70" s="1"/>
  <c r="F47" i="70"/>
  <c r="C47" i="44" s="1"/>
  <c r="R46" i="70"/>
  <c r="S46" i="70" s="1"/>
  <c r="O46" i="44" l="1"/>
  <c r="P46" i="44" s="1"/>
  <c r="D47" i="44"/>
  <c r="L47" i="70"/>
  <c r="I47" i="44" l="1"/>
  <c r="J47" i="44" s="1"/>
  <c r="O47" i="70"/>
  <c r="L47" i="44" s="1"/>
  <c r="M47" i="44" l="1"/>
  <c r="F48" i="70"/>
  <c r="C48" i="44" s="1"/>
  <c r="P47" i="70"/>
  <c r="G48" i="70" s="1"/>
  <c r="R47" i="70"/>
  <c r="S47" i="70" s="1"/>
  <c r="O47" i="44" l="1"/>
  <c r="P47" i="44" s="1"/>
  <c r="D48" i="44"/>
  <c r="L48" i="70"/>
  <c r="I48" i="44" l="1"/>
  <c r="J48" i="44" s="1"/>
  <c r="O48" i="70"/>
  <c r="L48" i="44" s="1"/>
  <c r="M48" i="44" l="1"/>
  <c r="P48" i="70"/>
  <c r="G49" i="70" s="1"/>
  <c r="F49" i="70"/>
  <c r="C49" i="44" s="1"/>
  <c r="R48" i="70"/>
  <c r="S48" i="70" s="1"/>
  <c r="D49" i="44" l="1"/>
  <c r="L49" i="70"/>
  <c r="O48" i="44"/>
  <c r="P48" i="44" s="1"/>
  <c r="I49" i="44" l="1"/>
  <c r="J49" i="44" s="1"/>
  <c r="O49" i="70"/>
  <c r="L49" i="44" s="1"/>
  <c r="M49" i="44" l="1"/>
  <c r="P49" i="70"/>
  <c r="G50" i="70" s="1"/>
  <c r="F50" i="70"/>
  <c r="C50" i="44" s="1"/>
  <c r="R49" i="70"/>
  <c r="S49" i="70" s="1"/>
  <c r="L50" i="70" l="1"/>
  <c r="D50" i="44"/>
  <c r="O50" i="70"/>
  <c r="L50" i="44" s="1"/>
  <c r="O49" i="44"/>
  <c r="P49" i="44" s="1"/>
  <c r="M50" i="44" l="1"/>
  <c r="O50" i="44"/>
  <c r="P50" i="44" s="1"/>
  <c r="I50" i="44"/>
  <c r="J50" i="44" s="1"/>
  <c r="P50" i="70"/>
  <c r="G51" i="70" s="1"/>
  <c r="F51" i="70"/>
  <c r="C51" i="44" s="1"/>
  <c r="R50" i="70"/>
  <c r="S50" i="70" s="1"/>
  <c r="D51" i="44" l="1"/>
  <c r="L51" i="70"/>
  <c r="I51" i="44" l="1"/>
  <c r="J51" i="44" s="1"/>
  <c r="O51" i="70"/>
  <c r="L51" i="44" s="1"/>
  <c r="M51" i="44" l="1"/>
  <c r="O51" i="44"/>
  <c r="P51" i="44" s="1"/>
  <c r="F52" i="70"/>
  <c r="C52" i="44" s="1"/>
  <c r="P51" i="70"/>
  <c r="G52" i="70" s="1"/>
  <c r="R51" i="70"/>
  <c r="S51" i="70" s="1"/>
  <c r="D52" i="44" l="1"/>
  <c r="L52" i="70"/>
  <c r="I52" i="44" l="1"/>
  <c r="J52" i="44" s="1"/>
  <c r="O52" i="70"/>
  <c r="L52" i="44" s="1"/>
  <c r="P52" i="70"/>
  <c r="G53" i="70" s="1"/>
  <c r="R52" i="70" l="1"/>
  <c r="S52" i="70" s="1"/>
  <c r="F53" i="70"/>
  <c r="C53" i="44" s="1"/>
  <c r="D53" i="44" s="1"/>
  <c r="M52" i="44"/>
  <c r="O52" i="44"/>
  <c r="P52" i="44" s="1"/>
  <c r="L53" i="70"/>
  <c r="O53" i="70" s="1"/>
  <c r="L53" i="44" s="1"/>
  <c r="M53" i="44" l="1"/>
  <c r="O53" i="44"/>
  <c r="P53" i="44" s="1"/>
  <c r="I53" i="44"/>
  <c r="J53" i="44" s="1"/>
  <c r="P53" i="70"/>
  <c r="G54" i="70" s="1"/>
  <c r="F54" i="70"/>
  <c r="C54" i="44" s="1"/>
  <c r="R53" i="70"/>
  <c r="S53" i="70" s="1"/>
  <c r="D54" i="44" l="1"/>
  <c r="L54" i="70"/>
  <c r="I54" i="44" l="1"/>
  <c r="J54" i="44" s="1"/>
  <c r="O54" i="70"/>
  <c r="L54" i="44" s="1"/>
  <c r="M54" i="44" l="1"/>
  <c r="O54" i="44"/>
  <c r="P54" i="44" s="1"/>
  <c r="F55" i="70"/>
  <c r="C55" i="44" s="1"/>
  <c r="P54" i="70"/>
  <c r="G55" i="70" s="1"/>
  <c r="R54" i="70"/>
  <c r="S54" i="70" s="1"/>
  <c r="D55" i="44" l="1"/>
  <c r="L55" i="70"/>
  <c r="I55" i="44" l="1"/>
  <c r="J55" i="44" s="1"/>
  <c r="O55" i="70"/>
  <c r="L55" i="44" s="1"/>
  <c r="M55" i="44" l="1"/>
  <c r="O55" i="44"/>
  <c r="P55" i="44" s="1"/>
  <c r="F56" i="70"/>
  <c r="C56" i="44" s="1"/>
  <c r="P55" i="70"/>
  <c r="G56" i="70" s="1"/>
  <c r="R55" i="70"/>
  <c r="S55" i="70" s="1"/>
  <c r="L56" i="70" l="1"/>
  <c r="D56" i="44"/>
  <c r="I56" i="44" l="1"/>
  <c r="J56" i="44" s="1"/>
  <c r="O56" i="70"/>
  <c r="L56" i="44" s="1"/>
  <c r="M56" i="44" l="1"/>
  <c r="O56" i="44"/>
  <c r="P56" i="44" s="1"/>
  <c r="F57" i="70"/>
  <c r="C57" i="44" s="1"/>
  <c r="P56" i="70"/>
  <c r="G57" i="70" s="1"/>
  <c r="R56" i="70"/>
  <c r="S56" i="70" s="1"/>
  <c r="D57" i="44" l="1"/>
  <c r="L57" i="70"/>
  <c r="I57" i="44" l="1"/>
  <c r="J57" i="44" s="1"/>
  <c r="O57" i="70"/>
  <c r="L57" i="44" s="1"/>
  <c r="M57" i="44" l="1"/>
  <c r="O57" i="44"/>
  <c r="P57" i="44" s="1"/>
  <c r="P57" i="70"/>
  <c r="G58" i="70" s="1"/>
  <c r="F58" i="70"/>
  <c r="C58" i="44" s="1"/>
  <c r="R57" i="70"/>
  <c r="S57" i="70" s="1"/>
  <c r="D58" i="44" l="1"/>
  <c r="L58" i="70"/>
  <c r="I58" i="44" l="1"/>
  <c r="J58" i="44" s="1"/>
  <c r="O58" i="70"/>
  <c r="L58" i="44" s="1"/>
  <c r="M58" i="44" l="1"/>
  <c r="O58" i="44"/>
  <c r="P58" i="44" s="1"/>
  <c r="P58" i="70"/>
  <c r="G59" i="70" s="1"/>
  <c r="F59" i="70"/>
  <c r="C59" i="44" s="1"/>
  <c r="R58" i="70"/>
  <c r="S58" i="70" s="1"/>
  <c r="D59" i="44" l="1"/>
  <c r="L59" i="70"/>
  <c r="I59" i="44" l="1"/>
  <c r="J59" i="44" s="1"/>
  <c r="O59" i="70"/>
  <c r="L59" i="44" s="1"/>
  <c r="M59" i="44" l="1"/>
  <c r="O59" i="44"/>
  <c r="P59" i="44" s="1"/>
  <c r="P59" i="70"/>
  <c r="G60" i="70" s="1"/>
  <c r="F60" i="70"/>
  <c r="C60" i="44" s="1"/>
  <c r="R59" i="70"/>
  <c r="S59" i="70" s="1"/>
  <c r="L60" i="70" l="1"/>
  <c r="D60" i="44"/>
  <c r="O60" i="70"/>
  <c r="L60" i="44" s="1"/>
  <c r="M60" i="44" l="1"/>
  <c r="O60" i="44"/>
  <c r="P60" i="44" s="1"/>
  <c r="I60" i="44"/>
  <c r="J60" i="44" s="1"/>
  <c r="P60" i="70"/>
  <c r="G61" i="70" s="1"/>
  <c r="F61" i="70"/>
  <c r="C61" i="44" s="1"/>
  <c r="R60" i="70"/>
  <c r="S60" i="70" s="1"/>
  <c r="D61" i="44" l="1"/>
  <c r="L61" i="70"/>
  <c r="I61" i="44" l="1"/>
  <c r="J61" i="44" s="1"/>
  <c r="O61" i="70"/>
  <c r="L61" i="44" s="1"/>
  <c r="M61" i="44" l="1"/>
  <c r="O61" i="44"/>
  <c r="P61" i="44" s="1"/>
  <c r="P61" i="70"/>
  <c r="G62" i="70" s="1"/>
  <c r="F62" i="70"/>
  <c r="C62" i="44" s="1"/>
  <c r="R61" i="70"/>
  <c r="S61" i="70" s="1"/>
  <c r="L62" i="70" l="1"/>
  <c r="O62" i="70" s="1"/>
  <c r="L62" i="44" s="1"/>
  <c r="D62" i="44"/>
  <c r="M62" i="44" l="1"/>
  <c r="O62" i="44"/>
  <c r="P62" i="44" s="1"/>
  <c r="I62" i="44"/>
  <c r="J62" i="44" s="1"/>
  <c r="P62" i="70"/>
  <c r="G63" i="70" s="1"/>
  <c r="F63" i="70"/>
  <c r="C63" i="44" s="1"/>
  <c r="R62" i="70"/>
  <c r="S62" i="70" s="1"/>
  <c r="L63" i="70" l="1"/>
  <c r="D63" i="44"/>
  <c r="I63" i="44" l="1"/>
  <c r="J63" i="44" s="1"/>
  <c r="O63" i="70"/>
  <c r="L63" i="44" s="1"/>
  <c r="P63" i="70"/>
  <c r="G64" i="70" s="1"/>
  <c r="R63" i="70" l="1"/>
  <c r="S63" i="70" s="1"/>
  <c r="F64" i="70"/>
  <c r="C64" i="44" s="1"/>
  <c r="D64" i="44" s="1"/>
  <c r="M63" i="44"/>
  <c r="O63" i="44"/>
  <c r="P63" i="44" s="1"/>
  <c r="L64" i="70"/>
  <c r="O64" i="70" s="1"/>
  <c r="L64" i="44" s="1"/>
  <c r="M64" i="44" l="1"/>
  <c r="O64" i="44"/>
  <c r="P64" i="44" s="1"/>
  <c r="I64" i="44"/>
  <c r="J64" i="44" s="1"/>
  <c r="P64" i="70"/>
  <c r="G65" i="70" s="1"/>
  <c r="F65" i="70"/>
  <c r="C65" i="44" s="1"/>
  <c r="R64" i="70"/>
  <c r="S64" i="70" s="1"/>
  <c r="L65" i="70" l="1"/>
  <c r="D65" i="44"/>
  <c r="I65" i="44" l="1"/>
  <c r="J65" i="44" s="1"/>
  <c r="O65" i="70"/>
  <c r="L65" i="44" s="1"/>
  <c r="P65" i="70"/>
  <c r="G66" i="70" s="1"/>
  <c r="F66" i="70" l="1"/>
  <c r="C66" i="44" s="1"/>
  <c r="D66" i="44" s="1"/>
  <c r="R65" i="70"/>
  <c r="S65" i="70" s="1"/>
  <c r="M65" i="44"/>
  <c r="O65" i="44"/>
  <c r="P65" i="44" s="1"/>
  <c r="L66" i="70"/>
  <c r="I66" i="44" s="1"/>
  <c r="J66" i="44" s="1"/>
  <c r="O66" i="70" l="1"/>
  <c r="L66" i="44" s="1"/>
  <c r="P66" i="70"/>
  <c r="G67" i="70" s="1"/>
  <c r="F67" i="70"/>
  <c r="C67" i="44" s="1"/>
  <c r="R66" i="70"/>
  <c r="S66" i="70" s="1"/>
  <c r="M66" i="44" l="1"/>
  <c r="O66" i="44"/>
  <c r="P66" i="44" s="1"/>
  <c r="D67" i="44"/>
  <c r="L67" i="70"/>
  <c r="I67" i="44" s="1"/>
  <c r="J67" i="44" s="1"/>
  <c r="O67" i="70" l="1"/>
  <c r="L67" i="44" s="1"/>
  <c r="M67" i="44" s="1"/>
  <c r="P67" i="70"/>
  <c r="G68" i="70" s="1"/>
  <c r="F68" i="70"/>
  <c r="C68" i="44" s="1"/>
  <c r="R67" i="70"/>
  <c r="S67" i="70" s="1"/>
  <c r="O67" i="44" l="1"/>
  <c r="P67" i="44" s="1"/>
  <c r="L68" i="70"/>
  <c r="I68" i="44" s="1"/>
  <c r="J68" i="44" s="1"/>
  <c r="D68" i="44"/>
  <c r="O68" i="70" l="1"/>
  <c r="L68" i="44" s="1"/>
  <c r="M68" i="44" s="1"/>
  <c r="P68" i="70"/>
  <c r="G69" i="70" s="1"/>
  <c r="F69" i="70"/>
  <c r="C69" i="44" s="1"/>
  <c r="R68" i="70"/>
  <c r="S68" i="70" s="1"/>
  <c r="O68" i="44" l="1"/>
  <c r="P68" i="44" s="1"/>
  <c r="L69" i="70"/>
  <c r="I69" i="44" s="1"/>
  <c r="J69" i="44" s="1"/>
  <c r="D69" i="44"/>
  <c r="O69" i="70" l="1"/>
  <c r="L69" i="44" s="1"/>
  <c r="M69" i="44" s="1"/>
  <c r="P69" i="70"/>
  <c r="G70" i="70" s="1"/>
  <c r="F70" i="70"/>
  <c r="C70" i="44" s="1"/>
  <c r="R69" i="70"/>
  <c r="S69" i="70" s="1"/>
  <c r="O69" i="44" l="1"/>
  <c r="P69" i="44" s="1"/>
  <c r="L70" i="70"/>
  <c r="I70" i="44" s="1"/>
  <c r="J70" i="44" s="1"/>
  <c r="D70" i="44"/>
  <c r="O70" i="70"/>
  <c r="L70" i="44" s="1"/>
  <c r="M70" i="44" l="1"/>
  <c r="O70" i="44"/>
  <c r="P70" i="44" s="1"/>
  <c r="P70" i="70"/>
  <c r="G71" i="70" s="1"/>
  <c r="F71" i="70"/>
  <c r="C71" i="44" s="1"/>
  <c r="R70" i="70"/>
  <c r="S70" i="70" s="1"/>
  <c r="D71" i="44" l="1"/>
  <c r="L71" i="70"/>
  <c r="I71" i="44" s="1"/>
  <c r="J71" i="44" s="1"/>
  <c r="O71" i="70" l="1"/>
  <c r="L71" i="44" s="1"/>
  <c r="M71" i="44" s="1"/>
  <c r="P71" i="70"/>
  <c r="G72" i="70" s="1"/>
  <c r="F72" i="70"/>
  <c r="C72" i="44" s="1"/>
  <c r="R71" i="70"/>
  <c r="S71" i="70" s="1"/>
  <c r="O71" i="44" l="1"/>
  <c r="P71" i="44" s="1"/>
  <c r="L72" i="70"/>
  <c r="I72" i="44" s="1"/>
  <c r="J72" i="44" s="1"/>
  <c r="D72" i="44"/>
  <c r="O72" i="70" l="1"/>
  <c r="L72" i="44" s="1"/>
  <c r="P72" i="70"/>
  <c r="G73" i="70" s="1"/>
  <c r="R72" i="70" l="1"/>
  <c r="S72" i="70" s="1"/>
  <c r="F73" i="70"/>
  <c r="C73" i="44" s="1"/>
  <c r="D73" i="44" s="1"/>
  <c r="M72" i="44"/>
  <c r="O72" i="44"/>
  <c r="P72" i="44" s="1"/>
  <c r="L73" i="70"/>
  <c r="I73" i="44" s="1"/>
  <c r="J73" i="44" s="1"/>
  <c r="O73" i="70" l="1"/>
  <c r="L73" i="44" s="1"/>
  <c r="P73" i="70"/>
  <c r="G74" i="70" s="1"/>
  <c r="F74" i="70"/>
  <c r="C74" i="44" s="1"/>
  <c r="R73" i="70"/>
  <c r="S73" i="70" s="1"/>
  <c r="M73" i="44" l="1"/>
  <c r="O73" i="44"/>
  <c r="P73" i="44" s="1"/>
  <c r="D74" i="44"/>
  <c r="L74" i="70"/>
  <c r="I74" i="44" s="1"/>
  <c r="J74" i="44" s="1"/>
  <c r="O74" i="70" l="1"/>
  <c r="L74" i="44" s="1"/>
  <c r="M74" i="44" l="1"/>
  <c r="O74" i="44"/>
  <c r="P74" i="44" s="1"/>
  <c r="F75" i="70"/>
  <c r="C75" i="44" s="1"/>
  <c r="P74" i="70"/>
  <c r="G75" i="70" s="1"/>
  <c r="R74" i="70"/>
  <c r="S74" i="70" s="1"/>
  <c r="D75" i="44" l="1"/>
  <c r="L75" i="70"/>
  <c r="I75" i="44" s="1"/>
  <c r="J75" i="44" s="1"/>
  <c r="O75" i="70" l="1"/>
  <c r="L75" i="44" s="1"/>
  <c r="M75" i="44" l="1"/>
  <c r="O75" i="44"/>
  <c r="P75" i="44" s="1"/>
  <c r="P75" i="70"/>
  <c r="G76" i="70" s="1"/>
  <c r="F76" i="70"/>
  <c r="C76" i="44" s="1"/>
  <c r="R75" i="70"/>
  <c r="S75" i="70" s="1"/>
  <c r="L76" i="70" l="1"/>
  <c r="I76" i="44" s="1"/>
  <c r="J76" i="44" s="1"/>
  <c r="D76" i="44"/>
  <c r="O76" i="70" l="1"/>
  <c r="L76" i="44" s="1"/>
  <c r="M76" i="44" s="1"/>
  <c r="P76" i="70"/>
  <c r="G77" i="70" s="1"/>
  <c r="F77" i="70"/>
  <c r="C77" i="44" s="1"/>
  <c r="R76" i="70"/>
  <c r="S76" i="70" s="1"/>
  <c r="O76" i="44" l="1"/>
  <c r="P76" i="44" s="1"/>
  <c r="D77" i="44"/>
  <c r="L77" i="70"/>
  <c r="I77" i="44" s="1"/>
  <c r="J77" i="44" s="1"/>
  <c r="O77" i="70" l="1"/>
  <c r="L77" i="44" s="1"/>
  <c r="M77" i="44" l="1"/>
  <c r="O77" i="44"/>
  <c r="P77" i="44" s="1"/>
  <c r="P77" i="70"/>
  <c r="G78" i="70" s="1"/>
  <c r="F78" i="70"/>
  <c r="C78" i="44" s="1"/>
  <c r="R77" i="70"/>
  <c r="S77" i="70" s="1"/>
  <c r="D78" i="44" l="1"/>
  <c r="L78" i="70"/>
  <c r="I78" i="44" s="1"/>
  <c r="J78" i="44" s="1"/>
  <c r="O78" i="70" l="1"/>
  <c r="L78" i="44" s="1"/>
  <c r="M78" i="44" s="1"/>
  <c r="F79" i="70"/>
  <c r="C79" i="44" s="1"/>
  <c r="P78" i="70"/>
  <c r="G79" i="70" s="1"/>
  <c r="R78" i="70"/>
  <c r="S78" i="70" s="1"/>
  <c r="O78" i="44" l="1"/>
  <c r="P78" i="44" s="1"/>
  <c r="D79" i="44"/>
  <c r="L79" i="70"/>
  <c r="I79" i="44" s="1"/>
  <c r="J79" i="44" s="1"/>
  <c r="O79" i="70" l="1"/>
  <c r="L79" i="44" s="1"/>
  <c r="M79" i="44" l="1"/>
  <c r="O79" i="44"/>
  <c r="P79" i="44" s="1"/>
  <c r="P79" i="70"/>
  <c r="G80" i="70" s="1"/>
  <c r="F80" i="70"/>
  <c r="C80" i="44" s="1"/>
  <c r="R79" i="70"/>
  <c r="S79" i="70" s="1"/>
  <c r="D80" i="44" l="1"/>
  <c r="L80" i="70"/>
  <c r="I80" i="44" s="1"/>
  <c r="J80" i="44" s="1"/>
  <c r="O80" i="70" l="1"/>
  <c r="L80" i="44" s="1"/>
  <c r="M80" i="44" s="1"/>
  <c r="P80" i="70"/>
  <c r="G81" i="70" s="1"/>
  <c r="R80" i="70"/>
  <c r="S80" i="70" s="1"/>
  <c r="F81" i="70" l="1"/>
  <c r="C81" i="44" s="1"/>
  <c r="O80" i="44"/>
  <c r="P80" i="44" s="1"/>
  <c r="L81" i="70"/>
  <c r="I81" i="44" s="1"/>
  <c r="J81" i="44" s="1"/>
  <c r="D81" i="44"/>
  <c r="O81" i="70" l="1"/>
  <c r="L81" i="44" s="1"/>
  <c r="M81" i="44" s="1"/>
  <c r="P81" i="70"/>
  <c r="G82" i="70" s="1"/>
  <c r="F82" i="70"/>
  <c r="C82" i="44" s="1"/>
  <c r="R81" i="70"/>
  <c r="S81" i="70" s="1"/>
  <c r="O81" i="44" l="1"/>
  <c r="P81" i="44" s="1"/>
  <c r="D82" i="44"/>
  <c r="L82" i="70"/>
  <c r="I82" i="44" s="1"/>
  <c r="J82" i="44" s="1"/>
  <c r="O82" i="70" l="1"/>
  <c r="L82" i="44" s="1"/>
  <c r="M82" i="44" s="1"/>
  <c r="P82" i="70"/>
  <c r="G83" i="70" s="1"/>
  <c r="R82" i="70"/>
  <c r="S82" i="70" s="1"/>
  <c r="F83" i="70" l="1"/>
  <c r="C83" i="44" s="1"/>
  <c r="D83" i="44" s="1"/>
  <c r="O82" i="44"/>
  <c r="P82" i="44" s="1"/>
  <c r="L83" i="70"/>
  <c r="I83" i="44" s="1"/>
  <c r="J83" i="44" s="1"/>
  <c r="O83" i="70" l="1"/>
  <c r="L83" i="44" s="1"/>
  <c r="M83" i="44" s="1"/>
  <c r="P83" i="70"/>
  <c r="G84" i="70" s="1"/>
  <c r="F84" i="70"/>
  <c r="C84" i="44" s="1"/>
  <c r="R83" i="70"/>
  <c r="S83" i="70" s="1"/>
  <c r="O83" i="44" l="1"/>
  <c r="P83" i="44" s="1"/>
  <c r="L84" i="70"/>
  <c r="I84" i="44" s="1"/>
  <c r="J84" i="44" s="1"/>
  <c r="D84" i="44"/>
  <c r="O84" i="70" l="1"/>
  <c r="L84" i="44" s="1"/>
  <c r="M84" i="44" s="1"/>
  <c r="P84" i="70"/>
  <c r="G85" i="70" s="1"/>
  <c r="F85" i="70"/>
  <c r="C85" i="44" s="1"/>
  <c r="R84" i="70"/>
  <c r="S84" i="70" s="1"/>
  <c r="O84" i="44" l="1"/>
  <c r="P84" i="44" s="1"/>
  <c r="D85" i="44"/>
  <c r="L85" i="70"/>
  <c r="I85" i="44" s="1"/>
  <c r="J85" i="44" s="1"/>
  <c r="O85" i="70" l="1"/>
  <c r="L85" i="44" s="1"/>
  <c r="M85" i="44" l="1"/>
  <c r="O85" i="44"/>
  <c r="P85" i="44" s="1"/>
  <c r="F86" i="70"/>
  <c r="C86" i="44" s="1"/>
  <c r="P85" i="70"/>
  <c r="G86" i="70" s="1"/>
  <c r="R85" i="70"/>
  <c r="S85" i="70" s="1"/>
  <c r="L86" i="70" l="1"/>
  <c r="I86" i="44" s="1"/>
  <c r="J86" i="44" s="1"/>
  <c r="D86" i="44"/>
  <c r="O86" i="70" l="1"/>
  <c r="L86" i="44" s="1"/>
  <c r="M86" i="44" s="1"/>
  <c r="P86" i="70"/>
  <c r="G87" i="70" s="1"/>
  <c r="F87" i="70"/>
  <c r="C87" i="44" s="1"/>
  <c r="R86" i="70"/>
  <c r="S86" i="70" s="1"/>
  <c r="O86" i="44" l="1"/>
  <c r="P86" i="44" s="1"/>
  <c r="L87" i="70"/>
  <c r="I87" i="44" s="1"/>
  <c r="J87" i="44" s="1"/>
  <c r="D87" i="44"/>
  <c r="O87" i="70" l="1"/>
  <c r="L87" i="44" s="1"/>
  <c r="M87" i="44" s="1"/>
  <c r="P87" i="70"/>
  <c r="G88" i="70" s="1"/>
  <c r="F88" i="70"/>
  <c r="C88" i="44" s="1"/>
  <c r="R87" i="70"/>
  <c r="S87" i="70" s="1"/>
  <c r="O87" i="44" l="1"/>
  <c r="P87" i="44" s="1"/>
  <c r="D88" i="44"/>
  <c r="L88" i="70"/>
  <c r="I88" i="44" s="1"/>
  <c r="J88" i="44" s="1"/>
  <c r="O88" i="70" l="1"/>
  <c r="L88" i="44" s="1"/>
  <c r="M88" i="44" l="1"/>
  <c r="O88" i="44"/>
  <c r="P88" i="44" s="1"/>
  <c r="P88" i="70"/>
  <c r="G89" i="70" s="1"/>
  <c r="F89" i="70"/>
  <c r="C89" i="44" s="1"/>
  <c r="R88" i="70"/>
  <c r="S88" i="70" s="1"/>
  <c r="L89" i="70" l="1"/>
  <c r="I89" i="44" s="1"/>
  <c r="J89" i="44" s="1"/>
  <c r="D89" i="44"/>
  <c r="O89" i="70" l="1"/>
  <c r="L89" i="44" s="1"/>
  <c r="P89" i="70"/>
  <c r="R89" i="70"/>
  <c r="S89" i="70" s="1"/>
  <c r="O89" i="44" l="1"/>
  <c r="P89" i="44" s="1"/>
  <c r="M89" i="44"/>
  <c r="J59" i="34"/>
  <c r="I59" i="34"/>
  <c r="I83" i="34"/>
  <c r="J83" i="34"/>
  <c r="J45" i="34"/>
  <c r="I45" i="34" s="1"/>
  <c r="J43" i="34"/>
  <c r="I43" i="34"/>
  <c r="J72" i="34"/>
  <c r="I72" i="34" s="1"/>
  <c r="I49" i="34"/>
  <c r="J49" i="34"/>
  <c r="J65" i="34"/>
  <c r="I65" i="34" s="1"/>
  <c r="J81" i="34"/>
  <c r="I81" i="34" s="1"/>
  <c r="J46" i="34"/>
  <c r="I46" i="34" s="1"/>
  <c r="I62" i="34"/>
  <c r="J62" i="34"/>
  <c r="J78" i="34"/>
  <c r="I78" i="34" s="1"/>
  <c r="J67" i="34"/>
  <c r="I67" i="34" s="1"/>
  <c r="J64" i="34"/>
  <c r="I64" i="34"/>
  <c r="I87" i="34"/>
  <c r="J87" i="34"/>
  <c r="J89" i="34"/>
  <c r="I89" i="34" s="1"/>
  <c r="J55" i="34"/>
  <c r="I55" i="34"/>
  <c r="J70" i="34"/>
  <c r="I70" i="34" s="1"/>
  <c r="J79" i="34"/>
  <c r="I79" i="34" s="1"/>
  <c r="J48" i="34"/>
  <c r="I48" i="34" s="1"/>
  <c r="J80" i="34"/>
  <c r="I80" i="34"/>
  <c r="J53" i="34"/>
  <c r="I53" i="34"/>
  <c r="J69" i="34"/>
  <c r="I69" i="34" s="1"/>
  <c r="J85" i="34"/>
  <c r="I85" i="34" s="1"/>
  <c r="J66" i="34"/>
  <c r="I66" i="34"/>
  <c r="J82" i="34"/>
  <c r="I82" i="34"/>
  <c r="J71" i="34"/>
  <c r="I71" i="34" s="1"/>
  <c r="J50" i="34"/>
  <c r="I50" i="34" s="1"/>
  <c r="J47" i="34"/>
  <c r="I47" i="34" s="1"/>
  <c r="J68" i="34"/>
  <c r="I68" i="34"/>
  <c r="I44" i="34"/>
  <c r="J44" i="34"/>
  <c r="J54" i="34"/>
  <c r="I54" i="34" s="1"/>
  <c r="J75" i="34"/>
  <c r="I75" i="34" s="1"/>
  <c r="J61" i="34"/>
  <c r="I61" i="34"/>
  <c r="J58" i="34"/>
  <c r="I58" i="34" s="1"/>
  <c r="J56" i="34"/>
  <c r="I56" i="34" s="1"/>
  <c r="J42" i="34"/>
  <c r="I42" i="34" s="1"/>
  <c r="J63" i="34"/>
  <c r="I63" i="34" s="1"/>
  <c r="I52" i="34"/>
  <c r="J52" i="34"/>
  <c r="J84" i="34"/>
  <c r="I84" i="34" s="1"/>
  <c r="J57" i="34"/>
  <c r="I57" i="34" s="1"/>
  <c r="J73" i="34"/>
  <c r="I73" i="34" s="1"/>
  <c r="I86" i="34"/>
  <c r="J86" i="34"/>
  <c r="J76" i="34"/>
  <c r="I76" i="34" s="1"/>
  <c r="J51" i="34"/>
  <c r="I51" i="34" s="1"/>
  <c r="J88" i="34"/>
  <c r="I88" i="34" s="1"/>
  <c r="I77" i="34"/>
  <c r="J77" i="34"/>
  <c r="J74" i="34"/>
  <c r="I74" i="34" s="1"/>
  <c r="J60" i="34"/>
  <c r="I60" i="34"/>
</calcChain>
</file>

<file path=xl/sharedStrings.xml><?xml version="1.0" encoding="utf-8"?>
<sst xmlns="http://schemas.openxmlformats.org/spreadsheetml/2006/main" count="597" uniqueCount="80">
  <si>
    <t>BEGINNING BALANCE</t>
  </si>
  <si>
    <t>RECEIPTS</t>
  </si>
  <si>
    <t>ENDING BALANCE</t>
  </si>
  <si>
    <t>BBL</t>
  </si>
  <si>
    <t>SH</t>
  </si>
  <si>
    <t>SJ</t>
  </si>
  <si>
    <t>PE</t>
  </si>
  <si>
    <t>MR</t>
  </si>
  <si>
    <t>TP</t>
  </si>
  <si>
    <t>WC</t>
  </si>
  <si>
    <t>FM</t>
  </si>
  <si>
    <t>FL</t>
  </si>
  <si>
    <t>Target</t>
  </si>
  <si>
    <t>Days Burn</t>
  </si>
  <si>
    <t>PTP</t>
  </si>
  <si>
    <t>PMR</t>
  </si>
  <si>
    <t>PMT</t>
  </si>
  <si>
    <t>PEEC</t>
  </si>
  <si>
    <t>CC</t>
  </si>
  <si>
    <t>RV</t>
  </si>
  <si>
    <t>Refill</t>
  </si>
  <si>
    <t>FGT</t>
  </si>
  <si>
    <t>GS</t>
  </si>
  <si>
    <t>Fuel Cost</t>
  </si>
  <si>
    <t>Fuel Burn</t>
  </si>
  <si>
    <t>Month-YR</t>
  </si>
  <si>
    <t>Month</t>
  </si>
  <si>
    <t>$</t>
  </si>
  <si>
    <t>$/BBL</t>
  </si>
  <si>
    <t>13 Month Average</t>
  </si>
  <si>
    <t>MMBtu</t>
  </si>
  <si>
    <t>$/MMBtu</t>
  </si>
  <si>
    <t>Tons</t>
  </si>
  <si>
    <t>$/Ton</t>
  </si>
  <si>
    <t>Heavy Oil</t>
  </si>
  <si>
    <t>Light Oil</t>
  </si>
  <si>
    <t># Days</t>
  </si>
  <si>
    <t>Total Inventory</t>
  </si>
  <si>
    <t>Op Bottoms</t>
  </si>
  <si>
    <t>Hours Burn</t>
  </si>
  <si>
    <t>ISSUES</t>
  </si>
  <si>
    <t>Natural Gas</t>
  </si>
  <si>
    <t xml:space="preserve"> </t>
  </si>
  <si>
    <t>Conversion Factors</t>
  </si>
  <si>
    <t>SJRPP</t>
  </si>
  <si>
    <t>Scherer</t>
  </si>
  <si>
    <t>MT/TP</t>
  </si>
  <si>
    <t>LO</t>
  </si>
  <si>
    <t>Days' Burn</t>
  </si>
  <si>
    <t>I/S Bot.</t>
  </si>
  <si>
    <t>Hours</t>
  </si>
  <si>
    <t>Tank #2</t>
  </si>
  <si>
    <t>Tank #3</t>
  </si>
  <si>
    <t>Tank #5</t>
  </si>
  <si>
    <t>Safe Fill</t>
  </si>
  <si>
    <t>FPSC Bottoms</t>
  </si>
  <si>
    <t>CBGC</t>
  </si>
  <si>
    <t>CBGO</t>
  </si>
  <si>
    <t>OPC 010708</t>
  </si>
  <si>
    <t>FPL RC-16</t>
  </si>
  <si>
    <t>OPC 010709</t>
  </si>
  <si>
    <t>OPC 010710</t>
  </si>
  <si>
    <t>OPC 010711</t>
  </si>
  <si>
    <t>OPC 010712</t>
  </si>
  <si>
    <t>OPC 010713</t>
  </si>
  <si>
    <t>OPC 010714</t>
  </si>
  <si>
    <t>OPC 010715</t>
  </si>
  <si>
    <t>OPC 010716</t>
  </si>
  <si>
    <t>OPC 010717</t>
  </si>
  <si>
    <t>OPC 010718</t>
  </si>
  <si>
    <t>OPC 010719</t>
  </si>
  <si>
    <t>OPC 010720</t>
  </si>
  <si>
    <t>OPC 010721</t>
  </si>
  <si>
    <t>OPC 010722</t>
  </si>
  <si>
    <t>OPC 010723</t>
  </si>
  <si>
    <t>OPC 010724</t>
  </si>
  <si>
    <t>OPC 010725</t>
  </si>
  <si>
    <t>OPC 010726</t>
  </si>
  <si>
    <t>OPC 010727</t>
  </si>
  <si>
    <t>OPC 010728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</si>
</sst>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_)"/>
    <numFmt numFmtId="166" formatCode="0.00_)"/>
    <numFmt numFmtId="167" formatCode="0.000000"/>
    <numFmt numFmtId="168" formatCode="0.0"/>
    <numFmt numFmtId="169" formatCode="#,##0.000"/>
    <numFmt numFmtId="170" formatCode="0.000"/>
    <numFmt numFmtId="171" formatCode="0.0_);[Red]\(0.0\)"/>
    <numFmt numFmtId="172" formatCode="_(* #,##0_);_(* \(#,##0\);_(* &quot;-&quot;??_);_(@_)"/>
    <numFmt numFmtId="173" formatCode="&quot;$&quot;#,##0\ ;\(&quot;$&quot;#,##0\)"/>
    <numFmt numFmtId="174" formatCode="_(* #,##0.000_);_(* \(#,##0.000\);_(* &quot;-&quot;??_);_(@_)"/>
  </numFmts>
  <fonts count="57">
    <font>
      <sz val="1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Tms Rmn"/>
      <family val="1"/>
    </font>
    <font>
      <b/>
      <i/>
      <sz val="16"/>
      <name val="Helv"/>
    </font>
    <font>
      <sz val="12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name val="Univers (WN)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2"/>
      <name val="Helv"/>
    </font>
    <font>
      <sz val="9"/>
      <name val="Geneva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6"/>
      <name val="Arial"/>
      <family val="2"/>
    </font>
    <font>
      <sz val="10"/>
      <color indexed="12"/>
      <name val="Souvienne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8"/>
      <name val="Arial"/>
      <family val="2"/>
    </font>
    <font>
      <b/>
      <sz val="13"/>
      <color indexed="56"/>
      <name val="Calibri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56"/>
      <name val="Arial"/>
      <family val="2"/>
    </font>
    <font>
      <sz val="10"/>
      <name val="Courier"/>
      <family val="3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</borders>
  <cellStyleXfs count="856">
    <xf numFmtId="0" fontId="0" fillId="0" borderId="0"/>
    <xf numFmtId="0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67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0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0" fontId="7" fillId="0" borderId="0">
      <alignment horizontal="left" wrapText="1"/>
    </xf>
    <xf numFmtId="167" fontId="7" fillId="0" borderId="0">
      <alignment horizontal="left" wrapText="1"/>
    </xf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6" fontId="10" fillId="0" borderId="0"/>
    <xf numFmtId="0" fontId="11" fillId="0" borderId="0"/>
    <xf numFmtId="0" fontId="12" fillId="2" borderId="0"/>
    <xf numFmtId="49" fontId="13" fillId="2" borderId="0"/>
    <xf numFmtId="49" fontId="14" fillId="2" borderId="1"/>
    <xf numFmtId="49" fontId="14" fillId="2" borderId="0"/>
    <xf numFmtId="0" fontId="12" fillId="3" borderId="1">
      <protection locked="0"/>
    </xf>
    <xf numFmtId="0" fontId="12" fillId="2" borderId="0"/>
    <xf numFmtId="0" fontId="15" fillId="4" borderId="0"/>
    <xf numFmtId="0" fontId="15" fillId="5" borderId="0"/>
    <xf numFmtId="0" fontId="15" fillId="6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7" fillId="0" borderId="0"/>
    <xf numFmtId="0" fontId="2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2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2" fillId="0" borderId="0"/>
    <xf numFmtId="0" fontId="5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21" fillId="0" borderId="0"/>
    <xf numFmtId="9" fontId="5" fillId="0" borderId="0" applyFont="0" applyFill="0" applyBorder="0" applyAlignment="0" applyProtection="0"/>
    <xf numFmtId="167" fontId="24" fillId="0" borderId="0">
      <alignment horizontal="left" wrapText="1"/>
    </xf>
    <xf numFmtId="43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24" fillId="0" borderId="0">
      <alignment horizontal="left" wrapText="1"/>
    </xf>
    <xf numFmtId="0" fontId="2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44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7" fillId="0" borderId="0">
      <alignment wrapText="1"/>
    </xf>
    <xf numFmtId="43" fontId="24" fillId="0" borderId="0" applyFont="0" applyFill="0" applyBorder="0" applyAlignment="0" applyProtection="0"/>
    <xf numFmtId="0" fontId="24" fillId="0" borderId="0"/>
    <xf numFmtId="0" fontId="4" fillId="0" borderId="0"/>
    <xf numFmtId="0" fontId="4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4" fillId="0" borderId="0"/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44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44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44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44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44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43" fontId="24" fillId="0" borderId="0" applyFont="0" applyFill="0" applyBorder="0" applyAlignment="0" applyProtection="0"/>
    <xf numFmtId="167" fontId="24" fillId="0" borderId="0">
      <alignment horizontal="left" wrapText="1"/>
    </xf>
    <xf numFmtId="0" fontId="26" fillId="0" borderId="0"/>
    <xf numFmtId="0" fontId="7" fillId="0" borderId="0"/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0" fontId="7" fillId="0" borderId="0"/>
    <xf numFmtId="0" fontId="7" fillId="0" borderId="0"/>
    <xf numFmtId="0" fontId="7" fillId="0" borderId="0"/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0" fontId="7" fillId="0" borderId="0"/>
    <xf numFmtId="0" fontId="7" fillId="0" borderId="0"/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0" fontId="7" fillId="0" borderId="0"/>
    <xf numFmtId="0" fontId="7" fillId="0" borderId="0"/>
    <xf numFmtId="0" fontId="7" fillId="0" borderId="0"/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167" fontId="7" fillId="0" borderId="0">
      <alignment horizontal="left" wrapText="1"/>
    </xf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31" borderId="0" applyNumberFormat="0" applyBorder="0" applyAlignment="0" applyProtection="0"/>
    <xf numFmtId="172" fontId="30" fillId="0" borderId="0" applyNumberFormat="0"/>
    <xf numFmtId="3" fontId="30" fillId="0" borderId="9">
      <alignment horizontal="right" wrapText="1"/>
    </xf>
    <xf numFmtId="39" fontId="31" fillId="0" borderId="0" applyNumberFormat="0" applyFill="0" applyBorder="0" applyAlignment="0">
      <protection locked="0"/>
    </xf>
    <xf numFmtId="0" fontId="32" fillId="15" borderId="0" applyNumberFormat="0" applyBorder="0" applyAlignment="0" applyProtection="0"/>
    <xf numFmtId="0" fontId="33" fillId="32" borderId="10" applyNumberFormat="0" applyAlignment="0" applyProtection="0"/>
    <xf numFmtId="0" fontId="34" fillId="33" borderId="11" applyNumberFormat="0" applyAlignment="0" applyProtection="0"/>
    <xf numFmtId="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36" fillId="16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2" fillId="19" borderId="10" applyNumberFormat="0" applyAlignment="0" applyProtection="0"/>
    <xf numFmtId="172" fontId="43" fillId="0" borderId="0" applyNumberFormat="0">
      <alignment horizontal="right"/>
    </xf>
    <xf numFmtId="172" fontId="44" fillId="34" borderId="2" applyNumberFormat="0" applyAlignment="0"/>
    <xf numFmtId="0" fontId="45" fillId="0" borderId="15" applyNumberFormat="0" applyFill="0" applyAlignment="0" applyProtection="0"/>
    <xf numFmtId="0" fontId="46" fillId="35" borderId="0" applyNumberFormat="0" applyBorder="0" applyAlignment="0" applyProtection="0"/>
    <xf numFmtId="37" fontId="4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4" fillId="36" borderId="16" applyNumberFormat="0" applyFont="0" applyAlignment="0" applyProtection="0"/>
    <xf numFmtId="0" fontId="48" fillId="32" borderId="17" applyNumberFormat="0" applyAlignment="0" applyProtection="0"/>
    <xf numFmtId="40" fontId="49" fillId="3" borderId="0">
      <alignment horizontal="right"/>
    </xf>
    <xf numFmtId="0" fontId="50" fillId="3" borderId="0">
      <alignment horizontal="right"/>
    </xf>
    <xf numFmtId="0" fontId="51" fillId="3" borderId="8"/>
    <xf numFmtId="0" fontId="51" fillId="0" borderId="0" applyBorder="0">
      <alignment horizontal="centerContinuous"/>
    </xf>
    <xf numFmtId="0" fontId="52" fillId="0" borderId="0" applyBorder="0">
      <alignment horizontal="centerContinuous"/>
    </xf>
    <xf numFmtId="174" fontId="53" fillId="0" borderId="0" applyNumberFormat="0" applyAlignment="0"/>
    <xf numFmtId="167" fontId="7" fillId="0" borderId="0">
      <alignment horizontal="left" wrapText="1"/>
    </xf>
    <xf numFmtId="167" fontId="7" fillId="0" borderId="0">
      <alignment horizontal="left" wrapText="1"/>
    </xf>
    <xf numFmtId="0" fontId="54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" fillId="0" borderId="19" applyNumberFormat="0" applyFont="0" applyFill="0" applyAlignment="0" applyProtection="0"/>
    <xf numFmtId="0" fontId="56" fillId="0" borderId="0" applyNumberFormat="0" applyFill="0" applyBorder="0" applyAlignment="0" applyProtection="0"/>
    <xf numFmtId="167" fontId="7" fillId="0" borderId="0">
      <alignment horizontal="left" wrapText="1"/>
    </xf>
    <xf numFmtId="0" fontId="27" fillId="0" borderId="0"/>
    <xf numFmtId="0" fontId="2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24">
    <xf numFmtId="0" fontId="0" fillId="0" borderId="0" xfId="0"/>
    <xf numFmtId="0" fontId="8" fillId="0" borderId="0" xfId="0" applyFont="1"/>
    <xf numFmtId="0" fontId="8" fillId="0" borderId="0" xfId="0" applyFont="1" applyFill="1"/>
    <xf numFmtId="0" fontId="16" fillId="0" borderId="2" xfId="0" applyFont="1" applyBorder="1" applyAlignment="1">
      <alignment horizontal="center"/>
    </xf>
    <xf numFmtId="164" fontId="8" fillId="0" borderId="2" xfId="0" applyNumberFormat="1" applyFont="1" applyBorder="1"/>
    <xf numFmtId="2" fontId="8" fillId="0" borderId="2" xfId="0" applyNumberFormat="1" applyFont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2" xfId="39" applyNumberFormat="1" applyFont="1" applyFill="1" applyBorder="1" applyAlignment="1" applyProtection="1">
      <alignment horizontal="center"/>
      <protection locked="0"/>
    </xf>
    <xf numFmtId="0" fontId="16" fillId="0" borderId="2" xfId="39" applyFont="1" applyFill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0" fontId="18" fillId="0" borderId="2" xfId="39" applyNumberFormat="1" applyFont="1" applyFill="1" applyBorder="1" applyAlignment="1" applyProtection="1">
      <alignment horizontal="center"/>
      <protection locked="0"/>
    </xf>
    <xf numFmtId="17" fontId="8" fillId="0" borderId="2" xfId="39" applyNumberFormat="1" applyFont="1" applyFill="1" applyBorder="1" applyAlignment="1" applyProtection="1">
      <alignment horizontal="center"/>
      <protection locked="0"/>
    </xf>
    <xf numFmtId="4" fontId="8" fillId="0" borderId="2" xfId="39" applyNumberFormat="1" applyFont="1" applyFill="1" applyBorder="1" applyAlignment="1">
      <alignment horizontal="center"/>
    </xf>
    <xf numFmtId="38" fontId="8" fillId="0" borderId="2" xfId="39" applyNumberFormat="1" applyFont="1" applyFill="1" applyBorder="1" applyAlignment="1">
      <alignment horizontal="center"/>
    </xf>
    <xf numFmtId="3" fontId="8" fillId="0" borderId="2" xfId="39" applyNumberFormat="1" applyFont="1" applyFill="1" applyBorder="1" applyAlignment="1">
      <alignment horizontal="center"/>
    </xf>
    <xf numFmtId="0" fontId="8" fillId="0" borderId="0" xfId="0" applyFont="1" applyBorder="1"/>
    <xf numFmtId="0" fontId="16" fillId="0" borderId="0" xfId="39" applyNumberFormat="1" applyFont="1" applyFill="1" applyBorder="1" applyAlignment="1" applyProtection="1">
      <alignment horizontal="center"/>
      <protection locked="0"/>
    </xf>
    <xf numFmtId="0" fontId="16" fillId="0" borderId="0" xfId="39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3" fontId="20" fillId="0" borderId="2" xfId="39" applyNumberFormat="1" applyFont="1" applyFill="1" applyBorder="1" applyAlignment="1" applyProtection="1">
      <alignment horizontal="center"/>
      <protection locked="0"/>
    </xf>
    <xf numFmtId="40" fontId="8" fillId="0" borderId="2" xfId="39" applyNumberFormat="1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17" fontId="8" fillId="7" borderId="2" xfId="39" applyNumberFormat="1" applyFont="1" applyFill="1" applyBorder="1" applyAlignment="1" applyProtection="1">
      <alignment horizontal="center"/>
      <protection locked="0"/>
    </xf>
    <xf numFmtId="3" fontId="8" fillId="7" borderId="2" xfId="39" applyNumberFormat="1" applyFont="1" applyFill="1" applyBorder="1" applyAlignment="1">
      <alignment horizontal="center"/>
    </xf>
    <xf numFmtId="4" fontId="8" fillId="7" borderId="5" xfId="39" applyNumberFormat="1" applyFont="1" applyFill="1" applyBorder="1" applyAlignment="1">
      <alignment horizontal="center"/>
    </xf>
    <xf numFmtId="38" fontId="8" fillId="7" borderId="2" xfId="39" applyNumberFormat="1" applyFont="1" applyFill="1" applyBorder="1" applyAlignment="1">
      <alignment horizontal="center"/>
    </xf>
    <xf numFmtId="40" fontId="8" fillId="7" borderId="2" xfId="39" applyNumberFormat="1" applyFont="1" applyFill="1" applyBorder="1" applyAlignment="1">
      <alignment horizontal="center"/>
    </xf>
    <xf numFmtId="4" fontId="8" fillId="7" borderId="2" xfId="39" applyNumberFormat="1" applyFont="1" applyFill="1" applyBorder="1" applyAlignment="1">
      <alignment horizontal="center"/>
    </xf>
    <xf numFmtId="38" fontId="8" fillId="7" borderId="2" xfId="0" applyNumberFormat="1" applyFont="1" applyFill="1" applyBorder="1" applyAlignment="1">
      <alignment horizontal="center"/>
    </xf>
    <xf numFmtId="38" fontId="8" fillId="0" borderId="2" xfId="0" applyNumberFormat="1" applyFont="1" applyBorder="1" applyAlignment="1">
      <alignment horizontal="center"/>
    </xf>
    <xf numFmtId="40" fontId="8" fillId="0" borderId="2" xfId="0" applyNumberFormat="1" applyFont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68" fontId="8" fillId="0" borderId="2" xfId="0" applyNumberFormat="1" applyFont="1" applyBorder="1" applyAlignment="1">
      <alignment horizontal="center"/>
    </xf>
    <xf numFmtId="169" fontId="8" fillId="7" borderId="5" xfId="39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169" fontId="8" fillId="0" borderId="5" xfId="39" applyNumberFormat="1" applyFont="1" applyFill="1" applyBorder="1" applyAlignment="1">
      <alignment horizontal="center"/>
    </xf>
    <xf numFmtId="170" fontId="16" fillId="0" borderId="2" xfId="39" applyNumberFormat="1" applyFont="1" applyFill="1" applyBorder="1" applyAlignment="1">
      <alignment horizontal="center"/>
    </xf>
    <xf numFmtId="40" fontId="8" fillId="0" borderId="2" xfId="0" applyNumberFormat="1" applyFont="1" applyFill="1" applyBorder="1" applyAlignment="1">
      <alignment horizontal="center"/>
    </xf>
    <xf numFmtId="171" fontId="8" fillId="0" borderId="2" xfId="0" applyNumberFormat="1" applyFont="1" applyBorder="1" applyAlignment="1">
      <alignment horizontal="center"/>
    </xf>
    <xf numFmtId="0" fontId="8" fillId="0" borderId="0" xfId="0" applyFont="1"/>
    <xf numFmtId="3" fontId="8" fillId="0" borderId="2" xfId="0" applyNumberFormat="1" applyFont="1" applyBorder="1" applyAlignment="1">
      <alignment horizontal="center"/>
    </xf>
    <xf numFmtId="38" fontId="8" fillId="0" borderId="2" xfId="39" applyNumberFormat="1" applyFont="1" applyFill="1" applyBorder="1" applyAlignment="1">
      <alignment horizontal="center"/>
    </xf>
    <xf numFmtId="3" fontId="20" fillId="0" borderId="2" xfId="39" applyNumberFormat="1" applyFont="1" applyFill="1" applyBorder="1" applyAlignment="1" applyProtection="1">
      <alignment horizontal="center"/>
      <protection locked="0"/>
    </xf>
    <xf numFmtId="38" fontId="8" fillId="0" borderId="2" xfId="0" applyNumberFormat="1" applyFont="1" applyFill="1" applyBorder="1" applyAlignment="1">
      <alignment horizontal="center"/>
    </xf>
    <xf numFmtId="17" fontId="8" fillId="7" borderId="2" xfId="39" applyNumberFormat="1" applyFont="1" applyFill="1" applyBorder="1" applyAlignment="1" applyProtection="1">
      <alignment horizontal="center"/>
      <protection locked="0"/>
    </xf>
    <xf numFmtId="3" fontId="8" fillId="7" borderId="2" xfId="39" applyNumberFormat="1" applyFont="1" applyFill="1" applyBorder="1" applyAlignment="1">
      <alignment horizontal="center"/>
    </xf>
    <xf numFmtId="38" fontId="8" fillId="7" borderId="2" xfId="39" applyNumberFormat="1" applyFont="1" applyFill="1" applyBorder="1" applyAlignment="1">
      <alignment horizontal="center"/>
    </xf>
    <xf numFmtId="40" fontId="8" fillId="7" borderId="2" xfId="39" applyNumberFormat="1" applyFont="1" applyFill="1" applyBorder="1" applyAlignment="1">
      <alignment horizontal="center"/>
    </xf>
    <xf numFmtId="4" fontId="8" fillId="7" borderId="2" xfId="39" applyNumberFormat="1" applyFont="1" applyFill="1" applyBorder="1" applyAlignment="1">
      <alignment horizontal="center"/>
    </xf>
    <xf numFmtId="38" fontId="8" fillId="7" borderId="2" xfId="0" applyNumberFormat="1" applyFont="1" applyFill="1" applyBorder="1" applyAlignment="1">
      <alignment horizontal="center"/>
    </xf>
    <xf numFmtId="38" fontId="8" fillId="0" borderId="2" xfId="0" applyNumberFormat="1" applyFont="1" applyBorder="1" applyAlignment="1">
      <alignment horizontal="center"/>
    </xf>
    <xf numFmtId="40" fontId="8" fillId="7" borderId="2" xfId="0" applyNumberFormat="1" applyFont="1" applyFill="1" applyBorder="1" applyAlignment="1">
      <alignment horizontal="center"/>
    </xf>
    <xf numFmtId="38" fontId="8" fillId="9" borderId="2" xfId="39" applyNumberFormat="1" applyFont="1" applyFill="1" applyBorder="1" applyAlignment="1">
      <alignment horizontal="center"/>
    </xf>
    <xf numFmtId="3" fontId="8" fillId="7" borderId="2" xfId="0" applyNumberFormat="1" applyFont="1" applyFill="1" applyBorder="1" applyAlignment="1">
      <alignment horizontal="center"/>
    </xf>
    <xf numFmtId="38" fontId="8" fillId="7" borderId="3" xfId="0" applyNumberFormat="1" applyFont="1" applyFill="1" applyBorder="1" applyAlignment="1">
      <alignment horizontal="center"/>
    </xf>
    <xf numFmtId="3" fontId="8" fillId="0" borderId="0" xfId="0" applyNumberFormat="1" applyFont="1"/>
    <xf numFmtId="38" fontId="8" fillId="0" borderId="0" xfId="0" applyNumberFormat="1" applyFont="1"/>
    <xf numFmtId="0" fontId="8" fillId="0" borderId="0" xfId="0" applyFont="1" applyFill="1" applyBorder="1"/>
    <xf numFmtId="0" fontId="16" fillId="8" borderId="2" xfId="0" applyFont="1" applyFill="1" applyBorder="1" applyAlignment="1">
      <alignment horizontal="center"/>
    </xf>
    <xf numFmtId="0" fontId="23" fillId="10" borderId="2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23" fillId="12" borderId="2" xfId="0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168" fontId="8" fillId="7" borderId="2" xfId="0" applyNumberFormat="1" applyFont="1" applyFill="1" applyBorder="1" applyAlignment="1">
      <alignment horizontal="center"/>
    </xf>
    <xf numFmtId="171" fontId="8" fillId="7" borderId="2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4" fontId="8" fillId="0" borderId="0" xfId="0" applyNumberFormat="1" applyFont="1"/>
    <xf numFmtId="38" fontId="8" fillId="0" borderId="2" xfId="0" applyNumberFormat="1" applyFont="1" applyFill="1" applyBorder="1" applyAlignment="1">
      <alignment horizontal="center"/>
    </xf>
    <xf numFmtId="3" fontId="8" fillId="13" borderId="2" xfId="0" applyNumberFormat="1" applyFont="1" applyFill="1" applyBorder="1" applyAlignment="1">
      <alignment horizontal="center"/>
    </xf>
    <xf numFmtId="3" fontId="8" fillId="13" borderId="5" xfId="0" applyNumberFormat="1" applyFont="1" applyFill="1" applyBorder="1" applyAlignment="1">
      <alignment horizontal="center"/>
    </xf>
    <xf numFmtId="2" fontId="8" fillId="13" borderId="2" xfId="0" applyNumberFormat="1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0" fontId="8" fillId="0" borderId="0" xfId="138" applyFont="1"/>
    <xf numFmtId="38" fontId="8" fillId="7" borderId="2" xfId="138" applyNumberFormat="1" applyFont="1" applyFill="1" applyBorder="1" applyAlignment="1">
      <alignment horizontal="center"/>
    </xf>
    <xf numFmtId="3" fontId="8" fillId="7" borderId="2" xfId="138" applyNumberFormat="1" applyFont="1" applyFill="1" applyBorder="1" applyAlignment="1">
      <alignment horizontal="center"/>
    </xf>
    <xf numFmtId="38" fontId="8" fillId="0" borderId="2" xfId="138" applyNumberFormat="1" applyFont="1" applyFill="1" applyBorder="1" applyAlignment="1">
      <alignment horizontal="center"/>
    </xf>
    <xf numFmtId="170" fontId="8" fillId="0" borderId="2" xfId="138" applyNumberFormat="1" applyFont="1" applyFill="1" applyBorder="1" applyAlignment="1">
      <alignment horizontal="center"/>
    </xf>
    <xf numFmtId="170" fontId="8" fillId="7" borderId="2" xfId="138" applyNumberFormat="1" applyFont="1" applyFill="1" applyBorder="1" applyAlignment="1">
      <alignment horizontal="center"/>
    </xf>
    <xf numFmtId="3" fontId="8" fillId="0" borderId="2" xfId="138" applyNumberFormat="1" applyFont="1" applyFill="1" applyBorder="1" applyAlignment="1">
      <alignment horizontal="center"/>
    </xf>
    <xf numFmtId="170" fontId="8" fillId="0" borderId="0" xfId="138" applyNumberFormat="1" applyFont="1"/>
    <xf numFmtId="38" fontId="8" fillId="0" borderId="2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6" fillId="0" borderId="2" xfId="39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0" fontId="16" fillId="0" borderId="5" xfId="39" applyFont="1" applyFill="1" applyBorder="1" applyAlignment="1">
      <alignment horizontal="center"/>
    </xf>
    <xf numFmtId="0" fontId="16" fillId="0" borderId="7" xfId="39" applyFont="1" applyFill="1" applyBorder="1" applyAlignment="1">
      <alignment horizontal="center"/>
    </xf>
    <xf numFmtId="0" fontId="16" fillId="0" borderId="3" xfId="39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39" applyFont="1" applyFill="1" applyBorder="1" applyAlignment="1">
      <alignment horizontal="center" vertical="center"/>
    </xf>
    <xf numFmtId="0" fontId="16" fillId="0" borderId="6" xfId="39" applyFont="1" applyFill="1" applyBorder="1" applyAlignment="1">
      <alignment horizontal="center" vertical="center"/>
    </xf>
    <xf numFmtId="0" fontId="16" fillId="8" borderId="5" xfId="138" applyFont="1" applyFill="1" applyBorder="1" applyAlignment="1">
      <alignment horizontal="center"/>
    </xf>
    <xf numFmtId="0" fontId="16" fillId="8" borderId="7" xfId="138" applyFont="1" applyFill="1" applyBorder="1" applyAlignment="1">
      <alignment horizontal="center"/>
    </xf>
    <xf numFmtId="0" fontId="16" fillId="8" borderId="3" xfId="138" applyFont="1" applyFill="1" applyBorder="1" applyAlignment="1">
      <alignment horizontal="center"/>
    </xf>
    <xf numFmtId="0" fontId="16" fillId="0" borderId="0" xfId="138" applyFont="1"/>
    <xf numFmtId="170" fontId="16" fillId="0" borderId="0" xfId="138" applyNumberFormat="1" applyFont="1"/>
    <xf numFmtId="0" fontId="16" fillId="0" borderId="0" xfId="0" applyFont="1"/>
    <xf numFmtId="0" fontId="16" fillId="0" borderId="0" xfId="0" applyFont="1" applyFill="1"/>
    <xf numFmtId="37" fontId="16" fillId="0" borderId="0" xfId="53" applyNumberFormat="1" applyFont="1" applyAlignment="1">
      <alignment horizontal="right"/>
    </xf>
    <xf numFmtId="0" fontId="16" fillId="0" borderId="0" xfId="0" applyFont="1" applyAlignment="1">
      <alignment horizontal="center"/>
    </xf>
  </cellXfs>
  <cellStyles count="856">
    <cellStyle name="_x0013_" xfId="127"/>
    <cellStyle name="_2011" xfId="2"/>
    <cellStyle name="_B-18 (11-15-2010)" xfId="3"/>
    <cellStyle name="_Book2" xfId="183"/>
    <cellStyle name="_CC Oil" xfId="4"/>
    <cellStyle name="_CC Oil 2" xfId="184"/>
    <cellStyle name="_CC Oil 2_FCR projected_inputs_for_UI_080914 ngr_r1" xfId="185"/>
    <cellStyle name="_CC Oil 2_inventory cost calculations" xfId="186"/>
    <cellStyle name="_CC Oil_130204 2013 - 2061 LONG-TERM FORECAST FPL METHODOLOGY Clean Copy" xfId="187"/>
    <cellStyle name="_CC Oil_130204 2013 - 2061 LONG-TERM FORECAST FPL METHODOLOGY Clean Copy_FCR projected_inputs_for_UI_080914 ngr_r1" xfId="188"/>
    <cellStyle name="_CC Oil_130204 2013 - 2061 LONG-TERM FORECAST FPL METHODOLOGY Clean Copy_inventory cost calculations" xfId="189"/>
    <cellStyle name="_CC Oil_E3_Adjustments_yr2013" xfId="190"/>
    <cellStyle name="_CC Oil_E3_Adjustments_yr2013_FCR projected_inputs_for_UI_080914 ngr_r1" xfId="191"/>
    <cellStyle name="_CC Oil_E3_Adjustments_yr2013_inventory cost calculations" xfId="192"/>
    <cellStyle name="_CC Oil_E3_Adjustments_yr2014" xfId="193"/>
    <cellStyle name="_CC Oil_E3_Adjustments_yr2014_FCR projected_inputs_for_UI_080914 ngr_r1" xfId="194"/>
    <cellStyle name="_CC Oil_E3_Adjustments_yr2014_inventory cost calculations" xfId="195"/>
    <cellStyle name="_CC Oil_E3_Adjustments_yr2015" xfId="196"/>
    <cellStyle name="_CC Oil_E3_Adjustments_yr2015_FCR projected_inputs_for_UI_080914 ngr_r1" xfId="197"/>
    <cellStyle name="_CC Oil_E3_Adjustments_yr2015_inventory cost calculations" xfId="198"/>
    <cellStyle name="_CC Oil_E3_Adjustments_yr2016" xfId="199"/>
    <cellStyle name="_CC Oil_E3_Adjustments_yr2016_FCR projected_inputs_for_UI_080914 ngr_r1" xfId="200"/>
    <cellStyle name="_CC Oil_E3_Adjustments_yr2016_inventory cost calculations" xfId="201"/>
    <cellStyle name="_CC Oil_E3_Adjustments_yr2017" xfId="202"/>
    <cellStyle name="_CC Oil_E3_Adjustments_yr2017_FCR projected_inputs_for_UI_080914 ngr_r1" xfId="203"/>
    <cellStyle name="_CC Oil_E3_Adjustments_yr2017_inventory cost calculations" xfId="204"/>
    <cellStyle name="_CC Oil_E3_Adjustments_yr2018" xfId="205"/>
    <cellStyle name="_CC Oil_E3_Adjustments_yr2018_FCR projected_inputs_for_UI_080914 ngr_r1" xfId="206"/>
    <cellStyle name="_CC Oil_E3_Adjustments_yr2018_inventory cost calculations" xfId="207"/>
    <cellStyle name="_CC Oil_MTHLY_MWH_to EOC_AS AVAILABLE" xfId="208"/>
    <cellStyle name="_CC Oil_MTHLY_MWH_to EOC_AS AVAILABLE_FCR projected_inputs_for_UI_080914 ngr_r1" xfId="209"/>
    <cellStyle name="_CC Oil_MTHLY_MWH_to EOC_AS AVAILABLE_inventory cost calculations" xfId="210"/>
    <cellStyle name="_CC Oil_QF Energy and Capacity Proj Update 3.2013" xfId="211"/>
    <cellStyle name="_CC Oil_QF Energy and Capacity Proj Update 3.2013_FCR projected_inputs_for_UI_080914 ngr_r1" xfId="212"/>
    <cellStyle name="_CC Oil_QF Energy and Capacity Proj Update 3.2013_inventory cost calculations" xfId="213"/>
    <cellStyle name="_DSO Oil" xfId="5"/>
    <cellStyle name="_DSO Oil 2" xfId="214"/>
    <cellStyle name="_DSO Oil 2_FCR projected_inputs_for_UI_080914 ngr_r1" xfId="215"/>
    <cellStyle name="_DSO Oil 2_inventory cost calculations" xfId="216"/>
    <cellStyle name="_DSO Oil_130204 2013 - 2061 LONG-TERM FORECAST FPL METHODOLOGY Clean Copy" xfId="217"/>
    <cellStyle name="_DSO Oil_130204 2013 - 2061 LONG-TERM FORECAST FPL METHODOLOGY Clean Copy_FCR projected_inputs_for_UI_080914 ngr_r1" xfId="218"/>
    <cellStyle name="_DSO Oil_130204 2013 - 2061 LONG-TERM FORECAST FPL METHODOLOGY Clean Copy_inventory cost calculations" xfId="219"/>
    <cellStyle name="_DSO Oil_E3_Adjustments_yr2013" xfId="220"/>
    <cellStyle name="_DSO Oil_E3_Adjustments_yr2013_FCR projected_inputs_for_UI_080914 ngr_r1" xfId="221"/>
    <cellStyle name="_DSO Oil_E3_Adjustments_yr2013_inventory cost calculations" xfId="222"/>
    <cellStyle name="_DSO Oil_E3_Adjustments_yr2014" xfId="223"/>
    <cellStyle name="_DSO Oil_E3_Adjustments_yr2014_FCR projected_inputs_for_UI_080914 ngr_r1" xfId="224"/>
    <cellStyle name="_DSO Oil_E3_Adjustments_yr2014_inventory cost calculations" xfId="225"/>
    <cellStyle name="_DSO Oil_E3_Adjustments_yr2015" xfId="226"/>
    <cellStyle name="_DSO Oil_E3_Adjustments_yr2015_FCR projected_inputs_for_UI_080914 ngr_r1" xfId="227"/>
    <cellStyle name="_DSO Oil_E3_Adjustments_yr2015_inventory cost calculations" xfId="228"/>
    <cellStyle name="_DSO Oil_E3_Adjustments_yr2016" xfId="229"/>
    <cellStyle name="_DSO Oil_E3_Adjustments_yr2016_FCR projected_inputs_for_UI_080914 ngr_r1" xfId="230"/>
    <cellStyle name="_DSO Oil_E3_Adjustments_yr2016_inventory cost calculations" xfId="231"/>
    <cellStyle name="_DSO Oil_E3_Adjustments_yr2017" xfId="232"/>
    <cellStyle name="_DSO Oil_E3_Adjustments_yr2017_FCR projected_inputs_for_UI_080914 ngr_r1" xfId="233"/>
    <cellStyle name="_DSO Oil_E3_Adjustments_yr2017_inventory cost calculations" xfId="234"/>
    <cellStyle name="_DSO Oil_E3_Adjustments_yr2018" xfId="235"/>
    <cellStyle name="_DSO Oil_E3_Adjustments_yr2018_FCR projected_inputs_for_UI_080914 ngr_r1" xfId="236"/>
    <cellStyle name="_DSO Oil_E3_Adjustments_yr2018_inventory cost calculations" xfId="237"/>
    <cellStyle name="_DSO Oil_MTHLY_MWH_to EOC_AS AVAILABLE" xfId="238"/>
    <cellStyle name="_DSO Oil_MTHLY_MWH_to EOC_AS AVAILABLE_FCR projected_inputs_for_UI_080914 ngr_r1" xfId="239"/>
    <cellStyle name="_DSO Oil_MTHLY_MWH_to EOC_AS AVAILABLE_inventory cost calculations" xfId="240"/>
    <cellStyle name="_DSO Oil_QF Energy and Capacity Proj Update 3.2013" xfId="241"/>
    <cellStyle name="_DSO Oil_QF Energy and Capacity Proj Update 3.2013_FCR projected_inputs_for_UI_080914 ngr_r1" xfId="242"/>
    <cellStyle name="_DSO Oil_QF Energy and Capacity Proj Update 3.2013_inventory cost calculations" xfId="243"/>
    <cellStyle name="_E3 Est2" xfId="244"/>
    <cellStyle name="_E3 Est2_Book2" xfId="245"/>
    <cellStyle name="_E3 Est2_Monthly bill inputs for UI 06_03_13" xfId="246"/>
    <cellStyle name="_E3_Adjustments_yr2010" xfId="247"/>
    <cellStyle name="_E3_Adjustments_yr2011" xfId="248"/>
    <cellStyle name="_E3_Adjustments_yr2012" xfId="249"/>
    <cellStyle name="_E3_Adjustments_yr2013" xfId="250"/>
    <cellStyle name="_E3_Adjustments_yr2014" xfId="251"/>
    <cellStyle name="_E3_prog" xfId="252"/>
    <cellStyle name="_E5 Fadj51mid rev_111711" xfId="253"/>
    <cellStyle name="_FADJ51mid _TOU _StandardDef_2012_11282011_calcs" xfId="254"/>
    <cellStyle name="_FADJ51mid _TOU _StandardDef_2012_11282011_calcs_E4  E5 data inputs 08_28_12" xfId="255"/>
    <cellStyle name="_FLCC Oil" xfId="6"/>
    <cellStyle name="_FLCC Oil 2" xfId="256"/>
    <cellStyle name="_FLCC Oil 2_FCR projected_inputs_for_UI_080914 ngr_r1" xfId="257"/>
    <cellStyle name="_FLCC Oil 2_inventory cost calculations" xfId="258"/>
    <cellStyle name="_FLCC Oil_130204 2013 - 2061 LONG-TERM FORECAST FPL METHODOLOGY Clean Copy" xfId="259"/>
    <cellStyle name="_FLCC Oil_130204 2013 - 2061 LONG-TERM FORECAST FPL METHODOLOGY Clean Copy_FCR projected_inputs_for_UI_080914 ngr_r1" xfId="260"/>
    <cellStyle name="_FLCC Oil_130204 2013 - 2061 LONG-TERM FORECAST FPL METHODOLOGY Clean Copy_inventory cost calculations" xfId="261"/>
    <cellStyle name="_FLCC Oil_E3_Adjustments_yr2013" xfId="262"/>
    <cellStyle name="_FLCC Oil_E3_Adjustments_yr2013_FCR projected_inputs_for_UI_080914 ngr_r1" xfId="263"/>
    <cellStyle name="_FLCC Oil_E3_Adjustments_yr2013_inventory cost calculations" xfId="264"/>
    <cellStyle name="_FLCC Oil_E3_Adjustments_yr2014" xfId="265"/>
    <cellStyle name="_FLCC Oil_E3_Adjustments_yr2014_FCR projected_inputs_for_UI_080914 ngr_r1" xfId="266"/>
    <cellStyle name="_FLCC Oil_E3_Adjustments_yr2014_inventory cost calculations" xfId="267"/>
    <cellStyle name="_FLCC Oil_E3_Adjustments_yr2015" xfId="268"/>
    <cellStyle name="_FLCC Oil_E3_Adjustments_yr2015_FCR projected_inputs_for_UI_080914 ngr_r1" xfId="269"/>
    <cellStyle name="_FLCC Oil_E3_Adjustments_yr2015_inventory cost calculations" xfId="270"/>
    <cellStyle name="_FLCC Oil_E3_Adjustments_yr2016" xfId="271"/>
    <cellStyle name="_FLCC Oil_E3_Adjustments_yr2016_FCR projected_inputs_for_UI_080914 ngr_r1" xfId="272"/>
    <cellStyle name="_FLCC Oil_E3_Adjustments_yr2016_inventory cost calculations" xfId="273"/>
    <cellStyle name="_FLCC Oil_E3_Adjustments_yr2017" xfId="274"/>
    <cellStyle name="_FLCC Oil_E3_Adjustments_yr2017_FCR projected_inputs_for_UI_080914 ngr_r1" xfId="275"/>
    <cellStyle name="_FLCC Oil_E3_Adjustments_yr2017_inventory cost calculations" xfId="276"/>
    <cellStyle name="_FLCC Oil_E3_Adjustments_yr2018" xfId="277"/>
    <cellStyle name="_FLCC Oil_E3_Adjustments_yr2018_FCR projected_inputs_for_UI_080914 ngr_r1" xfId="278"/>
    <cellStyle name="_FLCC Oil_E3_Adjustments_yr2018_inventory cost calculations" xfId="279"/>
    <cellStyle name="_FLCC Oil_MTHLY_MWH_to EOC_AS AVAILABLE" xfId="280"/>
    <cellStyle name="_FLCC Oil_MTHLY_MWH_to EOC_AS AVAILABLE_FCR projected_inputs_for_UI_080914 ngr_r1" xfId="281"/>
    <cellStyle name="_FLCC Oil_MTHLY_MWH_to EOC_AS AVAILABLE_inventory cost calculations" xfId="282"/>
    <cellStyle name="_FLCC Oil_QF Energy and Capacity Proj Update 3.2013" xfId="283"/>
    <cellStyle name="_FLCC Oil_QF Energy and Capacity Proj Update 3.2013_FCR projected_inputs_for_UI_080914 ngr_r1" xfId="284"/>
    <cellStyle name="_FLCC Oil_QF Energy and Capacity Proj Update 3.2013_inventory cost calculations" xfId="285"/>
    <cellStyle name="_FLPEGT Oil" xfId="7"/>
    <cellStyle name="_FLPEGT Oil 2" xfId="286"/>
    <cellStyle name="_FLPEGT Oil 2_FCR projected_inputs_for_UI_080914 ngr_r1" xfId="287"/>
    <cellStyle name="_FLPEGT Oil 2_inventory cost calculations" xfId="288"/>
    <cellStyle name="_FLPEGT Oil_130204 2013 - 2061 LONG-TERM FORECAST FPL METHODOLOGY Clean Copy" xfId="289"/>
    <cellStyle name="_FLPEGT Oil_130204 2013 - 2061 LONG-TERM FORECAST FPL METHODOLOGY Clean Copy_FCR projected_inputs_for_UI_080914 ngr_r1" xfId="290"/>
    <cellStyle name="_FLPEGT Oil_130204 2013 - 2061 LONG-TERM FORECAST FPL METHODOLOGY Clean Copy_inventory cost calculations" xfId="291"/>
    <cellStyle name="_FLPEGT Oil_E3_Adjustments_yr2013" xfId="292"/>
    <cellStyle name="_FLPEGT Oil_E3_Adjustments_yr2013_FCR projected_inputs_for_UI_080914 ngr_r1" xfId="293"/>
    <cellStyle name="_FLPEGT Oil_E3_Adjustments_yr2013_inventory cost calculations" xfId="294"/>
    <cellStyle name="_FLPEGT Oil_E3_Adjustments_yr2014" xfId="295"/>
    <cellStyle name="_FLPEGT Oil_E3_Adjustments_yr2014_FCR projected_inputs_for_UI_080914 ngr_r1" xfId="296"/>
    <cellStyle name="_FLPEGT Oil_E3_Adjustments_yr2014_inventory cost calculations" xfId="297"/>
    <cellStyle name="_FLPEGT Oil_E3_Adjustments_yr2015" xfId="298"/>
    <cellStyle name="_FLPEGT Oil_E3_Adjustments_yr2015_FCR projected_inputs_for_UI_080914 ngr_r1" xfId="299"/>
    <cellStyle name="_FLPEGT Oil_E3_Adjustments_yr2015_inventory cost calculations" xfId="300"/>
    <cellStyle name="_FLPEGT Oil_E3_Adjustments_yr2016" xfId="301"/>
    <cellStyle name="_FLPEGT Oil_E3_Adjustments_yr2016_FCR projected_inputs_for_UI_080914 ngr_r1" xfId="302"/>
    <cellStyle name="_FLPEGT Oil_E3_Adjustments_yr2016_inventory cost calculations" xfId="303"/>
    <cellStyle name="_FLPEGT Oil_E3_Adjustments_yr2017" xfId="304"/>
    <cellStyle name="_FLPEGT Oil_E3_Adjustments_yr2017_FCR projected_inputs_for_UI_080914 ngr_r1" xfId="305"/>
    <cellStyle name="_FLPEGT Oil_E3_Adjustments_yr2017_inventory cost calculations" xfId="306"/>
    <cellStyle name="_FLPEGT Oil_E3_Adjustments_yr2018" xfId="307"/>
    <cellStyle name="_FLPEGT Oil_E3_Adjustments_yr2018_FCR projected_inputs_for_UI_080914 ngr_r1" xfId="308"/>
    <cellStyle name="_FLPEGT Oil_E3_Adjustments_yr2018_inventory cost calculations" xfId="309"/>
    <cellStyle name="_FLPEGT Oil_MTHLY_MWH_to EOC_AS AVAILABLE" xfId="310"/>
    <cellStyle name="_FLPEGT Oil_MTHLY_MWH_to EOC_AS AVAILABLE_FCR projected_inputs_for_UI_080914 ngr_r1" xfId="311"/>
    <cellStyle name="_FLPEGT Oil_MTHLY_MWH_to EOC_AS AVAILABLE_inventory cost calculations" xfId="312"/>
    <cellStyle name="_FLPEGT Oil_QF Energy and Capacity Proj Update 3.2013" xfId="313"/>
    <cellStyle name="_FLPEGT Oil_QF Energy and Capacity Proj Update 3.2013_FCR projected_inputs_for_UI_080914 ngr_r1" xfId="314"/>
    <cellStyle name="_FLPEGT Oil_QF Energy and Capacity Proj Update 3.2013_inventory cost calculations" xfId="315"/>
    <cellStyle name="_FMCT Oil" xfId="8"/>
    <cellStyle name="_FMCT Oil 2" xfId="316"/>
    <cellStyle name="_FMCT Oil 2_FCR projected_inputs_for_UI_080914 ngr_r1" xfId="317"/>
    <cellStyle name="_FMCT Oil 2_inventory cost calculations" xfId="318"/>
    <cellStyle name="_FMCT Oil_130204 2013 - 2061 LONG-TERM FORECAST FPL METHODOLOGY Clean Copy" xfId="319"/>
    <cellStyle name="_FMCT Oil_130204 2013 - 2061 LONG-TERM FORECAST FPL METHODOLOGY Clean Copy_FCR projected_inputs_for_UI_080914 ngr_r1" xfId="320"/>
    <cellStyle name="_FMCT Oil_130204 2013 - 2061 LONG-TERM FORECAST FPL METHODOLOGY Clean Copy_inventory cost calculations" xfId="321"/>
    <cellStyle name="_FMCT Oil_E3_Adjustments_yr2013" xfId="322"/>
    <cellStyle name="_FMCT Oil_E3_Adjustments_yr2013_FCR projected_inputs_for_UI_080914 ngr_r1" xfId="323"/>
    <cellStyle name="_FMCT Oil_E3_Adjustments_yr2013_inventory cost calculations" xfId="324"/>
    <cellStyle name="_FMCT Oil_E3_Adjustments_yr2014" xfId="325"/>
    <cellStyle name="_FMCT Oil_E3_Adjustments_yr2014_FCR projected_inputs_for_UI_080914 ngr_r1" xfId="326"/>
    <cellStyle name="_FMCT Oil_E3_Adjustments_yr2014_inventory cost calculations" xfId="327"/>
    <cellStyle name="_FMCT Oil_E3_Adjustments_yr2015" xfId="328"/>
    <cellStyle name="_FMCT Oil_E3_Adjustments_yr2015_FCR projected_inputs_for_UI_080914 ngr_r1" xfId="329"/>
    <cellStyle name="_FMCT Oil_E3_Adjustments_yr2015_inventory cost calculations" xfId="330"/>
    <cellStyle name="_FMCT Oil_E3_Adjustments_yr2016" xfId="331"/>
    <cellStyle name="_FMCT Oil_E3_Adjustments_yr2016_FCR projected_inputs_for_UI_080914 ngr_r1" xfId="332"/>
    <cellStyle name="_FMCT Oil_E3_Adjustments_yr2016_inventory cost calculations" xfId="333"/>
    <cellStyle name="_FMCT Oil_E3_Adjustments_yr2017" xfId="334"/>
    <cellStyle name="_FMCT Oil_E3_Adjustments_yr2017_FCR projected_inputs_for_UI_080914 ngr_r1" xfId="335"/>
    <cellStyle name="_FMCT Oil_E3_Adjustments_yr2017_inventory cost calculations" xfId="336"/>
    <cellStyle name="_FMCT Oil_E3_Adjustments_yr2018" xfId="337"/>
    <cellStyle name="_FMCT Oil_E3_Adjustments_yr2018_FCR projected_inputs_for_UI_080914 ngr_r1" xfId="338"/>
    <cellStyle name="_FMCT Oil_E3_Adjustments_yr2018_inventory cost calculations" xfId="339"/>
    <cellStyle name="_FMCT Oil_MTHLY_MWH_to EOC_AS AVAILABLE" xfId="340"/>
    <cellStyle name="_FMCT Oil_MTHLY_MWH_to EOC_AS AVAILABLE_FCR projected_inputs_for_UI_080914 ngr_r1" xfId="341"/>
    <cellStyle name="_FMCT Oil_MTHLY_MWH_to EOC_AS AVAILABLE_inventory cost calculations" xfId="342"/>
    <cellStyle name="_FMCT Oil_QF Energy and Capacity Proj Update 3.2013" xfId="343"/>
    <cellStyle name="_FMCT Oil_QF Energy and Capacity Proj Update 3.2013_FCR projected_inputs_for_UI_080914 ngr_r1" xfId="344"/>
    <cellStyle name="_FMCT Oil_QF Energy and Capacity Proj Update 3.2013_inventory cost calculations" xfId="345"/>
    <cellStyle name="_GTDW_DataTemplate" xfId="9"/>
    <cellStyle name="_GTDW_DataTemplate 2" xfId="346"/>
    <cellStyle name="_GTDW_DataTemplate 2_FCR projected_inputs_for_UI_080914 ngr_r1" xfId="347"/>
    <cellStyle name="_GTDW_DataTemplate 2_inventory cost calculations" xfId="348"/>
    <cellStyle name="_GTDW_DataTemplate_130204 2013 - 2061 LONG-TERM FORECAST FPL METHODOLOGY Clean Copy" xfId="349"/>
    <cellStyle name="_GTDW_DataTemplate_130204 2013 - 2061 LONG-TERM FORECAST FPL METHODOLOGY Clean Copy_FCR projected_inputs_for_UI_080914 ngr_r1" xfId="350"/>
    <cellStyle name="_GTDW_DataTemplate_130204 2013 - 2061 LONG-TERM FORECAST FPL METHODOLOGY Clean Copy_inventory cost calculations" xfId="351"/>
    <cellStyle name="_GTDW_DataTemplate_E3_Adjustments_yr2013" xfId="352"/>
    <cellStyle name="_GTDW_DataTemplate_E3_Adjustments_yr2013_FCR projected_inputs_for_UI_080914 ngr_r1" xfId="353"/>
    <cellStyle name="_GTDW_DataTemplate_E3_Adjustments_yr2013_inventory cost calculations" xfId="354"/>
    <cellStyle name="_GTDW_DataTemplate_E3_Adjustments_yr2014" xfId="355"/>
    <cellStyle name="_GTDW_DataTemplate_E3_Adjustments_yr2014_FCR projected_inputs_for_UI_080914 ngr_r1" xfId="356"/>
    <cellStyle name="_GTDW_DataTemplate_E3_Adjustments_yr2014_inventory cost calculations" xfId="357"/>
    <cellStyle name="_GTDW_DataTemplate_E3_Adjustments_yr2015" xfId="358"/>
    <cellStyle name="_GTDW_DataTemplate_E3_Adjustments_yr2015_FCR projected_inputs_for_UI_080914 ngr_r1" xfId="359"/>
    <cellStyle name="_GTDW_DataTemplate_E3_Adjustments_yr2015_inventory cost calculations" xfId="360"/>
    <cellStyle name="_GTDW_DataTemplate_E3_Adjustments_yr2016" xfId="361"/>
    <cellStyle name="_GTDW_DataTemplate_E3_Adjustments_yr2016_FCR projected_inputs_for_UI_080914 ngr_r1" xfId="362"/>
    <cellStyle name="_GTDW_DataTemplate_E3_Adjustments_yr2016_inventory cost calculations" xfId="363"/>
    <cellStyle name="_GTDW_DataTemplate_E3_Adjustments_yr2017" xfId="364"/>
    <cellStyle name="_GTDW_DataTemplate_E3_Adjustments_yr2017_FCR projected_inputs_for_UI_080914 ngr_r1" xfId="365"/>
    <cellStyle name="_GTDW_DataTemplate_E3_Adjustments_yr2017_inventory cost calculations" xfId="366"/>
    <cellStyle name="_GTDW_DataTemplate_E3_Adjustments_yr2018" xfId="367"/>
    <cellStyle name="_GTDW_DataTemplate_E3_Adjustments_yr2018_FCR projected_inputs_for_UI_080914 ngr_r1" xfId="368"/>
    <cellStyle name="_GTDW_DataTemplate_E3_Adjustments_yr2018_inventory cost calculations" xfId="369"/>
    <cellStyle name="_GTDW_DataTemplate_MTHLY_MWH_to EOC_AS AVAILABLE" xfId="370"/>
    <cellStyle name="_GTDW_DataTemplate_MTHLY_MWH_to EOC_AS AVAILABLE_FCR projected_inputs_for_UI_080914 ngr_r1" xfId="371"/>
    <cellStyle name="_GTDW_DataTemplate_MTHLY_MWH_to EOC_AS AVAILABLE_inventory cost calculations" xfId="372"/>
    <cellStyle name="_GTDW_DataTemplate_QF Energy and Capacity Proj Update 3.2013" xfId="373"/>
    <cellStyle name="_GTDW_DataTemplate_QF Energy and Capacity Proj Update 3.2013_FCR projected_inputs_for_UI_080914 ngr_r1" xfId="374"/>
    <cellStyle name="_GTDW_DataTemplate_QF Energy and Capacity Proj Update 3.2013_inventory cost calculations" xfId="375"/>
    <cellStyle name="_Gulfstream Gas" xfId="10"/>
    <cellStyle name="_Gulfstream Gas 2" xfId="376"/>
    <cellStyle name="_Gulfstream Gas 2_FCR projected_inputs_for_UI_080914 ngr_r1" xfId="377"/>
    <cellStyle name="_Gulfstream Gas 2_inventory cost calculations" xfId="378"/>
    <cellStyle name="_Gulfstream Gas_130204 2013 - 2061 LONG-TERM FORECAST FPL METHODOLOGY Clean Copy" xfId="379"/>
    <cellStyle name="_Gulfstream Gas_130204 2013 - 2061 LONG-TERM FORECAST FPL METHODOLOGY Clean Copy_FCR projected_inputs_for_UI_080914 ngr_r1" xfId="380"/>
    <cellStyle name="_Gulfstream Gas_130204 2013 - 2061 LONG-TERM FORECAST FPL METHODOLOGY Clean Copy_inventory cost calculations" xfId="381"/>
    <cellStyle name="_Gulfstream Gas_E3_Adjustments_yr2013" xfId="382"/>
    <cellStyle name="_Gulfstream Gas_E3_Adjustments_yr2013_FCR projected_inputs_for_UI_080914 ngr_r1" xfId="383"/>
    <cellStyle name="_Gulfstream Gas_E3_Adjustments_yr2013_inventory cost calculations" xfId="384"/>
    <cellStyle name="_Gulfstream Gas_E3_Adjustments_yr2014" xfId="385"/>
    <cellStyle name="_Gulfstream Gas_E3_Adjustments_yr2014_FCR projected_inputs_for_UI_080914 ngr_r1" xfId="386"/>
    <cellStyle name="_Gulfstream Gas_E3_Adjustments_yr2014_inventory cost calculations" xfId="387"/>
    <cellStyle name="_Gulfstream Gas_E3_Adjustments_yr2015" xfId="388"/>
    <cellStyle name="_Gulfstream Gas_E3_Adjustments_yr2015_FCR projected_inputs_for_UI_080914 ngr_r1" xfId="389"/>
    <cellStyle name="_Gulfstream Gas_E3_Adjustments_yr2015_inventory cost calculations" xfId="390"/>
    <cellStyle name="_Gulfstream Gas_E3_Adjustments_yr2016" xfId="391"/>
    <cellStyle name="_Gulfstream Gas_E3_Adjustments_yr2016_FCR projected_inputs_for_UI_080914 ngr_r1" xfId="392"/>
    <cellStyle name="_Gulfstream Gas_E3_Adjustments_yr2016_inventory cost calculations" xfId="393"/>
    <cellStyle name="_Gulfstream Gas_E3_Adjustments_yr2017" xfId="394"/>
    <cellStyle name="_Gulfstream Gas_E3_Adjustments_yr2017_FCR projected_inputs_for_UI_080914 ngr_r1" xfId="395"/>
    <cellStyle name="_Gulfstream Gas_E3_Adjustments_yr2017_inventory cost calculations" xfId="396"/>
    <cellStyle name="_Gulfstream Gas_E3_Adjustments_yr2018" xfId="397"/>
    <cellStyle name="_Gulfstream Gas_E3_Adjustments_yr2018_FCR projected_inputs_for_UI_080914 ngr_r1" xfId="398"/>
    <cellStyle name="_Gulfstream Gas_E3_Adjustments_yr2018_inventory cost calculations" xfId="399"/>
    <cellStyle name="_Gulfstream Gas_MTHLY_MWH_to EOC_AS AVAILABLE" xfId="400"/>
    <cellStyle name="_Gulfstream Gas_MTHLY_MWH_to EOC_AS AVAILABLE_FCR projected_inputs_for_UI_080914 ngr_r1" xfId="401"/>
    <cellStyle name="_Gulfstream Gas_MTHLY_MWH_to EOC_AS AVAILABLE_inventory cost calculations" xfId="402"/>
    <cellStyle name="_Gulfstream Gas_QF Energy and Capacity Proj Update 3.2013" xfId="403"/>
    <cellStyle name="_Gulfstream Gas_QF Energy and Capacity Proj Update 3.2013_FCR projected_inputs_for_UI_080914 ngr_r1" xfId="404"/>
    <cellStyle name="_Gulfstream Gas_QF Energy and Capacity Proj Update 3.2013_inventory cost calculations" xfId="405"/>
    <cellStyle name="_Heavy Oil Worksheet" xfId="11"/>
    <cellStyle name="_Heavy Oil Worksheet Update" xfId="12"/>
    <cellStyle name="_Historic" xfId="13"/>
    <cellStyle name="_Light Oil Worksheet" xfId="14"/>
    <cellStyle name="_Light Oil Worksheet Update" xfId="15"/>
    <cellStyle name="_M2M" xfId="406"/>
    <cellStyle name="_M2M_Book2" xfId="407"/>
    <cellStyle name="_M2M_Monthly bill inputs for UI 06_03_13" xfId="408"/>
    <cellStyle name="_Monthly bill inputs for UI 06_03_13" xfId="409"/>
    <cellStyle name="_MR .7 Oil" xfId="16"/>
    <cellStyle name="_MR .7 Oil 2" xfId="410"/>
    <cellStyle name="_MR .7 Oil 2_FCR projected_inputs_for_UI_080914 ngr_r1" xfId="411"/>
    <cellStyle name="_MR .7 Oil 2_inventory cost calculations" xfId="412"/>
    <cellStyle name="_MR .7 Oil_130204 2013 - 2061 LONG-TERM FORECAST FPL METHODOLOGY Clean Copy" xfId="413"/>
    <cellStyle name="_MR .7 Oil_130204 2013 - 2061 LONG-TERM FORECAST FPL METHODOLOGY Clean Copy_FCR projected_inputs_for_UI_080914 ngr_r1" xfId="414"/>
    <cellStyle name="_MR .7 Oil_130204 2013 - 2061 LONG-TERM FORECAST FPL METHODOLOGY Clean Copy_inventory cost calculations" xfId="415"/>
    <cellStyle name="_MR .7 Oil_E3_Adjustments_yr2013" xfId="416"/>
    <cellStyle name="_MR .7 Oil_E3_Adjustments_yr2013_FCR projected_inputs_for_UI_080914 ngr_r1" xfId="417"/>
    <cellStyle name="_MR .7 Oil_E3_Adjustments_yr2013_inventory cost calculations" xfId="418"/>
    <cellStyle name="_MR .7 Oil_E3_Adjustments_yr2014" xfId="419"/>
    <cellStyle name="_MR .7 Oil_E3_Adjustments_yr2014_FCR projected_inputs_for_UI_080914 ngr_r1" xfId="420"/>
    <cellStyle name="_MR .7 Oil_E3_Adjustments_yr2014_inventory cost calculations" xfId="421"/>
    <cellStyle name="_MR .7 Oil_E3_Adjustments_yr2015" xfId="422"/>
    <cellStyle name="_MR .7 Oil_E3_Adjustments_yr2015_FCR projected_inputs_for_UI_080914 ngr_r1" xfId="423"/>
    <cellStyle name="_MR .7 Oil_E3_Adjustments_yr2015_inventory cost calculations" xfId="424"/>
    <cellStyle name="_MR .7 Oil_E3_Adjustments_yr2016" xfId="425"/>
    <cellStyle name="_MR .7 Oil_E3_Adjustments_yr2016_FCR projected_inputs_for_UI_080914 ngr_r1" xfId="426"/>
    <cellStyle name="_MR .7 Oil_E3_Adjustments_yr2016_inventory cost calculations" xfId="427"/>
    <cellStyle name="_MR .7 Oil_E3_Adjustments_yr2017" xfId="428"/>
    <cellStyle name="_MR .7 Oil_E3_Adjustments_yr2017_FCR projected_inputs_for_UI_080914 ngr_r1" xfId="429"/>
    <cellStyle name="_MR .7 Oil_E3_Adjustments_yr2017_inventory cost calculations" xfId="430"/>
    <cellStyle name="_MR .7 Oil_E3_Adjustments_yr2018" xfId="431"/>
    <cellStyle name="_MR .7 Oil_E3_Adjustments_yr2018_FCR projected_inputs_for_UI_080914 ngr_r1" xfId="432"/>
    <cellStyle name="_MR .7 Oil_E3_Adjustments_yr2018_inventory cost calculations" xfId="433"/>
    <cellStyle name="_MR .7 Oil_MTHLY_MWH_to EOC_AS AVAILABLE" xfId="434"/>
    <cellStyle name="_MR .7 Oil_MTHLY_MWH_to EOC_AS AVAILABLE_FCR projected_inputs_for_UI_080914 ngr_r1" xfId="435"/>
    <cellStyle name="_MR .7 Oil_MTHLY_MWH_to EOC_AS AVAILABLE_inventory cost calculations" xfId="436"/>
    <cellStyle name="_MR .7 Oil_QF Energy and Capacity Proj Update 3.2013" xfId="437"/>
    <cellStyle name="_MR .7 Oil_QF Energy and Capacity Proj Update 3.2013_FCR projected_inputs_for_UI_080914 ngr_r1" xfId="438"/>
    <cellStyle name="_MR .7 Oil_QF Energy and Capacity Proj Update 3.2013_inventory cost calculations" xfId="439"/>
    <cellStyle name="_MR 1 Oil" xfId="17"/>
    <cellStyle name="_MR 1 Oil 2" xfId="440"/>
    <cellStyle name="_MR 1 Oil 2_FCR projected_inputs_for_UI_080914 ngr_r1" xfId="441"/>
    <cellStyle name="_MR 1 Oil 2_inventory cost calculations" xfId="442"/>
    <cellStyle name="_MR 1 Oil_130204 2013 - 2061 LONG-TERM FORECAST FPL METHODOLOGY Clean Copy" xfId="443"/>
    <cellStyle name="_MR 1 Oil_130204 2013 - 2061 LONG-TERM FORECAST FPL METHODOLOGY Clean Copy_FCR projected_inputs_for_UI_080914 ngr_r1" xfId="444"/>
    <cellStyle name="_MR 1 Oil_130204 2013 - 2061 LONG-TERM FORECAST FPL METHODOLOGY Clean Copy_inventory cost calculations" xfId="445"/>
    <cellStyle name="_MR 1 Oil_E3_Adjustments_yr2013" xfId="446"/>
    <cellStyle name="_MR 1 Oil_E3_Adjustments_yr2013_FCR projected_inputs_for_UI_080914 ngr_r1" xfId="447"/>
    <cellStyle name="_MR 1 Oil_E3_Adjustments_yr2013_inventory cost calculations" xfId="448"/>
    <cellStyle name="_MR 1 Oil_E3_Adjustments_yr2014" xfId="449"/>
    <cellStyle name="_MR 1 Oil_E3_Adjustments_yr2014_FCR projected_inputs_for_UI_080914 ngr_r1" xfId="450"/>
    <cellStyle name="_MR 1 Oil_E3_Adjustments_yr2014_inventory cost calculations" xfId="451"/>
    <cellStyle name="_MR 1 Oil_E3_Adjustments_yr2015" xfId="452"/>
    <cellStyle name="_MR 1 Oil_E3_Adjustments_yr2015_FCR projected_inputs_for_UI_080914 ngr_r1" xfId="453"/>
    <cellStyle name="_MR 1 Oil_E3_Adjustments_yr2015_inventory cost calculations" xfId="454"/>
    <cellStyle name="_MR 1 Oil_E3_Adjustments_yr2016" xfId="455"/>
    <cellStyle name="_MR 1 Oil_E3_Adjustments_yr2016_FCR projected_inputs_for_UI_080914 ngr_r1" xfId="456"/>
    <cellStyle name="_MR 1 Oil_E3_Adjustments_yr2016_inventory cost calculations" xfId="457"/>
    <cellStyle name="_MR 1 Oil_E3_Adjustments_yr2017" xfId="458"/>
    <cellStyle name="_MR 1 Oil_E3_Adjustments_yr2017_FCR projected_inputs_for_UI_080914 ngr_r1" xfId="459"/>
    <cellStyle name="_MR 1 Oil_E3_Adjustments_yr2017_inventory cost calculations" xfId="460"/>
    <cellStyle name="_MR 1 Oil_E3_Adjustments_yr2018" xfId="461"/>
    <cellStyle name="_MR 1 Oil_E3_Adjustments_yr2018_FCR projected_inputs_for_UI_080914 ngr_r1" xfId="462"/>
    <cellStyle name="_MR 1 Oil_E3_Adjustments_yr2018_inventory cost calculations" xfId="463"/>
    <cellStyle name="_MR 1 Oil_MTHLY_MWH_to EOC_AS AVAILABLE" xfId="464"/>
    <cellStyle name="_MR 1 Oil_MTHLY_MWH_to EOC_AS AVAILABLE_FCR projected_inputs_for_UI_080914 ngr_r1" xfId="465"/>
    <cellStyle name="_MR 1 Oil_MTHLY_MWH_to EOC_AS AVAILABLE_inventory cost calculations" xfId="466"/>
    <cellStyle name="_MR 1 Oil_QF Energy and Capacity Proj Update 3.2013" xfId="467"/>
    <cellStyle name="_MR 1 Oil_QF Energy and Capacity Proj Update 3.2013_FCR projected_inputs_for_UI_080914 ngr_r1" xfId="468"/>
    <cellStyle name="_MR 1 Oil_QF Energy and Capacity Proj Update 3.2013_inventory cost calculations" xfId="469"/>
    <cellStyle name="_MRCT Oil" xfId="18"/>
    <cellStyle name="_MRCT Oil 2" xfId="470"/>
    <cellStyle name="_MRCT Oil 2_FCR projected_inputs_for_UI_080914 ngr_r1" xfId="471"/>
    <cellStyle name="_MRCT Oil 2_inventory cost calculations" xfId="472"/>
    <cellStyle name="_MRCT Oil_130204 2013 - 2061 LONG-TERM FORECAST FPL METHODOLOGY Clean Copy" xfId="473"/>
    <cellStyle name="_MRCT Oil_130204 2013 - 2061 LONG-TERM FORECAST FPL METHODOLOGY Clean Copy_FCR projected_inputs_for_UI_080914 ngr_r1" xfId="474"/>
    <cellStyle name="_MRCT Oil_130204 2013 - 2061 LONG-TERM FORECAST FPL METHODOLOGY Clean Copy_inventory cost calculations" xfId="475"/>
    <cellStyle name="_MRCT Oil_E3_Adjustments_yr2013" xfId="476"/>
    <cellStyle name="_MRCT Oil_E3_Adjustments_yr2013_FCR projected_inputs_for_UI_080914 ngr_r1" xfId="477"/>
    <cellStyle name="_MRCT Oil_E3_Adjustments_yr2013_inventory cost calculations" xfId="478"/>
    <cellStyle name="_MRCT Oil_E3_Adjustments_yr2014" xfId="479"/>
    <cellStyle name="_MRCT Oil_E3_Adjustments_yr2014_FCR projected_inputs_for_UI_080914 ngr_r1" xfId="480"/>
    <cellStyle name="_MRCT Oil_E3_Adjustments_yr2014_inventory cost calculations" xfId="481"/>
    <cellStyle name="_MRCT Oil_E3_Adjustments_yr2015" xfId="482"/>
    <cellStyle name="_MRCT Oil_E3_Adjustments_yr2015_FCR projected_inputs_for_UI_080914 ngr_r1" xfId="483"/>
    <cellStyle name="_MRCT Oil_E3_Adjustments_yr2015_inventory cost calculations" xfId="484"/>
    <cellStyle name="_MRCT Oil_E3_Adjustments_yr2016" xfId="485"/>
    <cellStyle name="_MRCT Oil_E3_Adjustments_yr2016_FCR projected_inputs_for_UI_080914 ngr_r1" xfId="486"/>
    <cellStyle name="_MRCT Oil_E3_Adjustments_yr2016_inventory cost calculations" xfId="487"/>
    <cellStyle name="_MRCT Oil_E3_Adjustments_yr2017" xfId="488"/>
    <cellStyle name="_MRCT Oil_E3_Adjustments_yr2017_FCR projected_inputs_for_UI_080914 ngr_r1" xfId="489"/>
    <cellStyle name="_MRCT Oil_E3_Adjustments_yr2017_inventory cost calculations" xfId="490"/>
    <cellStyle name="_MRCT Oil_E3_Adjustments_yr2018" xfId="491"/>
    <cellStyle name="_MRCT Oil_E3_Adjustments_yr2018_FCR projected_inputs_for_UI_080914 ngr_r1" xfId="492"/>
    <cellStyle name="_MRCT Oil_E3_Adjustments_yr2018_inventory cost calculations" xfId="493"/>
    <cellStyle name="_MRCT Oil_MTHLY_MWH_to EOC_AS AVAILABLE" xfId="494"/>
    <cellStyle name="_MRCT Oil_MTHLY_MWH_to EOC_AS AVAILABLE_FCR projected_inputs_for_UI_080914 ngr_r1" xfId="495"/>
    <cellStyle name="_MRCT Oil_MTHLY_MWH_to EOC_AS AVAILABLE_inventory cost calculations" xfId="496"/>
    <cellStyle name="_MRCT Oil_QF Energy and Capacity Proj Update 3.2013" xfId="497"/>
    <cellStyle name="_MRCT Oil_QF Energy and Capacity Proj Update 3.2013_FCR projected_inputs_for_UI_080914 ngr_r1" xfId="498"/>
    <cellStyle name="_MRCT Oil_QF Energy and Capacity Proj Update 3.2013_inventory cost calculations" xfId="499"/>
    <cellStyle name="_MT Gulfstream Gas" xfId="19"/>
    <cellStyle name="_MT Gulfstream Gas 2" xfId="500"/>
    <cellStyle name="_MT Gulfstream Gas 2_FCR projected_inputs_for_UI_080914 ngr_r1" xfId="501"/>
    <cellStyle name="_MT Gulfstream Gas 2_inventory cost calculations" xfId="502"/>
    <cellStyle name="_MT Gulfstream Gas_130204 2013 - 2061 LONG-TERM FORECAST FPL METHODOLOGY Clean Copy" xfId="503"/>
    <cellStyle name="_MT Gulfstream Gas_130204 2013 - 2061 LONG-TERM FORECAST FPL METHODOLOGY Clean Copy_FCR projected_inputs_for_UI_080914 ngr_r1" xfId="504"/>
    <cellStyle name="_MT Gulfstream Gas_130204 2013 - 2061 LONG-TERM FORECAST FPL METHODOLOGY Clean Copy_inventory cost calculations" xfId="505"/>
    <cellStyle name="_MT Gulfstream Gas_E3_Adjustments_yr2013" xfId="506"/>
    <cellStyle name="_MT Gulfstream Gas_E3_Adjustments_yr2013_FCR projected_inputs_for_UI_080914 ngr_r1" xfId="507"/>
    <cellStyle name="_MT Gulfstream Gas_E3_Adjustments_yr2013_inventory cost calculations" xfId="508"/>
    <cellStyle name="_MT Gulfstream Gas_E3_Adjustments_yr2014" xfId="509"/>
    <cellStyle name="_MT Gulfstream Gas_E3_Adjustments_yr2014_FCR projected_inputs_for_UI_080914 ngr_r1" xfId="510"/>
    <cellStyle name="_MT Gulfstream Gas_E3_Adjustments_yr2014_inventory cost calculations" xfId="511"/>
    <cellStyle name="_MT Gulfstream Gas_E3_Adjustments_yr2015" xfId="512"/>
    <cellStyle name="_MT Gulfstream Gas_E3_Adjustments_yr2015_FCR projected_inputs_for_UI_080914 ngr_r1" xfId="513"/>
    <cellStyle name="_MT Gulfstream Gas_E3_Adjustments_yr2015_inventory cost calculations" xfId="514"/>
    <cellStyle name="_MT Gulfstream Gas_E3_Adjustments_yr2016" xfId="515"/>
    <cellStyle name="_MT Gulfstream Gas_E3_Adjustments_yr2016_FCR projected_inputs_for_UI_080914 ngr_r1" xfId="516"/>
    <cellStyle name="_MT Gulfstream Gas_E3_Adjustments_yr2016_inventory cost calculations" xfId="517"/>
    <cellStyle name="_MT Gulfstream Gas_E3_Adjustments_yr2017" xfId="518"/>
    <cellStyle name="_MT Gulfstream Gas_E3_Adjustments_yr2017_FCR projected_inputs_for_UI_080914 ngr_r1" xfId="519"/>
    <cellStyle name="_MT Gulfstream Gas_E3_Adjustments_yr2017_inventory cost calculations" xfId="520"/>
    <cellStyle name="_MT Gulfstream Gas_E3_Adjustments_yr2018" xfId="521"/>
    <cellStyle name="_MT Gulfstream Gas_E3_Adjustments_yr2018_FCR projected_inputs_for_UI_080914 ngr_r1" xfId="522"/>
    <cellStyle name="_MT Gulfstream Gas_E3_Adjustments_yr2018_inventory cost calculations" xfId="523"/>
    <cellStyle name="_MT Gulfstream Gas_MTHLY_MWH_to EOC_AS AVAILABLE" xfId="524"/>
    <cellStyle name="_MT Gulfstream Gas_MTHLY_MWH_to EOC_AS AVAILABLE_FCR projected_inputs_for_UI_080914 ngr_r1" xfId="525"/>
    <cellStyle name="_MT Gulfstream Gas_MTHLY_MWH_to EOC_AS AVAILABLE_inventory cost calculations" xfId="526"/>
    <cellStyle name="_MT Gulfstream Gas_QF Energy and Capacity Proj Update 3.2013" xfId="527"/>
    <cellStyle name="_MT Gulfstream Gas_QF Energy and Capacity Proj Update 3.2013_FCR projected_inputs_for_UI_080914 ngr_r1" xfId="528"/>
    <cellStyle name="_MT Gulfstream Gas_QF Energy and Capacity Proj Update 3.2013_inventory cost calculations" xfId="529"/>
    <cellStyle name="_MT Oil" xfId="20"/>
    <cellStyle name="_MT Oil 2" xfId="530"/>
    <cellStyle name="_MT Oil 2_FCR projected_inputs_for_UI_080914 ngr_r1" xfId="531"/>
    <cellStyle name="_MT Oil 2_inventory cost calculations" xfId="532"/>
    <cellStyle name="_MT Oil_130204 2013 - 2061 LONG-TERM FORECAST FPL METHODOLOGY Clean Copy" xfId="533"/>
    <cellStyle name="_MT Oil_130204 2013 - 2061 LONG-TERM FORECAST FPL METHODOLOGY Clean Copy_FCR projected_inputs_for_UI_080914 ngr_r1" xfId="534"/>
    <cellStyle name="_MT Oil_130204 2013 - 2061 LONG-TERM FORECAST FPL METHODOLOGY Clean Copy_inventory cost calculations" xfId="535"/>
    <cellStyle name="_MT Oil_E3_Adjustments_yr2013" xfId="536"/>
    <cellStyle name="_MT Oil_E3_Adjustments_yr2013_FCR projected_inputs_for_UI_080914 ngr_r1" xfId="537"/>
    <cellStyle name="_MT Oil_E3_Adjustments_yr2013_inventory cost calculations" xfId="538"/>
    <cellStyle name="_MT Oil_E3_Adjustments_yr2014" xfId="539"/>
    <cellStyle name="_MT Oil_E3_Adjustments_yr2014_FCR projected_inputs_for_UI_080914 ngr_r1" xfId="540"/>
    <cellStyle name="_MT Oil_E3_Adjustments_yr2014_inventory cost calculations" xfId="541"/>
    <cellStyle name="_MT Oil_E3_Adjustments_yr2015" xfId="542"/>
    <cellStyle name="_MT Oil_E3_Adjustments_yr2015_FCR projected_inputs_for_UI_080914 ngr_r1" xfId="543"/>
    <cellStyle name="_MT Oil_E3_Adjustments_yr2015_inventory cost calculations" xfId="544"/>
    <cellStyle name="_MT Oil_E3_Adjustments_yr2016" xfId="545"/>
    <cellStyle name="_MT Oil_E3_Adjustments_yr2016_FCR projected_inputs_for_UI_080914 ngr_r1" xfId="546"/>
    <cellStyle name="_MT Oil_E3_Adjustments_yr2016_inventory cost calculations" xfId="547"/>
    <cellStyle name="_MT Oil_E3_Adjustments_yr2017" xfId="548"/>
    <cellStyle name="_MT Oil_E3_Adjustments_yr2017_FCR projected_inputs_for_UI_080914 ngr_r1" xfId="549"/>
    <cellStyle name="_MT Oil_E3_Adjustments_yr2017_inventory cost calculations" xfId="550"/>
    <cellStyle name="_MT Oil_E3_Adjustments_yr2018" xfId="551"/>
    <cellStyle name="_MT Oil_E3_Adjustments_yr2018_FCR projected_inputs_for_UI_080914 ngr_r1" xfId="552"/>
    <cellStyle name="_MT Oil_E3_Adjustments_yr2018_inventory cost calculations" xfId="553"/>
    <cellStyle name="_MT Oil_MTHLY_MWH_to EOC_AS AVAILABLE" xfId="554"/>
    <cellStyle name="_MT Oil_MTHLY_MWH_to EOC_AS AVAILABLE_FCR projected_inputs_for_UI_080914 ngr_r1" xfId="555"/>
    <cellStyle name="_MT Oil_MTHLY_MWH_to EOC_AS AVAILABLE_inventory cost calculations" xfId="556"/>
    <cellStyle name="_MT Oil_QF Energy and Capacity Proj Update 3.2013" xfId="557"/>
    <cellStyle name="_MT Oil_QF Energy and Capacity Proj Update 3.2013_FCR projected_inputs_for_UI_080914 ngr_r1" xfId="558"/>
    <cellStyle name="_MT Oil_QF Energy and Capacity Proj Update 3.2013_inventory cost calculations" xfId="559"/>
    <cellStyle name="_Natural Gas Worksheet" xfId="21"/>
    <cellStyle name="_OLCT Oil" xfId="22"/>
    <cellStyle name="_OLCT Oil 2" xfId="560"/>
    <cellStyle name="_OLCT Oil 2_FCR projected_inputs_for_UI_080914 ngr_r1" xfId="561"/>
    <cellStyle name="_OLCT Oil 2_inventory cost calculations" xfId="562"/>
    <cellStyle name="_OLCT Oil_130204 2013 - 2061 LONG-TERM FORECAST FPL METHODOLOGY Clean Copy" xfId="563"/>
    <cellStyle name="_OLCT Oil_130204 2013 - 2061 LONG-TERM FORECAST FPL METHODOLOGY Clean Copy_FCR projected_inputs_for_UI_080914 ngr_r1" xfId="564"/>
    <cellStyle name="_OLCT Oil_130204 2013 - 2061 LONG-TERM FORECAST FPL METHODOLOGY Clean Copy_inventory cost calculations" xfId="565"/>
    <cellStyle name="_OLCT Oil_E3_Adjustments_yr2013" xfId="566"/>
    <cellStyle name="_OLCT Oil_E3_Adjustments_yr2013_FCR projected_inputs_for_UI_080914 ngr_r1" xfId="567"/>
    <cellStyle name="_OLCT Oil_E3_Adjustments_yr2013_inventory cost calculations" xfId="568"/>
    <cellStyle name="_OLCT Oil_E3_Adjustments_yr2014" xfId="569"/>
    <cellStyle name="_OLCT Oil_E3_Adjustments_yr2014_FCR projected_inputs_for_UI_080914 ngr_r1" xfId="570"/>
    <cellStyle name="_OLCT Oil_E3_Adjustments_yr2014_inventory cost calculations" xfId="571"/>
    <cellStyle name="_OLCT Oil_E3_Adjustments_yr2015" xfId="572"/>
    <cellStyle name="_OLCT Oil_E3_Adjustments_yr2015_FCR projected_inputs_for_UI_080914 ngr_r1" xfId="573"/>
    <cellStyle name="_OLCT Oil_E3_Adjustments_yr2015_inventory cost calculations" xfId="574"/>
    <cellStyle name="_OLCT Oil_E3_Adjustments_yr2016" xfId="575"/>
    <cellStyle name="_OLCT Oil_E3_Adjustments_yr2016_FCR projected_inputs_for_UI_080914 ngr_r1" xfId="576"/>
    <cellStyle name="_OLCT Oil_E3_Adjustments_yr2016_inventory cost calculations" xfId="577"/>
    <cellStyle name="_OLCT Oil_E3_Adjustments_yr2017" xfId="578"/>
    <cellStyle name="_OLCT Oil_E3_Adjustments_yr2017_FCR projected_inputs_for_UI_080914 ngr_r1" xfId="579"/>
    <cellStyle name="_OLCT Oil_E3_Adjustments_yr2017_inventory cost calculations" xfId="580"/>
    <cellStyle name="_OLCT Oil_E3_Adjustments_yr2018" xfId="581"/>
    <cellStyle name="_OLCT Oil_E3_Adjustments_yr2018_FCR projected_inputs_for_UI_080914 ngr_r1" xfId="582"/>
    <cellStyle name="_OLCT Oil_E3_Adjustments_yr2018_inventory cost calculations" xfId="583"/>
    <cellStyle name="_OLCT Oil_MTHLY_MWH_to EOC_AS AVAILABLE" xfId="584"/>
    <cellStyle name="_OLCT Oil_MTHLY_MWH_to EOC_AS AVAILABLE_FCR projected_inputs_for_UI_080914 ngr_r1" xfId="585"/>
    <cellStyle name="_OLCT Oil_MTHLY_MWH_to EOC_AS AVAILABLE_inventory cost calculations" xfId="586"/>
    <cellStyle name="_OLCT Oil_QF Energy and Capacity Proj Update 3.2013" xfId="587"/>
    <cellStyle name="_OLCT Oil_QF Energy and Capacity Proj Update 3.2013_FCR projected_inputs_for_UI_080914 ngr_r1" xfId="588"/>
    <cellStyle name="_OLCT Oil_QF Energy and Capacity Proj Update 3.2013_inventory cost calculations" xfId="589"/>
    <cellStyle name="_PE Oil" xfId="23"/>
    <cellStyle name="_PE Oil 2" xfId="590"/>
    <cellStyle name="_PE Oil 2_FCR projected_inputs_for_UI_080914 ngr_r1" xfId="591"/>
    <cellStyle name="_PE Oil 2_inventory cost calculations" xfId="592"/>
    <cellStyle name="_PE Oil_130204 2013 - 2061 LONG-TERM FORECAST FPL METHODOLOGY Clean Copy" xfId="593"/>
    <cellStyle name="_PE Oil_130204 2013 - 2061 LONG-TERM FORECAST FPL METHODOLOGY Clean Copy_FCR projected_inputs_for_UI_080914 ngr_r1" xfId="594"/>
    <cellStyle name="_PE Oil_130204 2013 - 2061 LONG-TERM FORECAST FPL METHODOLOGY Clean Copy_inventory cost calculations" xfId="595"/>
    <cellStyle name="_PE Oil_E3_Adjustments_yr2013" xfId="596"/>
    <cellStyle name="_PE Oil_E3_Adjustments_yr2013_FCR projected_inputs_for_UI_080914 ngr_r1" xfId="597"/>
    <cellStyle name="_PE Oil_E3_Adjustments_yr2013_inventory cost calculations" xfId="598"/>
    <cellStyle name="_PE Oil_E3_Adjustments_yr2014" xfId="599"/>
    <cellStyle name="_PE Oil_E3_Adjustments_yr2014_FCR projected_inputs_for_UI_080914 ngr_r1" xfId="600"/>
    <cellStyle name="_PE Oil_E3_Adjustments_yr2014_inventory cost calculations" xfId="601"/>
    <cellStyle name="_PE Oil_E3_Adjustments_yr2015" xfId="602"/>
    <cellStyle name="_PE Oil_E3_Adjustments_yr2015_FCR projected_inputs_for_UI_080914 ngr_r1" xfId="603"/>
    <cellStyle name="_PE Oil_E3_Adjustments_yr2015_inventory cost calculations" xfId="604"/>
    <cellStyle name="_PE Oil_E3_Adjustments_yr2016" xfId="605"/>
    <cellStyle name="_PE Oil_E3_Adjustments_yr2016_FCR projected_inputs_for_UI_080914 ngr_r1" xfId="606"/>
    <cellStyle name="_PE Oil_E3_Adjustments_yr2016_inventory cost calculations" xfId="607"/>
    <cellStyle name="_PE Oil_E3_Adjustments_yr2017" xfId="608"/>
    <cellStyle name="_PE Oil_E3_Adjustments_yr2017_FCR projected_inputs_for_UI_080914 ngr_r1" xfId="609"/>
    <cellStyle name="_PE Oil_E3_Adjustments_yr2017_inventory cost calculations" xfId="610"/>
    <cellStyle name="_PE Oil_E3_Adjustments_yr2018" xfId="611"/>
    <cellStyle name="_PE Oil_E3_Adjustments_yr2018_FCR projected_inputs_for_UI_080914 ngr_r1" xfId="612"/>
    <cellStyle name="_PE Oil_E3_Adjustments_yr2018_inventory cost calculations" xfId="613"/>
    <cellStyle name="_PE Oil_MTHLY_MWH_to EOC_AS AVAILABLE" xfId="614"/>
    <cellStyle name="_PE Oil_MTHLY_MWH_to EOC_AS AVAILABLE_FCR projected_inputs_for_UI_080914 ngr_r1" xfId="615"/>
    <cellStyle name="_PE Oil_MTHLY_MWH_to EOC_AS AVAILABLE_inventory cost calculations" xfId="616"/>
    <cellStyle name="_PE Oil_QF Energy and Capacity Proj Update 3.2013" xfId="617"/>
    <cellStyle name="_PE Oil_QF Energy and Capacity Proj Update 3.2013_FCR projected_inputs_for_UI_080914 ngr_r1" xfId="618"/>
    <cellStyle name="_PE Oil_QF Energy and Capacity Proj Update 3.2013_inventory cost calculations" xfId="619"/>
    <cellStyle name="_PN Oil" xfId="24"/>
    <cellStyle name="_PN Oil 2" xfId="620"/>
    <cellStyle name="_PN Oil 2_FCR projected_inputs_for_UI_080914 ngr_r1" xfId="621"/>
    <cellStyle name="_PN Oil 2_inventory cost calculations" xfId="622"/>
    <cellStyle name="_PN Oil_130204 2013 - 2061 LONG-TERM FORECAST FPL METHODOLOGY Clean Copy" xfId="623"/>
    <cellStyle name="_PN Oil_130204 2013 - 2061 LONG-TERM FORECAST FPL METHODOLOGY Clean Copy_FCR projected_inputs_for_UI_080914 ngr_r1" xfId="624"/>
    <cellStyle name="_PN Oil_130204 2013 - 2061 LONG-TERM FORECAST FPL METHODOLOGY Clean Copy_inventory cost calculations" xfId="625"/>
    <cellStyle name="_PN Oil_E3_Adjustments_yr2013" xfId="626"/>
    <cellStyle name="_PN Oil_E3_Adjustments_yr2013_FCR projected_inputs_for_UI_080914 ngr_r1" xfId="627"/>
    <cellStyle name="_PN Oil_E3_Adjustments_yr2013_inventory cost calculations" xfId="628"/>
    <cellStyle name="_PN Oil_E3_Adjustments_yr2014" xfId="629"/>
    <cellStyle name="_PN Oil_E3_Adjustments_yr2014_FCR projected_inputs_for_UI_080914 ngr_r1" xfId="630"/>
    <cellStyle name="_PN Oil_E3_Adjustments_yr2014_inventory cost calculations" xfId="631"/>
    <cellStyle name="_PN Oil_E3_Adjustments_yr2015" xfId="632"/>
    <cellStyle name="_PN Oil_E3_Adjustments_yr2015_FCR projected_inputs_for_UI_080914 ngr_r1" xfId="633"/>
    <cellStyle name="_PN Oil_E3_Adjustments_yr2015_inventory cost calculations" xfId="634"/>
    <cellStyle name="_PN Oil_E3_Adjustments_yr2016" xfId="635"/>
    <cellStyle name="_PN Oil_E3_Adjustments_yr2016_FCR projected_inputs_for_UI_080914 ngr_r1" xfId="636"/>
    <cellStyle name="_PN Oil_E3_Adjustments_yr2016_inventory cost calculations" xfId="637"/>
    <cellStyle name="_PN Oil_E3_Adjustments_yr2017" xfId="638"/>
    <cellStyle name="_PN Oil_E3_Adjustments_yr2017_FCR projected_inputs_for_UI_080914 ngr_r1" xfId="639"/>
    <cellStyle name="_PN Oil_E3_Adjustments_yr2017_inventory cost calculations" xfId="640"/>
    <cellStyle name="_PN Oil_E3_Adjustments_yr2018" xfId="641"/>
    <cellStyle name="_PN Oil_E3_Adjustments_yr2018_FCR projected_inputs_for_UI_080914 ngr_r1" xfId="642"/>
    <cellStyle name="_PN Oil_E3_Adjustments_yr2018_inventory cost calculations" xfId="643"/>
    <cellStyle name="_PN Oil_MTHLY_MWH_to EOC_AS AVAILABLE" xfId="644"/>
    <cellStyle name="_PN Oil_MTHLY_MWH_to EOC_AS AVAILABLE_FCR projected_inputs_for_UI_080914 ngr_r1" xfId="645"/>
    <cellStyle name="_PN Oil_MTHLY_MWH_to EOC_AS AVAILABLE_inventory cost calculations" xfId="646"/>
    <cellStyle name="_PN Oil_QF Energy and Capacity Proj Update 3.2013" xfId="647"/>
    <cellStyle name="_PN Oil_QF Energy and Capacity Proj Update 3.2013_FCR projected_inputs_for_UI_080914 ngr_r1" xfId="648"/>
    <cellStyle name="_PN Oil_QF Energy and Capacity Proj Update 3.2013_inventory cost calculations" xfId="649"/>
    <cellStyle name="_Post Calpine" xfId="650"/>
    <cellStyle name="_Post Calpine_Book2" xfId="651"/>
    <cellStyle name="_Post Calpine_Monthly bill inputs for UI 06_03_13" xfId="652"/>
    <cellStyle name="_ResourcesAug08 (2)" xfId="653"/>
    <cellStyle name="_ResourcesAug08 (2)_Book2" xfId="654"/>
    <cellStyle name="_ResourcesAug08 (2)_Monthly bill inputs for UI 06_03_13" xfId="655"/>
    <cellStyle name="_RV Oil" xfId="25"/>
    <cellStyle name="_RV Oil 2" xfId="656"/>
    <cellStyle name="_RV Oil 2_FCR projected_inputs_for_UI_080914 ngr_r1" xfId="657"/>
    <cellStyle name="_RV Oil 2_inventory cost calculations" xfId="658"/>
    <cellStyle name="_RV Oil_130204 2013 - 2061 LONG-TERM FORECAST FPL METHODOLOGY Clean Copy" xfId="659"/>
    <cellStyle name="_RV Oil_130204 2013 - 2061 LONG-TERM FORECAST FPL METHODOLOGY Clean Copy_FCR projected_inputs_for_UI_080914 ngr_r1" xfId="660"/>
    <cellStyle name="_RV Oil_130204 2013 - 2061 LONG-TERM FORECAST FPL METHODOLOGY Clean Copy_inventory cost calculations" xfId="661"/>
    <cellStyle name="_RV Oil_E3_Adjustments_yr2013" xfId="662"/>
    <cellStyle name="_RV Oil_E3_Adjustments_yr2013_FCR projected_inputs_for_UI_080914 ngr_r1" xfId="663"/>
    <cellStyle name="_RV Oil_E3_Adjustments_yr2013_inventory cost calculations" xfId="664"/>
    <cellStyle name="_RV Oil_E3_Adjustments_yr2014" xfId="665"/>
    <cellStyle name="_RV Oil_E3_Adjustments_yr2014_FCR projected_inputs_for_UI_080914 ngr_r1" xfId="666"/>
    <cellStyle name="_RV Oil_E3_Adjustments_yr2014_inventory cost calculations" xfId="667"/>
    <cellStyle name="_RV Oil_E3_Adjustments_yr2015" xfId="668"/>
    <cellStyle name="_RV Oil_E3_Adjustments_yr2015_FCR projected_inputs_for_UI_080914 ngr_r1" xfId="669"/>
    <cellStyle name="_RV Oil_E3_Adjustments_yr2015_inventory cost calculations" xfId="670"/>
    <cellStyle name="_RV Oil_E3_Adjustments_yr2016" xfId="671"/>
    <cellStyle name="_RV Oil_E3_Adjustments_yr2016_FCR projected_inputs_for_UI_080914 ngr_r1" xfId="672"/>
    <cellStyle name="_RV Oil_E3_Adjustments_yr2016_inventory cost calculations" xfId="673"/>
    <cellStyle name="_RV Oil_E3_Adjustments_yr2017" xfId="674"/>
    <cellStyle name="_RV Oil_E3_Adjustments_yr2017_FCR projected_inputs_for_UI_080914 ngr_r1" xfId="675"/>
    <cellStyle name="_RV Oil_E3_Adjustments_yr2017_inventory cost calculations" xfId="676"/>
    <cellStyle name="_RV Oil_E3_Adjustments_yr2018" xfId="677"/>
    <cellStyle name="_RV Oil_E3_Adjustments_yr2018_FCR projected_inputs_for_UI_080914 ngr_r1" xfId="678"/>
    <cellStyle name="_RV Oil_E3_Adjustments_yr2018_inventory cost calculations" xfId="679"/>
    <cellStyle name="_RV Oil_MTHLY_MWH_to EOC_AS AVAILABLE" xfId="680"/>
    <cellStyle name="_RV Oil_MTHLY_MWH_to EOC_AS AVAILABLE_FCR projected_inputs_for_UI_080914 ngr_r1" xfId="681"/>
    <cellStyle name="_RV Oil_MTHLY_MWH_to EOC_AS AVAILABLE_inventory cost calculations" xfId="682"/>
    <cellStyle name="_RV Oil_QF Energy and Capacity Proj Update 3.2013" xfId="683"/>
    <cellStyle name="_RV Oil_QF Energy and Capacity Proj Update 3.2013_FCR projected_inputs_for_UI_080914 ngr_r1" xfId="684"/>
    <cellStyle name="_RV Oil_QF Energy and Capacity Proj Update 3.2013_inventory cost calculations" xfId="685"/>
    <cellStyle name="_SHCT Oil" xfId="26"/>
    <cellStyle name="_SHCT Oil 2" xfId="686"/>
    <cellStyle name="_SHCT Oil 2_FCR projected_inputs_for_UI_080914 ngr_r1" xfId="687"/>
    <cellStyle name="_SHCT Oil 2_inventory cost calculations" xfId="688"/>
    <cellStyle name="_SHCT Oil_130204 2013 - 2061 LONG-TERM FORECAST FPL METHODOLOGY Clean Copy" xfId="689"/>
    <cellStyle name="_SHCT Oil_130204 2013 - 2061 LONG-TERM FORECAST FPL METHODOLOGY Clean Copy_FCR projected_inputs_for_UI_080914 ngr_r1" xfId="690"/>
    <cellStyle name="_SHCT Oil_130204 2013 - 2061 LONG-TERM FORECAST FPL METHODOLOGY Clean Copy_inventory cost calculations" xfId="691"/>
    <cellStyle name="_SHCT Oil_E3_Adjustments_yr2013" xfId="692"/>
    <cellStyle name="_SHCT Oil_E3_Adjustments_yr2013_FCR projected_inputs_for_UI_080914 ngr_r1" xfId="693"/>
    <cellStyle name="_SHCT Oil_E3_Adjustments_yr2013_inventory cost calculations" xfId="694"/>
    <cellStyle name="_SHCT Oil_E3_Adjustments_yr2014" xfId="695"/>
    <cellStyle name="_SHCT Oil_E3_Adjustments_yr2014_FCR projected_inputs_for_UI_080914 ngr_r1" xfId="696"/>
    <cellStyle name="_SHCT Oil_E3_Adjustments_yr2014_inventory cost calculations" xfId="697"/>
    <cellStyle name="_SHCT Oil_E3_Adjustments_yr2015" xfId="698"/>
    <cellStyle name="_SHCT Oil_E3_Adjustments_yr2015_FCR projected_inputs_for_UI_080914 ngr_r1" xfId="699"/>
    <cellStyle name="_SHCT Oil_E3_Adjustments_yr2015_inventory cost calculations" xfId="700"/>
    <cellStyle name="_SHCT Oil_E3_Adjustments_yr2016" xfId="701"/>
    <cellStyle name="_SHCT Oil_E3_Adjustments_yr2016_FCR projected_inputs_for_UI_080914 ngr_r1" xfId="702"/>
    <cellStyle name="_SHCT Oil_E3_Adjustments_yr2016_inventory cost calculations" xfId="703"/>
    <cellStyle name="_SHCT Oil_E3_Adjustments_yr2017" xfId="704"/>
    <cellStyle name="_SHCT Oil_E3_Adjustments_yr2017_FCR projected_inputs_for_UI_080914 ngr_r1" xfId="705"/>
    <cellStyle name="_SHCT Oil_E3_Adjustments_yr2017_inventory cost calculations" xfId="706"/>
    <cellStyle name="_SHCT Oil_E3_Adjustments_yr2018" xfId="707"/>
    <cellStyle name="_SHCT Oil_E3_Adjustments_yr2018_FCR projected_inputs_for_UI_080914 ngr_r1" xfId="708"/>
    <cellStyle name="_SHCT Oil_E3_Adjustments_yr2018_inventory cost calculations" xfId="709"/>
    <cellStyle name="_SHCT Oil_MTHLY_MWH_to EOC_AS AVAILABLE" xfId="710"/>
    <cellStyle name="_SHCT Oil_MTHLY_MWH_to EOC_AS AVAILABLE_FCR projected_inputs_for_UI_080914 ngr_r1" xfId="711"/>
    <cellStyle name="_SHCT Oil_MTHLY_MWH_to EOC_AS AVAILABLE_inventory cost calculations" xfId="712"/>
    <cellStyle name="_SHCT Oil_QF Energy and Capacity Proj Update 3.2013" xfId="713"/>
    <cellStyle name="_SHCT Oil_QF Energy and Capacity Proj Update 3.2013_FCR projected_inputs_for_UI_080914 ngr_r1" xfId="714"/>
    <cellStyle name="_SHCT Oil_QF Energy and Capacity Proj Update 3.2013_inventory cost calculations" xfId="715"/>
    <cellStyle name="_Sheet1" xfId="716"/>
    <cellStyle name="_SN Oil" xfId="27"/>
    <cellStyle name="_SN Oil 2" xfId="717"/>
    <cellStyle name="_SN Oil 2_FCR projected_inputs_for_UI_080914 ngr_r1" xfId="718"/>
    <cellStyle name="_SN Oil 2_inventory cost calculations" xfId="719"/>
    <cellStyle name="_SN Oil_130204 2013 - 2061 LONG-TERM FORECAST FPL METHODOLOGY Clean Copy" xfId="720"/>
    <cellStyle name="_SN Oil_130204 2013 - 2061 LONG-TERM FORECAST FPL METHODOLOGY Clean Copy_FCR projected_inputs_for_UI_080914 ngr_r1" xfId="721"/>
    <cellStyle name="_SN Oil_130204 2013 - 2061 LONG-TERM FORECAST FPL METHODOLOGY Clean Copy_inventory cost calculations" xfId="722"/>
    <cellStyle name="_SN Oil_E3_Adjustments_yr2013" xfId="723"/>
    <cellStyle name="_SN Oil_E3_Adjustments_yr2013_FCR projected_inputs_for_UI_080914 ngr_r1" xfId="724"/>
    <cellStyle name="_SN Oil_E3_Adjustments_yr2013_inventory cost calculations" xfId="725"/>
    <cellStyle name="_SN Oil_E3_Adjustments_yr2014" xfId="726"/>
    <cellStyle name="_SN Oil_E3_Adjustments_yr2014_FCR projected_inputs_for_UI_080914 ngr_r1" xfId="727"/>
    <cellStyle name="_SN Oil_E3_Adjustments_yr2014_inventory cost calculations" xfId="728"/>
    <cellStyle name="_SN Oil_E3_Adjustments_yr2015" xfId="729"/>
    <cellStyle name="_SN Oil_E3_Adjustments_yr2015_FCR projected_inputs_for_UI_080914 ngr_r1" xfId="730"/>
    <cellStyle name="_SN Oil_E3_Adjustments_yr2015_inventory cost calculations" xfId="731"/>
    <cellStyle name="_SN Oil_E3_Adjustments_yr2016" xfId="732"/>
    <cellStyle name="_SN Oil_E3_Adjustments_yr2016_FCR projected_inputs_for_UI_080914 ngr_r1" xfId="733"/>
    <cellStyle name="_SN Oil_E3_Adjustments_yr2016_inventory cost calculations" xfId="734"/>
    <cellStyle name="_SN Oil_E3_Adjustments_yr2017" xfId="735"/>
    <cellStyle name="_SN Oil_E3_Adjustments_yr2017_FCR projected_inputs_for_UI_080914 ngr_r1" xfId="736"/>
    <cellStyle name="_SN Oil_E3_Adjustments_yr2017_inventory cost calculations" xfId="737"/>
    <cellStyle name="_SN Oil_E3_Adjustments_yr2018" xfId="738"/>
    <cellStyle name="_SN Oil_E3_Adjustments_yr2018_FCR projected_inputs_for_UI_080914 ngr_r1" xfId="739"/>
    <cellStyle name="_SN Oil_E3_Adjustments_yr2018_inventory cost calculations" xfId="740"/>
    <cellStyle name="_SN Oil_MTHLY_MWH_to EOC_AS AVAILABLE" xfId="741"/>
    <cellStyle name="_SN Oil_MTHLY_MWH_to EOC_AS AVAILABLE_FCR projected_inputs_for_UI_080914 ngr_r1" xfId="742"/>
    <cellStyle name="_SN Oil_MTHLY_MWH_to EOC_AS AVAILABLE_inventory cost calculations" xfId="743"/>
    <cellStyle name="_SN Oil_QF Energy and Capacity Proj Update 3.2013" xfId="744"/>
    <cellStyle name="_SN Oil_QF Energy and Capacity Proj Update 3.2013_FCR projected_inputs_for_UI_080914 ngr_r1" xfId="745"/>
    <cellStyle name="_SN Oil_QF Energy and Capacity Proj Update 3.2013_inventory cost calculations" xfId="746"/>
    <cellStyle name="_Target Inventory - Draft (11-23-10)" xfId="28"/>
    <cellStyle name="_TP Oil" xfId="29"/>
    <cellStyle name="_TP Oil 2" xfId="747"/>
    <cellStyle name="_TP Oil 2_FCR projected_inputs_for_UI_080914 ngr_r1" xfId="748"/>
    <cellStyle name="_TP Oil 2_inventory cost calculations" xfId="749"/>
    <cellStyle name="_TP Oil_130204 2013 - 2061 LONG-TERM FORECAST FPL METHODOLOGY Clean Copy" xfId="750"/>
    <cellStyle name="_TP Oil_130204 2013 - 2061 LONG-TERM FORECAST FPL METHODOLOGY Clean Copy_FCR projected_inputs_for_UI_080914 ngr_r1" xfId="751"/>
    <cellStyle name="_TP Oil_130204 2013 - 2061 LONG-TERM FORECAST FPL METHODOLOGY Clean Copy_inventory cost calculations" xfId="752"/>
    <cellStyle name="_TP Oil_E3_Adjustments_yr2013" xfId="753"/>
    <cellStyle name="_TP Oil_E3_Adjustments_yr2013_FCR projected_inputs_for_UI_080914 ngr_r1" xfId="754"/>
    <cellStyle name="_TP Oil_E3_Adjustments_yr2013_inventory cost calculations" xfId="755"/>
    <cellStyle name="_TP Oil_E3_Adjustments_yr2014" xfId="756"/>
    <cellStyle name="_TP Oil_E3_Adjustments_yr2014_FCR projected_inputs_for_UI_080914 ngr_r1" xfId="757"/>
    <cellStyle name="_TP Oil_E3_Adjustments_yr2014_inventory cost calculations" xfId="758"/>
    <cellStyle name="_TP Oil_E3_Adjustments_yr2015" xfId="759"/>
    <cellStyle name="_TP Oil_E3_Adjustments_yr2015_FCR projected_inputs_for_UI_080914 ngr_r1" xfId="760"/>
    <cellStyle name="_TP Oil_E3_Adjustments_yr2015_inventory cost calculations" xfId="761"/>
    <cellStyle name="_TP Oil_E3_Adjustments_yr2016" xfId="762"/>
    <cellStyle name="_TP Oil_E3_Adjustments_yr2016_FCR projected_inputs_for_UI_080914 ngr_r1" xfId="763"/>
    <cellStyle name="_TP Oil_E3_Adjustments_yr2016_inventory cost calculations" xfId="764"/>
    <cellStyle name="_TP Oil_E3_Adjustments_yr2017" xfId="765"/>
    <cellStyle name="_TP Oil_E3_Adjustments_yr2017_FCR projected_inputs_for_UI_080914 ngr_r1" xfId="766"/>
    <cellStyle name="_TP Oil_E3_Adjustments_yr2017_inventory cost calculations" xfId="767"/>
    <cellStyle name="_TP Oil_E3_Adjustments_yr2018" xfId="768"/>
    <cellStyle name="_TP Oil_E3_Adjustments_yr2018_FCR projected_inputs_for_UI_080914 ngr_r1" xfId="769"/>
    <cellStyle name="_TP Oil_E3_Adjustments_yr2018_inventory cost calculations" xfId="770"/>
    <cellStyle name="_TP Oil_MTHLY_MWH_to EOC_AS AVAILABLE" xfId="771"/>
    <cellStyle name="_TP Oil_MTHLY_MWH_to EOC_AS AVAILABLE_FCR projected_inputs_for_UI_080914 ngr_r1" xfId="772"/>
    <cellStyle name="_TP Oil_MTHLY_MWH_to EOC_AS AVAILABLE_inventory cost calculations" xfId="773"/>
    <cellStyle name="_TP Oil_QF Energy and Capacity Proj Update 3.2013" xfId="774"/>
    <cellStyle name="_TP Oil_QF Energy and Capacity Proj Update 3.2013_FCR projected_inputs_for_UI_080914 ngr_r1" xfId="775"/>
    <cellStyle name="_TP Oil_QF Energy and Capacity Proj Update 3.2013_inventory cost calculations" xfId="776"/>
    <cellStyle name="20% - Accent1 2" xfId="777"/>
    <cellStyle name="20% - Accent2 2" xfId="778"/>
    <cellStyle name="20% - Accent3 2" xfId="779"/>
    <cellStyle name="20% - Accent4 2" xfId="780"/>
    <cellStyle name="20% - Accent5 2" xfId="781"/>
    <cellStyle name="20% - Accent6 2" xfId="782"/>
    <cellStyle name="40% - Accent1 2" xfId="783"/>
    <cellStyle name="40% - Accent2 2" xfId="784"/>
    <cellStyle name="40% - Accent3 2" xfId="785"/>
    <cellStyle name="40% - Accent4 2" xfId="786"/>
    <cellStyle name="40% - Accent5 2" xfId="787"/>
    <cellStyle name="40% - Accent6 2" xfId="788"/>
    <cellStyle name="60% - Accent1 2" xfId="789"/>
    <cellStyle name="60% - Accent2 2" xfId="790"/>
    <cellStyle name="60% - Accent3 2" xfId="791"/>
    <cellStyle name="60% - Accent4 2" xfId="792"/>
    <cellStyle name="60% - Accent5 2" xfId="793"/>
    <cellStyle name="60% - Accent6 2" xfId="794"/>
    <cellStyle name="Accent1 2" xfId="795"/>
    <cellStyle name="Accent2 2" xfId="796"/>
    <cellStyle name="Accent3 2" xfId="797"/>
    <cellStyle name="Accent4 2" xfId="798"/>
    <cellStyle name="Accent5 2" xfId="799"/>
    <cellStyle name="Accent6 2" xfId="800"/>
    <cellStyle name="Actual" xfId="801"/>
    <cellStyle name="Actuals" xfId="802"/>
    <cellStyle name="Adjustable" xfId="803"/>
    <cellStyle name="Bad 2" xfId="804"/>
    <cellStyle name="Calculation 2" xfId="805"/>
    <cellStyle name="Check Cell 2" xfId="806"/>
    <cellStyle name="Comma  - Style1" xfId="30"/>
    <cellStyle name="Comma  - Style2" xfId="31"/>
    <cellStyle name="Comma  - Style3" xfId="32"/>
    <cellStyle name="Comma  - Style4" xfId="33"/>
    <cellStyle name="Comma  - Style5" xfId="34"/>
    <cellStyle name="Comma  - Style6" xfId="35"/>
    <cellStyle name="Comma  - Style7" xfId="36"/>
    <cellStyle name="Comma  - Style8" xfId="37"/>
    <cellStyle name="Comma [0] 2" xfId="102"/>
    <cellStyle name="Comma 10" xfId="104"/>
    <cellStyle name="Comma 11" xfId="119"/>
    <cellStyle name="Comma 12" xfId="124"/>
    <cellStyle name="Comma 13" xfId="149"/>
    <cellStyle name="Comma 14" xfId="132"/>
    <cellStyle name="Comma 15" xfId="158"/>
    <cellStyle name="Comma 16" xfId="161"/>
    <cellStyle name="Comma 17" xfId="164"/>
    <cellStyle name="Comma 18" xfId="167"/>
    <cellStyle name="Comma 19" xfId="170"/>
    <cellStyle name="Comma 2" xfId="50"/>
    <cellStyle name="Comma 2 2" xfId="59"/>
    <cellStyle name="Comma 2 3" xfId="60"/>
    <cellStyle name="Comma 2 4" xfId="58"/>
    <cellStyle name="Comma 20" xfId="173"/>
    <cellStyle name="Comma 21" xfId="130"/>
    <cellStyle name="Comma 22" xfId="178"/>
    <cellStyle name="Comma 23" xfId="180"/>
    <cellStyle name="Comma 24" xfId="846"/>
    <cellStyle name="Comma 25" xfId="849"/>
    <cellStyle name="Comma 3" xfId="52"/>
    <cellStyle name="Comma 3 2" xfId="62"/>
    <cellStyle name="Comma 3 2 2" xfId="136"/>
    <cellStyle name="Comma 3 3" xfId="63"/>
    <cellStyle name="Comma 3 4" xfId="61"/>
    <cellStyle name="Comma 3 5" xfId="135"/>
    <cellStyle name="Comma 4" xfId="54"/>
    <cellStyle name="Comma 4 2" xfId="65"/>
    <cellStyle name="Comma 4 3" xfId="66"/>
    <cellStyle name="Comma 4 4" xfId="64"/>
    <cellStyle name="Comma 4 5" xfId="137"/>
    <cellStyle name="Comma 5" xfId="67"/>
    <cellStyle name="Comma 5 2" xfId="105"/>
    <cellStyle name="Comma 6" xfId="68"/>
    <cellStyle name="Comma 6 2" xfId="106"/>
    <cellStyle name="Comma 7" xfId="69"/>
    <cellStyle name="Comma 7 2" xfId="107"/>
    <cellStyle name="Comma 8" xfId="57"/>
    <cellStyle name="Comma 8 2" xfId="108"/>
    <cellStyle name="Comma 9" xfId="101"/>
    <cellStyle name="Comma0" xfId="807"/>
    <cellStyle name="Currency [0] 2" xfId="100"/>
    <cellStyle name="Currency 10" xfId="125"/>
    <cellStyle name="Currency 11" xfId="134"/>
    <cellStyle name="Currency 12" xfId="160"/>
    <cellStyle name="Currency 13" xfId="163"/>
    <cellStyle name="Currency 14" xfId="166"/>
    <cellStyle name="Currency 15" xfId="169"/>
    <cellStyle name="Currency 16" xfId="172"/>
    <cellStyle name="Currency 17" xfId="175"/>
    <cellStyle name="Currency 18" xfId="176"/>
    <cellStyle name="Currency 19" xfId="129"/>
    <cellStyle name="Currency 2" xfId="71"/>
    <cellStyle name="Currency 2 2" xfId="72"/>
    <cellStyle name="Currency 2 3" xfId="73"/>
    <cellStyle name="Currency 2 4" xfId="74"/>
    <cellStyle name="Currency 2 4 2" xfId="110"/>
    <cellStyle name="Currency 20" xfId="177"/>
    <cellStyle name="Currency 21" xfId="128"/>
    <cellStyle name="Currency 22" xfId="847"/>
    <cellStyle name="Currency 23" xfId="850"/>
    <cellStyle name="Currency 3" xfId="75"/>
    <cellStyle name="Currency 3 2" xfId="76"/>
    <cellStyle name="Currency 3 3" xfId="77"/>
    <cellStyle name="Currency 4" xfId="78"/>
    <cellStyle name="Currency 4 2" xfId="79"/>
    <cellStyle name="Currency 4 3" xfId="80"/>
    <cellStyle name="Currency 5" xfId="81"/>
    <cellStyle name="Currency 5 2" xfId="112"/>
    <cellStyle name="Currency 6" xfId="82"/>
    <cellStyle name="Currency 6 2" xfId="113"/>
    <cellStyle name="Currency 7" xfId="70"/>
    <cellStyle name="Currency 8" xfId="109"/>
    <cellStyle name="Currency 9" xfId="111"/>
    <cellStyle name="Currency0" xfId="808"/>
    <cellStyle name="Date" xfId="809"/>
    <cellStyle name="Explanatory Text 2" xfId="810"/>
    <cellStyle name="Fixed" xfId="811"/>
    <cellStyle name="Good 2" xfId="812"/>
    <cellStyle name="Heading 1 2" xfId="813"/>
    <cellStyle name="Heading 1 3" xfId="814"/>
    <cellStyle name="Heading 2 2" xfId="815"/>
    <cellStyle name="Heading 2 3" xfId="816"/>
    <cellStyle name="Heading 3 2" xfId="817"/>
    <cellStyle name="Heading 4 2" xfId="818"/>
    <cellStyle name="Input 2" xfId="819"/>
    <cellStyle name="Input 3" xfId="820"/>
    <cellStyle name="Link" xfId="821"/>
    <cellStyle name="Linked Cell 2" xfId="822"/>
    <cellStyle name="Neutral 2" xfId="823"/>
    <cellStyle name="no dec" xfId="824"/>
    <cellStyle name="Normal" xfId="0" builtinId="0"/>
    <cellStyle name="Normal - Style1" xfId="38"/>
    <cellStyle name="Normal 10" xfId="56"/>
    <cellStyle name="Normal 10 2" xfId="114"/>
    <cellStyle name="Normal 10 2 2" xfId="138"/>
    <cellStyle name="Normal 10 3" xfId="825"/>
    <cellStyle name="Normal 10 4" xfId="826"/>
    <cellStyle name="Normal 10 5" xfId="845"/>
    <cellStyle name="Normal 11" xfId="99"/>
    <cellStyle name="Normal 11 2" xfId="843"/>
    <cellStyle name="Normal 12" xfId="103"/>
    <cellStyle name="Normal 12 2" xfId="827"/>
    <cellStyle name="Normal 13" xfId="121"/>
    <cellStyle name="Normal 14" xfId="123"/>
    <cellStyle name="Normal 15" xfId="126"/>
    <cellStyle name="Normal 16" xfId="133"/>
    <cellStyle name="Normal 17" xfId="159"/>
    <cellStyle name="Normal 18" xfId="162"/>
    <cellStyle name="Normal 19" xfId="165"/>
    <cellStyle name="Normal 2" xfId="49"/>
    <cellStyle name="Normal 2 2" xfId="84"/>
    <cellStyle name="Normal 2 2 2" xfId="115"/>
    <cellStyle name="Normal 2 2 2 2" xfId="141"/>
    <cellStyle name="Normal 2 2 3" xfId="140"/>
    <cellStyle name="Normal 2 3" xfId="83"/>
    <cellStyle name="Normal 2 3 2" xfId="143"/>
    <cellStyle name="Normal 2 3 3" xfId="142"/>
    <cellStyle name="Normal 2 4" xfId="144"/>
    <cellStyle name="Normal 2 4 2" xfId="145"/>
    <cellStyle name="Normal 2 5" xfId="146"/>
    <cellStyle name="Normal 2 6" xfId="147"/>
    <cellStyle name="Normal 2 7" xfId="148"/>
    <cellStyle name="Normal 2 8" xfId="139"/>
    <cellStyle name="Normal 2_2009-Oct 2021 RR Current" xfId="828"/>
    <cellStyle name="Normal 20" xfId="168"/>
    <cellStyle name="Normal 21" xfId="171"/>
    <cellStyle name="Normal 22" xfId="174"/>
    <cellStyle name="Normal 23" xfId="131"/>
    <cellStyle name="Normal 24" xfId="179"/>
    <cellStyle name="Normal 25" xfId="181"/>
    <cellStyle name="Normal 26" xfId="182"/>
    <cellStyle name="Normal 27" xfId="844"/>
    <cellStyle name="Normal 28" xfId="848"/>
    <cellStyle name="Normal 29" xfId="852"/>
    <cellStyle name="Normal 3" xfId="51"/>
    <cellStyle name="Normal 3 2" xfId="86"/>
    <cellStyle name="Normal 3 3" xfId="87"/>
    <cellStyle name="Normal 3 4" xfId="85"/>
    <cellStyle name="Normal 30" xfId="853"/>
    <cellStyle name="Normal 31" xfId="854"/>
    <cellStyle name="Normal 32" xfId="855"/>
    <cellStyle name="Normal 4" xfId="53"/>
    <cellStyle name="Normal 4 2" xfId="89"/>
    <cellStyle name="Normal 4 3" xfId="90"/>
    <cellStyle name="Normal 4 4" xfId="88"/>
    <cellStyle name="Normal 4 5" xfId="150"/>
    <cellStyle name="Normal 5" xfId="55"/>
    <cellStyle name="Normal 5 2" xfId="91"/>
    <cellStyle name="Normal 5 2 2" xfId="152"/>
    <cellStyle name="Normal 5 3" xfId="92"/>
    <cellStyle name="Normal 5 4" xfId="151"/>
    <cellStyle name="Normal 6" xfId="93"/>
    <cellStyle name="Normal 6 2" xfId="116"/>
    <cellStyle name="Normal 6 2 2" xfId="154"/>
    <cellStyle name="Normal 6 3" xfId="153"/>
    <cellStyle name="Normal 7" xfId="94"/>
    <cellStyle name="Normal 7 2" xfId="117"/>
    <cellStyle name="Normal 7 2 2" xfId="156"/>
    <cellStyle name="Normal 7 3" xfId="155"/>
    <cellStyle name="Normal 8" xfId="95"/>
    <cellStyle name="Normal 8 2" xfId="118"/>
    <cellStyle name="Normal 8 3" xfId="157"/>
    <cellStyle name="Normal 9" xfId="96"/>
    <cellStyle name="Normal 9 2" xfId="120"/>
    <cellStyle name="Normal_B-18 (11-15-2010)" xfId="39"/>
    <cellStyle name="Note 2" xfId="829"/>
    <cellStyle name="Output 2" xfId="830"/>
    <cellStyle name="Output Amounts" xfId="831"/>
    <cellStyle name="Output Column Headings" xfId="832"/>
    <cellStyle name="Output Line Items" xfId="833"/>
    <cellStyle name="Output Report Heading" xfId="834"/>
    <cellStyle name="Output Report Title" xfId="835"/>
    <cellStyle name="Percent 2" xfId="98"/>
    <cellStyle name="Percent 2 2" xfId="122"/>
    <cellStyle name="Percent 3" xfId="97"/>
    <cellStyle name="Percent 4" xfId="851"/>
    <cellStyle name="Plexos" xfId="836"/>
    <cellStyle name="SEM-BPS-data" xfId="40"/>
    <cellStyle name="SEM-BPS-head" xfId="41"/>
    <cellStyle name="SEM-BPS-headdata" xfId="42"/>
    <cellStyle name="SEM-BPS-headkey" xfId="43"/>
    <cellStyle name="SEM-BPS-input-on" xfId="44"/>
    <cellStyle name="SEM-BPS-key" xfId="45"/>
    <cellStyle name="SEM-BPS-sub1" xfId="46"/>
    <cellStyle name="SEM-BPS-sub2" xfId="47"/>
    <cellStyle name="SEM-BPS-total" xfId="48"/>
    <cellStyle name="Style 1" xfId="1"/>
    <cellStyle name="Style 1 2" xfId="837"/>
    <cellStyle name="Style 1_MTHLY_MWH_to EOC_AS AVAILABLE" xfId="838"/>
    <cellStyle name="Title 2" xfId="839"/>
    <cellStyle name="Total 2" xfId="840"/>
    <cellStyle name="Total 3" xfId="841"/>
    <cellStyle name="Warning Text 2" xfId="842"/>
  </cellStyles>
  <dxfs count="18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97"/>
  <sheetViews>
    <sheetView tabSelected="1" workbookViewId="0">
      <pane xSplit="1" ySplit="4" topLeftCell="B10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B1" sqref="A1:XFD2"/>
    </sheetView>
  </sheetViews>
  <sheetFormatPr defaultColWidth="9.109375" defaultRowHeight="10.199999999999999"/>
  <cols>
    <col min="1" max="1" width="9.109375" style="1"/>
    <col min="2" max="5" width="5.6640625" style="1" customWidth="1"/>
    <col min="6" max="7" width="5.6640625" style="2" customWidth="1"/>
    <col min="8" max="8" width="5.6640625" style="1" customWidth="1"/>
    <col min="9" max="9" width="7.88671875" style="1" bestFit="1" customWidth="1"/>
    <col min="10" max="10" width="7" style="1" bestFit="1" customWidth="1"/>
    <col min="11" max="22" width="7" style="1" customWidth="1"/>
    <col min="23" max="24" width="7" style="44" customWidth="1"/>
    <col min="25" max="16384" width="9.109375" style="1"/>
  </cols>
  <sheetData>
    <row r="1" spans="1:27" s="120" customFormat="1">
      <c r="A1" s="120" t="s">
        <v>58</v>
      </c>
      <c r="D1" s="121"/>
      <c r="E1" s="121"/>
      <c r="F1" s="121"/>
      <c r="G1" s="121"/>
      <c r="K1" s="122"/>
      <c r="L1" s="122"/>
      <c r="M1" s="122"/>
    </row>
    <row r="2" spans="1:27" s="120" customFormat="1">
      <c r="A2" s="123" t="s">
        <v>59</v>
      </c>
      <c r="B2" s="123">
        <v>2</v>
      </c>
      <c r="C2" s="123">
        <v>3</v>
      </c>
      <c r="D2" s="123">
        <v>4</v>
      </c>
      <c r="E2" s="123">
        <v>5</v>
      </c>
      <c r="F2" s="123">
        <v>6</v>
      </c>
      <c r="G2" s="123">
        <v>7</v>
      </c>
      <c r="H2" s="123">
        <v>8</v>
      </c>
      <c r="I2" s="123">
        <v>9</v>
      </c>
      <c r="J2" s="123">
        <v>10</v>
      </c>
      <c r="K2" s="123">
        <v>11</v>
      </c>
      <c r="L2" s="123">
        <v>12</v>
      </c>
      <c r="M2" s="123">
        <v>13</v>
      </c>
      <c r="N2" s="123">
        <v>14</v>
      </c>
      <c r="O2" s="123">
        <v>15</v>
      </c>
      <c r="P2" s="123">
        <v>16</v>
      </c>
      <c r="Q2" s="123">
        <v>17</v>
      </c>
      <c r="R2" s="123">
        <v>18</v>
      </c>
      <c r="S2" s="123">
        <v>19</v>
      </c>
      <c r="T2" s="123">
        <v>20</v>
      </c>
      <c r="U2" s="123">
        <v>21</v>
      </c>
      <c r="V2" s="123">
        <v>22</v>
      </c>
      <c r="W2" s="123">
        <v>23</v>
      </c>
      <c r="X2" s="123">
        <v>24</v>
      </c>
    </row>
    <row r="3" spans="1:27">
      <c r="B3" s="104" t="s">
        <v>23</v>
      </c>
      <c r="C3" s="104"/>
      <c r="D3" s="104"/>
      <c r="E3" s="104"/>
      <c r="F3" s="104"/>
      <c r="G3" s="104"/>
      <c r="H3" s="104"/>
      <c r="I3" s="105" t="s">
        <v>24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</row>
    <row r="4" spans="1:27">
      <c r="A4" s="3" t="s">
        <v>25</v>
      </c>
      <c r="B4" s="63" t="s">
        <v>21</v>
      </c>
      <c r="C4" s="63" t="s">
        <v>22</v>
      </c>
      <c r="D4" s="64" t="s">
        <v>4</v>
      </c>
      <c r="E4" s="64" t="s">
        <v>5</v>
      </c>
      <c r="F4" s="65" t="s">
        <v>46</v>
      </c>
      <c r="G4" s="65" t="s">
        <v>7</v>
      </c>
      <c r="H4" s="73" t="s">
        <v>47</v>
      </c>
      <c r="I4" s="64" t="s">
        <v>4</v>
      </c>
      <c r="J4" s="64" t="s">
        <v>5</v>
      </c>
      <c r="K4" s="65" t="s">
        <v>16</v>
      </c>
      <c r="L4" s="65" t="s">
        <v>15</v>
      </c>
      <c r="M4" s="65" t="s">
        <v>14</v>
      </c>
      <c r="N4" s="73" t="s">
        <v>8</v>
      </c>
      <c r="O4" s="73" t="s">
        <v>9</v>
      </c>
      <c r="P4" s="73" t="s">
        <v>7</v>
      </c>
      <c r="Q4" s="73" t="s">
        <v>10</v>
      </c>
      <c r="R4" s="73" t="s">
        <v>6</v>
      </c>
      <c r="S4" s="73" t="s">
        <v>11</v>
      </c>
      <c r="T4" s="73" t="s">
        <v>18</v>
      </c>
      <c r="U4" s="73" t="s">
        <v>19</v>
      </c>
      <c r="V4" s="73" t="s">
        <v>17</v>
      </c>
      <c r="W4" s="73" t="s">
        <v>57</v>
      </c>
      <c r="X4" s="73" t="s">
        <v>56</v>
      </c>
      <c r="Z4" s="44" t="s">
        <v>43</v>
      </c>
      <c r="AA4" s="44"/>
    </row>
    <row r="5" spans="1:27" ht="12.75" customHeight="1">
      <c r="A5" s="4">
        <v>41974</v>
      </c>
      <c r="B5" s="6">
        <v>4.4379</v>
      </c>
      <c r="C5" s="6">
        <v>4.3956</v>
      </c>
      <c r="D5" s="6">
        <v>2.4197000000000002</v>
      </c>
      <c r="E5" s="6">
        <v>3.3287</v>
      </c>
      <c r="F5" s="6">
        <v>8.9059000000000008</v>
      </c>
      <c r="G5" s="6">
        <v>9.2692000000000014</v>
      </c>
      <c r="H5" s="6">
        <v>19.118499999999997</v>
      </c>
      <c r="I5" s="39">
        <v>4694897</v>
      </c>
      <c r="J5" s="39">
        <v>56611</v>
      </c>
      <c r="K5" s="39">
        <v>0</v>
      </c>
      <c r="L5" s="39">
        <v>36663</v>
      </c>
      <c r="M5" s="39">
        <v>0</v>
      </c>
      <c r="N5" s="39">
        <v>424</v>
      </c>
      <c r="O5" s="39">
        <v>1114</v>
      </c>
      <c r="P5" s="39">
        <v>429</v>
      </c>
      <c r="Q5" s="39">
        <v>201</v>
      </c>
      <c r="R5" s="39">
        <v>0</v>
      </c>
      <c r="S5" s="39">
        <v>417</v>
      </c>
      <c r="T5" s="39">
        <v>411</v>
      </c>
      <c r="U5" s="39">
        <v>408</v>
      </c>
      <c r="V5" s="39">
        <v>0</v>
      </c>
      <c r="W5" s="39">
        <v>0</v>
      </c>
      <c r="X5" s="39">
        <v>0</v>
      </c>
      <c r="Y5" s="62"/>
      <c r="Z5" s="44" t="s">
        <v>44</v>
      </c>
      <c r="AA5" s="44">
        <v>22</v>
      </c>
    </row>
    <row r="6" spans="1:27" ht="11.25" customHeight="1">
      <c r="A6" s="4">
        <v>42005</v>
      </c>
      <c r="B6" s="6">
        <v>3.2955000000000001</v>
      </c>
      <c r="C6" s="6">
        <v>3.2667999999999999</v>
      </c>
      <c r="D6" s="6">
        <v>2.4906999999999999</v>
      </c>
      <c r="E6" s="6">
        <v>3.1876000000000002</v>
      </c>
      <c r="F6" s="6">
        <v>7.8255999999999997</v>
      </c>
      <c r="G6" s="6">
        <v>8.1888000000000005</v>
      </c>
      <c r="H6" s="6">
        <v>15.157</v>
      </c>
      <c r="I6" s="39">
        <v>2541370.29</v>
      </c>
      <c r="J6" s="39">
        <v>31948.165909090909</v>
      </c>
      <c r="K6" s="39">
        <v>0</v>
      </c>
      <c r="L6" s="39">
        <v>150000</v>
      </c>
      <c r="M6" s="39">
        <v>1682.4437499999999</v>
      </c>
      <c r="N6" s="39">
        <v>2166.9777015437394</v>
      </c>
      <c r="O6" s="39">
        <v>1528.919382504288</v>
      </c>
      <c r="P6" s="39">
        <v>790.70325900514581</v>
      </c>
      <c r="Q6" s="39">
        <v>280.06003430531734</v>
      </c>
      <c r="R6" s="39">
        <v>0</v>
      </c>
      <c r="S6" s="39">
        <v>2035.353344768439</v>
      </c>
      <c r="T6" s="39">
        <v>562.99313893653516</v>
      </c>
      <c r="U6" s="39">
        <v>560.54888507718692</v>
      </c>
      <c r="V6" s="77">
        <v>0</v>
      </c>
      <c r="W6" s="39">
        <v>0</v>
      </c>
      <c r="X6" s="39">
        <v>0</v>
      </c>
      <c r="Y6" s="62"/>
      <c r="Z6" s="44" t="s">
        <v>45</v>
      </c>
      <c r="AA6" s="44">
        <v>17</v>
      </c>
    </row>
    <row r="7" spans="1:27">
      <c r="A7" s="4">
        <v>42036</v>
      </c>
      <c r="B7" s="6">
        <v>2.9689999999999999</v>
      </c>
      <c r="C7" s="6">
        <v>2.9443999999999999</v>
      </c>
      <c r="D7" s="6">
        <v>2.4906000000000001</v>
      </c>
      <c r="E7" s="6">
        <v>3.1987000000000001</v>
      </c>
      <c r="F7" s="6">
        <v>7.5968</v>
      </c>
      <c r="G7" s="6">
        <v>7.9600999999999997</v>
      </c>
      <c r="H7" s="6">
        <v>14.455300000000001</v>
      </c>
      <c r="I7" s="39">
        <v>1855915.6</v>
      </c>
      <c r="J7" s="39">
        <v>28864.213181818181</v>
      </c>
      <c r="K7" s="39">
        <v>0</v>
      </c>
      <c r="L7" s="39">
        <v>0</v>
      </c>
      <c r="M7" s="39">
        <v>0</v>
      </c>
      <c r="N7" s="39">
        <v>579.10806174957111</v>
      </c>
      <c r="O7" s="39">
        <v>1528.919382504288</v>
      </c>
      <c r="P7" s="39">
        <v>0</v>
      </c>
      <c r="Q7" s="39">
        <v>280.06003430531734</v>
      </c>
      <c r="R7" s="39">
        <v>0</v>
      </c>
      <c r="S7" s="39">
        <v>570.56603773584902</v>
      </c>
      <c r="T7" s="39">
        <v>562.99313893653516</v>
      </c>
      <c r="U7" s="39">
        <v>560.54888507718692</v>
      </c>
      <c r="V7" s="77">
        <v>0</v>
      </c>
      <c r="W7" s="39">
        <v>0</v>
      </c>
      <c r="X7" s="39">
        <v>0</v>
      </c>
      <c r="Z7" s="44" t="s">
        <v>34</v>
      </c>
      <c r="AA7" s="44">
        <v>6.4</v>
      </c>
    </row>
    <row r="8" spans="1:27" ht="11.25" customHeight="1">
      <c r="A8" s="4">
        <v>42064</v>
      </c>
      <c r="B8" s="6">
        <v>2.9722</v>
      </c>
      <c r="C8" s="6">
        <v>2.9474</v>
      </c>
      <c r="D8" s="6">
        <v>2.4912999999999998</v>
      </c>
      <c r="E8" s="6">
        <v>3.1433</v>
      </c>
      <c r="F8" s="6">
        <v>8.9969000000000001</v>
      </c>
      <c r="G8" s="6">
        <v>9.3602000000000007</v>
      </c>
      <c r="H8" s="6">
        <v>18.415399999999998</v>
      </c>
      <c r="I8" s="39">
        <v>2206676.09</v>
      </c>
      <c r="J8" s="39">
        <v>4606.4122727272734</v>
      </c>
      <c r="K8" s="39">
        <v>0</v>
      </c>
      <c r="L8" s="39">
        <v>0</v>
      </c>
      <c r="M8" s="39">
        <v>0</v>
      </c>
      <c r="N8" s="39">
        <v>579.10806174957111</v>
      </c>
      <c r="O8" s="39">
        <v>1528.919382504288</v>
      </c>
      <c r="P8" s="39">
        <v>586.10634648370501</v>
      </c>
      <c r="Q8" s="39">
        <v>280.06003430531734</v>
      </c>
      <c r="R8" s="39">
        <v>0</v>
      </c>
      <c r="S8" s="39">
        <v>570.56603773584902</v>
      </c>
      <c r="T8" s="39">
        <v>562.99313893653516</v>
      </c>
      <c r="U8" s="39">
        <v>560.54888507718692</v>
      </c>
      <c r="V8" s="39">
        <v>0</v>
      </c>
      <c r="W8" s="39">
        <v>0</v>
      </c>
      <c r="X8" s="39">
        <v>0</v>
      </c>
      <c r="Z8" s="44" t="s">
        <v>35</v>
      </c>
      <c r="AA8" s="44">
        <v>5.83</v>
      </c>
    </row>
    <row r="9" spans="1:27" ht="11.25" customHeight="1">
      <c r="A9" s="4">
        <v>42095</v>
      </c>
      <c r="B9" s="6">
        <v>2.7745000000000002</v>
      </c>
      <c r="C9" s="6">
        <v>2.7435999999999998</v>
      </c>
      <c r="D9" s="6">
        <v>2.4889999999999999</v>
      </c>
      <c r="E9" s="6">
        <v>3.1859999999999999</v>
      </c>
      <c r="F9" s="6">
        <v>8.9313000000000002</v>
      </c>
      <c r="G9" s="6">
        <v>9.2945000000000011</v>
      </c>
      <c r="H9" s="6">
        <v>15.450200000000001</v>
      </c>
      <c r="I9" s="39">
        <v>3600000</v>
      </c>
      <c r="J9" s="39">
        <v>17828.104090909092</v>
      </c>
      <c r="K9" s="39">
        <v>1168.4281249999999</v>
      </c>
      <c r="L9" s="39">
        <v>876.63593749999995</v>
      </c>
      <c r="M9" s="39">
        <v>472.34999999999997</v>
      </c>
      <c r="N9" s="39">
        <v>579.10806174957111</v>
      </c>
      <c r="O9" s="39">
        <v>1528.919382504288</v>
      </c>
      <c r="P9" s="39">
        <v>586.10634648370501</v>
      </c>
      <c r="Q9" s="39">
        <v>760.17152658662098</v>
      </c>
      <c r="R9" s="39">
        <v>0</v>
      </c>
      <c r="S9" s="39">
        <v>570.56603773584902</v>
      </c>
      <c r="T9" s="39">
        <v>562.99313893653516</v>
      </c>
      <c r="U9" s="39">
        <v>560.54888507718692</v>
      </c>
      <c r="V9" s="77">
        <v>0</v>
      </c>
      <c r="W9" s="39">
        <v>0</v>
      </c>
      <c r="X9" s="39">
        <v>0</v>
      </c>
    </row>
    <row r="10" spans="1:27" ht="11.25" customHeight="1">
      <c r="A10" s="4">
        <v>42125</v>
      </c>
      <c r="B10" s="6">
        <v>2.6425000000000001</v>
      </c>
      <c r="C10" s="6">
        <v>2.5657000000000001</v>
      </c>
      <c r="D10" s="6">
        <v>2.4918999999999998</v>
      </c>
      <c r="E10" s="6">
        <v>3.1859999999999999</v>
      </c>
      <c r="F10" s="6">
        <v>8.8934999999999995</v>
      </c>
      <c r="G10" s="6">
        <v>9.2568000000000001</v>
      </c>
      <c r="H10" s="6">
        <v>16.089300000000001</v>
      </c>
      <c r="I10" s="39">
        <v>3600000</v>
      </c>
      <c r="J10" s="39">
        <v>45047.709090909091</v>
      </c>
      <c r="K10" s="39">
        <v>20000</v>
      </c>
      <c r="L10" s="39">
        <v>10000</v>
      </c>
      <c r="M10" s="39">
        <v>1000</v>
      </c>
      <c r="N10" s="39">
        <v>579.10806174957111</v>
      </c>
      <c r="O10" s="39">
        <v>2000</v>
      </c>
      <c r="P10" s="39">
        <v>586.10634648370501</v>
      </c>
      <c r="Q10" s="39">
        <v>280.06003430531734</v>
      </c>
      <c r="R10" s="39">
        <v>0</v>
      </c>
      <c r="S10" s="39">
        <v>570.56603773584902</v>
      </c>
      <c r="T10" s="39">
        <v>562.99313893653516</v>
      </c>
      <c r="U10" s="39">
        <v>560.54888507718692</v>
      </c>
      <c r="V10" s="77">
        <v>0</v>
      </c>
      <c r="W10" s="39">
        <v>0</v>
      </c>
      <c r="X10" s="39">
        <v>0</v>
      </c>
    </row>
    <row r="11" spans="1:27">
      <c r="A11" s="4">
        <v>42156</v>
      </c>
      <c r="B11" s="6">
        <v>2.9662000000000002</v>
      </c>
      <c r="C11" s="6">
        <v>2.8811</v>
      </c>
      <c r="D11" s="6">
        <v>2.4944999999999999</v>
      </c>
      <c r="E11" s="6">
        <v>3.2267999999999999</v>
      </c>
      <c r="F11" s="6">
        <v>9.5950000000000006</v>
      </c>
      <c r="G11" s="6">
        <v>9.9582999999999995</v>
      </c>
      <c r="H11" s="6">
        <v>16.1066</v>
      </c>
      <c r="I11" s="39">
        <v>3524799</v>
      </c>
      <c r="J11" s="39">
        <v>48308.800000000003</v>
      </c>
      <c r="K11" s="39">
        <v>9804.84375</v>
      </c>
      <c r="L11" s="39">
        <v>2180.46875</v>
      </c>
      <c r="M11" s="39">
        <v>3428.75</v>
      </c>
      <c r="N11" s="39">
        <v>579.10806174957111</v>
      </c>
      <c r="O11" s="39">
        <v>1528.919382504288</v>
      </c>
      <c r="P11" s="39">
        <v>586.10634648370501</v>
      </c>
      <c r="Q11" s="39">
        <v>280.06003430531734</v>
      </c>
      <c r="R11" s="39">
        <v>0</v>
      </c>
      <c r="S11" s="39">
        <v>570.56603773584902</v>
      </c>
      <c r="T11" s="39">
        <v>562.99313893653516</v>
      </c>
      <c r="U11" s="39">
        <v>560.54888507718692</v>
      </c>
      <c r="V11" s="77">
        <v>0</v>
      </c>
      <c r="W11" s="39">
        <v>0</v>
      </c>
      <c r="X11" s="39">
        <v>0</v>
      </c>
    </row>
    <row r="12" spans="1:27">
      <c r="A12" s="4">
        <v>42186</v>
      </c>
      <c r="B12" s="6">
        <v>2.9318</v>
      </c>
      <c r="C12" s="6">
        <v>2.8437999999999999</v>
      </c>
      <c r="D12" s="6">
        <v>2.2225000000000001</v>
      </c>
      <c r="E12" s="6">
        <v>3.2309000000000001</v>
      </c>
      <c r="F12" s="6">
        <v>8.8877000000000006</v>
      </c>
      <c r="G12" s="6">
        <v>9.2510000000000012</v>
      </c>
      <c r="H12" s="6">
        <v>15.0829</v>
      </c>
      <c r="I12" s="39">
        <v>2715571.46</v>
      </c>
      <c r="J12" s="39">
        <v>52112.055909090908</v>
      </c>
      <c r="K12" s="39">
        <v>16726.559374999997</v>
      </c>
      <c r="L12" s="39">
        <v>4669.5828124999998</v>
      </c>
      <c r="M12" s="39">
        <v>22897.05</v>
      </c>
      <c r="N12" s="39">
        <v>579.10806174957111</v>
      </c>
      <c r="O12" s="39">
        <v>1528.919382504288</v>
      </c>
      <c r="P12" s="39">
        <v>586.10634648370501</v>
      </c>
      <c r="Q12" s="39">
        <v>1132.2298456260719</v>
      </c>
      <c r="R12" s="39">
        <v>385.7530017152659</v>
      </c>
      <c r="S12" s="39">
        <v>570.56603773584902</v>
      </c>
      <c r="T12" s="39">
        <v>562.99313893653516</v>
      </c>
      <c r="U12" s="39">
        <v>560.54888507718692</v>
      </c>
      <c r="V12" s="77">
        <v>0</v>
      </c>
      <c r="W12" s="39">
        <v>0</v>
      </c>
      <c r="X12" s="39">
        <v>0</v>
      </c>
    </row>
    <row r="13" spans="1:27">
      <c r="A13" s="4">
        <v>42217</v>
      </c>
      <c r="B13" s="6">
        <v>2.9643999999999999</v>
      </c>
      <c r="C13" s="6">
        <v>2.8734999999999999</v>
      </c>
      <c r="D13" s="6">
        <v>2.2353000000000001</v>
      </c>
      <c r="E13" s="6">
        <v>3.4538000000000002</v>
      </c>
      <c r="F13" s="6">
        <v>8.942400000000001</v>
      </c>
      <c r="G13" s="6">
        <v>9.3056999999999999</v>
      </c>
      <c r="H13" s="6">
        <v>15.1333</v>
      </c>
      <c r="I13" s="39">
        <v>1712773.66</v>
      </c>
      <c r="J13" s="39">
        <v>52544.07681818182</v>
      </c>
      <c r="K13" s="39">
        <v>24245.224999999999</v>
      </c>
      <c r="L13" s="39">
        <v>9052.25</v>
      </c>
      <c r="M13" s="39">
        <v>27313.845312499998</v>
      </c>
      <c r="N13" s="39">
        <v>579.10806174957111</v>
      </c>
      <c r="O13" s="39">
        <v>1528.919382504288</v>
      </c>
      <c r="P13" s="39">
        <v>586.10634648370501</v>
      </c>
      <c r="Q13" s="39">
        <v>5725.5728987993143</v>
      </c>
      <c r="R13" s="39">
        <v>10582.451114922813</v>
      </c>
      <c r="S13" s="39">
        <v>13506.169811320755</v>
      </c>
      <c r="T13" s="39">
        <v>562.99313893653516</v>
      </c>
      <c r="U13" s="39">
        <v>560.54888507718692</v>
      </c>
      <c r="V13" s="77">
        <v>0</v>
      </c>
      <c r="W13" s="39">
        <v>0</v>
      </c>
      <c r="X13" s="39">
        <v>0</v>
      </c>
    </row>
    <row r="14" spans="1:27" ht="11.25" customHeight="1">
      <c r="A14" s="4">
        <v>42248</v>
      </c>
      <c r="B14" s="6">
        <v>2.9621</v>
      </c>
      <c r="C14" s="6">
        <v>2.8721999999999999</v>
      </c>
      <c r="D14" s="6">
        <v>2.2292000000000001</v>
      </c>
      <c r="E14" s="6">
        <v>3.3064</v>
      </c>
      <c r="F14" s="6">
        <v>8.9970999999999997</v>
      </c>
      <c r="G14" s="6">
        <v>9.3604000000000003</v>
      </c>
      <c r="H14" s="6">
        <v>15.243499999999999</v>
      </c>
      <c r="I14" s="39">
        <v>2844427.88</v>
      </c>
      <c r="J14" s="39">
        <v>52294.584545454542</v>
      </c>
      <c r="K14" s="39">
        <v>26919.862499999996</v>
      </c>
      <c r="L14" s="39">
        <v>12357.65625</v>
      </c>
      <c r="M14" s="39">
        <v>31575.506249999999</v>
      </c>
      <c r="N14" s="39">
        <v>579.10806174957111</v>
      </c>
      <c r="O14" s="39">
        <v>2441.2367066895367</v>
      </c>
      <c r="P14" s="39">
        <v>586.10634648370501</v>
      </c>
      <c r="Q14" s="39">
        <v>609.21612349914244</v>
      </c>
      <c r="R14" s="39">
        <v>0</v>
      </c>
      <c r="S14" s="39">
        <v>1780.9073756432247</v>
      </c>
      <c r="T14" s="39">
        <v>562.99313893653516</v>
      </c>
      <c r="U14" s="39">
        <v>560.54888507718692</v>
      </c>
      <c r="V14" s="77">
        <v>0</v>
      </c>
      <c r="W14" s="39">
        <v>0</v>
      </c>
      <c r="X14" s="39">
        <v>5973.8370833333329</v>
      </c>
    </row>
    <row r="15" spans="1:27">
      <c r="A15" s="4">
        <v>42278</v>
      </c>
      <c r="B15" s="6">
        <v>2.9836</v>
      </c>
      <c r="C15" s="6">
        <v>2.8980999999999999</v>
      </c>
      <c r="D15" s="6">
        <v>2.2231000000000001</v>
      </c>
      <c r="E15" s="6">
        <v>3.4538000000000002</v>
      </c>
      <c r="F15" s="6">
        <v>9.0432999999999986</v>
      </c>
      <c r="G15" s="6">
        <v>9.4064999999999994</v>
      </c>
      <c r="H15" s="6">
        <v>15.3847</v>
      </c>
      <c r="I15" s="39">
        <v>2593541.1</v>
      </c>
      <c r="J15" s="39">
        <v>44394.251818181816</v>
      </c>
      <c r="K15" s="39">
        <v>4054.5359374999998</v>
      </c>
      <c r="L15" s="39">
        <v>5055.3781250000002</v>
      </c>
      <c r="M15" s="39">
        <v>9575.75</v>
      </c>
      <c r="N15" s="39">
        <v>579.10806174957111</v>
      </c>
      <c r="O15" s="39">
        <v>1169.9331046312177</v>
      </c>
      <c r="P15" s="39">
        <v>586.10634648370501</v>
      </c>
      <c r="Q15" s="39">
        <v>432.10291595197259</v>
      </c>
      <c r="R15" s="39">
        <v>0</v>
      </c>
      <c r="S15" s="39">
        <v>688.86963979416805</v>
      </c>
      <c r="T15" s="39">
        <v>562.99313893653516</v>
      </c>
      <c r="U15" s="39">
        <v>560.54888507718692</v>
      </c>
      <c r="V15" s="77">
        <v>0</v>
      </c>
      <c r="W15" s="39">
        <v>0</v>
      </c>
      <c r="X15" s="39">
        <v>3877.34</v>
      </c>
    </row>
    <row r="16" spans="1:27">
      <c r="A16" s="4">
        <v>42309</v>
      </c>
      <c r="B16" s="6">
        <v>3.0815999999999999</v>
      </c>
      <c r="C16" s="6">
        <v>3.0102000000000002</v>
      </c>
      <c r="D16" s="6">
        <v>2.242</v>
      </c>
      <c r="E16" s="6">
        <v>3.3431999999999999</v>
      </c>
      <c r="F16" s="6">
        <v>9.1057999999999986</v>
      </c>
      <c r="G16" s="6">
        <v>9.4690999999999992</v>
      </c>
      <c r="H16" s="6">
        <v>15.5259</v>
      </c>
      <c r="I16" s="39">
        <v>2722517.98</v>
      </c>
      <c r="J16" s="39">
        <v>47636.744999999995</v>
      </c>
      <c r="K16" s="39">
        <v>903.07343749999995</v>
      </c>
      <c r="L16" s="39">
        <v>612.62968749999993</v>
      </c>
      <c r="M16" s="39">
        <v>1111.5281249999998</v>
      </c>
      <c r="N16" s="39">
        <v>579.10806174957111</v>
      </c>
      <c r="O16" s="39">
        <v>1019.2795883361921</v>
      </c>
      <c r="P16" s="39">
        <v>586.10634648370501</v>
      </c>
      <c r="Q16" s="39">
        <v>280.06003430531734</v>
      </c>
      <c r="R16" s="39">
        <v>0</v>
      </c>
      <c r="S16" s="39">
        <v>570.56603773584902</v>
      </c>
      <c r="T16" s="39">
        <v>562.99313893653516</v>
      </c>
      <c r="U16" s="39">
        <v>560.54888507718692</v>
      </c>
      <c r="V16" s="77">
        <v>0</v>
      </c>
      <c r="W16" s="39">
        <v>0</v>
      </c>
      <c r="X16" s="39">
        <v>0</v>
      </c>
    </row>
    <row r="17" spans="1:24">
      <c r="A17" s="4">
        <v>42339</v>
      </c>
      <c r="B17" s="6">
        <v>3.2629000000000001</v>
      </c>
      <c r="C17" s="6">
        <v>3.1869000000000001</v>
      </c>
      <c r="D17" s="6">
        <v>2.2724000000000002</v>
      </c>
      <c r="E17" s="6">
        <v>3.3054000000000001</v>
      </c>
      <c r="F17" s="6">
        <v>9.1682999999999986</v>
      </c>
      <c r="G17" s="6">
        <v>9.5314999999999994</v>
      </c>
      <c r="H17" s="6">
        <v>15.6556</v>
      </c>
      <c r="I17" s="39">
        <v>2375027.6</v>
      </c>
      <c r="J17" s="39">
        <v>47567.255454545448</v>
      </c>
      <c r="K17" s="39">
        <v>0</v>
      </c>
      <c r="L17" s="39">
        <v>0</v>
      </c>
      <c r="M17" s="39">
        <v>0</v>
      </c>
      <c r="N17" s="39">
        <v>579.10806174957111</v>
      </c>
      <c r="O17" s="39">
        <v>1528.919382504288</v>
      </c>
      <c r="P17" s="39">
        <v>586.10634648370501</v>
      </c>
      <c r="Q17" s="39">
        <v>642.41337907375646</v>
      </c>
      <c r="R17" s="39">
        <v>0</v>
      </c>
      <c r="S17" s="39">
        <v>570.56603773584902</v>
      </c>
      <c r="T17" s="39">
        <v>562.99313893653516</v>
      </c>
      <c r="U17" s="39">
        <v>560.54888507718692</v>
      </c>
      <c r="V17" s="77">
        <v>0</v>
      </c>
      <c r="W17" s="39">
        <v>0</v>
      </c>
      <c r="X17" s="39">
        <v>0</v>
      </c>
    </row>
    <row r="18" spans="1:24" ht="11.25" customHeight="1">
      <c r="A18" s="4">
        <v>42370</v>
      </c>
      <c r="B18" s="83">
        <v>2.4810602656374932</v>
      </c>
      <c r="C18" s="83">
        <v>2.4416015171956</v>
      </c>
      <c r="D18" s="83">
        <v>2.6077986358078507</v>
      </c>
      <c r="E18" s="83">
        <v>3.3830216063879757</v>
      </c>
      <c r="F18" s="83">
        <v>5.4909133125</v>
      </c>
      <c r="G18" s="83">
        <v>5.8034133125</v>
      </c>
      <c r="H18" s="83">
        <v>9.634090380102915</v>
      </c>
      <c r="I18" s="81">
        <v>3164166</v>
      </c>
      <c r="J18" s="81">
        <v>46722.272727272735</v>
      </c>
      <c r="K18" s="81">
        <v>2621.875</v>
      </c>
      <c r="L18" s="81">
        <v>3723.125</v>
      </c>
      <c r="M18" s="81">
        <v>3459.0625</v>
      </c>
      <c r="N18" s="81">
        <v>924.87135506003426</v>
      </c>
      <c r="O18" s="81">
        <v>3263.121783876501</v>
      </c>
      <c r="P18" s="81">
        <v>0</v>
      </c>
      <c r="Q18" s="81">
        <v>96.397941680960542</v>
      </c>
      <c r="R18" s="81">
        <v>0</v>
      </c>
      <c r="S18" s="81">
        <v>0</v>
      </c>
      <c r="T18" s="81">
        <v>0</v>
      </c>
      <c r="U18" s="81">
        <v>90.909090909090907</v>
      </c>
      <c r="V18" s="82">
        <v>0</v>
      </c>
      <c r="W18" s="81">
        <v>0</v>
      </c>
      <c r="X18" s="81">
        <v>0</v>
      </c>
    </row>
    <row r="19" spans="1:24">
      <c r="A19" s="4">
        <v>42401</v>
      </c>
      <c r="B19" s="83">
        <v>2.4382188571291721</v>
      </c>
      <c r="C19" s="83">
        <v>2.3943060688679156</v>
      </c>
      <c r="D19" s="83">
        <v>2.6017190903533054</v>
      </c>
      <c r="E19" s="83">
        <v>3.3426872100728962</v>
      </c>
      <c r="F19" s="83">
        <v>6.0471633125000004</v>
      </c>
      <c r="G19" s="83">
        <v>6.3596633125000004</v>
      </c>
      <c r="H19" s="83">
        <v>9.8192361777015442</v>
      </c>
      <c r="I19" s="81">
        <v>2763837</v>
      </c>
      <c r="J19" s="81">
        <v>37424.509090909094</v>
      </c>
      <c r="K19" s="81">
        <v>79.0625</v>
      </c>
      <c r="L19" s="81">
        <v>704.53125</v>
      </c>
      <c r="M19" s="81">
        <v>1737.65625</v>
      </c>
      <c r="N19" s="81">
        <v>132.24699828473413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2">
        <v>0</v>
      </c>
      <c r="W19" s="81">
        <v>0</v>
      </c>
      <c r="X19" s="81">
        <v>0</v>
      </c>
    </row>
    <row r="20" spans="1:24">
      <c r="A20" s="4">
        <v>42430</v>
      </c>
      <c r="B20" s="83">
        <v>2.4454632196054611</v>
      </c>
      <c r="C20" s="83">
        <v>2.4030069511354228</v>
      </c>
      <c r="D20" s="83">
        <v>2.5956395448987601</v>
      </c>
      <c r="E20" s="83">
        <v>3.5818754141815772</v>
      </c>
      <c r="F20" s="83">
        <v>6.1565383124999995</v>
      </c>
      <c r="G20" s="83">
        <v>6.4690383124999995</v>
      </c>
      <c r="H20" s="83">
        <v>9.9820492137221244</v>
      </c>
      <c r="I20" s="81">
        <v>1766225</v>
      </c>
      <c r="J20" s="81">
        <v>46849.781818181822</v>
      </c>
      <c r="K20" s="81">
        <v>917.34375</v>
      </c>
      <c r="L20" s="81">
        <v>571.5625</v>
      </c>
      <c r="M20" s="81">
        <v>391.71875</v>
      </c>
      <c r="N20" s="81">
        <v>36.535162950257288</v>
      </c>
      <c r="O20" s="81">
        <v>0</v>
      </c>
      <c r="P20" s="81">
        <v>0</v>
      </c>
      <c r="Q20" s="81">
        <v>0</v>
      </c>
      <c r="R20" s="81">
        <v>0</v>
      </c>
      <c r="S20" s="81">
        <v>0</v>
      </c>
      <c r="T20" s="81">
        <v>7615.7804459691251</v>
      </c>
      <c r="U20" s="81">
        <v>4322.4699828473413</v>
      </c>
      <c r="V20" s="82">
        <v>0</v>
      </c>
      <c r="W20" s="81">
        <v>0</v>
      </c>
      <c r="X20" s="81">
        <v>0</v>
      </c>
    </row>
    <row r="21" spans="1:24">
      <c r="A21" s="4">
        <v>42461</v>
      </c>
      <c r="B21" s="83">
        <v>2.4754372534021836</v>
      </c>
      <c r="C21" s="83">
        <v>2.4168999268239637</v>
      </c>
      <c r="D21" s="83">
        <v>2.6042047688281</v>
      </c>
      <c r="E21" s="83">
        <v>3.3426872100728962</v>
      </c>
      <c r="F21" s="83">
        <v>6.2659133125000004</v>
      </c>
      <c r="G21" s="83">
        <v>6.5784133125000004</v>
      </c>
      <c r="H21" s="83">
        <v>10.092992609948542</v>
      </c>
      <c r="I21" s="81">
        <v>0</v>
      </c>
      <c r="J21" s="81">
        <v>40183.4</v>
      </c>
      <c r="K21" s="81">
        <v>2964.84375</v>
      </c>
      <c r="L21" s="81">
        <v>0</v>
      </c>
      <c r="M21" s="81">
        <v>539.21875</v>
      </c>
      <c r="N21" s="81">
        <v>16.981132075471699</v>
      </c>
      <c r="O21" s="81">
        <v>0</v>
      </c>
      <c r="P21" s="81">
        <v>0</v>
      </c>
      <c r="Q21" s="81">
        <v>0</v>
      </c>
      <c r="R21" s="81">
        <v>406.86106346483706</v>
      </c>
      <c r="S21" s="81">
        <v>0</v>
      </c>
      <c r="T21" s="81">
        <v>6998.2847341337911</v>
      </c>
      <c r="U21" s="81">
        <v>5557.4614065180103</v>
      </c>
      <c r="V21" s="82">
        <v>4185.2487135505999</v>
      </c>
      <c r="W21" s="81">
        <v>0</v>
      </c>
      <c r="X21" s="81">
        <v>0</v>
      </c>
    </row>
    <row r="22" spans="1:24">
      <c r="A22" s="4">
        <v>42491</v>
      </c>
      <c r="B22" s="83">
        <v>2.5261430396143303</v>
      </c>
      <c r="C22" s="83">
        <v>2.4534438678704227</v>
      </c>
      <c r="D22" s="83">
        <v>2.6102843142826457</v>
      </c>
      <c r="E22" s="83">
        <v>3.3394597643519681</v>
      </c>
      <c r="F22" s="83">
        <v>6.3916112817550177</v>
      </c>
      <c r="G22" s="83">
        <v>6.7041112817550177</v>
      </c>
      <c r="H22" s="83">
        <v>10.239956589365349</v>
      </c>
      <c r="I22" s="81">
        <v>2320954</v>
      </c>
      <c r="J22" s="81">
        <v>26247.436363636363</v>
      </c>
      <c r="K22" s="81">
        <v>5201.875</v>
      </c>
      <c r="L22" s="81">
        <v>1828.28125</v>
      </c>
      <c r="M22" s="81">
        <v>2032.65625</v>
      </c>
      <c r="N22" s="81">
        <v>992.79588336192114</v>
      </c>
      <c r="O22" s="81">
        <v>0</v>
      </c>
      <c r="P22" s="81">
        <v>0</v>
      </c>
      <c r="Q22" s="81">
        <v>96.397941680960542</v>
      </c>
      <c r="R22" s="81">
        <v>70.325900514579757</v>
      </c>
      <c r="S22" s="81">
        <v>0</v>
      </c>
      <c r="T22" s="81">
        <v>2264.1509433962265</v>
      </c>
      <c r="U22" s="81">
        <v>5763.293310463122</v>
      </c>
      <c r="V22" s="82">
        <v>4322.4699828473413</v>
      </c>
      <c r="W22" s="81">
        <v>5855.57461406518</v>
      </c>
      <c r="X22" s="81">
        <v>19105.04</v>
      </c>
    </row>
    <row r="23" spans="1:24">
      <c r="A23" s="4">
        <v>42522</v>
      </c>
      <c r="B23" s="83">
        <v>2.5709409325135972</v>
      </c>
      <c r="C23" s="83">
        <v>2.4975742332397117</v>
      </c>
      <c r="D23" s="83">
        <v>2.616363859737191</v>
      </c>
      <c r="E23" s="83">
        <v>3.155932063173728</v>
      </c>
      <c r="F23" s="83">
        <v>6.5009862817550177</v>
      </c>
      <c r="G23" s="83">
        <v>6.8134862817550177</v>
      </c>
      <c r="H23" s="83">
        <v>10.423661563636362</v>
      </c>
      <c r="I23" s="81">
        <v>3181812</v>
      </c>
      <c r="J23" s="81">
        <v>48125.872727272726</v>
      </c>
      <c r="K23" s="81">
        <v>20275.3125</v>
      </c>
      <c r="L23" s="81">
        <v>10950</v>
      </c>
      <c r="M23" s="81">
        <v>8390.9375</v>
      </c>
      <c r="N23" s="81">
        <v>812.69296740994855</v>
      </c>
      <c r="O23" s="81">
        <v>0</v>
      </c>
      <c r="P23" s="81">
        <v>0</v>
      </c>
      <c r="Q23" s="81">
        <v>0</v>
      </c>
      <c r="R23" s="81">
        <v>0</v>
      </c>
      <c r="S23" s="81">
        <v>610.97770154373927</v>
      </c>
      <c r="T23" s="81">
        <v>4939.9656946826753</v>
      </c>
      <c r="U23" s="81">
        <v>4734.1337907375646</v>
      </c>
      <c r="V23" s="82">
        <v>2469.9828473413377</v>
      </c>
      <c r="W23" s="81">
        <v>0</v>
      </c>
      <c r="X23" s="81">
        <v>0</v>
      </c>
    </row>
    <row r="24" spans="1:24">
      <c r="A24" s="4">
        <v>42552</v>
      </c>
      <c r="B24" s="83">
        <v>2.612613391024543</v>
      </c>
      <c r="C24" s="83">
        <v>2.538625735908818</v>
      </c>
      <c r="D24" s="83">
        <v>2.6505690919784284</v>
      </c>
      <c r="E24" s="83">
        <v>3.2731804292469993</v>
      </c>
      <c r="F24" s="83">
        <v>6.6103612817550177</v>
      </c>
      <c r="G24" s="83">
        <v>6.9228612817550177</v>
      </c>
      <c r="H24" s="83">
        <v>10.613129831217837</v>
      </c>
      <c r="I24" s="81">
        <v>3396073</v>
      </c>
      <c r="J24" s="81">
        <v>53372.836363636365</v>
      </c>
      <c r="K24" s="81">
        <v>35857.8125</v>
      </c>
      <c r="L24" s="81">
        <v>14710.625</v>
      </c>
      <c r="M24" s="81">
        <v>12771.40625</v>
      </c>
      <c r="N24" s="81">
        <v>1056.0891938250429</v>
      </c>
      <c r="O24" s="81">
        <v>0</v>
      </c>
      <c r="P24" s="81">
        <v>0</v>
      </c>
      <c r="Q24" s="81">
        <v>0</v>
      </c>
      <c r="R24" s="81">
        <v>250.08576329331046</v>
      </c>
      <c r="S24" s="81">
        <v>0</v>
      </c>
      <c r="T24" s="81">
        <v>3293.3104631217839</v>
      </c>
      <c r="U24" s="81">
        <v>4734.1337907375646</v>
      </c>
      <c r="V24" s="82">
        <v>2264.1509433962265</v>
      </c>
      <c r="W24" s="81">
        <v>2927.78730703259</v>
      </c>
      <c r="X24" s="81">
        <v>9552.52</v>
      </c>
    </row>
    <row r="25" spans="1:24">
      <c r="A25" s="4">
        <v>42583</v>
      </c>
      <c r="B25" s="83">
        <v>2.6271987515033737</v>
      </c>
      <c r="C25" s="83">
        <v>2.552993761843005</v>
      </c>
      <c r="D25" s="83">
        <v>2.665767955614792</v>
      </c>
      <c r="E25" s="83">
        <v>3.3830216063879757</v>
      </c>
      <c r="F25" s="83">
        <v>6.7197362817550168</v>
      </c>
      <c r="G25" s="83">
        <v>7.0322362817550168</v>
      </c>
      <c r="H25" s="83">
        <v>10.784587807204115</v>
      </c>
      <c r="I25" s="81">
        <v>3548399</v>
      </c>
      <c r="J25" s="81">
        <v>55647.818181818184</v>
      </c>
      <c r="K25" s="81">
        <v>51745</v>
      </c>
      <c r="L25" s="81">
        <v>23308.28125</v>
      </c>
      <c r="M25" s="81">
        <v>24077.1875</v>
      </c>
      <c r="N25" s="81">
        <v>2258.8336192109778</v>
      </c>
      <c r="O25" s="81">
        <v>0</v>
      </c>
      <c r="P25" s="81">
        <v>0</v>
      </c>
      <c r="Q25" s="81">
        <v>0</v>
      </c>
      <c r="R25" s="81">
        <v>149.39965694682675</v>
      </c>
      <c r="S25" s="81">
        <v>1031.9039451114922</v>
      </c>
      <c r="T25" s="81">
        <v>4939.9656946826753</v>
      </c>
      <c r="U25" s="81">
        <v>4734.1337907375646</v>
      </c>
      <c r="V25" s="82">
        <v>2881.646655231561</v>
      </c>
      <c r="W25" s="81">
        <v>2927.78730703259</v>
      </c>
      <c r="X25" s="81">
        <v>9552.52</v>
      </c>
    </row>
    <row r="26" spans="1:24">
      <c r="A26" s="4">
        <v>42614</v>
      </c>
      <c r="B26" s="83">
        <v>2.6251151285778267</v>
      </c>
      <c r="C26" s="83">
        <v>2.5509411867095499</v>
      </c>
      <c r="D26" s="83">
        <v>2.6596884101602472</v>
      </c>
      <c r="E26" s="83">
        <v>3.2731804292469993</v>
      </c>
      <c r="F26" s="83">
        <v>6.8291112817550177</v>
      </c>
      <c r="G26" s="83">
        <v>7.1416112817550177</v>
      </c>
      <c r="H26" s="83">
        <v>10.945239608233273</v>
      </c>
      <c r="I26" s="81">
        <v>3114840</v>
      </c>
      <c r="J26" s="81">
        <v>52343.36363636364</v>
      </c>
      <c r="K26" s="81">
        <v>45929.84375</v>
      </c>
      <c r="L26" s="81">
        <v>25985.46875</v>
      </c>
      <c r="M26" s="81">
        <v>17990</v>
      </c>
      <c r="N26" s="81">
        <v>1308.2332761578045</v>
      </c>
      <c r="O26" s="81">
        <v>0</v>
      </c>
      <c r="P26" s="81">
        <v>0</v>
      </c>
      <c r="Q26" s="81">
        <v>0</v>
      </c>
      <c r="R26" s="81">
        <v>2615.0943396226417</v>
      </c>
      <c r="S26" s="81">
        <v>0</v>
      </c>
      <c r="T26" s="81">
        <v>5557.4614065180103</v>
      </c>
      <c r="U26" s="81">
        <v>5145.797598627787</v>
      </c>
      <c r="V26" s="82">
        <v>3704.9742710120067</v>
      </c>
      <c r="W26" s="81">
        <v>0</v>
      </c>
      <c r="X26" s="81">
        <v>0</v>
      </c>
    </row>
    <row r="27" spans="1:24">
      <c r="A27" s="4">
        <v>42644</v>
      </c>
      <c r="B27" s="83">
        <v>2.6546471978934063</v>
      </c>
      <c r="C27" s="83">
        <v>2.579077047587131</v>
      </c>
      <c r="D27" s="83">
        <v>2.6897941474534917</v>
      </c>
      <c r="E27" s="83">
        <v>3.3426872100728962</v>
      </c>
      <c r="F27" s="83">
        <v>6.9065383125000004</v>
      </c>
      <c r="G27" s="83">
        <v>7.2190383125000004</v>
      </c>
      <c r="H27" s="83">
        <v>11.112375114236706</v>
      </c>
      <c r="I27" s="81">
        <v>3199091</v>
      </c>
      <c r="J27" s="81">
        <v>50903.127272727274</v>
      </c>
      <c r="K27" s="81">
        <v>26329.21875</v>
      </c>
      <c r="L27" s="81">
        <v>9768.28125</v>
      </c>
      <c r="M27" s="81">
        <v>7260.15625</v>
      </c>
      <c r="N27" s="81">
        <v>1139.4511149228131</v>
      </c>
      <c r="O27" s="81">
        <v>0</v>
      </c>
      <c r="P27" s="81">
        <v>0</v>
      </c>
      <c r="Q27" s="81">
        <v>0</v>
      </c>
      <c r="R27" s="81">
        <v>0</v>
      </c>
      <c r="S27" s="81">
        <v>0</v>
      </c>
      <c r="T27" s="81">
        <v>5557.4614065180103</v>
      </c>
      <c r="U27" s="81">
        <v>6380.7890222984561</v>
      </c>
      <c r="V27" s="82">
        <v>4734.1337907375646</v>
      </c>
      <c r="W27" s="81">
        <v>2927.78730703259</v>
      </c>
      <c r="X27" s="81">
        <v>9552.52</v>
      </c>
    </row>
    <row r="28" spans="1:24">
      <c r="A28" s="4">
        <v>42675</v>
      </c>
      <c r="B28" s="83">
        <v>2.7093412579303067</v>
      </c>
      <c r="C28" s="83">
        <v>2.665148043783697</v>
      </c>
      <c r="D28" s="83">
        <v>2.6928339201807647</v>
      </c>
      <c r="E28" s="83">
        <v>3.3426872100728962</v>
      </c>
      <c r="F28" s="83">
        <v>7.0002883124999995</v>
      </c>
      <c r="G28" s="83">
        <v>7.3127883124999995</v>
      </c>
      <c r="H28" s="83">
        <v>11.262941151972555</v>
      </c>
      <c r="I28" s="81">
        <v>3489046</v>
      </c>
      <c r="J28" s="81">
        <v>52486.8</v>
      </c>
      <c r="K28" s="81">
        <v>25507.03125</v>
      </c>
      <c r="L28" s="81">
        <v>18810.46875</v>
      </c>
      <c r="M28" s="81">
        <v>0</v>
      </c>
      <c r="N28" s="81">
        <v>0</v>
      </c>
      <c r="O28" s="81">
        <v>0</v>
      </c>
      <c r="P28" s="81">
        <v>0</v>
      </c>
      <c r="Q28" s="81">
        <v>0</v>
      </c>
      <c r="R28" s="81">
        <v>3762.0926243567751</v>
      </c>
      <c r="S28" s="81">
        <v>0</v>
      </c>
      <c r="T28" s="81">
        <v>12144.082332761578</v>
      </c>
      <c r="U28" s="81">
        <v>10085.763293310463</v>
      </c>
      <c r="V28" s="82">
        <v>7885.0771869639793</v>
      </c>
      <c r="W28" s="81">
        <v>0</v>
      </c>
      <c r="X28" s="81">
        <v>0</v>
      </c>
    </row>
    <row r="29" spans="1:24">
      <c r="A29" s="4">
        <v>42705</v>
      </c>
      <c r="B29" s="83">
        <v>2.8689847267306368</v>
      </c>
      <c r="C29" s="83">
        <v>2.8218070988851354</v>
      </c>
      <c r="D29" s="83">
        <v>2.6958736929080374</v>
      </c>
      <c r="E29" s="83">
        <v>3.5831232604373762</v>
      </c>
      <c r="F29" s="83">
        <v>7.0862258125000004</v>
      </c>
      <c r="G29" s="83">
        <v>7.3987258125000004</v>
      </c>
      <c r="H29" s="83">
        <v>11.4041418380789</v>
      </c>
      <c r="I29" s="81">
        <v>3161020</v>
      </c>
      <c r="J29" s="81">
        <v>45975.527272727275</v>
      </c>
      <c r="K29" s="81">
        <v>3595.78125</v>
      </c>
      <c r="L29" s="81">
        <v>0</v>
      </c>
      <c r="M29" s="81">
        <v>0</v>
      </c>
      <c r="N29" s="81">
        <v>613.20754716981128</v>
      </c>
      <c r="O29" s="81">
        <v>0</v>
      </c>
      <c r="P29" s="81">
        <v>0</v>
      </c>
      <c r="Q29" s="81">
        <v>258.14751286449399</v>
      </c>
      <c r="R29" s="81">
        <v>0</v>
      </c>
      <c r="S29" s="81">
        <v>17908.233276157804</v>
      </c>
      <c r="T29" s="81">
        <v>11732.418524871355</v>
      </c>
      <c r="U29" s="81">
        <v>9674.0994854202399</v>
      </c>
      <c r="V29" s="82">
        <v>5351.6295025728987</v>
      </c>
      <c r="W29" s="81">
        <v>0</v>
      </c>
      <c r="X29" s="81">
        <v>0</v>
      </c>
    </row>
    <row r="30" spans="1:24" ht="11.25" customHeight="1">
      <c r="A30" s="4">
        <v>42736</v>
      </c>
      <c r="B30" s="83">
        <v>2.9978936060756292</v>
      </c>
      <c r="C30" s="83">
        <v>2.9448756067682806</v>
      </c>
      <c r="D30" s="83">
        <v>2.7014946027638391</v>
      </c>
      <c r="E30" s="83">
        <v>3.4855999999999998</v>
      </c>
      <c r="F30" s="83">
        <v>7.1643508125000004</v>
      </c>
      <c r="G30" s="83">
        <v>7.4768508125000004</v>
      </c>
      <c r="H30" s="83">
        <v>11.546783347512864</v>
      </c>
      <c r="I30" s="81">
        <v>3067264</v>
      </c>
      <c r="J30" s="81">
        <v>45972.654545454556</v>
      </c>
      <c r="K30" s="81">
        <v>6673.28125</v>
      </c>
      <c r="L30" s="81">
        <v>4408.90625</v>
      </c>
      <c r="M30" s="81">
        <v>0</v>
      </c>
      <c r="N30" s="81">
        <v>0</v>
      </c>
      <c r="O30" s="81">
        <v>6120.2401372212689</v>
      </c>
      <c r="P30" s="81">
        <v>0</v>
      </c>
      <c r="Q30" s="81">
        <v>0</v>
      </c>
      <c r="R30" s="81">
        <v>0</v>
      </c>
      <c r="S30" s="81">
        <v>0</v>
      </c>
      <c r="T30" s="81">
        <v>0</v>
      </c>
      <c r="U30" s="81">
        <v>40.823327615780443</v>
      </c>
      <c r="V30" s="82">
        <v>0</v>
      </c>
      <c r="W30" s="81">
        <v>0</v>
      </c>
      <c r="X30" s="81">
        <v>0</v>
      </c>
    </row>
    <row r="31" spans="1:24">
      <c r="A31" s="4">
        <v>42767</v>
      </c>
      <c r="B31" s="83">
        <v>2.9847256990032407</v>
      </c>
      <c r="C31" s="83">
        <v>2.9296476384105286</v>
      </c>
      <c r="D31" s="83">
        <v>2.6954150573092939</v>
      </c>
      <c r="E31" s="83">
        <v>3.3873333333333333</v>
      </c>
      <c r="F31" s="83">
        <v>7.2346633124999995</v>
      </c>
      <c r="G31" s="83">
        <v>7.5471633124999995</v>
      </c>
      <c r="H31" s="83">
        <v>11.662049213722128</v>
      </c>
      <c r="I31" s="81">
        <v>2718358</v>
      </c>
      <c r="J31" s="81">
        <v>36585.927272727276</v>
      </c>
      <c r="K31" s="81">
        <v>2948.4375</v>
      </c>
      <c r="L31" s="81">
        <v>8359.0625</v>
      </c>
      <c r="M31" s="81">
        <v>0</v>
      </c>
      <c r="N31" s="81">
        <v>321.0977701543739</v>
      </c>
      <c r="O31" s="81">
        <v>2642.1955403087477</v>
      </c>
      <c r="P31" s="81">
        <v>0</v>
      </c>
      <c r="Q31" s="81">
        <v>0</v>
      </c>
      <c r="R31" s="81">
        <v>0</v>
      </c>
      <c r="S31" s="81">
        <v>5298.1132075471705</v>
      </c>
      <c r="T31" s="81">
        <v>0</v>
      </c>
      <c r="U31" s="81">
        <v>45.96912521440823</v>
      </c>
      <c r="V31" s="82">
        <v>1025.5574614065181</v>
      </c>
      <c r="W31" s="81">
        <v>0</v>
      </c>
      <c r="X31" s="81">
        <v>0</v>
      </c>
    </row>
    <row r="32" spans="1:24">
      <c r="A32" s="4">
        <v>42795</v>
      </c>
      <c r="B32" s="83">
        <v>2.9399819131808882</v>
      </c>
      <c r="C32" s="83">
        <v>2.8838022183750764</v>
      </c>
      <c r="D32" s="83">
        <v>2.6923752845820208</v>
      </c>
      <c r="E32" s="83">
        <v>3.44875</v>
      </c>
      <c r="F32" s="83">
        <v>7.3049758125000004</v>
      </c>
      <c r="G32" s="83">
        <v>7.6174758125000004</v>
      </c>
      <c r="H32" s="83">
        <v>11.730488321783874</v>
      </c>
      <c r="I32" s="81">
        <v>3261715</v>
      </c>
      <c r="J32" s="81">
        <v>29094.618181818183</v>
      </c>
      <c r="K32" s="81">
        <v>60888.75</v>
      </c>
      <c r="L32" s="81">
        <v>72239.6875</v>
      </c>
      <c r="M32" s="81">
        <v>0</v>
      </c>
      <c r="N32" s="81">
        <v>89.708404802744425</v>
      </c>
      <c r="O32" s="81">
        <v>0</v>
      </c>
      <c r="P32" s="81">
        <v>0</v>
      </c>
      <c r="Q32" s="81">
        <v>3061.0634648370497</v>
      </c>
      <c r="R32" s="81">
        <v>0</v>
      </c>
      <c r="S32" s="81">
        <v>9988.507718696399</v>
      </c>
      <c r="T32" s="81">
        <v>9674.0994854202399</v>
      </c>
      <c r="U32" s="81">
        <v>6476.3293310463123</v>
      </c>
      <c r="V32" s="82">
        <v>5763.293310463122</v>
      </c>
      <c r="W32" s="81">
        <v>0</v>
      </c>
      <c r="X32" s="81">
        <v>0</v>
      </c>
    </row>
    <row r="33" spans="1:24">
      <c r="A33" s="4">
        <v>42826</v>
      </c>
      <c r="B33" s="83">
        <v>2.7681467884431612</v>
      </c>
      <c r="C33" s="83">
        <v>2.6966614743471258</v>
      </c>
      <c r="D33" s="83">
        <v>2.7146956898265118</v>
      </c>
      <c r="E33" s="83">
        <v>3.3873333333333333</v>
      </c>
      <c r="F33" s="83">
        <v>7.3752883125000004</v>
      </c>
      <c r="G33" s="83">
        <v>7.6877883125000004</v>
      </c>
      <c r="H33" s="83">
        <v>11.736251615094339</v>
      </c>
      <c r="I33" s="81">
        <v>3450539</v>
      </c>
      <c r="J33" s="81">
        <v>49360.254545454547</v>
      </c>
      <c r="K33" s="81">
        <v>59046.40625</v>
      </c>
      <c r="L33" s="81">
        <v>42200.9375</v>
      </c>
      <c r="M33" s="81">
        <v>0</v>
      </c>
      <c r="N33" s="81">
        <v>0</v>
      </c>
      <c r="O33" s="81">
        <v>0</v>
      </c>
      <c r="P33" s="81">
        <v>0</v>
      </c>
      <c r="Q33" s="81">
        <v>113.55060034305318</v>
      </c>
      <c r="R33" s="81">
        <v>0</v>
      </c>
      <c r="S33" s="81">
        <v>7744.2538593481995</v>
      </c>
      <c r="T33" s="81">
        <v>5351.6295025728987</v>
      </c>
      <c r="U33" s="81">
        <v>8920.9262435677538</v>
      </c>
      <c r="V33" s="82">
        <v>7204.1166380789018</v>
      </c>
      <c r="W33" s="81">
        <v>0</v>
      </c>
      <c r="X33" s="81">
        <v>0</v>
      </c>
    </row>
    <row r="34" spans="1:24">
      <c r="A34" s="4">
        <v>42856</v>
      </c>
      <c r="B34" s="83">
        <v>2.7755583644613813</v>
      </c>
      <c r="C34" s="83">
        <v>2.7047154853678799</v>
      </c>
      <c r="D34" s="83">
        <v>2.7116559170992391</v>
      </c>
      <c r="E34" s="83">
        <v>3.3873333333333333</v>
      </c>
      <c r="F34" s="83">
        <v>7.4697362817550177</v>
      </c>
      <c r="G34" s="83">
        <v>7.7822362817550177</v>
      </c>
      <c r="H34" s="83">
        <v>11.801809076500856</v>
      </c>
      <c r="I34" s="81">
        <v>3404081</v>
      </c>
      <c r="J34" s="81">
        <v>58192.036363636369</v>
      </c>
      <c r="K34" s="81">
        <v>60807.5</v>
      </c>
      <c r="L34" s="81">
        <v>24119.375</v>
      </c>
      <c r="M34" s="81">
        <v>0</v>
      </c>
      <c r="N34" s="81">
        <v>857.97598627787306</v>
      </c>
      <c r="O34" s="81">
        <v>0</v>
      </c>
      <c r="P34" s="81">
        <v>0</v>
      </c>
      <c r="Q34" s="81">
        <v>301.71526586620928</v>
      </c>
      <c r="R34" s="81">
        <v>0</v>
      </c>
      <c r="S34" s="81">
        <v>5430.5317324185244</v>
      </c>
      <c r="T34" s="81">
        <v>1029.1595197255574</v>
      </c>
      <c r="U34" s="81">
        <v>8853.0017152658656</v>
      </c>
      <c r="V34" s="82">
        <v>3910.8061749571184</v>
      </c>
      <c r="W34" s="81">
        <v>0</v>
      </c>
      <c r="X34" s="81">
        <v>0</v>
      </c>
    </row>
    <row r="35" spans="1:24">
      <c r="A35" s="4">
        <v>42887</v>
      </c>
      <c r="B35" s="83">
        <v>2.815247696624986</v>
      </c>
      <c r="C35" s="83">
        <v>2.7437593807473415</v>
      </c>
      <c r="D35" s="83">
        <v>2.7177354625537844</v>
      </c>
      <c r="E35" s="83">
        <v>3.2645</v>
      </c>
      <c r="F35" s="83">
        <v>7.5478612817550177</v>
      </c>
      <c r="G35" s="83">
        <v>7.8603612817550177</v>
      </c>
      <c r="H35" s="83">
        <v>11.889699299485418</v>
      </c>
      <c r="I35" s="81">
        <v>3569634</v>
      </c>
      <c r="J35" s="81">
        <v>61529.290909090916</v>
      </c>
      <c r="K35" s="81">
        <v>94369.0625</v>
      </c>
      <c r="L35" s="81">
        <v>44380.3125</v>
      </c>
      <c r="M35" s="81">
        <v>0</v>
      </c>
      <c r="N35" s="81">
        <v>103.77358490566037</v>
      </c>
      <c r="O35" s="81">
        <v>0</v>
      </c>
      <c r="P35" s="81">
        <v>0</v>
      </c>
      <c r="Q35" s="81">
        <v>1236.878216123499</v>
      </c>
      <c r="R35" s="81">
        <v>0</v>
      </c>
      <c r="S35" s="81">
        <v>1143.0531732418526</v>
      </c>
      <c r="T35" s="81">
        <v>2264.1509433962265</v>
      </c>
      <c r="U35" s="81">
        <v>845.28301886792451</v>
      </c>
      <c r="V35" s="82">
        <v>2264.1509433962265</v>
      </c>
      <c r="W35" s="81">
        <v>0</v>
      </c>
      <c r="X35" s="81">
        <v>0</v>
      </c>
    </row>
    <row r="36" spans="1:24">
      <c r="A36" s="4">
        <v>42917</v>
      </c>
      <c r="B36" s="83">
        <v>2.8590482815952472</v>
      </c>
      <c r="C36" s="83">
        <v>2.7868454714123785</v>
      </c>
      <c r="D36" s="83">
        <v>2.741441686975405</v>
      </c>
      <c r="E36" s="83">
        <v>3.633</v>
      </c>
      <c r="F36" s="83">
        <v>7.6259862817550177</v>
      </c>
      <c r="G36" s="83">
        <v>7.9384862817550177</v>
      </c>
      <c r="H36" s="83">
        <v>12.005685577358491</v>
      </c>
      <c r="I36" s="81">
        <v>3528983</v>
      </c>
      <c r="J36" s="81">
        <v>63844.890909090907</v>
      </c>
      <c r="K36" s="81">
        <v>105159.21875</v>
      </c>
      <c r="L36" s="81">
        <v>30447.8125</v>
      </c>
      <c r="M36" s="81">
        <v>0</v>
      </c>
      <c r="N36" s="81">
        <v>103.77358490566037</v>
      </c>
      <c r="O36" s="81">
        <v>0</v>
      </c>
      <c r="P36" s="81">
        <v>0</v>
      </c>
      <c r="Q36" s="81">
        <v>3144.42538593482</v>
      </c>
      <c r="R36" s="81">
        <v>0</v>
      </c>
      <c r="S36" s="81">
        <v>5251.9725557461416</v>
      </c>
      <c r="T36" s="81">
        <v>3704.9742710120067</v>
      </c>
      <c r="U36" s="81">
        <v>385.24871355060031</v>
      </c>
      <c r="V36" s="82">
        <v>1852.4871355060034</v>
      </c>
      <c r="W36" s="81">
        <v>0</v>
      </c>
      <c r="X36" s="81">
        <v>0</v>
      </c>
    </row>
    <row r="37" spans="1:24">
      <c r="A37" s="4">
        <v>42948</v>
      </c>
      <c r="B37" s="83">
        <v>2.8715854791971536</v>
      </c>
      <c r="C37" s="83">
        <v>2.7991789093506347</v>
      </c>
      <c r="D37" s="83">
        <v>2.7566405506117682</v>
      </c>
      <c r="E37" s="83">
        <v>3.633</v>
      </c>
      <c r="F37" s="83">
        <v>7.7041112817550177</v>
      </c>
      <c r="G37" s="83">
        <v>8.0166112817550186</v>
      </c>
      <c r="H37" s="83">
        <v>12.123833090222984</v>
      </c>
      <c r="I37" s="81">
        <v>3590105</v>
      </c>
      <c r="J37" s="81">
        <v>62882.600000000006</v>
      </c>
      <c r="K37" s="81">
        <v>81407.8125</v>
      </c>
      <c r="L37" s="81">
        <v>33985.3125</v>
      </c>
      <c r="M37" s="81">
        <v>0</v>
      </c>
      <c r="N37" s="81">
        <v>0</v>
      </c>
      <c r="O37" s="81">
        <v>0</v>
      </c>
      <c r="P37" s="81">
        <v>0</v>
      </c>
      <c r="Q37" s="81">
        <v>2762.778730703259</v>
      </c>
      <c r="R37" s="81">
        <v>0</v>
      </c>
      <c r="S37" s="81">
        <v>18377.530017152658</v>
      </c>
      <c r="T37" s="81">
        <v>1029.1595197255574</v>
      </c>
      <c r="U37" s="81">
        <v>3121.6123499142368</v>
      </c>
      <c r="V37" s="82">
        <v>2264.1509433962265</v>
      </c>
      <c r="W37" s="81">
        <v>0</v>
      </c>
      <c r="X37" s="81">
        <v>0</v>
      </c>
    </row>
    <row r="38" spans="1:24">
      <c r="A38" s="4">
        <v>42979</v>
      </c>
      <c r="B38" s="83">
        <v>2.8653611063053175</v>
      </c>
      <c r="C38" s="83">
        <v>2.7930571582253179</v>
      </c>
      <c r="D38" s="83">
        <v>2.7505610051572233</v>
      </c>
      <c r="E38" s="83">
        <v>3.633</v>
      </c>
      <c r="F38" s="83">
        <v>7.7822362817550177</v>
      </c>
      <c r="G38" s="83">
        <v>8.0947362817550186</v>
      </c>
      <c r="H38" s="83">
        <v>12.246303073070326</v>
      </c>
      <c r="I38" s="81">
        <v>3227726</v>
      </c>
      <c r="J38" s="81">
        <v>60144.090909090912</v>
      </c>
      <c r="K38" s="81">
        <v>92110.3125</v>
      </c>
      <c r="L38" s="81">
        <v>47092.5</v>
      </c>
      <c r="M38" s="81">
        <v>0</v>
      </c>
      <c r="N38" s="81">
        <v>0</v>
      </c>
      <c r="O38" s="81">
        <v>0</v>
      </c>
      <c r="P38" s="81">
        <v>0</v>
      </c>
      <c r="Q38" s="81">
        <v>2355.57461406518</v>
      </c>
      <c r="R38" s="81">
        <v>0</v>
      </c>
      <c r="S38" s="81">
        <v>4417.6672384219564</v>
      </c>
      <c r="T38" s="81">
        <v>4734.1337907375646</v>
      </c>
      <c r="U38" s="81">
        <v>3923.4991423670667</v>
      </c>
      <c r="V38" s="82">
        <v>4116.6380789022296</v>
      </c>
      <c r="W38" s="81">
        <v>0</v>
      </c>
      <c r="X38" s="81">
        <v>0</v>
      </c>
    </row>
    <row r="39" spans="1:24">
      <c r="A39" s="4">
        <v>43009</v>
      </c>
      <c r="B39" s="83">
        <v>2.8864138625842775</v>
      </c>
      <c r="C39" s="83">
        <v>2.8130546671191761</v>
      </c>
      <c r="D39" s="83">
        <v>2.7682162907224193</v>
      </c>
      <c r="E39" s="83">
        <v>3.633</v>
      </c>
      <c r="F39" s="83">
        <v>7.8440383125000004</v>
      </c>
      <c r="G39" s="83">
        <v>8.1565383125000004</v>
      </c>
      <c r="H39" s="83">
        <v>12.368773055917664</v>
      </c>
      <c r="I39" s="81">
        <v>3358713</v>
      </c>
      <c r="J39" s="81">
        <v>63256.600000000006</v>
      </c>
      <c r="K39" s="81">
        <v>80990.15625</v>
      </c>
      <c r="L39" s="81">
        <v>34875.3125</v>
      </c>
      <c r="M39" s="81">
        <v>0</v>
      </c>
      <c r="N39" s="81">
        <v>103.77358490566037</v>
      </c>
      <c r="O39" s="81">
        <v>0</v>
      </c>
      <c r="P39" s="81">
        <v>0</v>
      </c>
      <c r="Q39" s="81">
        <v>753.17324185248708</v>
      </c>
      <c r="R39" s="81">
        <v>0</v>
      </c>
      <c r="S39" s="81">
        <v>205.83190394511149</v>
      </c>
      <c r="T39" s="81">
        <v>4322.4699828473413</v>
      </c>
      <c r="U39" s="81">
        <v>387.13550600343052</v>
      </c>
      <c r="V39" s="82">
        <v>823.32761578044597</v>
      </c>
      <c r="W39" s="81">
        <v>0</v>
      </c>
      <c r="X39" s="81">
        <v>0</v>
      </c>
    </row>
    <row r="40" spans="1:24">
      <c r="A40" s="4">
        <v>43040</v>
      </c>
      <c r="B40" s="83">
        <v>2.9441607469134454</v>
      </c>
      <c r="C40" s="83">
        <v>2.8960737813218453</v>
      </c>
      <c r="D40" s="83">
        <v>2.7712560634496919</v>
      </c>
      <c r="E40" s="83">
        <v>3.633</v>
      </c>
      <c r="F40" s="83">
        <v>7.9221633125000004</v>
      </c>
      <c r="G40" s="83">
        <v>8.2346633125000004</v>
      </c>
      <c r="H40" s="83">
        <v>12.469630688850771</v>
      </c>
      <c r="I40" s="81">
        <v>3467583</v>
      </c>
      <c r="J40" s="81">
        <v>56860.672727272729</v>
      </c>
      <c r="K40" s="81">
        <v>25202.03125</v>
      </c>
      <c r="L40" s="81">
        <v>7284.53125</v>
      </c>
      <c r="M40" s="81">
        <v>0</v>
      </c>
      <c r="N40" s="81">
        <v>0</v>
      </c>
      <c r="O40" s="81">
        <v>794.16809605488845</v>
      </c>
      <c r="P40" s="81">
        <v>0</v>
      </c>
      <c r="Q40" s="81">
        <v>889.53687821612345</v>
      </c>
      <c r="R40" s="81">
        <v>0</v>
      </c>
      <c r="S40" s="81">
        <v>65001.372212692972</v>
      </c>
      <c r="T40" s="81">
        <v>3704.9742710120067</v>
      </c>
      <c r="U40" s="81">
        <v>824.87135506003426</v>
      </c>
      <c r="V40" s="82">
        <v>6792.4528301886794</v>
      </c>
      <c r="W40" s="81">
        <v>0</v>
      </c>
      <c r="X40" s="81">
        <v>0</v>
      </c>
    </row>
    <row r="41" spans="1:24">
      <c r="A41" s="4">
        <v>43070</v>
      </c>
      <c r="B41" s="83">
        <v>3.0955286390095229</v>
      </c>
      <c r="C41" s="83">
        <v>3.0445944844395609</v>
      </c>
      <c r="D41" s="83">
        <v>2.774295836176965</v>
      </c>
      <c r="E41" s="83">
        <v>3.633</v>
      </c>
      <c r="F41" s="83">
        <v>8.0002883125000004</v>
      </c>
      <c r="G41" s="83">
        <v>8.3127883125000004</v>
      </c>
      <c r="H41" s="83">
        <v>12.556080088507716</v>
      </c>
      <c r="I41" s="81">
        <v>3459324</v>
      </c>
      <c r="J41" s="81">
        <v>54220.05454545455</v>
      </c>
      <c r="K41" s="81">
        <v>6320.625</v>
      </c>
      <c r="L41" s="81">
        <v>1875.46875</v>
      </c>
      <c r="M41" s="81">
        <v>0</v>
      </c>
      <c r="N41" s="81">
        <v>0</v>
      </c>
      <c r="O41" s="81">
        <v>0</v>
      </c>
      <c r="P41" s="81">
        <v>0</v>
      </c>
      <c r="Q41" s="81">
        <v>0</v>
      </c>
      <c r="R41" s="81">
        <v>0</v>
      </c>
      <c r="S41" s="81">
        <v>51.457975986277873</v>
      </c>
      <c r="T41" s="81">
        <v>10291.595197255574</v>
      </c>
      <c r="U41" s="81">
        <v>0</v>
      </c>
      <c r="V41" s="82">
        <v>5969.1252144082328</v>
      </c>
      <c r="W41" s="81">
        <v>0</v>
      </c>
      <c r="X41" s="81">
        <v>0</v>
      </c>
    </row>
    <row r="42" spans="1:24">
      <c r="A42" s="4">
        <v>43101</v>
      </c>
      <c r="B42" s="83">
        <v>3.2109897062101069</v>
      </c>
      <c r="C42" s="83">
        <v>3.1544381703491551</v>
      </c>
      <c r="D42" s="83">
        <v>2.8174059591191054</v>
      </c>
      <c r="E42" s="83">
        <v>3.2608715394085319</v>
      </c>
      <c r="F42" s="83">
        <v>7.7502883125000004</v>
      </c>
      <c r="G42" s="83">
        <v>8.0627883125000004</v>
      </c>
      <c r="H42" s="83">
        <v>12.646131546483705</v>
      </c>
      <c r="I42" s="81">
        <v>3198100</v>
      </c>
      <c r="J42" s="81">
        <v>52526.909090909096</v>
      </c>
      <c r="K42" s="81">
        <v>633.59375</v>
      </c>
      <c r="L42" s="81">
        <v>1380</v>
      </c>
      <c r="M42" s="81">
        <v>0</v>
      </c>
      <c r="N42" s="81">
        <v>0</v>
      </c>
      <c r="O42" s="81">
        <v>3010.2915951972554</v>
      </c>
      <c r="P42" s="81">
        <v>0</v>
      </c>
      <c r="Q42" s="81">
        <v>0</v>
      </c>
      <c r="R42" s="81">
        <v>0</v>
      </c>
      <c r="S42" s="81">
        <v>0</v>
      </c>
      <c r="T42" s="81">
        <v>0</v>
      </c>
      <c r="U42" s="81">
        <v>0</v>
      </c>
      <c r="V42" s="82">
        <v>0</v>
      </c>
      <c r="W42" s="81">
        <v>0</v>
      </c>
      <c r="X42" s="81">
        <v>0</v>
      </c>
    </row>
    <row r="43" spans="1:24">
      <c r="A43" s="4">
        <v>43132</v>
      </c>
      <c r="B43" s="83">
        <v>3.1967873520496872</v>
      </c>
      <c r="C43" s="83">
        <v>3.1381929079934379</v>
      </c>
      <c r="D43" s="83">
        <v>2.8143661863918323</v>
      </c>
      <c r="E43" s="83">
        <v>3.2349265462690564</v>
      </c>
      <c r="F43" s="83">
        <v>7.7940383125000006</v>
      </c>
      <c r="G43" s="83">
        <v>8.1065383124999997</v>
      </c>
      <c r="H43" s="83">
        <v>12.692958304631215</v>
      </c>
      <c r="I43" s="81">
        <v>866289</v>
      </c>
      <c r="J43" s="81">
        <v>36171.072727272731</v>
      </c>
      <c r="K43" s="81">
        <v>35110.15625</v>
      </c>
      <c r="L43" s="81">
        <v>25359.21875</v>
      </c>
      <c r="M43" s="81">
        <v>0</v>
      </c>
      <c r="N43" s="81">
        <v>695.71183533447686</v>
      </c>
      <c r="O43" s="81">
        <v>1315.4373927958834</v>
      </c>
      <c r="P43" s="81">
        <v>0</v>
      </c>
      <c r="Q43" s="81">
        <v>66.7238421955403</v>
      </c>
      <c r="R43" s="81">
        <v>0</v>
      </c>
      <c r="S43" s="81">
        <v>2965.8662092624354</v>
      </c>
      <c r="T43" s="81">
        <v>2.5728987993138936</v>
      </c>
      <c r="U43" s="81">
        <v>0</v>
      </c>
      <c r="V43" s="82">
        <v>465.35162950257291</v>
      </c>
      <c r="W43" s="81">
        <v>0</v>
      </c>
      <c r="X43" s="81">
        <v>0</v>
      </c>
    </row>
    <row r="44" spans="1:24">
      <c r="A44" s="4">
        <v>43160</v>
      </c>
      <c r="B44" s="83">
        <v>3.1385957540829263</v>
      </c>
      <c r="C44" s="83">
        <v>3.079122665984436</v>
      </c>
      <c r="D44" s="83">
        <v>2.8113264136645597</v>
      </c>
      <c r="E44" s="83">
        <v>3.2515911547495828</v>
      </c>
      <c r="F44" s="83">
        <v>7.8424758125</v>
      </c>
      <c r="G44" s="83">
        <v>8.1549758125</v>
      </c>
      <c r="H44" s="83">
        <v>12.689356246312176</v>
      </c>
      <c r="I44" s="81">
        <v>1568565</v>
      </c>
      <c r="J44" s="81">
        <v>33305.818181818184</v>
      </c>
      <c r="K44" s="81">
        <v>18983.4375</v>
      </c>
      <c r="L44" s="81">
        <v>4708.125</v>
      </c>
      <c r="M44" s="81">
        <v>0</v>
      </c>
      <c r="N44" s="81">
        <v>321.0977701543739</v>
      </c>
      <c r="O44" s="81">
        <v>0</v>
      </c>
      <c r="P44" s="81">
        <v>0</v>
      </c>
      <c r="Q44" s="81">
        <v>993.48198970840474</v>
      </c>
      <c r="R44" s="81">
        <v>0</v>
      </c>
      <c r="S44" s="81">
        <v>102.91595197255575</v>
      </c>
      <c r="T44" s="81">
        <v>9262.4356775300166</v>
      </c>
      <c r="U44" s="81">
        <v>0</v>
      </c>
      <c r="V44" s="82">
        <v>1029.1595197255574</v>
      </c>
      <c r="W44" s="81">
        <v>0</v>
      </c>
      <c r="X44" s="81">
        <v>0</v>
      </c>
    </row>
    <row r="45" spans="1:24">
      <c r="A45" s="4">
        <v>43191</v>
      </c>
      <c r="B45" s="83">
        <v>2.8959540992755013</v>
      </c>
      <c r="C45" s="83">
        <v>2.8044946381314597</v>
      </c>
      <c r="D45" s="83">
        <v>2.8078463963277516</v>
      </c>
      <c r="E45" s="83">
        <v>3.2675262527074125</v>
      </c>
      <c r="F45" s="83">
        <v>7.8956008125000006</v>
      </c>
      <c r="G45" s="83">
        <v>8.2081008124999997</v>
      </c>
      <c r="H45" s="83">
        <v>12.660539779759862</v>
      </c>
      <c r="I45" s="81">
        <v>3347767</v>
      </c>
      <c r="J45" s="81">
        <v>54717.963636363638</v>
      </c>
      <c r="K45" s="81">
        <v>34345.625</v>
      </c>
      <c r="L45" s="81">
        <v>8319.53125</v>
      </c>
      <c r="M45" s="81">
        <v>0</v>
      </c>
      <c r="N45" s="81">
        <v>1388.3361921097769</v>
      </c>
      <c r="O45" s="81">
        <v>1969.1252144082332</v>
      </c>
      <c r="P45" s="81">
        <v>0</v>
      </c>
      <c r="Q45" s="81">
        <v>1285.934819897084</v>
      </c>
      <c r="R45" s="81">
        <v>0</v>
      </c>
      <c r="S45" s="81">
        <v>3326.072041166381</v>
      </c>
      <c r="T45" s="81">
        <v>4734.1337907375646</v>
      </c>
      <c r="U45" s="81">
        <v>0</v>
      </c>
      <c r="V45" s="82">
        <v>4939.9656946826753</v>
      </c>
      <c r="W45" s="81">
        <v>0</v>
      </c>
      <c r="X45" s="81">
        <v>0</v>
      </c>
    </row>
    <row r="46" spans="1:24">
      <c r="A46" s="4">
        <v>43221</v>
      </c>
      <c r="B46" s="83">
        <v>2.8917477105030298</v>
      </c>
      <c r="C46" s="83">
        <v>2.8013584151745934</v>
      </c>
      <c r="D46" s="83">
        <v>2.8078463963277516</v>
      </c>
      <c r="E46" s="83">
        <v>3.2750908974924458</v>
      </c>
      <c r="F46" s="83">
        <v>7.982236281755017</v>
      </c>
      <c r="G46" s="83">
        <v>8.2947362817550179</v>
      </c>
      <c r="H46" s="83">
        <v>12.725376829502572</v>
      </c>
      <c r="I46" s="81">
        <v>3444927</v>
      </c>
      <c r="J46" s="81">
        <v>60543.509090909094</v>
      </c>
      <c r="K46" s="81">
        <v>38267.96875</v>
      </c>
      <c r="L46" s="81">
        <v>37486.875</v>
      </c>
      <c r="M46" s="81">
        <v>0</v>
      </c>
      <c r="N46" s="81">
        <v>0</v>
      </c>
      <c r="O46" s="81">
        <v>0</v>
      </c>
      <c r="P46" s="81">
        <v>0</v>
      </c>
      <c r="Q46" s="81">
        <v>2204.9742710120067</v>
      </c>
      <c r="R46" s="81">
        <v>0</v>
      </c>
      <c r="S46" s="81">
        <v>2800.514579759863</v>
      </c>
      <c r="T46" s="81">
        <v>3293.3104631217839</v>
      </c>
      <c r="U46" s="81">
        <v>2187.8216123499142</v>
      </c>
      <c r="V46" s="82">
        <v>1234.9914236706688</v>
      </c>
      <c r="W46" s="81">
        <v>0</v>
      </c>
      <c r="X46" s="81">
        <v>0</v>
      </c>
    </row>
    <row r="47" spans="1:24">
      <c r="A47" s="4">
        <v>43252</v>
      </c>
      <c r="B47" s="83">
        <v>2.9261422586334542</v>
      </c>
      <c r="C47" s="83">
        <v>2.8353158405642289</v>
      </c>
      <c r="D47" s="83">
        <v>2.8139259417822973</v>
      </c>
      <c r="E47" s="83">
        <v>3.2717635408430055</v>
      </c>
      <c r="F47" s="83">
        <v>8.0556737817550186</v>
      </c>
      <c r="G47" s="83">
        <v>8.3681737817550186</v>
      </c>
      <c r="H47" s="83">
        <v>12.8010200542024</v>
      </c>
      <c r="I47" s="81">
        <v>3380944</v>
      </c>
      <c r="J47" s="81">
        <v>58756.945454545465</v>
      </c>
      <c r="K47" s="81">
        <v>26879.375</v>
      </c>
      <c r="L47" s="81">
        <v>29525.9375</v>
      </c>
      <c r="M47" s="81">
        <v>0</v>
      </c>
      <c r="N47" s="81">
        <v>0</v>
      </c>
      <c r="O47" s="81">
        <v>0</v>
      </c>
      <c r="P47" s="81">
        <v>0</v>
      </c>
      <c r="Q47" s="81">
        <v>935.67753001715266</v>
      </c>
      <c r="R47" s="81">
        <v>0</v>
      </c>
      <c r="S47" s="81">
        <v>2131.5608919382503</v>
      </c>
      <c r="T47" s="81">
        <v>0</v>
      </c>
      <c r="U47" s="81">
        <v>38.593481989708401</v>
      </c>
      <c r="V47" s="82">
        <v>2469.9828473413377</v>
      </c>
      <c r="W47" s="81">
        <v>0</v>
      </c>
      <c r="X47" s="81">
        <v>0</v>
      </c>
    </row>
    <row r="48" spans="1:24">
      <c r="A48" s="4">
        <v>43282</v>
      </c>
      <c r="B48" s="83">
        <v>2.9646566094723732</v>
      </c>
      <c r="C48" s="83">
        <v>2.8733154612394385</v>
      </c>
      <c r="D48" s="83">
        <v>2.8973610179525568</v>
      </c>
      <c r="E48" s="83">
        <v>3.4589692293358332</v>
      </c>
      <c r="F48" s="83">
        <v>8.1244237817550182</v>
      </c>
      <c r="G48" s="83">
        <v>8.4369237817550182</v>
      </c>
      <c r="H48" s="83">
        <v>12.894673570497424</v>
      </c>
      <c r="I48" s="81">
        <v>3441608</v>
      </c>
      <c r="J48" s="81">
        <v>60187.727272727279</v>
      </c>
      <c r="K48" s="81">
        <v>69322.1875</v>
      </c>
      <c r="L48" s="81">
        <v>38764.84375</v>
      </c>
      <c r="M48" s="81">
        <v>0</v>
      </c>
      <c r="N48" s="81">
        <v>0</v>
      </c>
      <c r="O48" s="81">
        <v>0</v>
      </c>
      <c r="P48" s="81">
        <v>0</v>
      </c>
      <c r="Q48" s="81">
        <v>913.722126929674</v>
      </c>
      <c r="R48" s="81">
        <v>0</v>
      </c>
      <c r="S48" s="81">
        <v>5357.1183533447684</v>
      </c>
      <c r="T48" s="81">
        <v>823.32761578044597</v>
      </c>
      <c r="U48" s="81">
        <v>0</v>
      </c>
      <c r="V48" s="82">
        <v>3087.4785591766722</v>
      </c>
      <c r="W48" s="81">
        <v>0</v>
      </c>
      <c r="X48" s="81">
        <v>0</v>
      </c>
    </row>
    <row r="49" spans="1:24">
      <c r="A49" s="4">
        <v>43313</v>
      </c>
      <c r="B49" s="83">
        <v>2.9792228017084268</v>
      </c>
      <c r="C49" s="83">
        <v>2.8876834871736254</v>
      </c>
      <c r="D49" s="83">
        <v>2.9040485179525568</v>
      </c>
      <c r="E49" s="83">
        <v>3.4409363119298848</v>
      </c>
      <c r="F49" s="83">
        <v>8.19473628175502</v>
      </c>
      <c r="G49" s="83">
        <v>8.50723628175502</v>
      </c>
      <c r="H49" s="83">
        <v>12.984725028473409</v>
      </c>
      <c r="I49" s="81">
        <v>3533020</v>
      </c>
      <c r="J49" s="81">
        <v>60450.8</v>
      </c>
      <c r="K49" s="81">
        <v>45283.59375</v>
      </c>
      <c r="L49" s="81">
        <v>24733.59375</v>
      </c>
      <c r="M49" s="81">
        <v>0</v>
      </c>
      <c r="N49" s="81">
        <v>0</v>
      </c>
      <c r="O49" s="81">
        <v>0</v>
      </c>
      <c r="P49" s="81">
        <v>0</v>
      </c>
      <c r="Q49" s="81">
        <v>1310.2915951972557</v>
      </c>
      <c r="R49" s="81">
        <v>0</v>
      </c>
      <c r="S49" s="81">
        <v>14436.878216123499</v>
      </c>
      <c r="T49" s="81">
        <v>823.32761578044597</v>
      </c>
      <c r="U49" s="81">
        <v>1168.6106346483705</v>
      </c>
      <c r="V49" s="82">
        <v>4116.6380789022296</v>
      </c>
      <c r="W49" s="81">
        <v>0</v>
      </c>
      <c r="X49" s="81">
        <v>0</v>
      </c>
    </row>
    <row r="50" spans="1:24">
      <c r="A50" s="4">
        <v>43344</v>
      </c>
      <c r="B50" s="83">
        <v>2.9730041287511511</v>
      </c>
      <c r="C50" s="83">
        <v>2.881561736048309</v>
      </c>
      <c r="D50" s="83">
        <v>2.9010087452252837</v>
      </c>
      <c r="E50" s="83">
        <v>3.4362961196004109</v>
      </c>
      <c r="F50" s="83">
        <v>8.2666112817550186</v>
      </c>
      <c r="G50" s="83">
        <v>8.5791112817550186</v>
      </c>
      <c r="H50" s="83">
        <v>13.078378544768437</v>
      </c>
      <c r="I50" s="81">
        <v>3307326</v>
      </c>
      <c r="J50" s="81">
        <v>61954.527272727268</v>
      </c>
      <c r="K50" s="81">
        <v>83554.6875</v>
      </c>
      <c r="L50" s="81">
        <v>41969.53125</v>
      </c>
      <c r="M50" s="81">
        <v>0</v>
      </c>
      <c r="N50" s="81">
        <v>0</v>
      </c>
      <c r="O50" s="81">
        <v>0</v>
      </c>
      <c r="P50" s="81">
        <v>0</v>
      </c>
      <c r="Q50" s="81">
        <v>1360.0343053173242</v>
      </c>
      <c r="R50" s="81">
        <v>0</v>
      </c>
      <c r="S50" s="81">
        <v>8609.2624356775286</v>
      </c>
      <c r="T50" s="81">
        <v>2469.9828473413377</v>
      </c>
      <c r="U50" s="81">
        <v>1767.2384219554031</v>
      </c>
      <c r="V50" s="82">
        <v>5557.4614065180103</v>
      </c>
      <c r="W50" s="81">
        <v>0</v>
      </c>
      <c r="X50" s="81">
        <v>0</v>
      </c>
    </row>
    <row r="51" spans="1:24">
      <c r="A51" s="4">
        <v>43374</v>
      </c>
      <c r="B51" s="83">
        <v>3.0003218425336704</v>
      </c>
      <c r="C51" s="83">
        <v>2.9076630089299593</v>
      </c>
      <c r="D51" s="83">
        <v>2.8920877447630282</v>
      </c>
      <c r="E51" s="83">
        <v>3.4329642335510773</v>
      </c>
      <c r="F51" s="83">
        <v>8.3237258125000011</v>
      </c>
      <c r="G51" s="83">
        <v>8.6362258125000011</v>
      </c>
      <c r="H51" s="83">
        <v>13.168430002744422</v>
      </c>
      <c r="I51" s="81">
        <v>3472369</v>
      </c>
      <c r="J51" s="81">
        <v>64392.4</v>
      </c>
      <c r="K51" s="81">
        <v>97650.46875</v>
      </c>
      <c r="L51" s="81">
        <v>45104.375</v>
      </c>
      <c r="M51" s="81">
        <v>0</v>
      </c>
      <c r="N51" s="81">
        <v>0</v>
      </c>
      <c r="O51" s="81">
        <v>0</v>
      </c>
      <c r="P51" s="81">
        <v>0</v>
      </c>
      <c r="Q51" s="81">
        <v>4124.3567753001707</v>
      </c>
      <c r="R51" s="81">
        <v>0</v>
      </c>
      <c r="S51" s="81">
        <v>11452.144082332761</v>
      </c>
      <c r="T51" s="81">
        <v>3087.4785591766722</v>
      </c>
      <c r="U51" s="81">
        <v>0</v>
      </c>
      <c r="V51" s="82">
        <v>411.66380789022298</v>
      </c>
      <c r="W51" s="81">
        <v>0</v>
      </c>
      <c r="X51" s="81">
        <v>0</v>
      </c>
    </row>
    <row r="52" spans="1:24">
      <c r="A52" s="4">
        <v>43405</v>
      </c>
      <c r="B52" s="83">
        <v>3.0434676673644643</v>
      </c>
      <c r="C52" s="83">
        <v>2.9937340051265249</v>
      </c>
      <c r="D52" s="83">
        <v>2.8951275174903008</v>
      </c>
      <c r="E52" s="83">
        <v>3.4401259741422296</v>
      </c>
      <c r="F52" s="83">
        <v>8.4018508125000011</v>
      </c>
      <c r="G52" s="83">
        <v>8.7143508125000011</v>
      </c>
      <c r="H52" s="83">
        <v>13.236869110806175</v>
      </c>
      <c r="I52" s="81">
        <v>3543948</v>
      </c>
      <c r="J52" s="81">
        <v>60603.618181818179</v>
      </c>
      <c r="K52" s="81">
        <v>30479.0625</v>
      </c>
      <c r="L52" s="81">
        <v>9436.71875</v>
      </c>
      <c r="M52" s="81">
        <v>0</v>
      </c>
      <c r="N52" s="81">
        <v>0</v>
      </c>
      <c r="O52" s="81">
        <v>0</v>
      </c>
      <c r="P52" s="81">
        <v>0</v>
      </c>
      <c r="Q52" s="81">
        <v>12.34991423670669</v>
      </c>
      <c r="R52" s="81">
        <v>0</v>
      </c>
      <c r="S52" s="81">
        <v>411.66380789022298</v>
      </c>
      <c r="T52" s="81">
        <v>10291.595197255574</v>
      </c>
      <c r="U52" s="81">
        <v>343.73927958833616</v>
      </c>
      <c r="V52" s="82">
        <v>5763.293310463122</v>
      </c>
      <c r="W52" s="81">
        <v>0</v>
      </c>
      <c r="X52" s="81">
        <v>0</v>
      </c>
    </row>
    <row r="53" spans="1:24">
      <c r="A53" s="4">
        <v>43435</v>
      </c>
      <c r="B53" s="83">
        <v>3.1948355594605422</v>
      </c>
      <c r="C53" s="83">
        <v>3.1422547082442409</v>
      </c>
      <c r="D53" s="83">
        <v>2.8951275174903008</v>
      </c>
      <c r="E53" s="83">
        <v>3.4275182328338407</v>
      </c>
      <c r="F53" s="83">
        <v>8.478413312499999</v>
      </c>
      <c r="G53" s="83">
        <v>8.790913312499999</v>
      </c>
      <c r="H53" s="83">
        <v>13.294502043910803</v>
      </c>
      <c r="I53" s="81">
        <v>3685318</v>
      </c>
      <c r="J53" s="81">
        <v>58949.05454545455</v>
      </c>
      <c r="K53" s="81">
        <v>26451.5625</v>
      </c>
      <c r="L53" s="81">
        <v>4700.9375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0</v>
      </c>
      <c r="S53" s="81">
        <v>4160.2058319039452</v>
      </c>
      <c r="T53" s="81">
        <v>9674.0994854202399</v>
      </c>
      <c r="U53" s="81">
        <v>629.50257289879926</v>
      </c>
      <c r="V53" s="82">
        <v>3087.4785591766722</v>
      </c>
      <c r="W53" s="81">
        <v>0</v>
      </c>
      <c r="X53" s="81">
        <v>0</v>
      </c>
    </row>
    <row r="54" spans="1:24" ht="11.25" customHeight="1">
      <c r="A54" s="4">
        <v>43466</v>
      </c>
      <c r="B54" s="83">
        <v>3.9525474981608855</v>
      </c>
      <c r="C54" s="83">
        <v>3.8836995309583293</v>
      </c>
      <c r="D54" s="83">
        <v>2.9246285105410954</v>
      </c>
      <c r="E54" s="83">
        <v>3.4699364030310007</v>
      </c>
      <c r="F54" s="83">
        <v>9.3401757506170462</v>
      </c>
      <c r="G54" s="83">
        <v>9.6526757506170462</v>
      </c>
      <c r="H54" s="83">
        <v>14.279283612596089</v>
      </c>
      <c r="I54" s="81">
        <v>2994104</v>
      </c>
      <c r="J54" s="81">
        <v>49411.527272727275</v>
      </c>
      <c r="K54" s="81">
        <v>5438.90625</v>
      </c>
      <c r="L54" s="81">
        <v>2405.46875</v>
      </c>
      <c r="M54" s="81">
        <v>0</v>
      </c>
      <c r="N54" s="81">
        <v>321.0977701543739</v>
      </c>
      <c r="O54" s="81">
        <v>759.69125214408234</v>
      </c>
      <c r="P54" s="81">
        <v>0</v>
      </c>
      <c r="Q54" s="81">
        <v>816.98113207547181</v>
      </c>
      <c r="R54" s="81">
        <v>0</v>
      </c>
      <c r="S54" s="81">
        <v>2016.1234991423671</v>
      </c>
      <c r="T54" s="81">
        <v>0</v>
      </c>
      <c r="U54" s="81">
        <v>0</v>
      </c>
      <c r="V54" s="81">
        <v>0</v>
      </c>
      <c r="W54" s="81">
        <v>0</v>
      </c>
      <c r="X54" s="81">
        <v>0</v>
      </c>
    </row>
    <row r="55" spans="1:24">
      <c r="A55" s="4">
        <v>43497</v>
      </c>
      <c r="B55" s="83">
        <v>3.693105659768332</v>
      </c>
      <c r="C55" s="83">
        <v>3.6262813190530649</v>
      </c>
      <c r="D55" s="83">
        <v>2.9215887378138228</v>
      </c>
      <c r="E55" s="83">
        <v>3.4391809812646486</v>
      </c>
      <c r="F55" s="83">
        <v>9.5248415783775222</v>
      </c>
      <c r="G55" s="83">
        <v>9.8373415783775222</v>
      </c>
      <c r="H55" s="83">
        <v>14.723096148028596</v>
      </c>
      <c r="I55" s="81">
        <v>2868876</v>
      </c>
      <c r="J55" s="81">
        <v>48693.36363636364</v>
      </c>
      <c r="K55" s="81">
        <v>0</v>
      </c>
      <c r="L55" s="81">
        <v>666.25</v>
      </c>
      <c r="M55" s="81">
        <v>0</v>
      </c>
      <c r="N55" s="81">
        <v>649.2281303602058</v>
      </c>
      <c r="O55" s="81">
        <v>1937.7358490566039</v>
      </c>
      <c r="P55" s="81">
        <v>0</v>
      </c>
      <c r="Q55" s="81">
        <v>0</v>
      </c>
      <c r="R55" s="81">
        <v>0</v>
      </c>
      <c r="S55" s="81">
        <v>0</v>
      </c>
      <c r="T55" s="81">
        <v>0</v>
      </c>
      <c r="U55" s="81">
        <v>0</v>
      </c>
      <c r="V55" s="81">
        <v>0</v>
      </c>
      <c r="W55" s="81">
        <v>0</v>
      </c>
      <c r="X55" s="81">
        <v>0</v>
      </c>
    </row>
    <row r="56" spans="1:24">
      <c r="A56" s="4">
        <v>43525</v>
      </c>
      <c r="B56" s="83">
        <v>3.6085547543713865</v>
      </c>
      <c r="C56" s="83">
        <v>3.5412888568072787</v>
      </c>
      <c r="D56" s="83">
        <v>2.9185489650865502</v>
      </c>
      <c r="E56" s="83">
        <v>3.4596378407313622</v>
      </c>
      <c r="F56" s="83">
        <v>10.009783855814627</v>
      </c>
      <c r="G56" s="83">
        <v>10.322283855814627</v>
      </c>
      <c r="H56" s="83">
        <v>15.417851331651296</v>
      </c>
      <c r="I56" s="81">
        <v>3205787</v>
      </c>
      <c r="J56" s="81">
        <v>34817.090909090912</v>
      </c>
      <c r="K56" s="81">
        <v>7737.8125</v>
      </c>
      <c r="L56" s="81">
        <v>3755.46875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81">
        <v>0</v>
      </c>
      <c r="S56" s="81">
        <v>0</v>
      </c>
      <c r="T56" s="81">
        <v>5763.293310463122</v>
      </c>
      <c r="U56" s="81">
        <v>170.15437392795883</v>
      </c>
      <c r="V56" s="81">
        <v>4528.3018867924529</v>
      </c>
      <c r="W56" s="81">
        <v>0</v>
      </c>
      <c r="X56" s="81">
        <v>0</v>
      </c>
    </row>
    <row r="57" spans="1:24">
      <c r="A57" s="4">
        <v>43556</v>
      </c>
      <c r="B57" s="83">
        <v>3.6894312544108945</v>
      </c>
      <c r="C57" s="83">
        <v>3.5848144406435494</v>
      </c>
      <c r="D57" s="83">
        <v>2.9151857422731169</v>
      </c>
      <c r="E57" s="83">
        <v>3.4796456492519519</v>
      </c>
      <c r="F57" s="83">
        <v>10.354341806639265</v>
      </c>
      <c r="G57" s="83">
        <v>10.666841806639265</v>
      </c>
      <c r="H57" s="83">
        <v>15.8180523622935</v>
      </c>
      <c r="I57" s="81">
        <v>3464343</v>
      </c>
      <c r="J57" s="81">
        <v>22212</v>
      </c>
      <c r="K57" s="81">
        <v>42874.0625</v>
      </c>
      <c r="L57" s="81">
        <v>43389.0625</v>
      </c>
      <c r="M57" s="81">
        <v>0</v>
      </c>
      <c r="N57" s="81">
        <v>0</v>
      </c>
      <c r="O57" s="81">
        <v>0</v>
      </c>
      <c r="P57" s="81">
        <v>0</v>
      </c>
      <c r="Q57" s="81">
        <v>1520.9262435677529</v>
      </c>
      <c r="R57" s="81">
        <v>0</v>
      </c>
      <c r="S57" s="81">
        <v>14039.279588336194</v>
      </c>
      <c r="T57" s="81">
        <v>4734.1337907375646</v>
      </c>
      <c r="U57" s="81">
        <v>11.320754716981131</v>
      </c>
      <c r="V57" s="81">
        <v>2058.3190394511148</v>
      </c>
      <c r="W57" s="81">
        <v>0</v>
      </c>
      <c r="X57" s="81">
        <v>0</v>
      </c>
    </row>
    <row r="58" spans="1:24">
      <c r="A58" s="4">
        <v>43586</v>
      </c>
      <c r="B58" s="83">
        <v>3.7864701571006725</v>
      </c>
      <c r="C58" s="83">
        <v>3.6812446706435051</v>
      </c>
      <c r="D58" s="83">
        <v>2.9151857422731169</v>
      </c>
      <c r="E58" s="83">
        <v>3.48873756049802</v>
      </c>
      <c r="F58" s="83">
        <v>10.58118142594657</v>
      </c>
      <c r="G58" s="83">
        <v>10.89368142594657</v>
      </c>
      <c r="H58" s="83">
        <v>15.65991226346123</v>
      </c>
      <c r="I58" s="81">
        <v>3500490</v>
      </c>
      <c r="J58" s="81">
        <v>42427.227272727272</v>
      </c>
      <c r="K58" s="81">
        <v>95651.40625</v>
      </c>
      <c r="L58" s="81">
        <v>52731.40625</v>
      </c>
      <c r="M58" s="81">
        <v>0</v>
      </c>
      <c r="N58" s="81">
        <v>857.97598627787306</v>
      </c>
      <c r="O58" s="81">
        <v>0</v>
      </c>
      <c r="P58" s="81">
        <v>0</v>
      </c>
      <c r="Q58" s="81">
        <v>2345.9691252144085</v>
      </c>
      <c r="R58" s="81">
        <v>0</v>
      </c>
      <c r="S58" s="81">
        <v>15371.355060034304</v>
      </c>
      <c r="T58" s="81">
        <v>3499.1423670668955</v>
      </c>
      <c r="U58" s="81">
        <v>1272.8987993138937</v>
      </c>
      <c r="V58" s="81">
        <v>1440.8233276157805</v>
      </c>
      <c r="W58" s="81">
        <v>0</v>
      </c>
      <c r="X58" s="81">
        <v>0</v>
      </c>
    </row>
    <row r="59" spans="1:24">
      <c r="A59" s="4">
        <v>43617</v>
      </c>
      <c r="B59" s="83">
        <v>3.7265730770402854</v>
      </c>
      <c r="C59" s="83">
        <v>3.6224740014532255</v>
      </c>
      <c r="D59" s="83">
        <v>2.9212652877276626</v>
      </c>
      <c r="E59" s="83">
        <v>3.4838829373875448</v>
      </c>
      <c r="F59" s="83">
        <v>10.609665202360691</v>
      </c>
      <c r="G59" s="83">
        <v>10.922165202360691</v>
      </c>
      <c r="H59" s="83">
        <v>15.788704742185708</v>
      </c>
      <c r="I59" s="81">
        <v>3351448</v>
      </c>
      <c r="J59" s="81">
        <v>53880.136363636368</v>
      </c>
      <c r="K59" s="81">
        <v>34117.1875</v>
      </c>
      <c r="L59" s="81">
        <v>33173.90625</v>
      </c>
      <c r="M59" s="81">
        <v>0</v>
      </c>
      <c r="N59" s="81">
        <v>857.97598627787306</v>
      </c>
      <c r="O59" s="81">
        <v>0</v>
      </c>
      <c r="P59" s="81">
        <v>0</v>
      </c>
      <c r="Q59" s="81">
        <v>1551.9725557461404</v>
      </c>
      <c r="R59" s="81">
        <v>0</v>
      </c>
      <c r="S59" s="81">
        <v>5354.7169811320755</v>
      </c>
      <c r="T59" s="81">
        <v>1852.4871355060034</v>
      </c>
      <c r="U59" s="81">
        <v>7282.6758147512865</v>
      </c>
      <c r="V59" s="81">
        <v>5145.797598627787</v>
      </c>
      <c r="W59" s="81">
        <v>0</v>
      </c>
      <c r="X59" s="81">
        <v>0</v>
      </c>
    </row>
    <row r="60" spans="1:24">
      <c r="A60" s="4">
        <v>43647</v>
      </c>
      <c r="B60" s="83">
        <v>3.8852231635828693</v>
      </c>
      <c r="C60" s="83">
        <v>3.7786172800172784</v>
      </c>
      <c r="D60" s="83">
        <v>2.9781288410200353</v>
      </c>
      <c r="E60" s="83">
        <v>3.4566055029754672</v>
      </c>
      <c r="F60" s="83">
        <v>10.606792888772715</v>
      </c>
      <c r="G60" s="83">
        <v>10.919292888772715</v>
      </c>
      <c r="H60" s="83">
        <v>16.021094471714903</v>
      </c>
      <c r="I60" s="81">
        <v>3416800</v>
      </c>
      <c r="J60" s="81">
        <v>55184.318181818184</v>
      </c>
      <c r="K60" s="81">
        <v>55417.1875</v>
      </c>
      <c r="L60" s="81">
        <v>23638.125</v>
      </c>
      <c r="M60" s="81">
        <v>0</v>
      </c>
      <c r="N60" s="81">
        <v>0</v>
      </c>
      <c r="O60" s="81">
        <v>8.2332761578044593</v>
      </c>
      <c r="P60" s="81">
        <v>0</v>
      </c>
      <c r="Q60" s="81">
        <v>849.39965694682678</v>
      </c>
      <c r="R60" s="81">
        <v>0</v>
      </c>
      <c r="S60" s="81">
        <v>3367.5814751286453</v>
      </c>
      <c r="T60" s="81">
        <v>4322.4699828473413</v>
      </c>
      <c r="U60" s="81">
        <v>10436.020583190395</v>
      </c>
      <c r="V60" s="81">
        <v>2058.3190394511148</v>
      </c>
      <c r="W60" s="81">
        <v>0</v>
      </c>
      <c r="X60" s="81">
        <v>0</v>
      </c>
    </row>
    <row r="61" spans="1:24">
      <c r="A61" s="4">
        <v>43678</v>
      </c>
      <c r="B61" s="83">
        <v>3.5889045166708775</v>
      </c>
      <c r="C61" s="83">
        <v>3.4872555256824773</v>
      </c>
      <c r="D61" s="83">
        <v>2.9848163410200352</v>
      </c>
      <c r="E61" s="83">
        <v>3.4339907861864147</v>
      </c>
      <c r="F61" s="83">
        <v>10.822934486268126</v>
      </c>
      <c r="G61" s="83">
        <v>11.135434486268126</v>
      </c>
      <c r="H61" s="83">
        <v>15.867622967390211</v>
      </c>
      <c r="I61" s="81">
        <v>3380666</v>
      </c>
      <c r="J61" s="81">
        <v>54179.818181818177</v>
      </c>
      <c r="K61" s="81">
        <v>69825.46875</v>
      </c>
      <c r="L61" s="81">
        <v>14466.25</v>
      </c>
      <c r="M61" s="81">
        <v>0</v>
      </c>
      <c r="N61" s="81">
        <v>0</v>
      </c>
      <c r="O61" s="81">
        <v>0</v>
      </c>
      <c r="P61" s="81">
        <v>0</v>
      </c>
      <c r="Q61" s="81">
        <v>1278.7307032590052</v>
      </c>
      <c r="R61" s="81">
        <v>0</v>
      </c>
      <c r="S61" s="81">
        <v>17928.473413379077</v>
      </c>
      <c r="T61" s="81">
        <v>3704.9742710120067</v>
      </c>
      <c r="U61" s="81">
        <v>6919.2109777015439</v>
      </c>
      <c r="V61" s="81">
        <v>3499.1423670668955</v>
      </c>
      <c r="W61" s="81">
        <v>0</v>
      </c>
      <c r="X61" s="81">
        <v>0</v>
      </c>
    </row>
    <row r="62" spans="1:24">
      <c r="A62" s="4">
        <v>43709</v>
      </c>
      <c r="B62" s="83">
        <v>3.5146697641815128</v>
      </c>
      <c r="C62" s="83">
        <v>3.4142455303214834</v>
      </c>
      <c r="D62" s="83">
        <v>2.9817765682927617</v>
      </c>
      <c r="E62" s="83">
        <v>3.4288415050365959</v>
      </c>
      <c r="F62" s="83">
        <v>10.454560268609834</v>
      </c>
      <c r="G62" s="83">
        <v>10.767060268609834</v>
      </c>
      <c r="H62" s="83">
        <v>15.795111723916431</v>
      </c>
      <c r="I62" s="81">
        <v>3150489</v>
      </c>
      <c r="J62" s="81">
        <v>52971.681818181816</v>
      </c>
      <c r="K62" s="81">
        <v>92018.75</v>
      </c>
      <c r="L62" s="81">
        <v>38560.15625</v>
      </c>
      <c r="M62" s="81">
        <v>0</v>
      </c>
      <c r="N62" s="81">
        <v>857.97598627787306</v>
      </c>
      <c r="O62" s="81">
        <v>1387.1355060034307</v>
      </c>
      <c r="P62" s="81">
        <v>0</v>
      </c>
      <c r="Q62" s="81">
        <v>3557.4614065180103</v>
      </c>
      <c r="R62" s="81">
        <v>0</v>
      </c>
      <c r="S62" s="81">
        <v>20192.967409948542</v>
      </c>
      <c r="T62" s="81">
        <v>1234.9914236706688</v>
      </c>
      <c r="U62" s="81">
        <v>5300.5145797598625</v>
      </c>
      <c r="V62" s="81">
        <v>617.49571183533442</v>
      </c>
      <c r="W62" s="81">
        <v>0</v>
      </c>
      <c r="X62" s="81">
        <v>0</v>
      </c>
    </row>
    <row r="63" spans="1:24">
      <c r="A63" s="4">
        <v>43739</v>
      </c>
      <c r="B63" s="83">
        <v>3.6692036103716119</v>
      </c>
      <c r="C63" s="83">
        <v>3.5654534514212495</v>
      </c>
      <c r="D63" s="83">
        <v>2.9731466264456334</v>
      </c>
      <c r="E63" s="83">
        <v>3.427545974268642</v>
      </c>
      <c r="F63" s="83">
        <v>10.143346437655646</v>
      </c>
      <c r="G63" s="83">
        <v>10.455846437655646</v>
      </c>
      <c r="H63" s="83">
        <v>15.600958922085876</v>
      </c>
      <c r="I63" s="81">
        <v>3299495</v>
      </c>
      <c r="J63" s="81">
        <v>54893.681818181823</v>
      </c>
      <c r="K63" s="81">
        <v>67842.1875</v>
      </c>
      <c r="L63" s="81">
        <v>36895.3125</v>
      </c>
      <c r="M63" s="81">
        <v>0</v>
      </c>
      <c r="N63" s="81">
        <v>0</v>
      </c>
      <c r="O63" s="81">
        <v>1652.1440823327616</v>
      </c>
      <c r="P63" s="81">
        <v>0</v>
      </c>
      <c r="Q63" s="81">
        <v>1713.3790737564323</v>
      </c>
      <c r="R63" s="81">
        <v>0</v>
      </c>
      <c r="S63" s="81">
        <v>7043.5677530017147</v>
      </c>
      <c r="T63" s="81">
        <v>2847.3413379073754</v>
      </c>
      <c r="U63" s="81">
        <v>6850.7718696397942</v>
      </c>
      <c r="V63" s="81">
        <v>823.32761578044597</v>
      </c>
      <c r="W63" s="81">
        <v>0</v>
      </c>
      <c r="X63" s="81">
        <v>0</v>
      </c>
    </row>
    <row r="64" spans="1:24">
      <c r="A64" s="4">
        <v>43770</v>
      </c>
      <c r="B64" s="83">
        <v>3.9192254329570888</v>
      </c>
      <c r="C64" s="83">
        <v>3.8549700498858228</v>
      </c>
      <c r="D64" s="83">
        <v>2.9761863991729061</v>
      </c>
      <c r="E64" s="83">
        <v>3.4357258925004839</v>
      </c>
      <c r="F64" s="83">
        <v>9.9534147016505408</v>
      </c>
      <c r="G64" s="83">
        <v>10.265914701650541</v>
      </c>
      <c r="H64" s="83">
        <v>15.534209407443399</v>
      </c>
      <c r="I64" s="81">
        <v>3134515</v>
      </c>
      <c r="J64" s="81">
        <v>47240.272727272728</v>
      </c>
      <c r="K64" s="81">
        <v>8708.90625</v>
      </c>
      <c r="L64" s="81">
        <v>0</v>
      </c>
      <c r="M64" s="81">
        <v>0</v>
      </c>
      <c r="N64" s="81">
        <v>1040.3087478559175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1">
        <v>11526.586620926244</v>
      </c>
      <c r="U64" s="81">
        <v>0</v>
      </c>
      <c r="V64" s="81">
        <v>7272.727272727273</v>
      </c>
      <c r="W64" s="81">
        <v>0</v>
      </c>
      <c r="X64" s="81">
        <v>0</v>
      </c>
    </row>
    <row r="65" spans="1:24">
      <c r="A65" s="4">
        <v>43800</v>
      </c>
      <c r="B65" s="83">
        <v>3.9134912831525277</v>
      </c>
      <c r="C65" s="83">
        <v>3.8489937602208859</v>
      </c>
      <c r="D65" s="83">
        <v>2.9761863991729061</v>
      </c>
      <c r="E65" s="83">
        <v>3.4205727070903698</v>
      </c>
      <c r="F65" s="83">
        <v>9.8220063550005072</v>
      </c>
      <c r="G65" s="83">
        <v>10.134506355000507</v>
      </c>
      <c r="H65" s="83">
        <v>15.042792390454775</v>
      </c>
      <c r="I65" s="81">
        <v>3178174</v>
      </c>
      <c r="J65" s="81">
        <v>47898.727272727272</v>
      </c>
      <c r="K65" s="81">
        <v>9214.6875</v>
      </c>
      <c r="L65" s="81">
        <v>0</v>
      </c>
      <c r="M65" s="81">
        <v>0</v>
      </c>
      <c r="N65" s="81">
        <v>0</v>
      </c>
      <c r="O65" s="81">
        <v>0</v>
      </c>
      <c r="P65" s="81">
        <v>0</v>
      </c>
      <c r="Q65" s="81">
        <v>1326.5866209262435</v>
      </c>
      <c r="R65" s="81">
        <v>0</v>
      </c>
      <c r="S65" s="81">
        <v>51.457975986277873</v>
      </c>
      <c r="T65" s="81">
        <v>9879.9313893653507</v>
      </c>
      <c r="U65" s="81">
        <v>537.7358490566038</v>
      </c>
      <c r="V65" s="81">
        <v>5969.1252144082328</v>
      </c>
      <c r="W65" s="81">
        <v>0</v>
      </c>
      <c r="X65" s="81">
        <v>0</v>
      </c>
    </row>
    <row r="66" spans="1:24">
      <c r="A66" s="4">
        <v>43831</v>
      </c>
      <c r="B66" s="83">
        <v>4.0481526981739329</v>
      </c>
      <c r="C66" s="83">
        <v>3.9777194158541715</v>
      </c>
      <c r="D66" s="83">
        <v>3.0033692856333358</v>
      </c>
      <c r="E66" s="83">
        <v>3.5343360938544599</v>
      </c>
      <c r="F66" s="83">
        <v>9.8492169902706763</v>
      </c>
      <c r="G66" s="83">
        <v>10.161716990270676</v>
      </c>
      <c r="H66" s="83">
        <v>14.870467953895268</v>
      </c>
      <c r="I66" s="81">
        <v>3210475</v>
      </c>
      <c r="J66" s="81">
        <v>48748.681818181816</v>
      </c>
      <c r="K66" s="81">
        <v>6540.15625</v>
      </c>
      <c r="L66" s="81">
        <v>3210.3125</v>
      </c>
      <c r="M66" s="81">
        <v>0</v>
      </c>
      <c r="N66" s="81">
        <v>321.0977701543739</v>
      </c>
      <c r="O66" s="81">
        <v>2233.2761578044597</v>
      </c>
      <c r="P66" s="81">
        <v>0</v>
      </c>
      <c r="Q66" s="81">
        <v>115.43739279588337</v>
      </c>
      <c r="R66" s="81">
        <v>0</v>
      </c>
      <c r="S66" s="81">
        <v>988.67924528301887</v>
      </c>
      <c r="T66" s="81">
        <v>278.38765008576331</v>
      </c>
      <c r="U66" s="81">
        <v>0</v>
      </c>
      <c r="V66" s="81">
        <v>255.40308747855917</v>
      </c>
      <c r="W66" s="81">
        <v>0</v>
      </c>
      <c r="X66" s="81">
        <v>0</v>
      </c>
    </row>
    <row r="67" spans="1:24">
      <c r="A67" s="4">
        <v>43862</v>
      </c>
      <c r="B67" s="83">
        <v>3.7825301435667598</v>
      </c>
      <c r="C67" s="83">
        <v>3.7142229757040734</v>
      </c>
      <c r="D67" s="83">
        <v>3.0003295129060632</v>
      </c>
      <c r="E67" s="83">
        <v>3.4967259014378196</v>
      </c>
      <c r="F67" s="83">
        <v>10.04596946314596</v>
      </c>
      <c r="G67" s="83">
        <v>10.35846946314596</v>
      </c>
      <c r="H67" s="83">
        <v>15.335145693059587</v>
      </c>
      <c r="I67" s="81">
        <v>1330424</v>
      </c>
      <c r="J67" s="81">
        <v>42812.045454545456</v>
      </c>
      <c r="K67" s="81">
        <v>0</v>
      </c>
      <c r="L67" s="81">
        <v>0</v>
      </c>
      <c r="M67" s="81">
        <v>0</v>
      </c>
      <c r="N67" s="81">
        <v>0</v>
      </c>
      <c r="O67" s="81">
        <v>0</v>
      </c>
      <c r="P67" s="81">
        <v>0</v>
      </c>
      <c r="Q67" s="81">
        <v>0</v>
      </c>
      <c r="R67" s="81">
        <v>0</v>
      </c>
      <c r="S67" s="81">
        <v>0</v>
      </c>
      <c r="T67" s="81">
        <v>0</v>
      </c>
      <c r="U67" s="81">
        <v>0</v>
      </c>
      <c r="V67" s="81">
        <v>0</v>
      </c>
      <c r="W67" s="81">
        <v>0</v>
      </c>
      <c r="X67" s="81">
        <v>0</v>
      </c>
    </row>
    <row r="68" spans="1:24">
      <c r="A68" s="4">
        <v>43891</v>
      </c>
      <c r="B68" s="83">
        <v>3.6960756013935017</v>
      </c>
      <c r="C68" s="83">
        <v>3.6273584425817225</v>
      </c>
      <c r="D68" s="83">
        <v>2.9972897401787901</v>
      </c>
      <c r="E68" s="83">
        <v>3.522586647496551</v>
      </c>
      <c r="F68" s="83">
        <v>10.56265191297787</v>
      </c>
      <c r="G68" s="83">
        <v>10.87515191297787</v>
      </c>
      <c r="H68" s="83">
        <v>16.062563785664558</v>
      </c>
      <c r="I68" s="81">
        <v>1071549</v>
      </c>
      <c r="J68" s="81">
        <v>30606.36363636364</v>
      </c>
      <c r="K68" s="81">
        <v>24818.75</v>
      </c>
      <c r="L68" s="81">
        <v>8972.5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81">
        <v>5210.4631217838769</v>
      </c>
      <c r="T68" s="81">
        <v>10497.427101200687</v>
      </c>
      <c r="U68" s="81">
        <v>2088.6792452830186</v>
      </c>
      <c r="V68" s="81">
        <v>5763.293310463122</v>
      </c>
      <c r="W68" s="81">
        <v>0</v>
      </c>
      <c r="X68" s="81">
        <v>0</v>
      </c>
    </row>
    <row r="69" spans="1:24">
      <c r="A69" s="4">
        <v>43922</v>
      </c>
      <c r="B69" s="83">
        <v>3.7782823249420137</v>
      </c>
      <c r="C69" s="83">
        <v>3.6721921923042129</v>
      </c>
      <c r="D69" s="83">
        <v>2.9940027296668497</v>
      </c>
      <c r="E69" s="83">
        <v>3.5483979922502198</v>
      </c>
      <c r="F69" s="83">
        <v>10.92976167928243</v>
      </c>
      <c r="G69" s="83">
        <v>11.24226167928243</v>
      </c>
      <c r="H69" s="83">
        <v>16.481579688288456</v>
      </c>
      <c r="I69" s="81">
        <v>3147519</v>
      </c>
      <c r="J69" s="81">
        <v>33182.5</v>
      </c>
      <c r="K69" s="81">
        <v>37674.6875</v>
      </c>
      <c r="L69" s="81">
        <v>1556.875</v>
      </c>
      <c r="M69" s="81">
        <v>0</v>
      </c>
      <c r="N69" s="81">
        <v>694.16809605488845</v>
      </c>
      <c r="O69" s="81">
        <v>0</v>
      </c>
      <c r="P69" s="81">
        <v>0</v>
      </c>
      <c r="Q69" s="81">
        <v>597.59862778730701</v>
      </c>
      <c r="R69" s="81">
        <v>0</v>
      </c>
      <c r="S69" s="81">
        <v>411.66380789022298</v>
      </c>
      <c r="T69" s="81">
        <v>5351.6295025728987</v>
      </c>
      <c r="U69" s="81">
        <v>639.9656946826758</v>
      </c>
      <c r="V69" s="81">
        <v>5351.6295025728987</v>
      </c>
      <c r="W69" s="81">
        <v>0</v>
      </c>
      <c r="X69" s="81">
        <v>0</v>
      </c>
    </row>
    <row r="70" spans="1:24">
      <c r="A70" s="4">
        <v>43952</v>
      </c>
      <c r="B70" s="83">
        <v>3.8776887158465621</v>
      </c>
      <c r="C70" s="83">
        <v>3.7709506530846566</v>
      </c>
      <c r="D70" s="83">
        <v>2.9940027296668497</v>
      </c>
      <c r="E70" s="83">
        <v>3.5596662295836925</v>
      </c>
      <c r="F70" s="83">
        <v>11.170379917356385</v>
      </c>
      <c r="G70" s="83">
        <v>11.482879917356385</v>
      </c>
      <c r="H70" s="83">
        <v>16.316004861689677</v>
      </c>
      <c r="I70" s="81">
        <v>3336873</v>
      </c>
      <c r="J70" s="81">
        <v>52464.454545454544</v>
      </c>
      <c r="K70" s="81">
        <v>45495.625</v>
      </c>
      <c r="L70" s="81">
        <v>27244.53125</v>
      </c>
      <c r="M70" s="81">
        <v>0</v>
      </c>
      <c r="N70" s="81">
        <v>47.169811320754718</v>
      </c>
      <c r="O70" s="81">
        <v>1383.5334476843909</v>
      </c>
      <c r="P70" s="81">
        <v>0</v>
      </c>
      <c r="Q70" s="81">
        <v>786.96397941680959</v>
      </c>
      <c r="R70" s="81">
        <v>0</v>
      </c>
      <c r="S70" s="81">
        <v>3727.615780445969</v>
      </c>
      <c r="T70" s="81">
        <v>5763.293310463122</v>
      </c>
      <c r="U70" s="81">
        <v>0</v>
      </c>
      <c r="V70" s="81">
        <v>4391.0806174957115</v>
      </c>
      <c r="W70" s="81">
        <v>0</v>
      </c>
      <c r="X70" s="81">
        <v>0</v>
      </c>
    </row>
    <row r="71" spans="1:24">
      <c r="A71" s="4">
        <v>43983</v>
      </c>
      <c r="B71" s="83">
        <v>3.8163250554358275</v>
      </c>
      <c r="C71" s="83">
        <v>3.7107377222212525</v>
      </c>
      <c r="D71" s="83">
        <v>3.0000822751213945</v>
      </c>
      <c r="E71" s="83">
        <v>3.5526352803858128</v>
      </c>
      <c r="F71" s="83">
        <v>11.200727998072077</v>
      </c>
      <c r="G71" s="83">
        <v>11.513227998072077</v>
      </c>
      <c r="H71" s="83">
        <v>16.450852332315392</v>
      </c>
      <c r="I71" s="81">
        <v>3177657</v>
      </c>
      <c r="J71" s="81">
        <v>49794.227272727272</v>
      </c>
      <c r="K71" s="81">
        <v>20943.125</v>
      </c>
      <c r="L71" s="81">
        <v>23807.03125</v>
      </c>
      <c r="M71" s="81">
        <v>0</v>
      </c>
      <c r="N71" s="81">
        <v>0</v>
      </c>
      <c r="O71" s="81">
        <v>0</v>
      </c>
      <c r="P71" s="81">
        <v>0</v>
      </c>
      <c r="Q71" s="81">
        <v>712.69296740994844</v>
      </c>
      <c r="R71" s="81">
        <v>0</v>
      </c>
      <c r="S71" s="81">
        <v>154.3739279588336</v>
      </c>
      <c r="T71" s="81">
        <v>411.66380789022298</v>
      </c>
      <c r="U71" s="81">
        <v>1048.3704974271011</v>
      </c>
      <c r="V71" s="81">
        <v>0</v>
      </c>
      <c r="W71" s="81">
        <v>0</v>
      </c>
      <c r="X71" s="81">
        <v>0</v>
      </c>
    </row>
    <row r="72" spans="1:24">
      <c r="A72" s="4">
        <v>44013</v>
      </c>
      <c r="B72" s="83">
        <v>3.9788371964454652</v>
      </c>
      <c r="C72" s="83">
        <v>3.8706790150816444</v>
      </c>
      <c r="D72" s="83">
        <v>3.0508982912603879</v>
      </c>
      <c r="E72" s="83">
        <v>3.6456363510731906</v>
      </c>
      <c r="F72" s="83">
        <v>11.197667687411673</v>
      </c>
      <c r="G72" s="83">
        <v>11.510167687411673</v>
      </c>
      <c r="H72" s="83">
        <v>16.69416752848803</v>
      </c>
      <c r="I72" s="81">
        <v>3257624</v>
      </c>
      <c r="J72" s="81">
        <v>51112.5</v>
      </c>
      <c r="K72" s="81">
        <v>25933.28125</v>
      </c>
      <c r="L72" s="81">
        <v>28408.75</v>
      </c>
      <c r="M72" s="81">
        <v>0</v>
      </c>
      <c r="N72" s="81">
        <v>0</v>
      </c>
      <c r="O72" s="81">
        <v>0</v>
      </c>
      <c r="P72" s="81">
        <v>0</v>
      </c>
      <c r="Q72" s="81">
        <v>777.18696397941687</v>
      </c>
      <c r="R72" s="81">
        <v>0</v>
      </c>
      <c r="S72" s="81">
        <v>3171.6981132075471</v>
      </c>
      <c r="T72" s="81">
        <v>1029.1595197255574</v>
      </c>
      <c r="U72" s="81">
        <v>0</v>
      </c>
      <c r="V72" s="81">
        <v>2058.3190394511148</v>
      </c>
      <c r="W72" s="81">
        <v>0</v>
      </c>
      <c r="X72" s="81">
        <v>0</v>
      </c>
    </row>
    <row r="73" spans="1:24">
      <c r="A73" s="4">
        <v>44044</v>
      </c>
      <c r="B73" s="83">
        <v>3.6752922323869797</v>
      </c>
      <c r="C73" s="83">
        <v>3.5722107696120351</v>
      </c>
      <c r="D73" s="83">
        <v>3.0575857912603879</v>
      </c>
      <c r="E73" s="83">
        <v>3.6164926560219244</v>
      </c>
      <c r="F73" s="83">
        <v>11.427956064607239</v>
      </c>
      <c r="G73" s="83">
        <v>11.740456064607239</v>
      </c>
      <c r="H73" s="83">
        <v>16.533480783607679</v>
      </c>
      <c r="I73" s="81">
        <v>3326478</v>
      </c>
      <c r="J73" s="81">
        <v>52399.272727272728</v>
      </c>
      <c r="K73" s="81">
        <v>55544.375</v>
      </c>
      <c r="L73" s="81">
        <v>33961.40625</v>
      </c>
      <c r="M73" s="81">
        <v>0</v>
      </c>
      <c r="N73" s="81">
        <v>0</v>
      </c>
      <c r="O73" s="81">
        <v>0</v>
      </c>
      <c r="P73" s="81">
        <v>0</v>
      </c>
      <c r="Q73" s="81">
        <v>975.12864493996562</v>
      </c>
      <c r="R73" s="81">
        <v>0</v>
      </c>
      <c r="S73" s="81">
        <v>8484.7341337907383</v>
      </c>
      <c r="T73" s="81">
        <v>2058.3190394511148</v>
      </c>
      <c r="U73" s="81">
        <v>1576.843910806175</v>
      </c>
      <c r="V73" s="81">
        <v>205.83190394511149</v>
      </c>
      <c r="W73" s="81">
        <v>0</v>
      </c>
      <c r="X73" s="81">
        <v>0</v>
      </c>
    </row>
    <row r="74" spans="1:24">
      <c r="A74" s="4">
        <v>44075</v>
      </c>
      <c r="B74" s="83">
        <v>3.59924792338738</v>
      </c>
      <c r="C74" s="83">
        <v>3.4974212236117301</v>
      </c>
      <c r="D74" s="83">
        <v>3.0545460185331148</v>
      </c>
      <c r="E74" s="83">
        <v>3.6106179328429704</v>
      </c>
      <c r="F74" s="83">
        <v>11.035471222410147</v>
      </c>
      <c r="G74" s="83">
        <v>11.347971222410147</v>
      </c>
      <c r="H74" s="83">
        <v>16.457560529015151</v>
      </c>
      <c r="I74" s="81">
        <v>3157972</v>
      </c>
      <c r="J74" s="81">
        <v>53116.681818181823</v>
      </c>
      <c r="K74" s="81">
        <v>73353.4375</v>
      </c>
      <c r="L74" s="81">
        <v>36042.1875</v>
      </c>
      <c r="M74" s="81">
        <v>0</v>
      </c>
      <c r="N74" s="81">
        <v>0</v>
      </c>
      <c r="O74" s="81">
        <v>0</v>
      </c>
      <c r="P74" s="81">
        <v>0</v>
      </c>
      <c r="Q74" s="81">
        <v>2937.2212692967414</v>
      </c>
      <c r="R74" s="81">
        <v>0</v>
      </c>
      <c r="S74" s="81">
        <v>28012.006861063463</v>
      </c>
      <c r="T74" s="81">
        <v>0</v>
      </c>
      <c r="U74" s="81">
        <v>734.47684391080611</v>
      </c>
      <c r="V74" s="81">
        <v>3293.3104631217839</v>
      </c>
      <c r="W74" s="81">
        <v>0</v>
      </c>
      <c r="X74" s="81">
        <v>0</v>
      </c>
    </row>
    <row r="75" spans="1:24">
      <c r="A75" s="4">
        <v>44105</v>
      </c>
      <c r="B75" s="83">
        <v>3.7575390257734558</v>
      </c>
      <c r="C75" s="83">
        <v>3.6523240984903875</v>
      </c>
      <c r="D75" s="83">
        <v>3.0462116863414206</v>
      </c>
      <c r="E75" s="83">
        <v>3.6122241701915558</v>
      </c>
      <c r="F75" s="83">
        <v>10.704956358686758</v>
      </c>
      <c r="G75" s="83">
        <v>11.017456358686758</v>
      </c>
      <c r="H75" s="83">
        <v>16.254279914331473</v>
      </c>
      <c r="I75" s="81">
        <v>3330039</v>
      </c>
      <c r="J75" s="81">
        <v>56221.954545454544</v>
      </c>
      <c r="K75" s="81">
        <v>71706.25</v>
      </c>
      <c r="L75" s="81">
        <v>34496.40625</v>
      </c>
      <c r="M75" s="81">
        <v>0</v>
      </c>
      <c r="N75" s="81">
        <v>103.77358490566037</v>
      </c>
      <c r="O75" s="81">
        <v>0</v>
      </c>
      <c r="P75" s="81">
        <v>0</v>
      </c>
      <c r="Q75" s="81">
        <v>0</v>
      </c>
      <c r="R75" s="81">
        <v>0</v>
      </c>
      <c r="S75" s="81">
        <v>7486.2778730703258</v>
      </c>
      <c r="T75" s="81">
        <v>0</v>
      </c>
      <c r="U75" s="81">
        <v>0</v>
      </c>
      <c r="V75" s="81">
        <v>1852.4871355060034</v>
      </c>
      <c r="W75" s="81">
        <v>0</v>
      </c>
      <c r="X75" s="81">
        <v>0</v>
      </c>
    </row>
    <row r="76" spans="1:24">
      <c r="A76" s="4">
        <v>44136</v>
      </c>
      <c r="B76" s="83">
        <v>4.0144959930363582</v>
      </c>
      <c r="C76" s="83">
        <v>3.9486608438111839</v>
      </c>
      <c r="D76" s="83">
        <v>3.0492514590686928</v>
      </c>
      <c r="E76" s="83">
        <v>3.6218549724816684</v>
      </c>
      <c r="F76" s="83">
        <v>10.502593316267397</v>
      </c>
      <c r="G76" s="83">
        <v>10.815093316267397</v>
      </c>
      <c r="H76" s="83">
        <v>16.184392267908517</v>
      </c>
      <c r="I76" s="81">
        <v>3147686</v>
      </c>
      <c r="J76" s="81">
        <v>48530.590909090912</v>
      </c>
      <c r="K76" s="81">
        <v>711.25</v>
      </c>
      <c r="L76" s="81">
        <v>4803.59375</v>
      </c>
      <c r="M76" s="81">
        <v>0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81">
        <v>0</v>
      </c>
      <c r="T76" s="81">
        <v>10085.763293310463</v>
      </c>
      <c r="U76" s="81">
        <v>0</v>
      </c>
      <c r="V76" s="81">
        <v>4116.6380789022296</v>
      </c>
      <c r="W76" s="81">
        <v>0</v>
      </c>
      <c r="X76" s="81">
        <v>0</v>
      </c>
    </row>
    <row r="77" spans="1:24">
      <c r="A77" s="4">
        <v>44166</v>
      </c>
      <c r="B77" s="83">
        <v>4.0085885688176868</v>
      </c>
      <c r="C77" s="83">
        <v>3.9425141529497871</v>
      </c>
      <c r="D77" s="83">
        <v>3.0492514590686928</v>
      </c>
      <c r="E77" s="83">
        <v>3.6030745769258798</v>
      </c>
      <c r="F77" s="83">
        <v>10.362584103553816</v>
      </c>
      <c r="G77" s="83">
        <v>10.675084103553816</v>
      </c>
      <c r="H77" s="83">
        <v>15.669871991416969</v>
      </c>
      <c r="I77" s="81">
        <v>3249339</v>
      </c>
      <c r="J77" s="81">
        <v>49753.363636363632</v>
      </c>
      <c r="K77" s="81">
        <v>12363.125</v>
      </c>
      <c r="L77" s="81">
        <v>427.96875</v>
      </c>
      <c r="M77" s="81">
        <v>0</v>
      </c>
      <c r="N77" s="81">
        <v>695.71183533447686</v>
      </c>
      <c r="O77" s="81">
        <v>0</v>
      </c>
      <c r="P77" s="81">
        <v>0</v>
      </c>
      <c r="Q77" s="81">
        <v>0</v>
      </c>
      <c r="R77" s="81">
        <v>0</v>
      </c>
      <c r="S77" s="81">
        <v>5407.3756432247001</v>
      </c>
      <c r="T77" s="81">
        <v>9262.4356775300166</v>
      </c>
      <c r="U77" s="81">
        <v>0</v>
      </c>
      <c r="V77" s="81">
        <v>7409.9485420240135</v>
      </c>
      <c r="W77" s="81">
        <v>0</v>
      </c>
      <c r="X77" s="81">
        <v>0</v>
      </c>
    </row>
    <row r="78" spans="1:24">
      <c r="A78" s="4">
        <v>44197</v>
      </c>
      <c r="B78" s="5">
        <v>0</v>
      </c>
      <c r="C78" s="5">
        <v>0</v>
      </c>
      <c r="D78" s="5">
        <v>0</v>
      </c>
      <c r="E78" s="5">
        <v>0</v>
      </c>
      <c r="F78" s="6">
        <v>0</v>
      </c>
      <c r="G78" s="6">
        <v>0</v>
      </c>
      <c r="H78" s="5">
        <v>0</v>
      </c>
      <c r="I78" s="7">
        <v>0</v>
      </c>
      <c r="J78" s="7">
        <v>0</v>
      </c>
      <c r="K78" s="39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88"/>
      <c r="X78" s="88"/>
    </row>
    <row r="79" spans="1:24">
      <c r="A79" s="4">
        <v>44228</v>
      </c>
      <c r="B79" s="5">
        <v>0</v>
      </c>
      <c r="C79" s="5">
        <v>0</v>
      </c>
      <c r="D79" s="5">
        <v>0</v>
      </c>
      <c r="E79" s="5">
        <v>0</v>
      </c>
      <c r="F79" s="6">
        <v>0</v>
      </c>
      <c r="G79" s="6">
        <v>0</v>
      </c>
      <c r="H79" s="5">
        <v>0</v>
      </c>
      <c r="I79" s="7">
        <v>0</v>
      </c>
      <c r="J79" s="7">
        <v>0</v>
      </c>
      <c r="K79" s="39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88"/>
      <c r="X79" s="88"/>
    </row>
    <row r="80" spans="1:24">
      <c r="A80" s="4">
        <v>44256</v>
      </c>
      <c r="B80" s="5">
        <v>0</v>
      </c>
      <c r="C80" s="5">
        <v>0</v>
      </c>
      <c r="D80" s="5">
        <v>0</v>
      </c>
      <c r="E80" s="5">
        <v>0</v>
      </c>
      <c r="F80" s="6">
        <v>0</v>
      </c>
      <c r="G80" s="6">
        <v>0</v>
      </c>
      <c r="H80" s="5">
        <v>0</v>
      </c>
      <c r="I80" s="7">
        <v>0</v>
      </c>
      <c r="J80" s="7">
        <v>0</v>
      </c>
      <c r="K80" s="39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88"/>
      <c r="X80" s="88"/>
    </row>
    <row r="81" spans="1:24">
      <c r="A81" s="4">
        <v>44287</v>
      </c>
      <c r="B81" s="5">
        <v>0</v>
      </c>
      <c r="C81" s="5">
        <v>0</v>
      </c>
      <c r="D81" s="5">
        <v>0</v>
      </c>
      <c r="E81" s="5">
        <v>0</v>
      </c>
      <c r="F81" s="6">
        <v>0</v>
      </c>
      <c r="G81" s="6">
        <v>0</v>
      </c>
      <c r="H81" s="5">
        <v>0</v>
      </c>
      <c r="I81" s="7">
        <v>0</v>
      </c>
      <c r="J81" s="7">
        <v>0</v>
      </c>
      <c r="K81" s="39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88"/>
      <c r="X81" s="88"/>
    </row>
    <row r="82" spans="1:24">
      <c r="A82" s="4">
        <v>44317</v>
      </c>
      <c r="B82" s="5">
        <v>0</v>
      </c>
      <c r="C82" s="5">
        <v>0</v>
      </c>
      <c r="D82" s="5">
        <v>0</v>
      </c>
      <c r="E82" s="5">
        <v>0</v>
      </c>
      <c r="F82" s="6">
        <v>0</v>
      </c>
      <c r="G82" s="6">
        <v>0</v>
      </c>
      <c r="H82" s="5">
        <v>0</v>
      </c>
      <c r="I82" s="7">
        <v>0</v>
      </c>
      <c r="J82" s="7">
        <v>0</v>
      </c>
      <c r="K82" s="39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88"/>
      <c r="X82" s="88"/>
    </row>
    <row r="83" spans="1:24">
      <c r="A83" s="4">
        <v>44348</v>
      </c>
      <c r="B83" s="5">
        <v>0</v>
      </c>
      <c r="C83" s="5">
        <v>0</v>
      </c>
      <c r="D83" s="5">
        <v>0</v>
      </c>
      <c r="E83" s="5">
        <v>0</v>
      </c>
      <c r="F83" s="6">
        <v>0</v>
      </c>
      <c r="G83" s="6">
        <v>0</v>
      </c>
      <c r="H83" s="5">
        <v>0</v>
      </c>
      <c r="I83" s="7">
        <v>0</v>
      </c>
      <c r="J83" s="7">
        <v>0</v>
      </c>
      <c r="K83" s="39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88"/>
      <c r="X83" s="88"/>
    </row>
    <row r="84" spans="1:24">
      <c r="A84" s="4">
        <v>44378</v>
      </c>
      <c r="B84" s="5">
        <v>0</v>
      </c>
      <c r="C84" s="5">
        <v>0</v>
      </c>
      <c r="D84" s="5">
        <v>0</v>
      </c>
      <c r="E84" s="5">
        <v>0</v>
      </c>
      <c r="F84" s="6">
        <v>0</v>
      </c>
      <c r="G84" s="6">
        <v>0</v>
      </c>
      <c r="H84" s="5">
        <v>0</v>
      </c>
      <c r="I84" s="7">
        <v>0</v>
      </c>
      <c r="J84" s="7">
        <v>0</v>
      </c>
      <c r="K84" s="39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88"/>
      <c r="X84" s="88"/>
    </row>
    <row r="85" spans="1:24">
      <c r="A85" s="4">
        <v>44409</v>
      </c>
      <c r="B85" s="5">
        <v>0</v>
      </c>
      <c r="C85" s="5">
        <v>0</v>
      </c>
      <c r="D85" s="5">
        <v>0</v>
      </c>
      <c r="E85" s="5">
        <v>0</v>
      </c>
      <c r="F85" s="6">
        <v>0</v>
      </c>
      <c r="G85" s="6">
        <v>0</v>
      </c>
      <c r="H85" s="5">
        <v>0</v>
      </c>
      <c r="I85" s="7">
        <v>0</v>
      </c>
      <c r="J85" s="7">
        <v>0</v>
      </c>
      <c r="K85" s="39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88"/>
      <c r="X85" s="88"/>
    </row>
    <row r="86" spans="1:24">
      <c r="A86" s="4">
        <v>44440</v>
      </c>
      <c r="B86" s="5">
        <v>0</v>
      </c>
      <c r="C86" s="5">
        <v>0</v>
      </c>
      <c r="D86" s="5">
        <v>0</v>
      </c>
      <c r="E86" s="5">
        <v>0</v>
      </c>
      <c r="F86" s="6">
        <v>0</v>
      </c>
      <c r="G86" s="6">
        <v>0</v>
      </c>
      <c r="H86" s="5">
        <v>0</v>
      </c>
      <c r="I86" s="7">
        <v>0</v>
      </c>
      <c r="J86" s="7">
        <v>0</v>
      </c>
      <c r="K86" s="39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88"/>
      <c r="X86" s="88"/>
    </row>
    <row r="87" spans="1:24">
      <c r="A87" s="4">
        <v>44470</v>
      </c>
      <c r="B87" s="5">
        <v>0</v>
      </c>
      <c r="C87" s="5">
        <v>0</v>
      </c>
      <c r="D87" s="5">
        <v>0</v>
      </c>
      <c r="E87" s="5">
        <v>0</v>
      </c>
      <c r="F87" s="6">
        <v>0</v>
      </c>
      <c r="G87" s="6">
        <v>0</v>
      </c>
      <c r="H87" s="5">
        <v>0</v>
      </c>
      <c r="I87" s="7">
        <v>0</v>
      </c>
      <c r="J87" s="7">
        <v>0</v>
      </c>
      <c r="K87" s="39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88"/>
      <c r="X87" s="88"/>
    </row>
    <row r="88" spans="1:24">
      <c r="A88" s="4">
        <v>44501</v>
      </c>
      <c r="B88" s="5">
        <v>0</v>
      </c>
      <c r="C88" s="5">
        <v>0</v>
      </c>
      <c r="D88" s="5">
        <v>0</v>
      </c>
      <c r="E88" s="5">
        <v>0</v>
      </c>
      <c r="F88" s="6">
        <v>0</v>
      </c>
      <c r="G88" s="6">
        <v>0</v>
      </c>
      <c r="H88" s="5">
        <v>0</v>
      </c>
      <c r="I88" s="7">
        <v>0</v>
      </c>
      <c r="J88" s="7">
        <v>0</v>
      </c>
      <c r="K88" s="39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88"/>
      <c r="X88" s="88"/>
    </row>
    <row r="89" spans="1:24">
      <c r="A89" s="4">
        <v>44531</v>
      </c>
      <c r="B89" s="5">
        <v>0</v>
      </c>
      <c r="C89" s="5">
        <v>0</v>
      </c>
      <c r="D89" s="5">
        <v>0</v>
      </c>
      <c r="E89" s="5">
        <v>0</v>
      </c>
      <c r="F89" s="6">
        <v>0</v>
      </c>
      <c r="G89" s="6">
        <v>0</v>
      </c>
      <c r="H89" s="5">
        <v>0</v>
      </c>
      <c r="I89" s="7">
        <v>0</v>
      </c>
      <c r="J89" s="7">
        <v>0</v>
      </c>
      <c r="K89" s="39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88"/>
      <c r="X89" s="88"/>
    </row>
    <row r="90" spans="1:24">
      <c r="A90" s="4">
        <v>44562</v>
      </c>
      <c r="B90" s="5">
        <v>0</v>
      </c>
      <c r="C90" s="5">
        <v>0</v>
      </c>
      <c r="D90" s="5">
        <v>0</v>
      </c>
      <c r="E90" s="5">
        <v>0</v>
      </c>
      <c r="F90" s="6">
        <v>0</v>
      </c>
      <c r="G90" s="6">
        <v>0</v>
      </c>
      <c r="H90" s="5">
        <v>0</v>
      </c>
      <c r="I90" s="7">
        <v>0</v>
      </c>
      <c r="J90" s="7">
        <v>0</v>
      </c>
      <c r="K90" s="39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88"/>
      <c r="X90" s="88"/>
    </row>
    <row r="91" spans="1:24">
      <c r="A91" s="4">
        <v>44593</v>
      </c>
      <c r="B91" s="5">
        <v>0</v>
      </c>
      <c r="C91" s="5">
        <v>0</v>
      </c>
      <c r="D91" s="5">
        <v>0</v>
      </c>
      <c r="E91" s="5">
        <v>0</v>
      </c>
      <c r="F91" s="6">
        <v>0</v>
      </c>
      <c r="G91" s="6">
        <v>0</v>
      </c>
      <c r="H91" s="5">
        <v>0</v>
      </c>
      <c r="I91" s="7">
        <v>0</v>
      </c>
      <c r="J91" s="7">
        <v>0</v>
      </c>
      <c r="K91" s="39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88"/>
      <c r="X91" s="88"/>
    </row>
    <row r="92" spans="1:24">
      <c r="A92" s="4">
        <v>44621</v>
      </c>
      <c r="B92" s="5">
        <v>0</v>
      </c>
      <c r="C92" s="5">
        <v>0</v>
      </c>
      <c r="D92" s="5">
        <v>0</v>
      </c>
      <c r="E92" s="5">
        <v>0</v>
      </c>
      <c r="F92" s="6">
        <v>0</v>
      </c>
      <c r="G92" s="6">
        <v>0</v>
      </c>
      <c r="H92" s="5">
        <v>0</v>
      </c>
      <c r="I92" s="7">
        <v>0</v>
      </c>
      <c r="J92" s="7">
        <v>0</v>
      </c>
      <c r="K92" s="39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88"/>
      <c r="X92" s="88"/>
    </row>
    <row r="93" spans="1:24">
      <c r="A93" s="4">
        <v>44652</v>
      </c>
      <c r="B93" s="5">
        <v>0</v>
      </c>
      <c r="C93" s="5">
        <v>0</v>
      </c>
      <c r="D93" s="5">
        <v>0</v>
      </c>
      <c r="E93" s="5">
        <v>0</v>
      </c>
      <c r="F93" s="6">
        <v>0</v>
      </c>
      <c r="G93" s="6">
        <v>0</v>
      </c>
      <c r="H93" s="5">
        <v>0</v>
      </c>
      <c r="I93" s="7">
        <v>0</v>
      </c>
      <c r="J93" s="7">
        <v>0</v>
      </c>
      <c r="K93" s="39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88"/>
      <c r="X93" s="88"/>
    </row>
    <row r="94" spans="1:24">
      <c r="A94" s="4">
        <v>44682</v>
      </c>
      <c r="B94" s="5">
        <v>0</v>
      </c>
      <c r="C94" s="5">
        <v>0</v>
      </c>
      <c r="D94" s="5">
        <v>0</v>
      </c>
      <c r="E94" s="5">
        <v>0</v>
      </c>
      <c r="F94" s="6">
        <v>0</v>
      </c>
      <c r="G94" s="6">
        <v>0</v>
      </c>
      <c r="H94" s="5">
        <v>0</v>
      </c>
      <c r="I94" s="7">
        <v>0</v>
      </c>
      <c r="J94" s="7">
        <v>0</v>
      </c>
      <c r="K94" s="39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88"/>
      <c r="X94" s="88"/>
    </row>
    <row r="95" spans="1:24">
      <c r="A95" s="4">
        <v>44713</v>
      </c>
      <c r="B95" s="5">
        <v>0</v>
      </c>
      <c r="C95" s="5">
        <v>0</v>
      </c>
      <c r="D95" s="5">
        <v>0</v>
      </c>
      <c r="E95" s="5">
        <v>0</v>
      </c>
      <c r="F95" s="6">
        <v>0</v>
      </c>
      <c r="G95" s="6">
        <v>0</v>
      </c>
      <c r="H95" s="5">
        <v>0</v>
      </c>
      <c r="I95" s="7">
        <v>0</v>
      </c>
      <c r="J95" s="7">
        <v>0</v>
      </c>
      <c r="K95" s="39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88"/>
      <c r="X95" s="88"/>
    </row>
    <row r="96" spans="1:24">
      <c r="A96" s="4">
        <v>44743</v>
      </c>
      <c r="B96" s="5">
        <v>0</v>
      </c>
      <c r="C96" s="5">
        <v>0</v>
      </c>
      <c r="D96" s="5">
        <v>0</v>
      </c>
      <c r="E96" s="5">
        <v>0</v>
      </c>
      <c r="F96" s="6">
        <v>0</v>
      </c>
      <c r="G96" s="6">
        <v>0</v>
      </c>
      <c r="H96" s="5">
        <v>0</v>
      </c>
      <c r="I96" s="7">
        <v>0</v>
      </c>
      <c r="J96" s="7">
        <v>0</v>
      </c>
      <c r="K96" s="39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88"/>
      <c r="X96" s="88"/>
    </row>
    <row r="97" spans="1:24">
      <c r="A97" s="4">
        <v>44774</v>
      </c>
      <c r="B97" s="5">
        <v>0</v>
      </c>
      <c r="C97" s="5">
        <v>0</v>
      </c>
      <c r="D97" s="5">
        <v>0</v>
      </c>
      <c r="E97" s="5">
        <v>0</v>
      </c>
      <c r="F97" s="6">
        <v>0</v>
      </c>
      <c r="G97" s="6">
        <v>0</v>
      </c>
      <c r="H97" s="5">
        <v>0</v>
      </c>
      <c r="I97" s="7">
        <v>0</v>
      </c>
      <c r="J97" s="7">
        <v>0</v>
      </c>
      <c r="K97" s="39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88"/>
      <c r="X97" s="88"/>
    </row>
    <row r="98" spans="1:24">
      <c r="A98" s="4">
        <v>44805</v>
      </c>
      <c r="B98" s="5">
        <v>0</v>
      </c>
      <c r="C98" s="5">
        <v>0</v>
      </c>
      <c r="D98" s="5">
        <v>0</v>
      </c>
      <c r="E98" s="5">
        <v>0</v>
      </c>
      <c r="F98" s="6">
        <v>0</v>
      </c>
      <c r="G98" s="6">
        <v>0</v>
      </c>
      <c r="H98" s="5">
        <v>0</v>
      </c>
      <c r="I98" s="7">
        <v>0</v>
      </c>
      <c r="J98" s="7">
        <v>0</v>
      </c>
      <c r="K98" s="39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88"/>
      <c r="X98" s="88"/>
    </row>
    <row r="99" spans="1:24">
      <c r="A99" s="4">
        <v>44835</v>
      </c>
      <c r="B99" s="5">
        <v>0</v>
      </c>
      <c r="C99" s="5">
        <v>0</v>
      </c>
      <c r="D99" s="5">
        <v>0</v>
      </c>
      <c r="E99" s="5">
        <v>0</v>
      </c>
      <c r="F99" s="6">
        <v>0</v>
      </c>
      <c r="G99" s="6">
        <v>0</v>
      </c>
      <c r="H99" s="5">
        <v>0</v>
      </c>
      <c r="I99" s="7">
        <v>0</v>
      </c>
      <c r="J99" s="7">
        <v>0</v>
      </c>
      <c r="K99" s="39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88"/>
      <c r="X99" s="88"/>
    </row>
    <row r="100" spans="1:24">
      <c r="A100" s="4">
        <v>44866</v>
      </c>
      <c r="B100" s="5">
        <v>0</v>
      </c>
      <c r="C100" s="5">
        <v>0</v>
      </c>
      <c r="D100" s="5">
        <v>0</v>
      </c>
      <c r="E100" s="5">
        <v>0</v>
      </c>
      <c r="F100" s="6">
        <v>0</v>
      </c>
      <c r="G100" s="6">
        <v>0</v>
      </c>
      <c r="H100" s="5">
        <v>0</v>
      </c>
      <c r="I100" s="7">
        <v>0</v>
      </c>
      <c r="J100" s="7">
        <v>0</v>
      </c>
      <c r="K100" s="39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88"/>
      <c r="X100" s="88"/>
    </row>
    <row r="101" spans="1:24">
      <c r="A101" s="4">
        <v>44896</v>
      </c>
      <c r="B101" s="5">
        <v>0</v>
      </c>
      <c r="C101" s="5">
        <v>0</v>
      </c>
      <c r="D101" s="5">
        <v>0</v>
      </c>
      <c r="E101" s="5">
        <v>0</v>
      </c>
      <c r="F101" s="6">
        <v>0</v>
      </c>
      <c r="G101" s="6">
        <v>0</v>
      </c>
      <c r="H101" s="5">
        <v>0</v>
      </c>
      <c r="I101" s="7">
        <v>0</v>
      </c>
      <c r="J101" s="7">
        <v>0</v>
      </c>
      <c r="K101" s="39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88"/>
      <c r="X101" s="88"/>
    </row>
    <row r="102" spans="1:24">
      <c r="A102" s="4">
        <v>44927</v>
      </c>
      <c r="B102" s="5">
        <v>0</v>
      </c>
      <c r="C102" s="5">
        <v>0</v>
      </c>
      <c r="D102" s="5">
        <v>0</v>
      </c>
      <c r="E102" s="5">
        <v>0</v>
      </c>
      <c r="F102" s="6">
        <v>0</v>
      </c>
      <c r="G102" s="6">
        <v>0</v>
      </c>
      <c r="H102" s="5">
        <v>0</v>
      </c>
      <c r="I102" s="7">
        <v>0</v>
      </c>
      <c r="J102" s="7">
        <v>0</v>
      </c>
      <c r="K102" s="39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88"/>
      <c r="X102" s="88"/>
    </row>
    <row r="103" spans="1:24">
      <c r="A103" s="4">
        <v>44958</v>
      </c>
      <c r="B103" s="5">
        <v>0</v>
      </c>
      <c r="C103" s="5">
        <v>0</v>
      </c>
      <c r="D103" s="5">
        <v>0</v>
      </c>
      <c r="E103" s="5">
        <v>0</v>
      </c>
      <c r="F103" s="6">
        <v>0</v>
      </c>
      <c r="G103" s="6">
        <v>0</v>
      </c>
      <c r="H103" s="5">
        <v>0</v>
      </c>
      <c r="I103" s="7">
        <v>0</v>
      </c>
      <c r="J103" s="7">
        <v>0</v>
      </c>
      <c r="K103" s="39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88"/>
      <c r="X103" s="88"/>
    </row>
    <row r="104" spans="1:24">
      <c r="A104" s="4">
        <v>44986</v>
      </c>
      <c r="B104" s="5">
        <v>0</v>
      </c>
      <c r="C104" s="5">
        <v>0</v>
      </c>
      <c r="D104" s="5">
        <v>0</v>
      </c>
      <c r="E104" s="5">
        <v>0</v>
      </c>
      <c r="F104" s="6">
        <v>0</v>
      </c>
      <c r="G104" s="6">
        <v>0</v>
      </c>
      <c r="H104" s="5">
        <v>0</v>
      </c>
      <c r="I104" s="7">
        <v>0</v>
      </c>
      <c r="J104" s="7">
        <v>0</v>
      </c>
      <c r="K104" s="39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88"/>
      <c r="X104" s="88"/>
    </row>
    <row r="105" spans="1:24">
      <c r="A105" s="4">
        <v>45017</v>
      </c>
      <c r="B105" s="5">
        <v>0</v>
      </c>
      <c r="C105" s="5">
        <v>0</v>
      </c>
      <c r="D105" s="5">
        <v>0</v>
      </c>
      <c r="E105" s="5">
        <v>0</v>
      </c>
      <c r="F105" s="6">
        <v>0</v>
      </c>
      <c r="G105" s="6">
        <v>0</v>
      </c>
      <c r="H105" s="5">
        <v>0</v>
      </c>
      <c r="I105" s="7">
        <v>0</v>
      </c>
      <c r="J105" s="7">
        <v>0</v>
      </c>
      <c r="K105" s="39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88"/>
      <c r="X105" s="88"/>
    </row>
    <row r="106" spans="1:24">
      <c r="A106" s="4">
        <v>45047</v>
      </c>
      <c r="B106" s="5">
        <v>0</v>
      </c>
      <c r="C106" s="5">
        <v>0</v>
      </c>
      <c r="D106" s="5">
        <v>0</v>
      </c>
      <c r="E106" s="5">
        <v>0</v>
      </c>
      <c r="F106" s="6">
        <v>0</v>
      </c>
      <c r="G106" s="6">
        <v>0</v>
      </c>
      <c r="H106" s="5">
        <v>0</v>
      </c>
      <c r="I106" s="7">
        <v>0</v>
      </c>
      <c r="J106" s="7">
        <v>0</v>
      </c>
      <c r="K106" s="39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88"/>
      <c r="X106" s="88"/>
    </row>
    <row r="107" spans="1:24">
      <c r="A107" s="4">
        <v>45078</v>
      </c>
      <c r="B107" s="5">
        <v>0</v>
      </c>
      <c r="C107" s="5">
        <v>0</v>
      </c>
      <c r="D107" s="5">
        <v>0</v>
      </c>
      <c r="E107" s="5">
        <v>0</v>
      </c>
      <c r="F107" s="6">
        <v>0</v>
      </c>
      <c r="G107" s="6">
        <v>0</v>
      </c>
      <c r="H107" s="5">
        <v>0</v>
      </c>
      <c r="I107" s="7">
        <v>0</v>
      </c>
      <c r="J107" s="7">
        <v>0</v>
      </c>
      <c r="K107" s="39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88"/>
      <c r="X107" s="88"/>
    </row>
    <row r="108" spans="1:24">
      <c r="A108" s="4">
        <v>45108</v>
      </c>
      <c r="B108" s="5">
        <v>0</v>
      </c>
      <c r="C108" s="5">
        <v>0</v>
      </c>
      <c r="D108" s="5">
        <v>0</v>
      </c>
      <c r="E108" s="5">
        <v>0</v>
      </c>
      <c r="F108" s="6">
        <v>0</v>
      </c>
      <c r="G108" s="6">
        <v>0</v>
      </c>
      <c r="H108" s="5">
        <v>0</v>
      </c>
      <c r="I108" s="7">
        <v>0</v>
      </c>
      <c r="J108" s="7">
        <v>0</v>
      </c>
      <c r="K108" s="39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88"/>
      <c r="X108" s="88"/>
    </row>
    <row r="109" spans="1:24">
      <c r="A109" s="4">
        <v>45139</v>
      </c>
      <c r="B109" s="5">
        <v>0</v>
      </c>
      <c r="C109" s="5">
        <v>0</v>
      </c>
      <c r="D109" s="5">
        <v>0</v>
      </c>
      <c r="E109" s="5">
        <v>0</v>
      </c>
      <c r="F109" s="6">
        <v>0</v>
      </c>
      <c r="G109" s="6">
        <v>0</v>
      </c>
      <c r="H109" s="5">
        <v>0</v>
      </c>
      <c r="I109" s="7">
        <v>0</v>
      </c>
      <c r="J109" s="7">
        <v>0</v>
      </c>
      <c r="K109" s="39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88"/>
      <c r="X109" s="88"/>
    </row>
    <row r="110" spans="1:24">
      <c r="A110" s="4">
        <v>45170</v>
      </c>
      <c r="B110" s="5">
        <v>0</v>
      </c>
      <c r="C110" s="5">
        <v>0</v>
      </c>
      <c r="D110" s="5">
        <v>0</v>
      </c>
      <c r="E110" s="5">
        <v>0</v>
      </c>
      <c r="F110" s="6">
        <v>0</v>
      </c>
      <c r="G110" s="6">
        <v>0</v>
      </c>
      <c r="H110" s="5">
        <v>0</v>
      </c>
      <c r="I110" s="7">
        <v>0</v>
      </c>
      <c r="J110" s="7">
        <v>0</v>
      </c>
      <c r="K110" s="39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88"/>
      <c r="X110" s="88"/>
    </row>
    <row r="111" spans="1:24">
      <c r="A111" s="4">
        <v>45200</v>
      </c>
      <c r="B111" s="5">
        <v>0</v>
      </c>
      <c r="C111" s="5">
        <v>0</v>
      </c>
      <c r="D111" s="5">
        <v>0</v>
      </c>
      <c r="E111" s="5">
        <v>0</v>
      </c>
      <c r="F111" s="6">
        <v>0</v>
      </c>
      <c r="G111" s="6">
        <v>0</v>
      </c>
      <c r="H111" s="5">
        <v>0</v>
      </c>
      <c r="I111" s="7">
        <v>0</v>
      </c>
      <c r="J111" s="7">
        <v>0</v>
      </c>
      <c r="K111" s="39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88"/>
      <c r="X111" s="88"/>
    </row>
    <row r="112" spans="1:24">
      <c r="A112" s="4">
        <v>45231</v>
      </c>
      <c r="B112" s="5">
        <v>0</v>
      </c>
      <c r="C112" s="5">
        <v>0</v>
      </c>
      <c r="D112" s="5">
        <v>0</v>
      </c>
      <c r="E112" s="5">
        <v>0</v>
      </c>
      <c r="F112" s="6">
        <v>0</v>
      </c>
      <c r="G112" s="6">
        <v>0</v>
      </c>
      <c r="H112" s="5">
        <v>0</v>
      </c>
      <c r="I112" s="7">
        <v>0</v>
      </c>
      <c r="J112" s="7">
        <v>0</v>
      </c>
      <c r="K112" s="39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88"/>
      <c r="X112" s="88"/>
    </row>
    <row r="113" spans="1:24">
      <c r="A113" s="4">
        <v>45261</v>
      </c>
      <c r="B113" s="5">
        <v>0</v>
      </c>
      <c r="C113" s="5">
        <v>0</v>
      </c>
      <c r="D113" s="5">
        <v>0</v>
      </c>
      <c r="E113" s="5">
        <v>0</v>
      </c>
      <c r="F113" s="6">
        <v>0</v>
      </c>
      <c r="G113" s="6">
        <v>0</v>
      </c>
      <c r="H113" s="5">
        <v>0</v>
      </c>
      <c r="I113" s="7">
        <v>0</v>
      </c>
      <c r="J113" s="7">
        <v>0</v>
      </c>
      <c r="K113" s="39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88"/>
      <c r="X113" s="88"/>
    </row>
    <row r="114" spans="1:24">
      <c r="A114" s="4">
        <v>45292</v>
      </c>
      <c r="B114" s="5">
        <v>0</v>
      </c>
      <c r="C114" s="5">
        <v>0</v>
      </c>
      <c r="D114" s="5">
        <v>0</v>
      </c>
      <c r="E114" s="5">
        <v>0</v>
      </c>
      <c r="F114" s="6">
        <v>0</v>
      </c>
      <c r="G114" s="6">
        <v>0</v>
      </c>
      <c r="H114" s="5">
        <v>0</v>
      </c>
      <c r="I114" s="7">
        <v>0</v>
      </c>
      <c r="J114" s="7">
        <v>0</v>
      </c>
      <c r="K114" s="39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88"/>
      <c r="X114" s="88"/>
    </row>
    <row r="115" spans="1:24">
      <c r="A115" s="4">
        <v>45323</v>
      </c>
      <c r="B115" s="5">
        <v>0</v>
      </c>
      <c r="C115" s="5">
        <v>0</v>
      </c>
      <c r="D115" s="5">
        <v>0</v>
      </c>
      <c r="E115" s="5">
        <v>0</v>
      </c>
      <c r="F115" s="6">
        <v>0</v>
      </c>
      <c r="G115" s="6">
        <v>0</v>
      </c>
      <c r="H115" s="5">
        <v>0</v>
      </c>
      <c r="I115" s="7">
        <v>0</v>
      </c>
      <c r="J115" s="7">
        <v>0</v>
      </c>
      <c r="K115" s="39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88"/>
      <c r="X115" s="88"/>
    </row>
    <row r="116" spans="1:24">
      <c r="A116" s="4">
        <v>45352</v>
      </c>
      <c r="B116" s="5">
        <v>0</v>
      </c>
      <c r="C116" s="5">
        <v>0</v>
      </c>
      <c r="D116" s="5">
        <v>0</v>
      </c>
      <c r="E116" s="5">
        <v>0</v>
      </c>
      <c r="F116" s="6">
        <v>0</v>
      </c>
      <c r="G116" s="6">
        <v>0</v>
      </c>
      <c r="H116" s="5">
        <v>0</v>
      </c>
      <c r="I116" s="7">
        <v>0</v>
      </c>
      <c r="J116" s="7">
        <v>0</v>
      </c>
      <c r="K116" s="39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88"/>
      <c r="X116" s="88"/>
    </row>
    <row r="117" spans="1:24">
      <c r="A117" s="4">
        <v>45383</v>
      </c>
      <c r="B117" s="5">
        <v>0</v>
      </c>
      <c r="C117" s="5">
        <v>0</v>
      </c>
      <c r="D117" s="5">
        <v>0</v>
      </c>
      <c r="E117" s="5">
        <v>0</v>
      </c>
      <c r="F117" s="6">
        <v>0</v>
      </c>
      <c r="G117" s="6">
        <v>0</v>
      </c>
      <c r="H117" s="5">
        <v>0</v>
      </c>
      <c r="I117" s="7">
        <v>0</v>
      </c>
      <c r="J117" s="7">
        <v>0</v>
      </c>
      <c r="K117" s="39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88"/>
      <c r="X117" s="88"/>
    </row>
    <row r="118" spans="1:24">
      <c r="A118" s="4">
        <v>45413</v>
      </c>
      <c r="B118" s="5">
        <v>0</v>
      </c>
      <c r="C118" s="5">
        <v>0</v>
      </c>
      <c r="D118" s="5">
        <v>0</v>
      </c>
      <c r="E118" s="5">
        <v>0</v>
      </c>
      <c r="F118" s="6">
        <v>0</v>
      </c>
      <c r="G118" s="6">
        <v>0</v>
      </c>
      <c r="H118" s="5">
        <v>0</v>
      </c>
      <c r="I118" s="7">
        <v>0</v>
      </c>
      <c r="J118" s="7">
        <v>0</v>
      </c>
      <c r="K118" s="39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88"/>
      <c r="X118" s="88"/>
    </row>
    <row r="119" spans="1:24">
      <c r="A119" s="4">
        <v>45444</v>
      </c>
      <c r="B119" s="5">
        <v>0</v>
      </c>
      <c r="C119" s="5">
        <v>0</v>
      </c>
      <c r="D119" s="5">
        <v>0</v>
      </c>
      <c r="E119" s="5">
        <v>0</v>
      </c>
      <c r="F119" s="6">
        <v>0</v>
      </c>
      <c r="G119" s="6">
        <v>0</v>
      </c>
      <c r="H119" s="5">
        <v>0</v>
      </c>
      <c r="I119" s="7">
        <v>0</v>
      </c>
      <c r="J119" s="7">
        <v>0</v>
      </c>
      <c r="K119" s="39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88"/>
      <c r="X119" s="88"/>
    </row>
    <row r="120" spans="1:24">
      <c r="A120" s="4">
        <v>45474</v>
      </c>
      <c r="B120" s="5">
        <v>0</v>
      </c>
      <c r="C120" s="5">
        <v>0</v>
      </c>
      <c r="D120" s="5">
        <v>0</v>
      </c>
      <c r="E120" s="5">
        <v>0</v>
      </c>
      <c r="F120" s="6">
        <v>0</v>
      </c>
      <c r="G120" s="6">
        <v>0</v>
      </c>
      <c r="H120" s="5">
        <v>0</v>
      </c>
      <c r="I120" s="7">
        <v>0</v>
      </c>
      <c r="J120" s="7">
        <v>0</v>
      </c>
      <c r="K120" s="39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88"/>
      <c r="X120" s="88"/>
    </row>
    <row r="121" spans="1:24">
      <c r="A121" s="4">
        <v>45505</v>
      </c>
      <c r="B121" s="5">
        <v>0</v>
      </c>
      <c r="C121" s="5">
        <v>0</v>
      </c>
      <c r="D121" s="5">
        <v>0</v>
      </c>
      <c r="E121" s="5">
        <v>0</v>
      </c>
      <c r="F121" s="6">
        <v>0</v>
      </c>
      <c r="G121" s="6">
        <v>0</v>
      </c>
      <c r="H121" s="5">
        <v>0</v>
      </c>
      <c r="I121" s="7">
        <v>0</v>
      </c>
      <c r="J121" s="7">
        <v>0</v>
      </c>
      <c r="K121" s="39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88"/>
      <c r="X121" s="88"/>
    </row>
    <row r="122" spans="1:24">
      <c r="A122" s="4">
        <v>45536</v>
      </c>
      <c r="B122" s="5">
        <v>0</v>
      </c>
      <c r="C122" s="5">
        <v>0</v>
      </c>
      <c r="D122" s="5">
        <v>0</v>
      </c>
      <c r="E122" s="5">
        <v>0</v>
      </c>
      <c r="F122" s="6">
        <v>0</v>
      </c>
      <c r="G122" s="6">
        <v>0</v>
      </c>
      <c r="H122" s="5">
        <v>0</v>
      </c>
      <c r="I122" s="7">
        <v>0</v>
      </c>
      <c r="J122" s="7">
        <v>0</v>
      </c>
      <c r="K122" s="39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88"/>
      <c r="X122" s="88"/>
    </row>
    <row r="123" spans="1:24">
      <c r="A123" s="4">
        <v>45566</v>
      </c>
      <c r="B123" s="5">
        <v>0</v>
      </c>
      <c r="C123" s="5">
        <v>0</v>
      </c>
      <c r="D123" s="5">
        <v>0</v>
      </c>
      <c r="E123" s="5">
        <v>0</v>
      </c>
      <c r="F123" s="6">
        <v>0</v>
      </c>
      <c r="G123" s="6">
        <v>0</v>
      </c>
      <c r="H123" s="5">
        <v>0</v>
      </c>
      <c r="I123" s="7">
        <v>0</v>
      </c>
      <c r="J123" s="7">
        <v>0</v>
      </c>
      <c r="K123" s="39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88"/>
      <c r="X123" s="88"/>
    </row>
    <row r="124" spans="1:24">
      <c r="A124" s="4">
        <v>45597</v>
      </c>
      <c r="B124" s="5">
        <v>0</v>
      </c>
      <c r="C124" s="5">
        <v>0</v>
      </c>
      <c r="D124" s="5">
        <v>0</v>
      </c>
      <c r="E124" s="5">
        <v>0</v>
      </c>
      <c r="F124" s="6">
        <v>0</v>
      </c>
      <c r="G124" s="6">
        <v>0</v>
      </c>
      <c r="H124" s="5">
        <v>0</v>
      </c>
      <c r="I124" s="7">
        <v>0</v>
      </c>
      <c r="J124" s="7">
        <v>0</v>
      </c>
      <c r="K124" s="39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88"/>
      <c r="X124" s="88"/>
    </row>
    <row r="125" spans="1:24">
      <c r="A125" s="4">
        <v>45627</v>
      </c>
      <c r="B125" s="5">
        <v>0</v>
      </c>
      <c r="C125" s="5">
        <v>0</v>
      </c>
      <c r="D125" s="5">
        <v>0</v>
      </c>
      <c r="E125" s="5">
        <v>0</v>
      </c>
      <c r="F125" s="6">
        <v>0</v>
      </c>
      <c r="G125" s="6">
        <v>0</v>
      </c>
      <c r="H125" s="5">
        <v>0</v>
      </c>
      <c r="I125" s="7">
        <v>0</v>
      </c>
      <c r="J125" s="7">
        <v>0</v>
      </c>
      <c r="K125" s="39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88"/>
      <c r="X125" s="88"/>
    </row>
    <row r="126" spans="1:24">
      <c r="A126" s="4">
        <v>45658</v>
      </c>
      <c r="B126" s="5">
        <v>0</v>
      </c>
      <c r="C126" s="5">
        <v>0</v>
      </c>
      <c r="D126" s="5">
        <v>0</v>
      </c>
      <c r="E126" s="5">
        <v>0</v>
      </c>
      <c r="F126" s="6">
        <v>0</v>
      </c>
      <c r="G126" s="6">
        <v>0</v>
      </c>
      <c r="H126" s="5">
        <v>0</v>
      </c>
      <c r="I126" s="7">
        <v>0</v>
      </c>
      <c r="J126" s="7">
        <v>0</v>
      </c>
      <c r="K126" s="39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88"/>
      <c r="X126" s="88"/>
    </row>
    <row r="127" spans="1:24">
      <c r="A127" s="4">
        <v>45689</v>
      </c>
      <c r="B127" s="5">
        <v>0</v>
      </c>
      <c r="C127" s="5">
        <v>0</v>
      </c>
      <c r="D127" s="5">
        <v>0</v>
      </c>
      <c r="E127" s="5">
        <v>0</v>
      </c>
      <c r="F127" s="6">
        <v>0</v>
      </c>
      <c r="G127" s="6">
        <v>0</v>
      </c>
      <c r="H127" s="5">
        <v>0</v>
      </c>
      <c r="I127" s="7">
        <v>0</v>
      </c>
      <c r="J127" s="7">
        <v>0</v>
      </c>
      <c r="K127" s="39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88"/>
      <c r="X127" s="88"/>
    </row>
    <row r="128" spans="1:24">
      <c r="A128" s="4">
        <v>45717</v>
      </c>
      <c r="B128" s="5">
        <v>0</v>
      </c>
      <c r="C128" s="5">
        <v>0</v>
      </c>
      <c r="D128" s="5">
        <v>0</v>
      </c>
      <c r="E128" s="5">
        <v>0</v>
      </c>
      <c r="F128" s="6">
        <v>0</v>
      </c>
      <c r="G128" s="6">
        <v>0</v>
      </c>
      <c r="H128" s="5">
        <v>0</v>
      </c>
      <c r="I128" s="7">
        <v>0</v>
      </c>
      <c r="J128" s="7">
        <v>0</v>
      </c>
      <c r="K128" s="39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88"/>
      <c r="X128" s="88"/>
    </row>
    <row r="129" spans="1:24">
      <c r="A129" s="4">
        <v>45748</v>
      </c>
      <c r="B129" s="5">
        <v>0</v>
      </c>
      <c r="C129" s="5">
        <v>0</v>
      </c>
      <c r="D129" s="5">
        <v>0</v>
      </c>
      <c r="E129" s="5">
        <v>0</v>
      </c>
      <c r="F129" s="6">
        <v>0</v>
      </c>
      <c r="G129" s="6">
        <v>0</v>
      </c>
      <c r="H129" s="5">
        <v>0</v>
      </c>
      <c r="I129" s="7">
        <v>0</v>
      </c>
      <c r="J129" s="7">
        <v>0</v>
      </c>
      <c r="K129" s="39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88"/>
      <c r="X129" s="88"/>
    </row>
    <row r="130" spans="1:24">
      <c r="A130" s="4">
        <v>45778</v>
      </c>
      <c r="B130" s="5">
        <v>0</v>
      </c>
      <c r="C130" s="5">
        <v>0</v>
      </c>
      <c r="D130" s="5">
        <v>0</v>
      </c>
      <c r="E130" s="5">
        <v>0</v>
      </c>
      <c r="F130" s="6">
        <v>0</v>
      </c>
      <c r="G130" s="6">
        <v>0</v>
      </c>
      <c r="H130" s="5">
        <v>0</v>
      </c>
      <c r="I130" s="7">
        <v>0</v>
      </c>
      <c r="J130" s="7">
        <v>0</v>
      </c>
      <c r="K130" s="39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88"/>
      <c r="X130" s="88"/>
    </row>
    <row r="131" spans="1:24">
      <c r="A131" s="4">
        <v>45809</v>
      </c>
      <c r="B131" s="5">
        <v>0</v>
      </c>
      <c r="C131" s="5">
        <v>0</v>
      </c>
      <c r="D131" s="5">
        <v>0</v>
      </c>
      <c r="E131" s="5">
        <v>0</v>
      </c>
      <c r="F131" s="6">
        <v>0</v>
      </c>
      <c r="G131" s="6">
        <v>0</v>
      </c>
      <c r="H131" s="5">
        <v>0</v>
      </c>
      <c r="I131" s="7">
        <v>0</v>
      </c>
      <c r="J131" s="7">
        <v>0</v>
      </c>
      <c r="K131" s="39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88"/>
      <c r="X131" s="88"/>
    </row>
    <row r="132" spans="1:24">
      <c r="A132" s="4">
        <v>45839</v>
      </c>
      <c r="B132" s="5">
        <v>0</v>
      </c>
      <c r="C132" s="5">
        <v>0</v>
      </c>
      <c r="D132" s="5">
        <v>0</v>
      </c>
      <c r="E132" s="5">
        <v>0</v>
      </c>
      <c r="F132" s="6">
        <v>0</v>
      </c>
      <c r="G132" s="6">
        <v>0</v>
      </c>
      <c r="H132" s="5">
        <v>0</v>
      </c>
      <c r="I132" s="7">
        <v>0</v>
      </c>
      <c r="J132" s="7">
        <v>0</v>
      </c>
      <c r="K132" s="39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88"/>
      <c r="X132" s="88"/>
    </row>
    <row r="133" spans="1:24">
      <c r="A133" s="4">
        <v>45870</v>
      </c>
      <c r="B133" s="5">
        <v>0</v>
      </c>
      <c r="C133" s="5">
        <v>0</v>
      </c>
      <c r="D133" s="5">
        <v>0</v>
      </c>
      <c r="E133" s="5">
        <v>0</v>
      </c>
      <c r="F133" s="6">
        <v>0</v>
      </c>
      <c r="G133" s="6">
        <v>0</v>
      </c>
      <c r="H133" s="5">
        <v>0</v>
      </c>
      <c r="I133" s="7">
        <v>0</v>
      </c>
      <c r="J133" s="7">
        <v>0</v>
      </c>
      <c r="K133" s="39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88"/>
      <c r="X133" s="88"/>
    </row>
    <row r="134" spans="1:24">
      <c r="A134" s="4">
        <v>45901</v>
      </c>
      <c r="B134" s="5">
        <v>0</v>
      </c>
      <c r="C134" s="5">
        <v>0</v>
      </c>
      <c r="D134" s="5">
        <v>0</v>
      </c>
      <c r="E134" s="5">
        <v>0</v>
      </c>
      <c r="F134" s="6">
        <v>0</v>
      </c>
      <c r="G134" s="6">
        <v>0</v>
      </c>
      <c r="H134" s="5">
        <v>0</v>
      </c>
      <c r="I134" s="7">
        <v>0</v>
      </c>
      <c r="J134" s="7">
        <v>0</v>
      </c>
      <c r="K134" s="39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88"/>
      <c r="X134" s="88"/>
    </row>
    <row r="135" spans="1:24">
      <c r="A135" s="4">
        <v>45931</v>
      </c>
      <c r="B135" s="5">
        <v>0</v>
      </c>
      <c r="C135" s="5">
        <v>0</v>
      </c>
      <c r="D135" s="5">
        <v>0</v>
      </c>
      <c r="E135" s="5">
        <v>0</v>
      </c>
      <c r="F135" s="6">
        <v>0</v>
      </c>
      <c r="G135" s="6">
        <v>0</v>
      </c>
      <c r="H135" s="5">
        <v>0</v>
      </c>
      <c r="I135" s="7">
        <v>0</v>
      </c>
      <c r="J135" s="7">
        <v>0</v>
      </c>
      <c r="K135" s="39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88"/>
      <c r="X135" s="88"/>
    </row>
    <row r="136" spans="1:24">
      <c r="A136" s="4">
        <v>45962</v>
      </c>
      <c r="B136" s="5">
        <v>0</v>
      </c>
      <c r="C136" s="5">
        <v>0</v>
      </c>
      <c r="D136" s="5">
        <v>0</v>
      </c>
      <c r="E136" s="5">
        <v>0</v>
      </c>
      <c r="F136" s="6">
        <v>0</v>
      </c>
      <c r="G136" s="6">
        <v>0</v>
      </c>
      <c r="H136" s="5">
        <v>0</v>
      </c>
      <c r="I136" s="7">
        <v>0</v>
      </c>
      <c r="J136" s="7">
        <v>0</v>
      </c>
      <c r="K136" s="39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88"/>
      <c r="X136" s="88"/>
    </row>
    <row r="137" spans="1:24">
      <c r="A137" s="4">
        <v>45992</v>
      </c>
      <c r="B137" s="5">
        <v>0</v>
      </c>
      <c r="C137" s="5">
        <v>0</v>
      </c>
      <c r="D137" s="5">
        <v>0</v>
      </c>
      <c r="E137" s="5">
        <v>0</v>
      </c>
      <c r="F137" s="6">
        <v>0</v>
      </c>
      <c r="G137" s="6">
        <v>0</v>
      </c>
      <c r="H137" s="5">
        <v>0</v>
      </c>
      <c r="I137" s="7">
        <v>0</v>
      </c>
      <c r="J137" s="7">
        <v>0</v>
      </c>
      <c r="K137" s="39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88"/>
      <c r="X137" s="88"/>
    </row>
    <row r="138" spans="1:24">
      <c r="A138" s="4">
        <v>46023</v>
      </c>
      <c r="B138" s="5">
        <v>0</v>
      </c>
      <c r="C138" s="5">
        <v>0</v>
      </c>
      <c r="D138" s="5">
        <v>0</v>
      </c>
      <c r="E138" s="5">
        <v>0</v>
      </c>
      <c r="F138" s="6">
        <v>0</v>
      </c>
      <c r="G138" s="6">
        <v>0</v>
      </c>
      <c r="H138" s="5">
        <v>0</v>
      </c>
      <c r="I138" s="7">
        <v>0</v>
      </c>
      <c r="J138" s="7">
        <v>0</v>
      </c>
      <c r="K138" s="39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88"/>
      <c r="X138" s="88"/>
    </row>
    <row r="139" spans="1:24">
      <c r="A139" s="4">
        <v>46054</v>
      </c>
      <c r="B139" s="5">
        <v>0</v>
      </c>
      <c r="C139" s="5">
        <v>0</v>
      </c>
      <c r="D139" s="5">
        <v>0</v>
      </c>
      <c r="E139" s="5">
        <v>0</v>
      </c>
      <c r="F139" s="6">
        <v>0</v>
      </c>
      <c r="G139" s="6">
        <v>0</v>
      </c>
      <c r="H139" s="5">
        <v>0</v>
      </c>
      <c r="I139" s="7">
        <v>0</v>
      </c>
      <c r="J139" s="7">
        <v>0</v>
      </c>
      <c r="K139" s="39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88"/>
      <c r="X139" s="88"/>
    </row>
    <row r="140" spans="1:24">
      <c r="A140" s="4">
        <v>46082</v>
      </c>
      <c r="B140" s="5">
        <v>0</v>
      </c>
      <c r="C140" s="5">
        <v>0</v>
      </c>
      <c r="D140" s="5">
        <v>0</v>
      </c>
      <c r="E140" s="5">
        <v>0</v>
      </c>
      <c r="F140" s="6">
        <v>0</v>
      </c>
      <c r="G140" s="6">
        <v>0</v>
      </c>
      <c r="H140" s="5">
        <v>0</v>
      </c>
      <c r="I140" s="7">
        <v>0</v>
      </c>
      <c r="J140" s="7">
        <v>0</v>
      </c>
      <c r="K140" s="39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88"/>
      <c r="X140" s="88"/>
    </row>
    <row r="141" spans="1:24">
      <c r="A141" s="4">
        <v>46113</v>
      </c>
      <c r="B141" s="5">
        <v>0</v>
      </c>
      <c r="C141" s="5">
        <v>0</v>
      </c>
      <c r="D141" s="5">
        <v>0</v>
      </c>
      <c r="E141" s="5">
        <v>0</v>
      </c>
      <c r="F141" s="6">
        <v>0</v>
      </c>
      <c r="G141" s="6">
        <v>0</v>
      </c>
      <c r="H141" s="5">
        <v>0</v>
      </c>
      <c r="I141" s="7">
        <v>0</v>
      </c>
      <c r="J141" s="7">
        <v>0</v>
      </c>
      <c r="K141" s="39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88"/>
      <c r="X141" s="88"/>
    </row>
    <row r="142" spans="1:24">
      <c r="A142" s="4">
        <v>46143</v>
      </c>
      <c r="B142" s="5">
        <v>0</v>
      </c>
      <c r="C142" s="5">
        <v>0</v>
      </c>
      <c r="D142" s="5">
        <v>0</v>
      </c>
      <c r="E142" s="5">
        <v>0</v>
      </c>
      <c r="F142" s="6">
        <v>0</v>
      </c>
      <c r="G142" s="6">
        <v>0</v>
      </c>
      <c r="H142" s="5">
        <v>0</v>
      </c>
      <c r="I142" s="7">
        <v>0</v>
      </c>
      <c r="J142" s="7">
        <v>0</v>
      </c>
      <c r="K142" s="39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88"/>
      <c r="X142" s="88"/>
    </row>
    <row r="143" spans="1:24">
      <c r="A143" s="4">
        <v>46174</v>
      </c>
      <c r="B143" s="5">
        <v>0</v>
      </c>
      <c r="C143" s="5">
        <v>0</v>
      </c>
      <c r="D143" s="5">
        <v>0</v>
      </c>
      <c r="E143" s="5">
        <v>0</v>
      </c>
      <c r="F143" s="6">
        <v>0</v>
      </c>
      <c r="G143" s="6">
        <v>0</v>
      </c>
      <c r="H143" s="5">
        <v>0</v>
      </c>
      <c r="I143" s="7">
        <v>0</v>
      </c>
      <c r="J143" s="7">
        <v>0</v>
      </c>
      <c r="K143" s="39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88"/>
      <c r="X143" s="88"/>
    </row>
    <row r="144" spans="1:24">
      <c r="A144" s="4">
        <v>46204</v>
      </c>
      <c r="B144" s="5">
        <v>0</v>
      </c>
      <c r="C144" s="5">
        <v>0</v>
      </c>
      <c r="D144" s="5">
        <v>0</v>
      </c>
      <c r="E144" s="5">
        <v>0</v>
      </c>
      <c r="F144" s="6">
        <v>0</v>
      </c>
      <c r="G144" s="6">
        <v>0</v>
      </c>
      <c r="H144" s="5">
        <v>0</v>
      </c>
      <c r="I144" s="7">
        <v>0</v>
      </c>
      <c r="J144" s="7">
        <v>0</v>
      </c>
      <c r="K144" s="39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88"/>
      <c r="X144" s="88"/>
    </row>
    <row r="145" spans="1:24">
      <c r="A145" s="4">
        <v>46235</v>
      </c>
      <c r="B145" s="5">
        <v>0</v>
      </c>
      <c r="C145" s="5">
        <v>0</v>
      </c>
      <c r="D145" s="5">
        <v>0</v>
      </c>
      <c r="E145" s="5">
        <v>0</v>
      </c>
      <c r="F145" s="6">
        <v>0</v>
      </c>
      <c r="G145" s="6">
        <v>0</v>
      </c>
      <c r="H145" s="5">
        <v>0</v>
      </c>
      <c r="I145" s="7">
        <v>0</v>
      </c>
      <c r="J145" s="7">
        <v>0</v>
      </c>
      <c r="K145" s="39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88"/>
      <c r="X145" s="88"/>
    </row>
    <row r="146" spans="1:24">
      <c r="A146" s="4">
        <v>46266</v>
      </c>
      <c r="B146" s="5">
        <v>0</v>
      </c>
      <c r="C146" s="5">
        <v>0</v>
      </c>
      <c r="D146" s="5">
        <v>0</v>
      </c>
      <c r="E146" s="5">
        <v>0</v>
      </c>
      <c r="F146" s="6">
        <v>0</v>
      </c>
      <c r="G146" s="6">
        <v>0</v>
      </c>
      <c r="H146" s="5">
        <v>0</v>
      </c>
      <c r="I146" s="7">
        <v>0</v>
      </c>
      <c r="J146" s="7">
        <v>0</v>
      </c>
      <c r="K146" s="39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88"/>
      <c r="X146" s="88"/>
    </row>
    <row r="147" spans="1:24">
      <c r="A147" s="4">
        <v>46296</v>
      </c>
      <c r="B147" s="5">
        <v>0</v>
      </c>
      <c r="C147" s="5">
        <v>0</v>
      </c>
      <c r="D147" s="5">
        <v>0</v>
      </c>
      <c r="E147" s="5">
        <v>0</v>
      </c>
      <c r="F147" s="6">
        <v>0</v>
      </c>
      <c r="G147" s="6">
        <v>0</v>
      </c>
      <c r="H147" s="5">
        <v>0</v>
      </c>
      <c r="I147" s="7">
        <v>0</v>
      </c>
      <c r="J147" s="7">
        <v>0</v>
      </c>
      <c r="K147" s="39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88"/>
      <c r="X147" s="88"/>
    </row>
    <row r="148" spans="1:24">
      <c r="A148" s="4">
        <v>46327</v>
      </c>
      <c r="B148" s="5">
        <v>0</v>
      </c>
      <c r="C148" s="5">
        <v>0</v>
      </c>
      <c r="D148" s="5">
        <v>0</v>
      </c>
      <c r="E148" s="5">
        <v>0</v>
      </c>
      <c r="F148" s="6">
        <v>0</v>
      </c>
      <c r="G148" s="6">
        <v>0</v>
      </c>
      <c r="H148" s="5">
        <v>0</v>
      </c>
      <c r="I148" s="7">
        <v>0</v>
      </c>
      <c r="J148" s="7">
        <v>0</v>
      </c>
      <c r="K148" s="39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88"/>
      <c r="X148" s="88"/>
    </row>
    <row r="149" spans="1:24">
      <c r="A149" s="4">
        <v>46357</v>
      </c>
      <c r="B149" s="5">
        <v>0</v>
      </c>
      <c r="C149" s="5">
        <v>0</v>
      </c>
      <c r="D149" s="5">
        <v>0</v>
      </c>
      <c r="E149" s="5">
        <v>0</v>
      </c>
      <c r="F149" s="6">
        <v>0</v>
      </c>
      <c r="G149" s="6">
        <v>0</v>
      </c>
      <c r="H149" s="5">
        <v>0</v>
      </c>
      <c r="I149" s="7">
        <v>0</v>
      </c>
      <c r="J149" s="7">
        <v>0</v>
      </c>
      <c r="K149" s="39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88"/>
      <c r="X149" s="88"/>
    </row>
    <row r="150" spans="1:24">
      <c r="A150" s="4">
        <v>46388</v>
      </c>
      <c r="B150" s="5">
        <v>0</v>
      </c>
      <c r="C150" s="5">
        <v>0</v>
      </c>
      <c r="D150" s="5">
        <v>0</v>
      </c>
      <c r="E150" s="5">
        <v>0</v>
      </c>
      <c r="F150" s="6">
        <v>0</v>
      </c>
      <c r="G150" s="6">
        <v>0</v>
      </c>
      <c r="H150" s="5">
        <v>0</v>
      </c>
      <c r="I150" s="7">
        <v>0</v>
      </c>
      <c r="J150" s="7">
        <v>0</v>
      </c>
      <c r="K150" s="39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88"/>
      <c r="X150" s="88"/>
    </row>
    <row r="151" spans="1:24">
      <c r="A151" s="4">
        <v>46419</v>
      </c>
      <c r="B151" s="5">
        <v>0</v>
      </c>
      <c r="C151" s="5">
        <v>0</v>
      </c>
      <c r="D151" s="5">
        <v>0</v>
      </c>
      <c r="E151" s="5">
        <v>0</v>
      </c>
      <c r="F151" s="6">
        <v>0</v>
      </c>
      <c r="G151" s="6">
        <v>0</v>
      </c>
      <c r="H151" s="5">
        <v>0</v>
      </c>
      <c r="I151" s="7">
        <v>0</v>
      </c>
      <c r="J151" s="7">
        <v>0</v>
      </c>
      <c r="K151" s="39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88"/>
      <c r="X151" s="88"/>
    </row>
    <row r="152" spans="1:24">
      <c r="A152" s="4">
        <v>46447</v>
      </c>
      <c r="B152" s="5">
        <v>0</v>
      </c>
      <c r="C152" s="5">
        <v>0</v>
      </c>
      <c r="D152" s="5">
        <v>0</v>
      </c>
      <c r="E152" s="5">
        <v>0</v>
      </c>
      <c r="F152" s="6">
        <v>0</v>
      </c>
      <c r="G152" s="6">
        <v>0</v>
      </c>
      <c r="H152" s="5">
        <v>0</v>
      </c>
      <c r="I152" s="7">
        <v>0</v>
      </c>
      <c r="J152" s="7">
        <v>0</v>
      </c>
      <c r="K152" s="39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88"/>
      <c r="X152" s="88"/>
    </row>
    <row r="153" spans="1:24">
      <c r="A153" s="4">
        <v>46478</v>
      </c>
      <c r="B153" s="5">
        <v>0</v>
      </c>
      <c r="C153" s="5">
        <v>0</v>
      </c>
      <c r="D153" s="5">
        <v>0</v>
      </c>
      <c r="E153" s="5">
        <v>0</v>
      </c>
      <c r="F153" s="6">
        <v>0</v>
      </c>
      <c r="G153" s="6">
        <v>0</v>
      </c>
      <c r="H153" s="5">
        <v>0</v>
      </c>
      <c r="I153" s="7">
        <v>0</v>
      </c>
      <c r="J153" s="7">
        <v>0</v>
      </c>
      <c r="K153" s="39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88"/>
      <c r="X153" s="88"/>
    </row>
    <row r="154" spans="1:24">
      <c r="A154" s="4">
        <v>46508</v>
      </c>
      <c r="B154" s="5">
        <v>0</v>
      </c>
      <c r="C154" s="5">
        <v>0</v>
      </c>
      <c r="D154" s="5">
        <v>0</v>
      </c>
      <c r="E154" s="5">
        <v>0</v>
      </c>
      <c r="F154" s="6">
        <v>0</v>
      </c>
      <c r="G154" s="6">
        <v>0</v>
      </c>
      <c r="H154" s="5">
        <v>0</v>
      </c>
      <c r="I154" s="7">
        <v>0</v>
      </c>
      <c r="J154" s="7">
        <v>0</v>
      </c>
      <c r="K154" s="39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88"/>
      <c r="X154" s="88"/>
    </row>
    <row r="155" spans="1:24">
      <c r="A155" s="4">
        <v>46539</v>
      </c>
      <c r="B155" s="5">
        <v>0</v>
      </c>
      <c r="C155" s="5">
        <v>0</v>
      </c>
      <c r="D155" s="5">
        <v>0</v>
      </c>
      <c r="E155" s="5">
        <v>0</v>
      </c>
      <c r="F155" s="6">
        <v>0</v>
      </c>
      <c r="G155" s="6">
        <v>0</v>
      </c>
      <c r="H155" s="5">
        <v>0</v>
      </c>
      <c r="I155" s="7">
        <v>0</v>
      </c>
      <c r="J155" s="7">
        <v>0</v>
      </c>
      <c r="K155" s="39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88"/>
      <c r="X155" s="88"/>
    </row>
    <row r="156" spans="1:24">
      <c r="A156" s="4">
        <v>46569</v>
      </c>
      <c r="B156" s="5">
        <v>0</v>
      </c>
      <c r="C156" s="5">
        <v>0</v>
      </c>
      <c r="D156" s="5">
        <v>0</v>
      </c>
      <c r="E156" s="5">
        <v>0</v>
      </c>
      <c r="F156" s="6">
        <v>0</v>
      </c>
      <c r="G156" s="6">
        <v>0</v>
      </c>
      <c r="H156" s="5">
        <v>0</v>
      </c>
      <c r="I156" s="7">
        <v>0</v>
      </c>
      <c r="J156" s="7">
        <v>0</v>
      </c>
      <c r="K156" s="39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88"/>
      <c r="X156" s="88"/>
    </row>
    <row r="157" spans="1:24">
      <c r="A157" s="4">
        <v>46600</v>
      </c>
      <c r="B157" s="5">
        <v>0</v>
      </c>
      <c r="C157" s="5">
        <v>0</v>
      </c>
      <c r="D157" s="5">
        <v>0</v>
      </c>
      <c r="E157" s="5">
        <v>0</v>
      </c>
      <c r="F157" s="6">
        <v>0</v>
      </c>
      <c r="G157" s="6">
        <v>0</v>
      </c>
      <c r="H157" s="5">
        <v>0</v>
      </c>
      <c r="I157" s="7">
        <v>0</v>
      </c>
      <c r="J157" s="7">
        <v>0</v>
      </c>
      <c r="K157" s="39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88"/>
      <c r="X157" s="88"/>
    </row>
    <row r="158" spans="1:24">
      <c r="A158" s="4">
        <v>46631</v>
      </c>
      <c r="B158" s="5">
        <v>0</v>
      </c>
      <c r="C158" s="5">
        <v>0</v>
      </c>
      <c r="D158" s="5">
        <v>0</v>
      </c>
      <c r="E158" s="5">
        <v>0</v>
      </c>
      <c r="F158" s="6">
        <v>0</v>
      </c>
      <c r="G158" s="6">
        <v>0</v>
      </c>
      <c r="H158" s="5">
        <v>0</v>
      </c>
      <c r="I158" s="7">
        <v>0</v>
      </c>
      <c r="J158" s="7">
        <v>0</v>
      </c>
      <c r="K158" s="39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88"/>
      <c r="X158" s="88"/>
    </row>
    <row r="159" spans="1:24">
      <c r="A159" s="4">
        <v>46661</v>
      </c>
      <c r="B159" s="5">
        <v>0</v>
      </c>
      <c r="C159" s="5">
        <v>0</v>
      </c>
      <c r="D159" s="5">
        <v>0</v>
      </c>
      <c r="E159" s="5">
        <v>0</v>
      </c>
      <c r="F159" s="6">
        <v>0</v>
      </c>
      <c r="G159" s="6">
        <v>0</v>
      </c>
      <c r="H159" s="5">
        <v>0</v>
      </c>
      <c r="I159" s="7">
        <v>0</v>
      </c>
      <c r="J159" s="7">
        <v>0</v>
      </c>
      <c r="K159" s="39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88"/>
      <c r="X159" s="88"/>
    </row>
    <row r="160" spans="1:24">
      <c r="A160" s="4">
        <v>46692</v>
      </c>
      <c r="B160" s="5">
        <v>0</v>
      </c>
      <c r="C160" s="5">
        <v>0</v>
      </c>
      <c r="D160" s="5">
        <v>0</v>
      </c>
      <c r="E160" s="5">
        <v>0</v>
      </c>
      <c r="F160" s="6">
        <v>0</v>
      </c>
      <c r="G160" s="6">
        <v>0</v>
      </c>
      <c r="H160" s="5">
        <v>0</v>
      </c>
      <c r="I160" s="7">
        <v>0</v>
      </c>
      <c r="J160" s="7">
        <v>0</v>
      </c>
      <c r="K160" s="39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88"/>
      <c r="X160" s="88"/>
    </row>
    <row r="161" spans="1:24">
      <c r="A161" s="4">
        <v>46722</v>
      </c>
      <c r="B161" s="5">
        <v>0</v>
      </c>
      <c r="C161" s="5">
        <v>0</v>
      </c>
      <c r="D161" s="5">
        <v>0</v>
      </c>
      <c r="E161" s="5">
        <v>0</v>
      </c>
      <c r="F161" s="6">
        <v>0</v>
      </c>
      <c r="G161" s="6">
        <v>0</v>
      </c>
      <c r="H161" s="5">
        <v>0</v>
      </c>
      <c r="I161" s="7">
        <v>0</v>
      </c>
      <c r="J161" s="7">
        <v>0</v>
      </c>
      <c r="K161" s="39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88"/>
      <c r="X161" s="88"/>
    </row>
    <row r="162" spans="1:24">
      <c r="A162" s="4">
        <v>46753</v>
      </c>
      <c r="B162" s="5">
        <v>0</v>
      </c>
      <c r="C162" s="5">
        <v>0</v>
      </c>
      <c r="D162" s="5">
        <v>0</v>
      </c>
      <c r="E162" s="5">
        <v>0</v>
      </c>
      <c r="F162" s="6">
        <v>0</v>
      </c>
      <c r="G162" s="6">
        <v>0</v>
      </c>
      <c r="H162" s="5">
        <v>0</v>
      </c>
      <c r="I162" s="7">
        <v>0</v>
      </c>
      <c r="J162" s="7">
        <v>0</v>
      </c>
      <c r="K162" s="39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88"/>
      <c r="X162" s="88"/>
    </row>
    <row r="163" spans="1:24">
      <c r="A163" s="4">
        <v>46784</v>
      </c>
      <c r="B163" s="5">
        <v>0</v>
      </c>
      <c r="C163" s="5">
        <v>0</v>
      </c>
      <c r="D163" s="5">
        <v>0</v>
      </c>
      <c r="E163" s="5">
        <v>0</v>
      </c>
      <c r="F163" s="6">
        <v>0</v>
      </c>
      <c r="G163" s="6">
        <v>0</v>
      </c>
      <c r="H163" s="5">
        <v>0</v>
      </c>
      <c r="I163" s="7">
        <v>0</v>
      </c>
      <c r="J163" s="7">
        <v>0</v>
      </c>
      <c r="K163" s="39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88"/>
      <c r="X163" s="88"/>
    </row>
    <row r="164" spans="1:24">
      <c r="A164" s="4">
        <v>46813</v>
      </c>
      <c r="B164" s="5">
        <v>0</v>
      </c>
      <c r="C164" s="5">
        <v>0</v>
      </c>
      <c r="D164" s="5">
        <v>0</v>
      </c>
      <c r="E164" s="5">
        <v>0</v>
      </c>
      <c r="F164" s="6">
        <v>0</v>
      </c>
      <c r="G164" s="6">
        <v>0</v>
      </c>
      <c r="H164" s="5">
        <v>0</v>
      </c>
      <c r="I164" s="7">
        <v>0</v>
      </c>
      <c r="J164" s="7">
        <v>0</v>
      </c>
      <c r="K164" s="39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88"/>
      <c r="X164" s="88"/>
    </row>
    <row r="165" spans="1:24">
      <c r="A165" s="4">
        <v>46844</v>
      </c>
      <c r="B165" s="5">
        <v>0</v>
      </c>
      <c r="C165" s="5">
        <v>0</v>
      </c>
      <c r="D165" s="5">
        <v>0</v>
      </c>
      <c r="E165" s="5">
        <v>0</v>
      </c>
      <c r="F165" s="6">
        <v>0</v>
      </c>
      <c r="G165" s="6">
        <v>0</v>
      </c>
      <c r="H165" s="5">
        <v>0</v>
      </c>
      <c r="I165" s="7">
        <v>0</v>
      </c>
      <c r="J165" s="7">
        <v>0</v>
      </c>
      <c r="K165" s="39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88"/>
      <c r="X165" s="88"/>
    </row>
    <row r="166" spans="1:24">
      <c r="A166" s="4">
        <v>46874</v>
      </c>
      <c r="B166" s="5">
        <v>0</v>
      </c>
      <c r="C166" s="5">
        <v>0</v>
      </c>
      <c r="D166" s="5">
        <v>0</v>
      </c>
      <c r="E166" s="5">
        <v>0</v>
      </c>
      <c r="F166" s="6">
        <v>0</v>
      </c>
      <c r="G166" s="6">
        <v>0</v>
      </c>
      <c r="H166" s="5">
        <v>0</v>
      </c>
      <c r="I166" s="7">
        <v>0</v>
      </c>
      <c r="J166" s="7">
        <v>0</v>
      </c>
      <c r="K166" s="39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88"/>
      <c r="X166" s="88"/>
    </row>
    <row r="167" spans="1:24">
      <c r="A167" s="4">
        <v>46905</v>
      </c>
      <c r="B167" s="5">
        <v>0</v>
      </c>
      <c r="C167" s="5">
        <v>0</v>
      </c>
      <c r="D167" s="5">
        <v>0</v>
      </c>
      <c r="E167" s="5">
        <v>0</v>
      </c>
      <c r="F167" s="6">
        <v>0</v>
      </c>
      <c r="G167" s="6">
        <v>0</v>
      </c>
      <c r="H167" s="5">
        <v>0</v>
      </c>
      <c r="I167" s="7">
        <v>0</v>
      </c>
      <c r="J167" s="7">
        <v>0</v>
      </c>
      <c r="K167" s="39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88"/>
      <c r="X167" s="88"/>
    </row>
    <row r="168" spans="1:24">
      <c r="A168" s="4">
        <v>46935</v>
      </c>
      <c r="B168" s="5">
        <v>0</v>
      </c>
      <c r="C168" s="5">
        <v>0</v>
      </c>
      <c r="D168" s="5">
        <v>0</v>
      </c>
      <c r="E168" s="5">
        <v>0</v>
      </c>
      <c r="F168" s="6">
        <v>0</v>
      </c>
      <c r="G168" s="6">
        <v>0</v>
      </c>
      <c r="H168" s="5">
        <v>0</v>
      </c>
      <c r="I168" s="7">
        <v>0</v>
      </c>
      <c r="J168" s="7">
        <v>0</v>
      </c>
      <c r="K168" s="39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88"/>
      <c r="X168" s="88"/>
    </row>
    <row r="169" spans="1:24">
      <c r="A169" s="4">
        <v>46966</v>
      </c>
      <c r="B169" s="5">
        <v>0</v>
      </c>
      <c r="C169" s="5">
        <v>0</v>
      </c>
      <c r="D169" s="5">
        <v>0</v>
      </c>
      <c r="E169" s="5">
        <v>0</v>
      </c>
      <c r="F169" s="6">
        <v>0</v>
      </c>
      <c r="G169" s="6">
        <v>0</v>
      </c>
      <c r="H169" s="5">
        <v>0</v>
      </c>
      <c r="I169" s="7">
        <v>0</v>
      </c>
      <c r="J169" s="7">
        <v>0</v>
      </c>
      <c r="K169" s="39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88"/>
      <c r="X169" s="88"/>
    </row>
    <row r="170" spans="1:24">
      <c r="A170" s="4">
        <v>46997</v>
      </c>
      <c r="B170" s="5">
        <v>0</v>
      </c>
      <c r="C170" s="5">
        <v>0</v>
      </c>
      <c r="D170" s="5">
        <v>0</v>
      </c>
      <c r="E170" s="5">
        <v>0</v>
      </c>
      <c r="F170" s="6">
        <v>0</v>
      </c>
      <c r="G170" s="6">
        <v>0</v>
      </c>
      <c r="H170" s="5">
        <v>0</v>
      </c>
      <c r="I170" s="7">
        <v>0</v>
      </c>
      <c r="J170" s="7">
        <v>0</v>
      </c>
      <c r="K170" s="39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88"/>
      <c r="X170" s="88"/>
    </row>
    <row r="171" spans="1:24">
      <c r="A171" s="4">
        <v>47027</v>
      </c>
      <c r="B171" s="5">
        <v>0</v>
      </c>
      <c r="C171" s="5">
        <v>0</v>
      </c>
      <c r="D171" s="5">
        <v>0</v>
      </c>
      <c r="E171" s="5">
        <v>0</v>
      </c>
      <c r="F171" s="6">
        <v>0</v>
      </c>
      <c r="G171" s="6">
        <v>0</v>
      </c>
      <c r="H171" s="5">
        <v>0</v>
      </c>
      <c r="I171" s="7">
        <v>0</v>
      </c>
      <c r="J171" s="7">
        <v>0</v>
      </c>
      <c r="K171" s="39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88"/>
      <c r="X171" s="88"/>
    </row>
    <row r="172" spans="1:24">
      <c r="A172" s="4">
        <v>47058</v>
      </c>
      <c r="B172" s="5">
        <v>0</v>
      </c>
      <c r="C172" s="5">
        <v>0</v>
      </c>
      <c r="D172" s="5">
        <v>0</v>
      </c>
      <c r="E172" s="5">
        <v>0</v>
      </c>
      <c r="F172" s="6">
        <v>0</v>
      </c>
      <c r="G172" s="6">
        <v>0</v>
      </c>
      <c r="H172" s="5">
        <v>0</v>
      </c>
      <c r="I172" s="7">
        <v>0</v>
      </c>
      <c r="J172" s="7">
        <v>0</v>
      </c>
      <c r="K172" s="39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88"/>
      <c r="X172" s="88"/>
    </row>
    <row r="173" spans="1:24">
      <c r="A173" s="4">
        <v>47088</v>
      </c>
      <c r="B173" s="5">
        <v>0</v>
      </c>
      <c r="C173" s="5">
        <v>0</v>
      </c>
      <c r="D173" s="5">
        <v>0</v>
      </c>
      <c r="E173" s="5">
        <v>0</v>
      </c>
      <c r="F173" s="6">
        <v>0</v>
      </c>
      <c r="G173" s="6">
        <v>0</v>
      </c>
      <c r="H173" s="5">
        <v>0</v>
      </c>
      <c r="I173" s="7">
        <v>0</v>
      </c>
      <c r="J173" s="7">
        <v>0</v>
      </c>
      <c r="K173" s="39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88"/>
      <c r="X173" s="88"/>
    </row>
    <row r="174" spans="1:24">
      <c r="A174" s="4">
        <v>47119</v>
      </c>
      <c r="B174" s="5">
        <v>0</v>
      </c>
      <c r="C174" s="5">
        <v>0</v>
      </c>
      <c r="D174" s="5">
        <v>0</v>
      </c>
      <c r="E174" s="5">
        <v>0</v>
      </c>
      <c r="F174" s="6">
        <v>0</v>
      </c>
      <c r="G174" s="6">
        <v>0</v>
      </c>
      <c r="H174" s="5">
        <v>0</v>
      </c>
      <c r="I174" s="7">
        <v>0</v>
      </c>
      <c r="J174" s="7">
        <v>0</v>
      </c>
      <c r="K174" s="39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88"/>
      <c r="X174" s="88"/>
    </row>
    <row r="175" spans="1:24">
      <c r="A175" s="4">
        <v>47150</v>
      </c>
      <c r="B175" s="5">
        <v>0</v>
      </c>
      <c r="C175" s="5">
        <v>0</v>
      </c>
      <c r="D175" s="5">
        <v>0</v>
      </c>
      <c r="E175" s="5">
        <v>0</v>
      </c>
      <c r="F175" s="6">
        <v>0</v>
      </c>
      <c r="G175" s="6">
        <v>0</v>
      </c>
      <c r="H175" s="5">
        <v>0</v>
      </c>
      <c r="I175" s="7">
        <v>0</v>
      </c>
      <c r="J175" s="7">
        <v>0</v>
      </c>
      <c r="K175" s="39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88"/>
      <c r="X175" s="88"/>
    </row>
    <row r="176" spans="1:24">
      <c r="A176" s="4">
        <v>47178</v>
      </c>
      <c r="B176" s="5">
        <v>0</v>
      </c>
      <c r="C176" s="5">
        <v>0</v>
      </c>
      <c r="D176" s="5">
        <v>0</v>
      </c>
      <c r="E176" s="5">
        <v>0</v>
      </c>
      <c r="F176" s="6">
        <v>0</v>
      </c>
      <c r="G176" s="6">
        <v>0</v>
      </c>
      <c r="H176" s="5">
        <v>0</v>
      </c>
      <c r="I176" s="7">
        <v>0</v>
      </c>
      <c r="J176" s="7">
        <v>0</v>
      </c>
      <c r="K176" s="39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88"/>
      <c r="X176" s="88"/>
    </row>
    <row r="177" spans="1:24">
      <c r="A177" s="4">
        <v>47209</v>
      </c>
      <c r="B177" s="5">
        <v>0</v>
      </c>
      <c r="C177" s="5">
        <v>0</v>
      </c>
      <c r="D177" s="5">
        <v>0</v>
      </c>
      <c r="E177" s="5">
        <v>0</v>
      </c>
      <c r="F177" s="6">
        <v>0</v>
      </c>
      <c r="G177" s="6">
        <v>0</v>
      </c>
      <c r="H177" s="5">
        <v>0</v>
      </c>
      <c r="I177" s="7">
        <v>0</v>
      </c>
      <c r="J177" s="7">
        <v>0</v>
      </c>
      <c r="K177" s="39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88"/>
      <c r="X177" s="88"/>
    </row>
    <row r="178" spans="1:24">
      <c r="A178" s="4">
        <v>47239</v>
      </c>
      <c r="B178" s="5">
        <v>0</v>
      </c>
      <c r="C178" s="5">
        <v>0</v>
      </c>
      <c r="D178" s="5">
        <v>0</v>
      </c>
      <c r="E178" s="5">
        <v>0</v>
      </c>
      <c r="F178" s="6">
        <v>0</v>
      </c>
      <c r="G178" s="6">
        <v>0</v>
      </c>
      <c r="H178" s="5">
        <v>0</v>
      </c>
      <c r="I178" s="7">
        <v>0</v>
      </c>
      <c r="J178" s="7">
        <v>0</v>
      </c>
      <c r="K178" s="39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88"/>
      <c r="X178" s="88"/>
    </row>
    <row r="179" spans="1:24">
      <c r="A179" s="4">
        <v>47270</v>
      </c>
      <c r="B179" s="5">
        <v>0</v>
      </c>
      <c r="C179" s="5">
        <v>0</v>
      </c>
      <c r="D179" s="5">
        <v>0</v>
      </c>
      <c r="E179" s="5">
        <v>0</v>
      </c>
      <c r="F179" s="6">
        <v>0</v>
      </c>
      <c r="G179" s="6">
        <v>0</v>
      </c>
      <c r="H179" s="5">
        <v>0</v>
      </c>
      <c r="I179" s="7">
        <v>0</v>
      </c>
      <c r="J179" s="7">
        <v>0</v>
      </c>
      <c r="K179" s="39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88"/>
      <c r="X179" s="88"/>
    </row>
    <row r="180" spans="1:24">
      <c r="A180" s="4">
        <v>47300</v>
      </c>
      <c r="B180" s="5">
        <v>0</v>
      </c>
      <c r="C180" s="5">
        <v>0</v>
      </c>
      <c r="D180" s="5">
        <v>0</v>
      </c>
      <c r="E180" s="5">
        <v>0</v>
      </c>
      <c r="F180" s="6">
        <v>0</v>
      </c>
      <c r="G180" s="6">
        <v>0</v>
      </c>
      <c r="H180" s="5">
        <v>0</v>
      </c>
      <c r="I180" s="7">
        <v>0</v>
      </c>
      <c r="J180" s="7">
        <v>0</v>
      </c>
      <c r="K180" s="39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88"/>
      <c r="X180" s="88"/>
    </row>
    <row r="181" spans="1:24">
      <c r="A181" s="4">
        <v>47331</v>
      </c>
      <c r="B181" s="5">
        <v>0</v>
      </c>
      <c r="C181" s="5">
        <v>0</v>
      </c>
      <c r="D181" s="5">
        <v>0</v>
      </c>
      <c r="E181" s="5">
        <v>0</v>
      </c>
      <c r="F181" s="6">
        <v>0</v>
      </c>
      <c r="G181" s="6">
        <v>0</v>
      </c>
      <c r="H181" s="5">
        <v>0</v>
      </c>
      <c r="I181" s="7">
        <v>0</v>
      </c>
      <c r="J181" s="7">
        <v>0</v>
      </c>
      <c r="K181" s="39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88"/>
      <c r="X181" s="88"/>
    </row>
    <row r="182" spans="1:24">
      <c r="A182" s="4">
        <v>47362</v>
      </c>
      <c r="B182" s="5">
        <v>0</v>
      </c>
      <c r="C182" s="5">
        <v>0</v>
      </c>
      <c r="D182" s="5">
        <v>0</v>
      </c>
      <c r="E182" s="5">
        <v>0</v>
      </c>
      <c r="F182" s="6">
        <v>0</v>
      </c>
      <c r="G182" s="6">
        <v>0</v>
      </c>
      <c r="H182" s="5">
        <v>0</v>
      </c>
      <c r="I182" s="7">
        <v>0</v>
      </c>
      <c r="J182" s="7">
        <v>0</v>
      </c>
      <c r="K182" s="39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88"/>
      <c r="X182" s="88"/>
    </row>
    <row r="183" spans="1:24">
      <c r="A183" s="4">
        <v>47392</v>
      </c>
      <c r="B183" s="5">
        <v>0</v>
      </c>
      <c r="C183" s="5">
        <v>0</v>
      </c>
      <c r="D183" s="5">
        <v>0</v>
      </c>
      <c r="E183" s="5">
        <v>0</v>
      </c>
      <c r="F183" s="6">
        <v>0</v>
      </c>
      <c r="G183" s="6">
        <v>0</v>
      </c>
      <c r="H183" s="5">
        <v>0</v>
      </c>
      <c r="I183" s="7">
        <v>0</v>
      </c>
      <c r="J183" s="7">
        <v>0</v>
      </c>
      <c r="K183" s="39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88"/>
      <c r="X183" s="88"/>
    </row>
    <row r="184" spans="1:24">
      <c r="A184" s="4">
        <v>47423</v>
      </c>
      <c r="B184" s="5">
        <v>0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  <c r="H184" s="5">
        <v>0</v>
      </c>
      <c r="I184" s="7">
        <v>0</v>
      </c>
      <c r="J184" s="7">
        <v>0</v>
      </c>
      <c r="K184" s="39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88"/>
      <c r="X184" s="88"/>
    </row>
    <row r="185" spans="1:24">
      <c r="A185" s="4">
        <v>47453</v>
      </c>
      <c r="B185" s="5">
        <v>0</v>
      </c>
      <c r="C185" s="5">
        <v>0</v>
      </c>
      <c r="D185" s="5">
        <v>0</v>
      </c>
      <c r="E185" s="5">
        <v>0</v>
      </c>
      <c r="F185" s="6">
        <v>0</v>
      </c>
      <c r="G185" s="6">
        <v>0</v>
      </c>
      <c r="H185" s="5">
        <v>0</v>
      </c>
      <c r="I185" s="7">
        <v>0</v>
      </c>
      <c r="J185" s="7">
        <v>0</v>
      </c>
      <c r="K185" s="39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88"/>
      <c r="X185" s="88"/>
    </row>
    <row r="186" spans="1:24">
      <c r="A186" s="4">
        <v>47484</v>
      </c>
      <c r="B186" s="5">
        <v>0</v>
      </c>
      <c r="C186" s="5">
        <v>0</v>
      </c>
      <c r="D186" s="5">
        <v>0</v>
      </c>
      <c r="E186" s="5">
        <v>0</v>
      </c>
      <c r="F186" s="6">
        <v>0</v>
      </c>
      <c r="G186" s="6">
        <v>0</v>
      </c>
      <c r="H186" s="5">
        <v>0</v>
      </c>
      <c r="I186" s="7">
        <v>0</v>
      </c>
      <c r="J186" s="7">
        <v>0</v>
      </c>
      <c r="K186" s="39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88"/>
      <c r="X186" s="88"/>
    </row>
    <row r="187" spans="1:24">
      <c r="A187" s="4">
        <v>47515</v>
      </c>
      <c r="B187" s="5">
        <v>0</v>
      </c>
      <c r="C187" s="5">
        <v>0</v>
      </c>
      <c r="D187" s="5">
        <v>0</v>
      </c>
      <c r="E187" s="5">
        <v>0</v>
      </c>
      <c r="F187" s="6">
        <v>0</v>
      </c>
      <c r="G187" s="6">
        <v>0</v>
      </c>
      <c r="H187" s="5">
        <v>0</v>
      </c>
      <c r="I187" s="7">
        <v>0</v>
      </c>
      <c r="J187" s="7">
        <v>0</v>
      </c>
      <c r="K187" s="39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88"/>
      <c r="X187" s="88"/>
    </row>
    <row r="188" spans="1:24">
      <c r="A188" s="4">
        <v>47543</v>
      </c>
      <c r="B188" s="5">
        <v>0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  <c r="H188" s="5">
        <v>0</v>
      </c>
      <c r="I188" s="7">
        <v>0</v>
      </c>
      <c r="J188" s="7">
        <v>0</v>
      </c>
      <c r="K188" s="39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88"/>
      <c r="X188" s="88"/>
    </row>
    <row r="189" spans="1:24">
      <c r="A189" s="4">
        <v>47574</v>
      </c>
      <c r="B189" s="5">
        <v>0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  <c r="H189" s="5">
        <v>0</v>
      </c>
      <c r="I189" s="7">
        <v>0</v>
      </c>
      <c r="J189" s="7">
        <v>0</v>
      </c>
      <c r="K189" s="39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88"/>
      <c r="X189" s="88"/>
    </row>
    <row r="190" spans="1:24">
      <c r="A190" s="4">
        <v>47604</v>
      </c>
      <c r="B190" s="5">
        <v>0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  <c r="H190" s="5">
        <v>0</v>
      </c>
      <c r="I190" s="7">
        <v>0</v>
      </c>
      <c r="J190" s="7">
        <v>0</v>
      </c>
      <c r="K190" s="39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88"/>
      <c r="X190" s="88"/>
    </row>
    <row r="191" spans="1:24">
      <c r="A191" s="4">
        <v>47635</v>
      </c>
      <c r="B191" s="5">
        <v>0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  <c r="H191" s="5">
        <v>0</v>
      </c>
      <c r="I191" s="7">
        <v>0</v>
      </c>
      <c r="J191" s="7">
        <v>0</v>
      </c>
      <c r="K191" s="39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88"/>
      <c r="X191" s="88"/>
    </row>
    <row r="192" spans="1:24">
      <c r="A192" s="4">
        <v>47665</v>
      </c>
      <c r="B192" s="5">
        <v>0</v>
      </c>
      <c r="C192" s="5">
        <v>0</v>
      </c>
      <c r="D192" s="5">
        <v>0</v>
      </c>
      <c r="E192" s="5">
        <v>0</v>
      </c>
      <c r="F192" s="6">
        <v>0</v>
      </c>
      <c r="G192" s="6">
        <v>0</v>
      </c>
      <c r="H192" s="5">
        <v>0</v>
      </c>
      <c r="I192" s="7">
        <v>0</v>
      </c>
      <c r="J192" s="7">
        <v>0</v>
      </c>
      <c r="K192" s="39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88"/>
      <c r="X192" s="88"/>
    </row>
    <row r="193" spans="1:24">
      <c r="A193" s="4">
        <v>47696</v>
      </c>
      <c r="B193" s="5">
        <v>0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  <c r="H193" s="5">
        <v>0</v>
      </c>
      <c r="I193" s="7">
        <v>0</v>
      </c>
      <c r="J193" s="7">
        <v>0</v>
      </c>
      <c r="K193" s="39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88"/>
      <c r="X193" s="88"/>
    </row>
    <row r="194" spans="1:24">
      <c r="A194" s="4">
        <v>47727</v>
      </c>
      <c r="B194" s="5">
        <v>0</v>
      </c>
      <c r="C194" s="5">
        <v>0</v>
      </c>
      <c r="D194" s="5">
        <v>0</v>
      </c>
      <c r="E194" s="5">
        <v>0</v>
      </c>
      <c r="F194" s="6">
        <v>0</v>
      </c>
      <c r="G194" s="6">
        <v>0</v>
      </c>
      <c r="H194" s="5">
        <v>0</v>
      </c>
      <c r="I194" s="7">
        <v>0</v>
      </c>
      <c r="J194" s="7">
        <v>0</v>
      </c>
      <c r="K194" s="39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88"/>
      <c r="X194" s="88"/>
    </row>
    <row r="195" spans="1:24">
      <c r="A195" s="4">
        <v>47757</v>
      </c>
      <c r="B195" s="5">
        <v>0</v>
      </c>
      <c r="C195" s="5">
        <v>0</v>
      </c>
      <c r="D195" s="5">
        <v>0</v>
      </c>
      <c r="E195" s="5">
        <v>0</v>
      </c>
      <c r="F195" s="6">
        <v>0</v>
      </c>
      <c r="G195" s="6">
        <v>0</v>
      </c>
      <c r="H195" s="5">
        <v>0</v>
      </c>
      <c r="I195" s="7">
        <v>0</v>
      </c>
      <c r="J195" s="7">
        <v>0</v>
      </c>
      <c r="K195" s="39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88"/>
      <c r="X195" s="88"/>
    </row>
    <row r="196" spans="1:24">
      <c r="A196" s="4">
        <v>47788</v>
      </c>
      <c r="B196" s="5">
        <v>0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  <c r="H196" s="5">
        <v>0</v>
      </c>
      <c r="I196" s="7">
        <v>0</v>
      </c>
      <c r="J196" s="7">
        <v>0</v>
      </c>
      <c r="K196" s="39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88"/>
      <c r="X196" s="88"/>
    </row>
    <row r="197" spans="1:24">
      <c r="A197" s="4">
        <v>47818</v>
      </c>
      <c r="B197" s="5">
        <v>0</v>
      </c>
      <c r="C197" s="5">
        <v>0</v>
      </c>
      <c r="D197" s="5">
        <v>0</v>
      </c>
      <c r="E197" s="5">
        <v>0</v>
      </c>
      <c r="F197" s="6">
        <v>0</v>
      </c>
      <c r="G197" s="6">
        <v>0</v>
      </c>
      <c r="H197" s="5">
        <v>0</v>
      </c>
      <c r="I197" s="7">
        <v>0</v>
      </c>
      <c r="J197" s="7">
        <v>0</v>
      </c>
      <c r="K197" s="39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88"/>
      <c r="X197" s="88"/>
    </row>
  </sheetData>
  <mergeCells count="2">
    <mergeCell ref="B3:H3"/>
    <mergeCell ref="I3:X3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V90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5.6640625" style="1" bestFit="1" customWidth="1"/>
    <col min="3" max="3" width="6.5546875" style="1" bestFit="1" customWidth="1"/>
    <col min="4" max="4" width="6.109375" style="1" bestFit="1" customWidth="1"/>
    <col min="5" max="5" width="6.5546875" style="1" bestFit="1" customWidth="1"/>
    <col min="6" max="6" width="8.6640625" style="1" bestFit="1" customWidth="1"/>
    <col min="7" max="7" width="5.6640625" style="1" bestFit="1" customWidth="1"/>
    <col min="8" max="8" width="6.33203125" style="1" bestFit="1" customWidth="1"/>
    <col min="9" max="9" width="8.44140625" style="1" bestFit="1" customWidth="1"/>
    <col min="10" max="11" width="6.33203125" style="1" bestFit="1" customWidth="1"/>
    <col min="12" max="12" width="8.44140625" style="1" bestFit="1" customWidth="1"/>
    <col min="13" max="13" width="5.6640625" style="1" bestFit="1" customWidth="1"/>
    <col min="14" max="14" width="7.109375" style="1" bestFit="1" customWidth="1"/>
    <col min="15" max="15" width="11.44140625" style="1" bestFit="1" customWidth="1"/>
    <col min="16" max="16" width="6.33203125" style="1" bestFit="1" customWidth="1"/>
    <col min="17" max="17" width="7.109375" style="1" bestFit="1" customWidth="1"/>
    <col min="18" max="18" width="9.33203125" style="1" bestFit="1" customWidth="1"/>
    <col min="19" max="19" width="6.33203125" style="1" bestFit="1" customWidth="1"/>
    <col min="20" max="20" width="12.6640625" style="1" bestFit="1" customWidth="1"/>
    <col min="21" max="21" width="10.33203125" style="1" bestFit="1" customWidth="1"/>
    <col min="22" max="22" width="8.88671875" style="1" bestFit="1" customWidth="1"/>
    <col min="23" max="16384" width="9.109375" style="1"/>
  </cols>
  <sheetData>
    <row r="1" spans="1:22" s="120" customFormat="1">
      <c r="A1" s="120" t="s">
        <v>68</v>
      </c>
    </row>
    <row r="2" spans="1:22" s="120" customFormat="1">
      <c r="A2" s="120" t="s">
        <v>59</v>
      </c>
    </row>
    <row r="3" spans="1:22" s="44" customFormat="1"/>
    <row r="5" spans="1:22">
      <c r="B5" s="17"/>
      <c r="C5" s="18"/>
      <c r="D5" s="19"/>
      <c r="E5" s="106" t="s">
        <v>0</v>
      </c>
      <c r="F5" s="106"/>
      <c r="G5" s="106"/>
      <c r="H5" s="106" t="s">
        <v>1</v>
      </c>
      <c r="I5" s="106"/>
      <c r="J5" s="106"/>
      <c r="K5" s="106" t="s">
        <v>40</v>
      </c>
      <c r="L5" s="106"/>
      <c r="M5" s="106"/>
      <c r="N5" s="106" t="s">
        <v>2</v>
      </c>
      <c r="O5" s="106"/>
      <c r="P5" s="106"/>
      <c r="Q5" s="106" t="s">
        <v>29</v>
      </c>
      <c r="R5" s="106"/>
      <c r="S5" s="106"/>
      <c r="T5" s="106" t="s">
        <v>39</v>
      </c>
      <c r="U5" s="106"/>
      <c r="V5" s="106"/>
    </row>
    <row r="6" spans="1:22">
      <c r="A6" s="20" t="s">
        <v>49</v>
      </c>
      <c r="B6" s="20" t="s">
        <v>20</v>
      </c>
      <c r="C6" s="12" t="s">
        <v>12</v>
      </c>
      <c r="D6" s="9" t="s">
        <v>26</v>
      </c>
      <c r="E6" s="11" t="s">
        <v>3</v>
      </c>
      <c r="F6" s="11" t="s">
        <v>27</v>
      </c>
      <c r="G6" s="11" t="s">
        <v>28</v>
      </c>
      <c r="H6" s="11" t="s">
        <v>3</v>
      </c>
      <c r="I6" s="11" t="s">
        <v>27</v>
      </c>
      <c r="J6" s="11" t="s">
        <v>28</v>
      </c>
      <c r="K6" s="11" t="s">
        <v>3</v>
      </c>
      <c r="L6" s="11" t="s">
        <v>27</v>
      </c>
      <c r="M6" s="11" t="s">
        <v>28</v>
      </c>
      <c r="N6" s="11" t="s">
        <v>3</v>
      </c>
      <c r="O6" s="11" t="s">
        <v>27</v>
      </c>
      <c r="P6" s="11" t="s">
        <v>28</v>
      </c>
      <c r="Q6" s="67" t="s">
        <v>3</v>
      </c>
      <c r="R6" s="67" t="s">
        <v>27</v>
      </c>
      <c r="S6" s="67" t="s">
        <v>28</v>
      </c>
      <c r="T6" s="68" t="s">
        <v>37</v>
      </c>
      <c r="U6" s="66" t="s">
        <v>38</v>
      </c>
      <c r="V6" s="66" t="s">
        <v>50</v>
      </c>
    </row>
    <row r="7" spans="1:22">
      <c r="A7" s="47">
        <v>8031</v>
      </c>
      <c r="B7" s="21">
        <v>10000</v>
      </c>
      <c r="C7" s="21">
        <v>260000</v>
      </c>
      <c r="D7" s="49">
        <v>41640</v>
      </c>
      <c r="E7" s="50">
        <v>239171</v>
      </c>
      <c r="F7" s="50">
        <v>28288413.270000007</v>
      </c>
      <c r="G7" s="53">
        <f>F7/E7</f>
        <v>118.27693687779876</v>
      </c>
      <c r="H7" s="51">
        <v>3210</v>
      </c>
      <c r="I7" s="54">
        <v>448552</v>
      </c>
      <c r="J7" s="52">
        <f t="shared" ref="J7:J11" si="0">IF(H7=0,0,I7/H7)</f>
        <v>139.73582554517134</v>
      </c>
      <c r="K7" s="54">
        <v>-314</v>
      </c>
      <c r="L7" s="54">
        <v>-37228.199999999997</v>
      </c>
      <c r="M7" s="53">
        <f t="shared" ref="M7:M47" si="1">IF(K7=0,0,L7/K7)</f>
        <v>118.56114649681528</v>
      </c>
      <c r="N7" s="51">
        <f t="shared" ref="N7:O54" si="2">+E7+H7-K7</f>
        <v>242695</v>
      </c>
      <c r="O7" s="51">
        <f t="shared" si="2"/>
        <v>28774193.470000006</v>
      </c>
      <c r="P7" s="52">
        <f t="shared" ref="P7:P54" si="3">IF(N7=0,0,O7/N7)</f>
        <v>118.56113010156784</v>
      </c>
      <c r="Q7" s="107"/>
      <c r="R7" s="107"/>
      <c r="S7" s="107"/>
      <c r="T7" s="107"/>
      <c r="U7" s="107"/>
      <c r="V7" s="107"/>
    </row>
    <row r="8" spans="1:22">
      <c r="A8" s="21">
        <v>8031</v>
      </c>
      <c r="B8" s="21">
        <v>10000</v>
      </c>
      <c r="C8" s="21">
        <v>260000</v>
      </c>
      <c r="D8" s="49">
        <v>41671</v>
      </c>
      <c r="E8" s="50">
        <f t="shared" ref="E8:G48" si="4">N7</f>
        <v>242695</v>
      </c>
      <c r="F8" s="50">
        <f t="shared" si="4"/>
        <v>28774193.470000006</v>
      </c>
      <c r="G8" s="53">
        <f t="shared" si="4"/>
        <v>118.56113010156784</v>
      </c>
      <c r="H8" s="51">
        <v>11919</v>
      </c>
      <c r="I8" s="54">
        <v>1671889.6</v>
      </c>
      <c r="J8" s="52">
        <f t="shared" si="0"/>
        <v>140.27096232905447</v>
      </c>
      <c r="K8" s="54">
        <v>2833</v>
      </c>
      <c r="L8" s="54">
        <v>338762.8</v>
      </c>
      <c r="M8" s="53">
        <f t="shared" si="1"/>
        <v>119.57740910695375</v>
      </c>
      <c r="N8" s="51">
        <f t="shared" si="2"/>
        <v>251781</v>
      </c>
      <c r="O8" s="51">
        <f t="shared" si="2"/>
        <v>30107320.270000007</v>
      </c>
      <c r="P8" s="52">
        <f t="shared" si="3"/>
        <v>119.57741159976331</v>
      </c>
      <c r="Q8" s="107"/>
      <c r="R8" s="107"/>
      <c r="S8" s="107"/>
      <c r="T8" s="107"/>
      <c r="U8" s="107"/>
      <c r="V8" s="107"/>
    </row>
    <row r="9" spans="1:22">
      <c r="A9" s="21">
        <v>8031</v>
      </c>
      <c r="B9" s="21">
        <v>10000</v>
      </c>
      <c r="C9" s="21">
        <v>260000</v>
      </c>
      <c r="D9" s="49">
        <v>41699</v>
      </c>
      <c r="E9" s="50">
        <f t="shared" si="4"/>
        <v>251781</v>
      </c>
      <c r="F9" s="50">
        <f t="shared" si="4"/>
        <v>30107320.270000007</v>
      </c>
      <c r="G9" s="53">
        <f t="shared" si="4"/>
        <v>119.57741159976331</v>
      </c>
      <c r="H9" s="51">
        <v>0</v>
      </c>
      <c r="I9" s="54">
        <v>4340.3999999999996</v>
      </c>
      <c r="J9" s="52">
        <f t="shared" si="0"/>
        <v>0</v>
      </c>
      <c r="K9" s="54">
        <v>162</v>
      </c>
      <c r="L9" s="54">
        <v>19374.330000000002</v>
      </c>
      <c r="M9" s="53">
        <f t="shared" si="1"/>
        <v>119.59462962962964</v>
      </c>
      <c r="N9" s="51">
        <f t="shared" si="2"/>
        <v>251619</v>
      </c>
      <c r="O9" s="51">
        <f t="shared" si="2"/>
        <v>30092286.340000007</v>
      </c>
      <c r="P9" s="52">
        <f t="shared" si="3"/>
        <v>119.59465040398383</v>
      </c>
      <c r="Q9" s="107"/>
      <c r="R9" s="107"/>
      <c r="S9" s="107"/>
      <c r="T9" s="107"/>
      <c r="U9" s="107"/>
      <c r="V9" s="107"/>
    </row>
    <row r="10" spans="1:22">
      <c r="A10" s="21">
        <v>8031</v>
      </c>
      <c r="B10" s="21">
        <v>10000</v>
      </c>
      <c r="C10" s="21">
        <v>260000</v>
      </c>
      <c r="D10" s="49">
        <v>41730</v>
      </c>
      <c r="E10" s="50">
        <f t="shared" si="4"/>
        <v>251619</v>
      </c>
      <c r="F10" s="50">
        <f t="shared" si="4"/>
        <v>30092286.340000007</v>
      </c>
      <c r="G10" s="53">
        <f t="shared" si="4"/>
        <v>119.59465040398383</v>
      </c>
      <c r="H10" s="51">
        <v>0</v>
      </c>
      <c r="I10" s="54">
        <v>4340.3999999999996</v>
      </c>
      <c r="J10" s="52">
        <f t="shared" si="0"/>
        <v>0</v>
      </c>
      <c r="K10" s="54">
        <v>1154</v>
      </c>
      <c r="L10" s="54">
        <v>138032.13</v>
      </c>
      <c r="M10" s="53">
        <f t="shared" si="1"/>
        <v>119.61189774696707</v>
      </c>
      <c r="N10" s="51">
        <f t="shared" si="2"/>
        <v>250465</v>
      </c>
      <c r="O10" s="51">
        <f t="shared" si="2"/>
        <v>29958594.610000007</v>
      </c>
      <c r="P10" s="52">
        <f t="shared" si="3"/>
        <v>119.61190030543193</v>
      </c>
      <c r="Q10" s="107"/>
      <c r="R10" s="107"/>
      <c r="S10" s="107"/>
      <c r="T10" s="107"/>
      <c r="U10" s="107"/>
      <c r="V10" s="107"/>
    </row>
    <row r="11" spans="1:22">
      <c r="A11" s="21">
        <v>8031</v>
      </c>
      <c r="B11" s="21">
        <v>10000</v>
      </c>
      <c r="C11" s="21">
        <v>260000</v>
      </c>
      <c r="D11" s="49">
        <v>41760</v>
      </c>
      <c r="E11" s="50">
        <f t="shared" si="4"/>
        <v>250465</v>
      </c>
      <c r="F11" s="50">
        <f t="shared" si="4"/>
        <v>29958594.610000007</v>
      </c>
      <c r="G11" s="53">
        <f t="shared" si="4"/>
        <v>119.61190030543193</v>
      </c>
      <c r="H11" s="51">
        <v>0</v>
      </c>
      <c r="I11" s="54">
        <v>0</v>
      </c>
      <c r="J11" s="52">
        <f t="shared" si="0"/>
        <v>0</v>
      </c>
      <c r="K11" s="54">
        <v>393</v>
      </c>
      <c r="L11" s="54">
        <v>47007.47</v>
      </c>
      <c r="M11" s="53">
        <f t="shared" si="1"/>
        <v>119.61188295165395</v>
      </c>
      <c r="N11" s="51">
        <f t="shared" si="2"/>
        <v>250072</v>
      </c>
      <c r="O11" s="51">
        <f t="shared" si="2"/>
        <v>29911587.140000008</v>
      </c>
      <c r="P11" s="52">
        <f t="shared" si="3"/>
        <v>119.61190033270421</v>
      </c>
      <c r="Q11" s="107"/>
      <c r="R11" s="107"/>
      <c r="S11" s="107"/>
      <c r="T11" s="107"/>
      <c r="U11" s="107"/>
      <c r="V11" s="107"/>
    </row>
    <row r="12" spans="1:22">
      <c r="A12" s="21">
        <v>8031</v>
      </c>
      <c r="B12" s="21">
        <v>10000</v>
      </c>
      <c r="C12" s="21">
        <v>260000</v>
      </c>
      <c r="D12" s="49">
        <v>41791</v>
      </c>
      <c r="E12" s="50">
        <f t="shared" si="4"/>
        <v>250072</v>
      </c>
      <c r="F12" s="50">
        <f t="shared" si="4"/>
        <v>29911587.140000008</v>
      </c>
      <c r="G12" s="53">
        <f t="shared" si="4"/>
        <v>119.61190033270421</v>
      </c>
      <c r="H12" s="51">
        <v>0</v>
      </c>
      <c r="I12" s="54">
        <v>0</v>
      </c>
      <c r="J12" s="52">
        <f t="shared" ref="J12" si="5">IF(H12=0,0,I12/H12)</f>
        <v>0</v>
      </c>
      <c r="K12" s="54">
        <v>11129</v>
      </c>
      <c r="L12" s="54">
        <f t="shared" ref="L12" si="6">IF(E12+I12&gt;0,((F12+I12)/(E12+H12)*K12),0)</f>
        <v>1331160.8388026652</v>
      </c>
      <c r="M12" s="53">
        <f t="shared" si="1"/>
        <v>119.61190033270422</v>
      </c>
      <c r="N12" s="51">
        <f t="shared" si="2"/>
        <v>238943</v>
      </c>
      <c r="O12" s="51">
        <f t="shared" si="2"/>
        <v>28580426.301197343</v>
      </c>
      <c r="P12" s="52">
        <f t="shared" si="3"/>
        <v>119.61190033270421</v>
      </c>
      <c r="Q12" s="107"/>
      <c r="R12" s="107"/>
      <c r="S12" s="107"/>
      <c r="T12" s="107"/>
      <c r="U12" s="107"/>
      <c r="V12" s="107"/>
    </row>
    <row r="13" spans="1:22">
      <c r="A13" s="21">
        <v>8031</v>
      </c>
      <c r="B13" s="21">
        <v>10000</v>
      </c>
      <c r="C13" s="21">
        <v>260000</v>
      </c>
      <c r="D13" s="49">
        <v>41821</v>
      </c>
      <c r="E13" s="50">
        <f t="shared" si="4"/>
        <v>238943</v>
      </c>
      <c r="F13" s="50">
        <f t="shared" si="4"/>
        <v>28580426.301197343</v>
      </c>
      <c r="G13" s="53">
        <f t="shared" si="4"/>
        <v>119.61190033270421</v>
      </c>
      <c r="H13" s="51">
        <v>0</v>
      </c>
      <c r="I13" s="54">
        <v>0</v>
      </c>
      <c r="J13" s="52">
        <f t="shared" ref="J13:J15" si="7">IF(H13=0,0,I13/H13)</f>
        <v>0</v>
      </c>
      <c r="K13" s="54">
        <v>2321</v>
      </c>
      <c r="L13" s="54">
        <v>277619.21999999997</v>
      </c>
      <c r="M13" s="53">
        <f t="shared" si="1"/>
        <v>119.61190004308486</v>
      </c>
      <c r="N13" s="51">
        <f t="shared" si="2"/>
        <v>236622</v>
      </c>
      <c r="O13" s="51">
        <f t="shared" si="2"/>
        <v>28302807.081197344</v>
      </c>
      <c r="P13" s="52">
        <f t="shared" si="3"/>
        <v>119.61190033554506</v>
      </c>
      <c r="Q13" s="107"/>
      <c r="R13" s="107"/>
      <c r="S13" s="107"/>
      <c r="T13" s="107"/>
      <c r="U13" s="107"/>
      <c r="V13" s="107"/>
    </row>
    <row r="14" spans="1:22">
      <c r="A14" s="21">
        <v>8031</v>
      </c>
      <c r="B14" s="21">
        <v>10000</v>
      </c>
      <c r="C14" s="21">
        <v>260000</v>
      </c>
      <c r="D14" s="49">
        <v>41852</v>
      </c>
      <c r="E14" s="50">
        <f t="shared" si="4"/>
        <v>236622</v>
      </c>
      <c r="F14" s="50">
        <f t="shared" si="4"/>
        <v>28302807.081197344</v>
      </c>
      <c r="G14" s="53">
        <f t="shared" si="4"/>
        <v>119.61190033554506</v>
      </c>
      <c r="H14" s="51">
        <v>6868</v>
      </c>
      <c r="I14" s="54">
        <v>883832.04</v>
      </c>
      <c r="J14" s="52">
        <f t="shared" si="7"/>
        <v>128.68841584158417</v>
      </c>
      <c r="K14" s="54">
        <v>205</v>
      </c>
      <c r="L14" s="54">
        <v>24572.93</v>
      </c>
      <c r="M14" s="53">
        <f t="shared" si="1"/>
        <v>119.86795121951219</v>
      </c>
      <c r="N14" s="51">
        <f t="shared" si="2"/>
        <v>243285</v>
      </c>
      <c r="O14" s="51">
        <f t="shared" si="2"/>
        <v>29162066.191197343</v>
      </c>
      <c r="P14" s="52">
        <f t="shared" si="3"/>
        <v>119.86791701583469</v>
      </c>
      <c r="Q14" s="107"/>
      <c r="R14" s="107"/>
      <c r="S14" s="107"/>
      <c r="T14" s="107"/>
      <c r="U14" s="107"/>
      <c r="V14" s="107"/>
    </row>
    <row r="15" spans="1:22">
      <c r="A15" s="21">
        <v>8031</v>
      </c>
      <c r="B15" s="21">
        <v>10000</v>
      </c>
      <c r="C15" s="21">
        <v>260000</v>
      </c>
      <c r="D15" s="49">
        <v>41883</v>
      </c>
      <c r="E15" s="50">
        <f t="shared" si="4"/>
        <v>243285</v>
      </c>
      <c r="F15" s="50">
        <f t="shared" si="4"/>
        <v>29162066.191197343</v>
      </c>
      <c r="G15" s="53">
        <f t="shared" si="4"/>
        <v>119.86791701583469</v>
      </c>
      <c r="H15" s="51">
        <v>10010</v>
      </c>
      <c r="I15" s="54">
        <v>1278425.3700000001</v>
      </c>
      <c r="J15" s="52">
        <f t="shared" si="7"/>
        <v>127.71482217782219</v>
      </c>
      <c r="K15" s="54">
        <v>791</v>
      </c>
      <c r="L15" s="54">
        <v>95060.81</v>
      </c>
      <c r="M15" s="53">
        <f t="shared" si="1"/>
        <v>120.17801517067004</v>
      </c>
      <c r="N15" s="51">
        <f t="shared" si="2"/>
        <v>252504</v>
      </c>
      <c r="O15" s="51">
        <f t="shared" si="2"/>
        <v>30345430.751197346</v>
      </c>
      <c r="P15" s="52">
        <f t="shared" si="3"/>
        <v>120.17801995690107</v>
      </c>
      <c r="Q15" s="107"/>
      <c r="R15" s="107"/>
      <c r="S15" s="107"/>
      <c r="T15" s="107"/>
      <c r="U15" s="107"/>
      <c r="V15" s="107"/>
    </row>
    <row r="16" spans="1:22">
      <c r="A16" s="21">
        <v>8031</v>
      </c>
      <c r="B16" s="21">
        <v>10000</v>
      </c>
      <c r="C16" s="21">
        <v>260000</v>
      </c>
      <c r="D16" s="49">
        <v>41913</v>
      </c>
      <c r="E16" s="50">
        <f t="shared" si="4"/>
        <v>252504</v>
      </c>
      <c r="F16" s="50">
        <f t="shared" si="4"/>
        <v>30345430.751197346</v>
      </c>
      <c r="G16" s="53">
        <f t="shared" si="4"/>
        <v>120.17801995690107</v>
      </c>
      <c r="H16" s="51">
        <v>0</v>
      </c>
      <c r="I16" s="54">
        <v>5479.6</v>
      </c>
      <c r="J16" s="52">
        <f t="shared" ref="J16:J17" si="8">IF(H16=0,0,I16/H16)</f>
        <v>0</v>
      </c>
      <c r="K16" s="54">
        <v>2075</v>
      </c>
      <c r="L16" s="54">
        <f t="shared" ref="L16:L79" si="9">IF(E16+H16&gt;0,((F16+I16)/(E16+H16)*K16),0)</f>
        <v>249414.42107346613</v>
      </c>
      <c r="M16" s="53">
        <f t="shared" si="1"/>
        <v>120.19972099926079</v>
      </c>
      <c r="N16" s="51">
        <f t="shared" si="2"/>
        <v>250429</v>
      </c>
      <c r="O16" s="51">
        <f t="shared" si="2"/>
        <v>30101495.930123881</v>
      </c>
      <c r="P16" s="52">
        <f t="shared" si="3"/>
        <v>120.19972099926079</v>
      </c>
      <c r="Q16" s="107"/>
      <c r="R16" s="107"/>
      <c r="S16" s="107"/>
      <c r="T16" s="107"/>
      <c r="U16" s="107"/>
      <c r="V16" s="107"/>
    </row>
    <row r="17" spans="1:22">
      <c r="A17" s="21">
        <v>8031</v>
      </c>
      <c r="B17" s="21">
        <v>10000</v>
      </c>
      <c r="C17" s="21">
        <v>260000</v>
      </c>
      <c r="D17" s="49">
        <v>41944</v>
      </c>
      <c r="E17" s="50">
        <f t="shared" si="4"/>
        <v>250429</v>
      </c>
      <c r="F17" s="50">
        <f t="shared" si="4"/>
        <v>30101495.930123881</v>
      </c>
      <c r="G17" s="53">
        <f t="shared" si="4"/>
        <v>120.19972099926079</v>
      </c>
      <c r="H17" s="51">
        <v>0</v>
      </c>
      <c r="I17" s="54">
        <v>4340.3999999999996</v>
      </c>
      <c r="J17" s="52">
        <f t="shared" si="8"/>
        <v>0</v>
      </c>
      <c r="K17" s="54">
        <v>338</v>
      </c>
      <c r="L17" s="54">
        <v>40633.370000000003</v>
      </c>
      <c r="M17" s="53">
        <f t="shared" si="1"/>
        <v>120.21707100591716</v>
      </c>
      <c r="N17" s="51">
        <f t="shared" si="2"/>
        <v>250091</v>
      </c>
      <c r="O17" s="51">
        <f t="shared" si="2"/>
        <v>30065202.960123878</v>
      </c>
      <c r="P17" s="52">
        <f t="shared" si="3"/>
        <v>120.2170528332642</v>
      </c>
      <c r="Q17" s="107"/>
      <c r="R17" s="107"/>
      <c r="S17" s="107"/>
      <c r="T17" s="107"/>
      <c r="U17" s="107"/>
      <c r="V17" s="107"/>
    </row>
    <row r="18" spans="1:22">
      <c r="A18" s="21">
        <v>8031</v>
      </c>
      <c r="B18" s="21">
        <v>10000</v>
      </c>
      <c r="C18" s="21">
        <v>260000</v>
      </c>
      <c r="D18" s="49">
        <v>41974</v>
      </c>
      <c r="E18" s="50">
        <f t="shared" si="4"/>
        <v>250091</v>
      </c>
      <c r="F18" s="50">
        <f t="shared" si="4"/>
        <v>30065202.960123878</v>
      </c>
      <c r="G18" s="53">
        <f t="shared" si="4"/>
        <v>120.2170528332642</v>
      </c>
      <c r="H18" s="51">
        <v>0</v>
      </c>
      <c r="I18" s="54">
        <v>0</v>
      </c>
      <c r="J18" s="52">
        <f t="shared" ref="J18:J30" si="10">IF(H18=0,0,I18/H18)</f>
        <v>0</v>
      </c>
      <c r="K18" s="54">
        <v>227</v>
      </c>
      <c r="L18" s="54">
        <v>27289.279999999999</v>
      </c>
      <c r="M18" s="53">
        <f t="shared" si="1"/>
        <v>120.21709251101321</v>
      </c>
      <c r="N18" s="51">
        <f t="shared" si="2"/>
        <v>249864</v>
      </c>
      <c r="O18" s="51">
        <f t="shared" si="2"/>
        <v>30037913.680123877</v>
      </c>
      <c r="P18" s="52">
        <f t="shared" si="3"/>
        <v>120.21705279721719</v>
      </c>
      <c r="Q18" s="107"/>
      <c r="R18" s="107"/>
      <c r="S18" s="107"/>
      <c r="T18" s="107"/>
      <c r="U18" s="107"/>
      <c r="V18" s="107"/>
    </row>
    <row r="19" spans="1:22">
      <c r="A19" s="21">
        <v>8031</v>
      </c>
      <c r="B19" s="21">
        <v>10000</v>
      </c>
      <c r="C19" s="21">
        <v>260000</v>
      </c>
      <c r="D19" s="49">
        <v>42005</v>
      </c>
      <c r="E19" s="50">
        <f t="shared" si="4"/>
        <v>249864</v>
      </c>
      <c r="F19" s="50">
        <f t="shared" si="4"/>
        <v>30037913.680123877</v>
      </c>
      <c r="G19" s="53">
        <f t="shared" si="4"/>
        <v>120.21705279721719</v>
      </c>
      <c r="H19" s="51">
        <v>0</v>
      </c>
      <c r="I19" s="54">
        <v>0</v>
      </c>
      <c r="J19" s="52">
        <f t="shared" si="10"/>
        <v>0</v>
      </c>
      <c r="K19" s="54">
        <v>184</v>
      </c>
      <c r="L19" s="54">
        <v>22119.94</v>
      </c>
      <c r="M19" s="53">
        <f t="shared" si="1"/>
        <v>120.21706521739129</v>
      </c>
      <c r="N19" s="51">
        <f t="shared" si="2"/>
        <v>249680</v>
      </c>
      <c r="O19" s="51">
        <f t="shared" si="2"/>
        <v>30015793.740123875</v>
      </c>
      <c r="P19" s="52">
        <f t="shared" si="3"/>
        <v>120.21705278806422</v>
      </c>
      <c r="Q19" s="54">
        <f t="shared" ref="Q19:R30" si="11">AVERAGE(N7:N19)</f>
        <v>247542.30769230769</v>
      </c>
      <c r="R19" s="54">
        <f>AVERAGE(O7:O19)</f>
        <v>29650393.728098843</v>
      </c>
      <c r="S19" s="56">
        <f t="shared" ref="S19:S30" si="12">IF(Q19=0,0,R19/Q19)</f>
        <v>119.77909555951119</v>
      </c>
      <c r="T19" s="54">
        <f t="shared" ref="T19:T30" si="13">N19+A19</f>
        <v>257711</v>
      </c>
      <c r="U19" s="58">
        <v>8000</v>
      </c>
      <c r="V19" s="75">
        <f t="shared" ref="V19:V30" si="14">(T19-U19)/1972</f>
        <v>126.62829614604462</v>
      </c>
    </row>
    <row r="20" spans="1:22">
      <c r="A20" s="21">
        <v>8031</v>
      </c>
      <c r="B20" s="21">
        <v>10000</v>
      </c>
      <c r="C20" s="21">
        <v>260000</v>
      </c>
      <c r="D20" s="49">
        <v>42036</v>
      </c>
      <c r="E20" s="50">
        <f t="shared" si="4"/>
        <v>249680</v>
      </c>
      <c r="F20" s="50">
        <f t="shared" si="4"/>
        <v>30015793.740123875</v>
      </c>
      <c r="G20" s="53">
        <f t="shared" si="4"/>
        <v>120.21705278806422</v>
      </c>
      <c r="H20" s="51">
        <v>0</v>
      </c>
      <c r="I20" s="54">
        <v>0</v>
      </c>
      <c r="J20" s="52">
        <f t="shared" si="10"/>
        <v>0</v>
      </c>
      <c r="K20" s="54">
        <v>140</v>
      </c>
      <c r="L20" s="54">
        <v>16830.39</v>
      </c>
      <c r="M20" s="53">
        <f t="shared" si="1"/>
        <v>120.21707142857143</v>
      </c>
      <c r="N20" s="51">
        <f t="shared" si="2"/>
        <v>249540</v>
      </c>
      <c r="O20" s="51">
        <f t="shared" si="2"/>
        <v>29998963.350123875</v>
      </c>
      <c r="P20" s="52">
        <f t="shared" si="3"/>
        <v>120.2170527776063</v>
      </c>
      <c r="Q20" s="54">
        <f t="shared" si="11"/>
        <v>248068.84615384616</v>
      </c>
      <c r="R20" s="54">
        <f t="shared" si="11"/>
        <v>29744606.795800678</v>
      </c>
      <c r="S20" s="56">
        <f t="shared" si="12"/>
        <v>119.90464444436449</v>
      </c>
      <c r="T20" s="54">
        <f t="shared" si="13"/>
        <v>257571</v>
      </c>
      <c r="U20" s="58">
        <v>8000</v>
      </c>
      <c r="V20" s="75">
        <f t="shared" si="14"/>
        <v>126.55730223123732</v>
      </c>
    </row>
    <row r="21" spans="1:22">
      <c r="A21" s="21">
        <v>8031</v>
      </c>
      <c r="B21" s="21">
        <v>10000</v>
      </c>
      <c r="C21" s="21">
        <v>260000</v>
      </c>
      <c r="D21" s="49">
        <v>42064</v>
      </c>
      <c r="E21" s="50">
        <f t="shared" si="4"/>
        <v>249540</v>
      </c>
      <c r="F21" s="50">
        <f t="shared" si="4"/>
        <v>29998963.350123875</v>
      </c>
      <c r="G21" s="53">
        <f t="shared" si="4"/>
        <v>120.2170527776063</v>
      </c>
      <c r="H21" s="51">
        <v>0</v>
      </c>
      <c r="I21" s="54">
        <v>0</v>
      </c>
      <c r="J21" s="52">
        <f t="shared" si="10"/>
        <v>0</v>
      </c>
      <c r="K21" s="54">
        <v>3450</v>
      </c>
      <c r="L21" s="54">
        <v>414748.84</v>
      </c>
      <c r="M21" s="53">
        <f t="shared" si="1"/>
        <v>120.21705507246378</v>
      </c>
      <c r="N21" s="51">
        <f t="shared" si="2"/>
        <v>246090</v>
      </c>
      <c r="O21" s="51">
        <f t="shared" si="2"/>
        <v>29584214.510123875</v>
      </c>
      <c r="P21" s="52">
        <f t="shared" si="3"/>
        <v>120.21705274543409</v>
      </c>
      <c r="Q21" s="54">
        <f t="shared" si="11"/>
        <v>247631.07692307694</v>
      </c>
      <c r="R21" s="54">
        <f t="shared" si="11"/>
        <v>29704367.89119482</v>
      </c>
      <c r="S21" s="56">
        <f t="shared" si="12"/>
        <v>119.95411989595335</v>
      </c>
      <c r="T21" s="54">
        <f t="shared" si="13"/>
        <v>254121</v>
      </c>
      <c r="U21" s="58">
        <v>8000</v>
      </c>
      <c r="V21" s="75">
        <f t="shared" si="14"/>
        <v>124.8078093306288</v>
      </c>
    </row>
    <row r="22" spans="1:22">
      <c r="A22" s="21">
        <v>8031</v>
      </c>
      <c r="B22" s="21">
        <v>10000</v>
      </c>
      <c r="C22" s="21">
        <v>260000</v>
      </c>
      <c r="D22" s="49">
        <v>42095</v>
      </c>
      <c r="E22" s="50">
        <f t="shared" si="4"/>
        <v>246090</v>
      </c>
      <c r="F22" s="50">
        <f t="shared" si="4"/>
        <v>29584214.510123875</v>
      </c>
      <c r="G22" s="53">
        <f t="shared" si="4"/>
        <v>120.21705274543409</v>
      </c>
      <c r="H22" s="51">
        <v>0</v>
      </c>
      <c r="I22" s="54">
        <v>0</v>
      </c>
      <c r="J22" s="52">
        <f t="shared" si="10"/>
        <v>0</v>
      </c>
      <c r="K22" s="54">
        <v>3103</v>
      </c>
      <c r="L22" s="54">
        <v>373033.52</v>
      </c>
      <c r="M22" s="53">
        <f t="shared" si="1"/>
        <v>120.2170544634225</v>
      </c>
      <c r="N22" s="51">
        <f t="shared" si="2"/>
        <v>242987</v>
      </c>
      <c r="O22" s="51">
        <f t="shared" si="2"/>
        <v>29211180.990123875</v>
      </c>
      <c r="P22" s="52">
        <f t="shared" si="3"/>
        <v>120.21705272349499</v>
      </c>
      <c r="Q22" s="54">
        <f t="shared" si="11"/>
        <v>246967.07692307694</v>
      </c>
      <c r="R22" s="54">
        <f t="shared" si="11"/>
        <v>29636590.556588963</v>
      </c>
      <c r="S22" s="56">
        <f t="shared" si="12"/>
        <v>120.00219189467063</v>
      </c>
      <c r="T22" s="54">
        <f t="shared" si="13"/>
        <v>251018</v>
      </c>
      <c r="U22" s="58">
        <v>8000</v>
      </c>
      <c r="V22" s="75">
        <f t="shared" si="14"/>
        <v>123.2342799188641</v>
      </c>
    </row>
    <row r="23" spans="1:22">
      <c r="A23" s="21">
        <v>8031</v>
      </c>
      <c r="B23" s="21">
        <v>10000</v>
      </c>
      <c r="C23" s="21">
        <v>260000</v>
      </c>
      <c r="D23" s="49">
        <v>42125</v>
      </c>
      <c r="E23" s="50">
        <f t="shared" si="4"/>
        <v>242987</v>
      </c>
      <c r="F23" s="50">
        <f t="shared" si="4"/>
        <v>29211180.990123875</v>
      </c>
      <c r="G23" s="53">
        <f t="shared" si="4"/>
        <v>120.21705272349499</v>
      </c>
      <c r="H23" s="51">
        <v>0</v>
      </c>
      <c r="I23" s="54">
        <v>0</v>
      </c>
      <c r="J23" s="52">
        <f t="shared" si="10"/>
        <v>0</v>
      </c>
      <c r="K23" s="54">
        <v>530</v>
      </c>
      <c r="L23" s="54">
        <v>63715.03</v>
      </c>
      <c r="M23" s="53">
        <f t="shared" si="1"/>
        <v>120.21703773584906</v>
      </c>
      <c r="N23" s="51">
        <f t="shared" si="2"/>
        <v>242457</v>
      </c>
      <c r="O23" s="51">
        <f t="shared" si="2"/>
        <v>29147465.960123874</v>
      </c>
      <c r="P23" s="52">
        <f t="shared" si="3"/>
        <v>120.21705275625729</v>
      </c>
      <c r="Q23" s="54">
        <f t="shared" si="11"/>
        <v>246351.07692307694</v>
      </c>
      <c r="R23" s="54">
        <f t="shared" si="11"/>
        <v>29574196.045060024</v>
      </c>
      <c r="S23" s="56">
        <f t="shared" si="12"/>
        <v>120.04898218607974</v>
      </c>
      <c r="T23" s="54">
        <f t="shared" si="13"/>
        <v>250488</v>
      </c>
      <c r="U23" s="58">
        <v>8000</v>
      </c>
      <c r="V23" s="75">
        <f t="shared" si="14"/>
        <v>122.96551724137932</v>
      </c>
    </row>
    <row r="24" spans="1:22">
      <c r="A24" s="21">
        <v>8031</v>
      </c>
      <c r="B24" s="21">
        <v>10000</v>
      </c>
      <c r="C24" s="21">
        <v>260000</v>
      </c>
      <c r="D24" s="49">
        <v>42156</v>
      </c>
      <c r="E24" s="50">
        <f t="shared" si="4"/>
        <v>242457</v>
      </c>
      <c r="F24" s="50">
        <f t="shared" si="4"/>
        <v>29147465.960123874</v>
      </c>
      <c r="G24" s="53">
        <f t="shared" si="4"/>
        <v>120.21705275625729</v>
      </c>
      <c r="H24" s="51">
        <v>0</v>
      </c>
      <c r="I24" s="54">
        <v>0</v>
      </c>
      <c r="J24" s="52">
        <f t="shared" si="10"/>
        <v>0</v>
      </c>
      <c r="K24" s="54">
        <v>5876</v>
      </c>
      <c r="L24" s="54">
        <v>706395.4</v>
      </c>
      <c r="M24" s="53">
        <f t="shared" si="1"/>
        <v>120.21705241660995</v>
      </c>
      <c r="N24" s="51">
        <f t="shared" si="2"/>
        <v>236581</v>
      </c>
      <c r="O24" s="51">
        <f t="shared" si="2"/>
        <v>28441070.560123876</v>
      </c>
      <c r="P24" s="52">
        <f t="shared" si="3"/>
        <v>120.21705276469318</v>
      </c>
      <c r="Q24" s="54">
        <f t="shared" si="11"/>
        <v>245313.30769230769</v>
      </c>
      <c r="R24" s="54">
        <f t="shared" si="11"/>
        <v>29461079.385069557</v>
      </c>
      <c r="S24" s="56">
        <f t="shared" si="12"/>
        <v>120.09572437065701</v>
      </c>
      <c r="T24" s="54">
        <f t="shared" si="13"/>
        <v>244612</v>
      </c>
      <c r="U24" s="58">
        <v>18000</v>
      </c>
      <c r="V24" s="75">
        <f t="shared" si="14"/>
        <v>114.91480730223124</v>
      </c>
    </row>
    <row r="25" spans="1:22">
      <c r="A25" s="21">
        <v>8031</v>
      </c>
      <c r="B25" s="21">
        <v>10000</v>
      </c>
      <c r="C25" s="21">
        <v>260000</v>
      </c>
      <c r="D25" s="49">
        <v>42186</v>
      </c>
      <c r="E25" s="50">
        <f t="shared" si="4"/>
        <v>236581</v>
      </c>
      <c r="F25" s="50">
        <f t="shared" si="4"/>
        <v>28441070.560123876</v>
      </c>
      <c r="G25" s="53">
        <f t="shared" si="4"/>
        <v>120.21705276469318</v>
      </c>
      <c r="H25" s="51">
        <v>0</v>
      </c>
      <c r="I25" s="54">
        <v>0</v>
      </c>
      <c r="J25" s="52">
        <f t="shared" si="10"/>
        <v>0</v>
      </c>
      <c r="K25" s="54">
        <v>5979</v>
      </c>
      <c r="L25" s="54">
        <v>718777.75</v>
      </c>
      <c r="M25" s="53">
        <f t="shared" si="1"/>
        <v>120.21705134637899</v>
      </c>
      <c r="N25" s="51">
        <f t="shared" si="2"/>
        <v>230602</v>
      </c>
      <c r="O25" s="51">
        <f t="shared" si="2"/>
        <v>27722292.810123876</v>
      </c>
      <c r="P25" s="52">
        <f t="shared" si="3"/>
        <v>120.21705280146692</v>
      </c>
      <c r="Q25" s="54">
        <f t="shared" si="11"/>
        <v>244671.69230769231</v>
      </c>
      <c r="R25" s="54">
        <f t="shared" si="11"/>
        <v>29395069.116525445</v>
      </c>
      <c r="S25" s="56">
        <f t="shared" si="12"/>
        <v>120.14086647816627</v>
      </c>
      <c r="T25" s="54">
        <f t="shared" si="13"/>
        <v>238633</v>
      </c>
      <c r="U25" s="58">
        <v>18000</v>
      </c>
      <c r="V25" s="75">
        <f t="shared" si="14"/>
        <v>111.88286004056795</v>
      </c>
    </row>
    <row r="26" spans="1:22">
      <c r="A26" s="21">
        <v>8031</v>
      </c>
      <c r="B26" s="21">
        <v>10000</v>
      </c>
      <c r="C26" s="21">
        <v>260000</v>
      </c>
      <c r="D26" s="49">
        <v>42217</v>
      </c>
      <c r="E26" s="50">
        <f t="shared" si="4"/>
        <v>230602</v>
      </c>
      <c r="F26" s="50">
        <f t="shared" si="4"/>
        <v>27722292.810123876</v>
      </c>
      <c r="G26" s="53">
        <f t="shared" si="4"/>
        <v>120.21705280146692</v>
      </c>
      <c r="H26" s="51">
        <v>0</v>
      </c>
      <c r="I26" s="54">
        <v>0</v>
      </c>
      <c r="J26" s="52">
        <f t="shared" si="10"/>
        <v>0</v>
      </c>
      <c r="K26" s="54">
        <v>665</v>
      </c>
      <c r="L26" s="54">
        <v>79944.34</v>
      </c>
      <c r="M26" s="53">
        <f t="shared" si="1"/>
        <v>120.21705263157894</v>
      </c>
      <c r="N26" s="51">
        <f t="shared" si="2"/>
        <v>229937</v>
      </c>
      <c r="O26" s="51">
        <f t="shared" si="2"/>
        <v>27642348.470123876</v>
      </c>
      <c r="P26" s="52">
        <f t="shared" si="3"/>
        <v>120.21705280195826</v>
      </c>
      <c r="Q26" s="54">
        <f t="shared" si="11"/>
        <v>244157.46153846153</v>
      </c>
      <c r="R26" s="54">
        <f t="shared" si="11"/>
        <v>29344264.607981332</v>
      </c>
      <c r="S26" s="56">
        <f t="shared" si="12"/>
        <v>120.18581952433512</v>
      </c>
      <c r="T26" s="54">
        <f t="shared" si="13"/>
        <v>237968</v>
      </c>
      <c r="U26" s="58">
        <v>18000</v>
      </c>
      <c r="V26" s="75">
        <f t="shared" si="14"/>
        <v>111.54563894523326</v>
      </c>
    </row>
    <row r="27" spans="1:22">
      <c r="A27" s="21">
        <v>8031</v>
      </c>
      <c r="B27" s="21">
        <v>10000</v>
      </c>
      <c r="C27" s="21">
        <v>260000</v>
      </c>
      <c r="D27" s="49">
        <v>42248</v>
      </c>
      <c r="E27" s="50">
        <f t="shared" si="4"/>
        <v>229937</v>
      </c>
      <c r="F27" s="50">
        <f t="shared" si="4"/>
        <v>27642348.470123876</v>
      </c>
      <c r="G27" s="53">
        <f t="shared" si="4"/>
        <v>120.21705280195826</v>
      </c>
      <c r="H27" s="51">
        <v>0</v>
      </c>
      <c r="I27" s="54">
        <v>0</v>
      </c>
      <c r="J27" s="52">
        <f t="shared" si="10"/>
        <v>0</v>
      </c>
      <c r="K27" s="54">
        <v>4002</v>
      </c>
      <c r="L27" s="54">
        <v>481108.66</v>
      </c>
      <c r="M27" s="53">
        <f t="shared" si="1"/>
        <v>120.21705647176411</v>
      </c>
      <c r="N27" s="51">
        <f t="shared" si="2"/>
        <v>225935</v>
      </c>
      <c r="O27" s="51">
        <f t="shared" si="2"/>
        <v>27161239.810123876</v>
      </c>
      <c r="P27" s="52">
        <f t="shared" si="3"/>
        <v>120.21705273695477</v>
      </c>
      <c r="Q27" s="54">
        <f t="shared" si="11"/>
        <v>242822.84615384616</v>
      </c>
      <c r="R27" s="54">
        <f t="shared" si="11"/>
        <v>29190354.886360295</v>
      </c>
      <c r="S27" s="56">
        <f t="shared" si="12"/>
        <v>120.2125555676341</v>
      </c>
      <c r="T27" s="54">
        <f t="shared" si="13"/>
        <v>233966</v>
      </c>
      <c r="U27" s="58">
        <v>18000</v>
      </c>
      <c r="V27" s="75">
        <f t="shared" si="14"/>
        <v>109.51622718052738</v>
      </c>
    </row>
    <row r="28" spans="1:22">
      <c r="A28" s="21">
        <v>8031</v>
      </c>
      <c r="B28" s="21">
        <v>10000</v>
      </c>
      <c r="C28" s="21">
        <v>260000</v>
      </c>
      <c r="D28" s="49">
        <v>42278</v>
      </c>
      <c r="E28" s="50">
        <f t="shared" si="4"/>
        <v>225935</v>
      </c>
      <c r="F28" s="50">
        <f t="shared" si="4"/>
        <v>27161239.810123876</v>
      </c>
      <c r="G28" s="53">
        <f t="shared" si="4"/>
        <v>120.21705273695477</v>
      </c>
      <c r="H28" s="51">
        <v>16061</v>
      </c>
      <c r="I28" s="54">
        <v>1088472.3600000001</v>
      </c>
      <c r="J28" s="52">
        <f t="shared" si="10"/>
        <v>67.771145009650709</v>
      </c>
      <c r="K28" s="54">
        <v>2889</v>
      </c>
      <c r="L28" s="54">
        <v>337251.11</v>
      </c>
      <c r="M28" s="53">
        <f t="shared" si="1"/>
        <v>116.73627898926964</v>
      </c>
      <c r="N28" s="51">
        <f t="shared" si="2"/>
        <v>239107</v>
      </c>
      <c r="O28" s="51">
        <f t="shared" si="2"/>
        <v>27912461.060123876</v>
      </c>
      <c r="P28" s="52">
        <f t="shared" si="3"/>
        <v>116.73627731569496</v>
      </c>
      <c r="Q28" s="54">
        <f t="shared" si="11"/>
        <v>241792.30769230769</v>
      </c>
      <c r="R28" s="54">
        <f t="shared" si="11"/>
        <v>29003203.371662337</v>
      </c>
      <c r="S28" s="56">
        <f t="shared" si="12"/>
        <v>119.95089359323335</v>
      </c>
      <c r="T28" s="54">
        <f t="shared" si="13"/>
        <v>247138</v>
      </c>
      <c r="U28" s="58">
        <v>18000</v>
      </c>
      <c r="V28" s="75">
        <f t="shared" si="14"/>
        <v>116.19574036511156</v>
      </c>
    </row>
    <row r="29" spans="1:22">
      <c r="A29" s="21">
        <v>8031</v>
      </c>
      <c r="B29" s="21">
        <v>10000</v>
      </c>
      <c r="C29" s="21">
        <v>260000</v>
      </c>
      <c r="D29" s="49">
        <v>42309</v>
      </c>
      <c r="E29" s="50">
        <f t="shared" si="4"/>
        <v>239107</v>
      </c>
      <c r="F29" s="50">
        <f t="shared" si="4"/>
        <v>27912461.060123876</v>
      </c>
      <c r="G29" s="53">
        <f t="shared" si="4"/>
        <v>116.73627731569496</v>
      </c>
      <c r="H29" s="51">
        <v>13047</v>
      </c>
      <c r="I29" s="54">
        <v>921583.54</v>
      </c>
      <c r="J29" s="52">
        <f t="shared" si="10"/>
        <v>70.635666436728755</v>
      </c>
      <c r="K29" s="54">
        <v>6080</v>
      </c>
      <c r="L29" s="54">
        <v>695253.65</v>
      </c>
      <c r="M29" s="53">
        <f t="shared" si="1"/>
        <v>114.3509292763158</v>
      </c>
      <c r="N29" s="51">
        <f t="shared" si="2"/>
        <v>246074</v>
      </c>
      <c r="O29" s="51">
        <f t="shared" si="2"/>
        <v>28138790.950123876</v>
      </c>
      <c r="P29" s="52">
        <f t="shared" si="3"/>
        <v>114.35093081806235</v>
      </c>
      <c r="Q29" s="54">
        <f t="shared" si="11"/>
        <v>241457.30769230769</v>
      </c>
      <c r="R29" s="54">
        <f t="shared" si="11"/>
        <v>28852226.065508485</v>
      </c>
      <c r="S29" s="56">
        <f t="shared" si="12"/>
        <v>119.49203915698119</v>
      </c>
      <c r="T29" s="54">
        <f t="shared" si="13"/>
        <v>254105</v>
      </c>
      <c r="U29" s="58">
        <v>18000</v>
      </c>
      <c r="V29" s="75">
        <f t="shared" si="14"/>
        <v>119.72870182555781</v>
      </c>
    </row>
    <row r="30" spans="1:22">
      <c r="A30" s="21">
        <v>8031</v>
      </c>
      <c r="B30" s="21">
        <v>10000</v>
      </c>
      <c r="C30" s="21">
        <v>260000</v>
      </c>
      <c r="D30" s="49">
        <v>42339</v>
      </c>
      <c r="E30" s="50">
        <f t="shared" si="4"/>
        <v>246074</v>
      </c>
      <c r="F30" s="50">
        <f t="shared" si="4"/>
        <v>28138790.950123876</v>
      </c>
      <c r="G30" s="53">
        <f t="shared" si="4"/>
        <v>114.35093081806235</v>
      </c>
      <c r="H30" s="51">
        <v>0</v>
      </c>
      <c r="I30" s="54">
        <v>38534.800000000003</v>
      </c>
      <c r="J30" s="52">
        <f t="shared" si="10"/>
        <v>0</v>
      </c>
      <c r="K30" s="54">
        <v>233</v>
      </c>
      <c r="L30" s="54">
        <v>26680.26</v>
      </c>
      <c r="M30" s="53">
        <f t="shared" si="1"/>
        <v>114.50755364806867</v>
      </c>
      <c r="N30" s="51">
        <f t="shared" si="2"/>
        <v>245841</v>
      </c>
      <c r="O30" s="51">
        <v>28150645.510000002</v>
      </c>
      <c r="P30" s="52">
        <f t="shared" si="3"/>
        <v>114.50752929739141</v>
      </c>
      <c r="Q30" s="54">
        <f t="shared" si="11"/>
        <v>241130.38461538462</v>
      </c>
      <c r="R30" s="54">
        <f t="shared" si="11"/>
        <v>28704952.415498953</v>
      </c>
      <c r="S30" s="56">
        <f t="shared" si="12"/>
        <v>119.04328216987183</v>
      </c>
      <c r="T30" s="54">
        <f t="shared" si="13"/>
        <v>253872</v>
      </c>
      <c r="U30" s="58">
        <v>8000</v>
      </c>
      <c r="V30" s="75">
        <f t="shared" si="14"/>
        <v>124.6815415821501</v>
      </c>
    </row>
    <row r="31" spans="1:22">
      <c r="A31" s="21">
        <v>8031</v>
      </c>
      <c r="B31" s="21">
        <v>10000</v>
      </c>
      <c r="C31" s="21">
        <v>260000</v>
      </c>
      <c r="D31" s="13">
        <v>42370</v>
      </c>
      <c r="E31" s="16">
        <f t="shared" si="4"/>
        <v>245841</v>
      </c>
      <c r="F31" s="16">
        <f t="shared" si="4"/>
        <v>28150645.510000002</v>
      </c>
      <c r="G31" s="14">
        <f t="shared" si="4"/>
        <v>114.50752929739141</v>
      </c>
      <c r="H31" s="46">
        <f t="shared" ref="H31:H90" si="15">IF(E31+A31-K31&lt;C31-B31,C31-E31+K31-A31,0)</f>
        <v>0</v>
      </c>
      <c r="I31" s="23">
        <f t="shared" ref="I31:I89" si="16">H31*J31</f>
        <v>0</v>
      </c>
      <c r="J31" s="22">
        <f>VLOOKUP(D31,Data!$A$5:$V$197,8,FALSE)*5.83</f>
        <v>56.166746915999994</v>
      </c>
      <c r="K31" s="71">
        <f>VLOOKUP(D31,Data!$A$5:$V$197,17,FALSE)</f>
        <v>96.397941680960542</v>
      </c>
      <c r="L31" s="48">
        <f t="shared" si="9"/>
        <v>11038.290131240818</v>
      </c>
      <c r="M31" s="14">
        <f t="shared" si="1"/>
        <v>114.5075292973914</v>
      </c>
      <c r="N31" s="15">
        <f t="shared" si="2"/>
        <v>245744.60205831903</v>
      </c>
      <c r="O31" s="15">
        <f t="shared" si="2"/>
        <v>28139607.219868761</v>
      </c>
      <c r="P31" s="22">
        <f t="shared" si="3"/>
        <v>114.50752929739141</v>
      </c>
      <c r="Q31" s="31">
        <f t="shared" ref="Q31:R32" si="17">AVERAGE(N19:N31)</f>
        <v>240813.50785063993</v>
      </c>
      <c r="R31" s="31">
        <f t="shared" si="17"/>
        <v>28558928.841633182</v>
      </c>
      <c r="S31" s="32">
        <f t="shared" ref="S31:S54" si="18">IF(Q31=0,0,R31/Q31)</f>
        <v>118.59355023949206</v>
      </c>
      <c r="T31" s="31">
        <f t="shared" ref="T31:T66" si="19">N31+A31</f>
        <v>253775.60205831903</v>
      </c>
      <c r="U31" s="7">
        <v>8000</v>
      </c>
      <c r="V31" s="37">
        <f t="shared" ref="V31:V66" si="20">(T31-U31)/1972</f>
        <v>124.63265824458368</v>
      </c>
    </row>
    <row r="32" spans="1:22">
      <c r="A32" s="21">
        <v>8031</v>
      </c>
      <c r="B32" s="21">
        <v>10000</v>
      </c>
      <c r="C32" s="21">
        <v>260000</v>
      </c>
      <c r="D32" s="13">
        <v>42401</v>
      </c>
      <c r="E32" s="16">
        <f t="shared" si="4"/>
        <v>245744.60205831903</v>
      </c>
      <c r="F32" s="16">
        <f t="shared" si="4"/>
        <v>28139607.219868761</v>
      </c>
      <c r="G32" s="14">
        <f t="shared" si="4"/>
        <v>114.50752929739141</v>
      </c>
      <c r="H32" s="46">
        <f t="shared" si="15"/>
        <v>0</v>
      </c>
      <c r="I32" s="91">
        <f t="shared" si="16"/>
        <v>0</v>
      </c>
      <c r="J32" s="22">
        <f>VLOOKUP(D32,Data!$A$5:$V$197,8,FALSE)*5.83</f>
        <v>57.246146916000001</v>
      </c>
      <c r="K32" s="91">
        <f>VLOOKUP(D32,Data!$A$5:$V$197,17,FALSE)</f>
        <v>0</v>
      </c>
      <c r="L32" s="91">
        <f t="shared" si="9"/>
        <v>0</v>
      </c>
      <c r="M32" s="14">
        <f t="shared" si="1"/>
        <v>0</v>
      </c>
      <c r="N32" s="15">
        <f t="shared" si="2"/>
        <v>245744.60205831903</v>
      </c>
      <c r="O32" s="15">
        <f t="shared" si="2"/>
        <v>28139607.219868761</v>
      </c>
      <c r="P32" s="22">
        <f t="shared" si="3"/>
        <v>114.50752929739141</v>
      </c>
      <c r="Q32" s="31">
        <f t="shared" si="17"/>
        <v>240510.78493204905</v>
      </c>
      <c r="R32" s="31">
        <f t="shared" si="17"/>
        <v>28414606.801613562</v>
      </c>
      <c r="S32" s="32">
        <f t="shared" si="18"/>
        <v>118.14275525998335</v>
      </c>
      <c r="T32" s="31">
        <f t="shared" si="19"/>
        <v>253775.60205831903</v>
      </c>
      <c r="U32" s="7">
        <v>8000</v>
      </c>
      <c r="V32" s="37">
        <f t="shared" si="20"/>
        <v>124.63265824458368</v>
      </c>
    </row>
    <row r="33" spans="1:22">
      <c r="A33" s="21">
        <v>8031</v>
      </c>
      <c r="B33" s="21">
        <v>10000</v>
      </c>
      <c r="C33" s="21">
        <v>260000</v>
      </c>
      <c r="D33" s="13">
        <v>42430</v>
      </c>
      <c r="E33" s="16">
        <f t="shared" si="4"/>
        <v>245744.60205831903</v>
      </c>
      <c r="F33" s="16">
        <f t="shared" si="4"/>
        <v>28139607.219868761</v>
      </c>
      <c r="G33" s="14">
        <f t="shared" si="4"/>
        <v>114.50752929739141</v>
      </c>
      <c r="H33" s="46">
        <f t="shared" si="15"/>
        <v>0</v>
      </c>
      <c r="I33" s="91">
        <f t="shared" si="16"/>
        <v>0</v>
      </c>
      <c r="J33" s="22">
        <f>VLOOKUP(D33,Data!$A$5:$V$197,8,FALSE)*5.83</f>
        <v>58.195346915999984</v>
      </c>
      <c r="K33" s="91">
        <f>VLOOKUP(D33,Data!$A$5:$V$197,17,FALSE)</f>
        <v>0</v>
      </c>
      <c r="L33" s="91">
        <f t="shared" si="9"/>
        <v>0</v>
      </c>
      <c r="M33" s="14">
        <f t="shared" si="1"/>
        <v>0</v>
      </c>
      <c r="N33" s="15">
        <f t="shared" si="2"/>
        <v>245744.60205831903</v>
      </c>
      <c r="O33" s="15">
        <f t="shared" si="2"/>
        <v>28139607.219868761</v>
      </c>
      <c r="P33" s="22">
        <f t="shared" si="3"/>
        <v>114.50752929739141</v>
      </c>
      <c r="Q33" s="31">
        <f t="shared" ref="Q33:R48" si="21">AVERAGE(N21:N33)</f>
        <v>240218.83124422745</v>
      </c>
      <c r="R33" s="31">
        <f t="shared" si="21"/>
        <v>28271579.406978555</v>
      </c>
      <c r="S33" s="32">
        <f t="shared" si="18"/>
        <v>117.6909373030593</v>
      </c>
      <c r="T33" s="31">
        <f t="shared" si="19"/>
        <v>253775.60205831903</v>
      </c>
      <c r="U33" s="7">
        <v>8000</v>
      </c>
      <c r="V33" s="37">
        <f t="shared" si="20"/>
        <v>124.63265824458368</v>
      </c>
    </row>
    <row r="34" spans="1:22">
      <c r="A34" s="21">
        <v>8031</v>
      </c>
      <c r="B34" s="21">
        <v>10000</v>
      </c>
      <c r="C34" s="21">
        <v>260000</v>
      </c>
      <c r="D34" s="13">
        <v>42461</v>
      </c>
      <c r="E34" s="16">
        <f t="shared" si="4"/>
        <v>245744.60205831903</v>
      </c>
      <c r="F34" s="16">
        <f t="shared" si="4"/>
        <v>28139607.219868761</v>
      </c>
      <c r="G34" s="14">
        <f t="shared" si="4"/>
        <v>114.50752929739141</v>
      </c>
      <c r="H34" s="46">
        <f t="shared" si="15"/>
        <v>0</v>
      </c>
      <c r="I34" s="91">
        <f t="shared" si="16"/>
        <v>0</v>
      </c>
      <c r="J34" s="22">
        <f>VLOOKUP(D34,Data!$A$5:$V$197,8,FALSE)*5.83</f>
        <v>58.842146916000004</v>
      </c>
      <c r="K34" s="91">
        <f>VLOOKUP(D34,Data!$A$5:$V$197,17,FALSE)</f>
        <v>0</v>
      </c>
      <c r="L34" s="91">
        <f t="shared" si="9"/>
        <v>0</v>
      </c>
      <c r="M34" s="14">
        <f t="shared" si="1"/>
        <v>0</v>
      </c>
      <c r="N34" s="15">
        <f t="shared" si="2"/>
        <v>245744.60205831903</v>
      </c>
      <c r="O34" s="15">
        <f t="shared" si="2"/>
        <v>28139607.219868761</v>
      </c>
      <c r="P34" s="22">
        <f t="shared" si="3"/>
        <v>114.50752929739141</v>
      </c>
      <c r="Q34" s="31">
        <f t="shared" si="21"/>
        <v>240192.26217179044</v>
      </c>
      <c r="R34" s="31">
        <f t="shared" si="21"/>
        <v>28160455.76926662</v>
      </c>
      <c r="S34" s="32">
        <f t="shared" si="18"/>
        <v>117.24131125059176</v>
      </c>
      <c r="T34" s="31">
        <f t="shared" si="19"/>
        <v>253775.60205831903</v>
      </c>
      <c r="U34" s="7">
        <v>8000</v>
      </c>
      <c r="V34" s="37">
        <f t="shared" si="20"/>
        <v>124.63265824458368</v>
      </c>
    </row>
    <row r="35" spans="1:22">
      <c r="A35" s="21">
        <v>8031</v>
      </c>
      <c r="B35" s="21">
        <v>10000</v>
      </c>
      <c r="C35" s="21">
        <v>260000</v>
      </c>
      <c r="D35" s="13">
        <v>42491</v>
      </c>
      <c r="E35" s="16">
        <f t="shared" si="4"/>
        <v>245744.60205831903</v>
      </c>
      <c r="F35" s="16">
        <f t="shared" si="4"/>
        <v>28139607.219868761</v>
      </c>
      <c r="G35" s="14">
        <f t="shared" si="4"/>
        <v>114.50752929739141</v>
      </c>
      <c r="H35" s="46">
        <f t="shared" si="15"/>
        <v>0</v>
      </c>
      <c r="I35" s="91">
        <f t="shared" si="16"/>
        <v>0</v>
      </c>
      <c r="J35" s="22">
        <f>VLOOKUP(D35,Data!$A$5:$V$197,8,FALSE)*5.83</f>
        <v>59.698946915999983</v>
      </c>
      <c r="K35" s="91">
        <f>VLOOKUP(D35,Data!$A$5:$V$197,17,FALSE)</f>
        <v>96.397941680960542</v>
      </c>
      <c r="L35" s="91">
        <f t="shared" si="9"/>
        <v>11038.290131240818</v>
      </c>
      <c r="M35" s="14">
        <f t="shared" si="1"/>
        <v>114.5075292973914</v>
      </c>
      <c r="N35" s="15">
        <f t="shared" si="2"/>
        <v>245648.20411663805</v>
      </c>
      <c r="O35" s="15">
        <f t="shared" si="2"/>
        <v>28128568.929737519</v>
      </c>
      <c r="P35" s="22">
        <f t="shared" si="3"/>
        <v>114.50752929739141</v>
      </c>
      <c r="Q35" s="31">
        <f t="shared" si="21"/>
        <v>240396.97018076258</v>
      </c>
      <c r="R35" s="31">
        <f t="shared" si="21"/>
        <v>28077177.918467667</v>
      </c>
      <c r="S35" s="32">
        <f t="shared" si="18"/>
        <v>116.79505734766745</v>
      </c>
      <c r="T35" s="31">
        <f t="shared" si="19"/>
        <v>253679.20411663805</v>
      </c>
      <c r="U35" s="7">
        <v>8000</v>
      </c>
      <c r="V35" s="37">
        <f t="shared" si="20"/>
        <v>124.58377490701727</v>
      </c>
    </row>
    <row r="36" spans="1:22">
      <c r="A36" s="21">
        <v>8031</v>
      </c>
      <c r="B36" s="21">
        <v>10000</v>
      </c>
      <c r="C36" s="21">
        <v>260000</v>
      </c>
      <c r="D36" s="13">
        <v>42522</v>
      </c>
      <c r="E36" s="16">
        <f t="shared" si="4"/>
        <v>245648.20411663805</v>
      </c>
      <c r="F36" s="16">
        <f t="shared" si="4"/>
        <v>28128568.929737519</v>
      </c>
      <c r="G36" s="14">
        <f t="shared" si="4"/>
        <v>114.50752929739141</v>
      </c>
      <c r="H36" s="46">
        <f t="shared" si="15"/>
        <v>0</v>
      </c>
      <c r="I36" s="91">
        <f t="shared" si="16"/>
        <v>0</v>
      </c>
      <c r="J36" s="22">
        <f>VLOOKUP(D36,Data!$A$5:$V$197,8,FALSE)*5.83</f>
        <v>60.769946915999988</v>
      </c>
      <c r="K36" s="91">
        <f>VLOOKUP(D36,Data!$A$5:$V$197,17,FALSE)</f>
        <v>0</v>
      </c>
      <c r="L36" s="91">
        <f t="shared" si="9"/>
        <v>0</v>
      </c>
      <c r="M36" s="14">
        <f t="shared" si="1"/>
        <v>0</v>
      </c>
      <c r="N36" s="15">
        <f t="shared" si="2"/>
        <v>245648.20411663805</v>
      </c>
      <c r="O36" s="15">
        <f t="shared" si="2"/>
        <v>28128568.929737519</v>
      </c>
      <c r="P36" s="22">
        <f t="shared" si="3"/>
        <v>114.50752929739141</v>
      </c>
      <c r="Q36" s="31">
        <f t="shared" si="21"/>
        <v>240642.44742050394</v>
      </c>
      <c r="R36" s="31">
        <f t="shared" si="21"/>
        <v>27998801.22382256</v>
      </c>
      <c r="S36" s="32">
        <f t="shared" si="18"/>
        <v>116.350218026568</v>
      </c>
      <c r="T36" s="31">
        <f t="shared" si="19"/>
        <v>253679.20411663805</v>
      </c>
      <c r="U36" s="7">
        <v>18000</v>
      </c>
      <c r="V36" s="37">
        <f t="shared" si="20"/>
        <v>119.51278099220997</v>
      </c>
    </row>
    <row r="37" spans="1:22">
      <c r="A37" s="21">
        <v>8031</v>
      </c>
      <c r="B37" s="21">
        <v>10000</v>
      </c>
      <c r="C37" s="21">
        <v>260000</v>
      </c>
      <c r="D37" s="13">
        <v>42552</v>
      </c>
      <c r="E37" s="16">
        <f t="shared" si="4"/>
        <v>245648.20411663805</v>
      </c>
      <c r="F37" s="16">
        <f t="shared" si="4"/>
        <v>28128568.929737519</v>
      </c>
      <c r="G37" s="14">
        <f t="shared" si="4"/>
        <v>114.50752929739141</v>
      </c>
      <c r="H37" s="46">
        <f t="shared" si="15"/>
        <v>0</v>
      </c>
      <c r="I37" s="91">
        <f t="shared" si="16"/>
        <v>0</v>
      </c>
      <c r="J37" s="22">
        <f>VLOOKUP(D37,Data!$A$5:$V$197,8,FALSE)*5.83</f>
        <v>61.874546915999986</v>
      </c>
      <c r="K37" s="91">
        <f>VLOOKUP(D37,Data!$A$5:$V$197,17,FALSE)</f>
        <v>0</v>
      </c>
      <c r="L37" s="91">
        <f t="shared" si="9"/>
        <v>0</v>
      </c>
      <c r="M37" s="14">
        <f t="shared" si="1"/>
        <v>0</v>
      </c>
      <c r="N37" s="15">
        <f t="shared" si="2"/>
        <v>245648.20411663805</v>
      </c>
      <c r="O37" s="15">
        <f t="shared" si="2"/>
        <v>28128568.929737519</v>
      </c>
      <c r="P37" s="22">
        <f t="shared" si="3"/>
        <v>114.50752929739141</v>
      </c>
      <c r="Q37" s="31">
        <f t="shared" si="21"/>
        <v>241339.92466024531</v>
      </c>
      <c r="R37" s="31">
        <f t="shared" si="21"/>
        <v>27974762.636869762</v>
      </c>
      <c r="S37" s="32">
        <f t="shared" si="18"/>
        <v>115.91435887059387</v>
      </c>
      <c r="T37" s="31">
        <f t="shared" si="19"/>
        <v>253679.20411663805</v>
      </c>
      <c r="U37" s="7">
        <v>18000</v>
      </c>
      <c r="V37" s="37">
        <f t="shared" si="20"/>
        <v>119.51278099220997</v>
      </c>
    </row>
    <row r="38" spans="1:22">
      <c r="A38" s="21">
        <v>8031</v>
      </c>
      <c r="B38" s="21">
        <v>10000</v>
      </c>
      <c r="C38" s="21">
        <v>260000</v>
      </c>
      <c r="D38" s="13">
        <v>42583</v>
      </c>
      <c r="E38" s="16">
        <f t="shared" si="4"/>
        <v>245648.20411663805</v>
      </c>
      <c r="F38" s="16">
        <f t="shared" si="4"/>
        <v>28128568.929737519</v>
      </c>
      <c r="G38" s="14">
        <f t="shared" si="4"/>
        <v>114.50752929739141</v>
      </c>
      <c r="H38" s="46">
        <f t="shared" si="15"/>
        <v>0</v>
      </c>
      <c r="I38" s="91">
        <f t="shared" si="16"/>
        <v>0</v>
      </c>
      <c r="J38" s="22">
        <f>VLOOKUP(D38,Data!$A$5:$V$197,8,FALSE)*5.83</f>
        <v>62.874146915999994</v>
      </c>
      <c r="K38" s="91">
        <f>VLOOKUP(D38,Data!$A$5:$V$197,17,FALSE)</f>
        <v>0</v>
      </c>
      <c r="L38" s="91">
        <f t="shared" si="9"/>
        <v>0</v>
      </c>
      <c r="M38" s="14">
        <f t="shared" si="1"/>
        <v>0</v>
      </c>
      <c r="N38" s="15">
        <f t="shared" si="2"/>
        <v>245648.20411663805</v>
      </c>
      <c r="O38" s="15">
        <f t="shared" si="2"/>
        <v>28128568.929737519</v>
      </c>
      <c r="P38" s="22">
        <f t="shared" si="3"/>
        <v>114.50752929739141</v>
      </c>
      <c r="Q38" s="31">
        <f t="shared" si="21"/>
        <v>242497.32497690976</v>
      </c>
      <c r="R38" s="31">
        <f t="shared" si="21"/>
        <v>28006014.646070812</v>
      </c>
      <c r="S38" s="32">
        <f t="shared" si="18"/>
        <v>115.48999416277067</v>
      </c>
      <c r="T38" s="31">
        <f t="shared" si="19"/>
        <v>253679.20411663805</v>
      </c>
      <c r="U38" s="7">
        <v>18000</v>
      </c>
      <c r="V38" s="37">
        <f t="shared" si="20"/>
        <v>119.51278099220997</v>
      </c>
    </row>
    <row r="39" spans="1:22">
      <c r="A39" s="21">
        <v>8031</v>
      </c>
      <c r="B39" s="21">
        <v>10000</v>
      </c>
      <c r="C39" s="21">
        <v>260000</v>
      </c>
      <c r="D39" s="13">
        <v>42614</v>
      </c>
      <c r="E39" s="16">
        <f t="shared" si="4"/>
        <v>245648.20411663805</v>
      </c>
      <c r="F39" s="16">
        <f t="shared" si="4"/>
        <v>28128568.929737519</v>
      </c>
      <c r="G39" s="14">
        <f t="shared" si="4"/>
        <v>114.50752929739141</v>
      </c>
      <c r="H39" s="46">
        <f t="shared" si="15"/>
        <v>0</v>
      </c>
      <c r="I39" s="91">
        <f t="shared" si="16"/>
        <v>0</v>
      </c>
      <c r="J39" s="22">
        <f>VLOOKUP(D39,Data!$A$5:$V$197,8,FALSE)*5.83</f>
        <v>63.810746915999978</v>
      </c>
      <c r="K39" s="91">
        <f>VLOOKUP(D39,Data!$A$5:$V$197,17,FALSE)</f>
        <v>0</v>
      </c>
      <c r="L39" s="91">
        <f t="shared" si="9"/>
        <v>0</v>
      </c>
      <c r="M39" s="14">
        <f t="shared" si="1"/>
        <v>0</v>
      </c>
      <c r="N39" s="15">
        <f t="shared" si="2"/>
        <v>245648.20411663805</v>
      </c>
      <c r="O39" s="15">
        <f t="shared" si="2"/>
        <v>28128568.929737519</v>
      </c>
      <c r="P39" s="22">
        <f t="shared" si="3"/>
        <v>114.50752929739141</v>
      </c>
      <c r="Q39" s="31">
        <f t="shared" si="21"/>
        <v>243705.87913972806</v>
      </c>
      <c r="R39" s="31">
        <f t="shared" si="21"/>
        <v>28043416.219887249</v>
      </c>
      <c r="S39" s="32">
        <f t="shared" si="18"/>
        <v>115.07074149741229</v>
      </c>
      <c r="T39" s="31">
        <f t="shared" si="19"/>
        <v>253679.20411663805</v>
      </c>
      <c r="U39" s="7">
        <v>18000</v>
      </c>
      <c r="V39" s="37">
        <f t="shared" si="20"/>
        <v>119.51278099220997</v>
      </c>
    </row>
    <row r="40" spans="1:22">
      <c r="A40" s="21">
        <v>8031</v>
      </c>
      <c r="B40" s="21">
        <v>10000</v>
      </c>
      <c r="C40" s="21">
        <v>260000</v>
      </c>
      <c r="D40" s="13">
        <v>42644</v>
      </c>
      <c r="E40" s="16">
        <f t="shared" si="4"/>
        <v>245648.20411663805</v>
      </c>
      <c r="F40" s="16">
        <f t="shared" si="4"/>
        <v>28128568.929737519</v>
      </c>
      <c r="G40" s="14">
        <f t="shared" si="4"/>
        <v>114.50752929739141</v>
      </c>
      <c r="H40" s="46">
        <f t="shared" si="15"/>
        <v>0</v>
      </c>
      <c r="I40" s="91">
        <f t="shared" si="16"/>
        <v>0</v>
      </c>
      <c r="J40" s="22">
        <f>VLOOKUP(D40,Data!$A$5:$V$197,8,FALSE)*5.83</f>
        <v>64.785146915999988</v>
      </c>
      <c r="K40" s="91">
        <f>VLOOKUP(D40,Data!$A$5:$V$197,17,FALSE)</f>
        <v>0</v>
      </c>
      <c r="L40" s="91">
        <f t="shared" si="9"/>
        <v>0</v>
      </c>
      <c r="M40" s="14">
        <f t="shared" si="1"/>
        <v>0</v>
      </c>
      <c r="N40" s="15">
        <f t="shared" si="2"/>
        <v>245648.20411663805</v>
      </c>
      <c r="O40" s="15">
        <f t="shared" si="2"/>
        <v>28128568.929737519</v>
      </c>
      <c r="P40" s="22">
        <f t="shared" si="3"/>
        <v>114.50752929739141</v>
      </c>
      <c r="Q40" s="31">
        <f t="shared" si="21"/>
        <v>245222.27945639257</v>
      </c>
      <c r="R40" s="31">
        <f t="shared" si="21"/>
        <v>28117826.152165219</v>
      </c>
      <c r="S40" s="32">
        <f t="shared" si="18"/>
        <v>114.6626082038576</v>
      </c>
      <c r="T40" s="31">
        <f t="shared" si="19"/>
        <v>253679.20411663805</v>
      </c>
      <c r="U40" s="7">
        <v>18000</v>
      </c>
      <c r="V40" s="37">
        <f t="shared" si="20"/>
        <v>119.51278099220997</v>
      </c>
    </row>
    <row r="41" spans="1:22">
      <c r="A41" s="21">
        <v>8031</v>
      </c>
      <c r="B41" s="21">
        <v>10000</v>
      </c>
      <c r="C41" s="21">
        <v>260000</v>
      </c>
      <c r="D41" s="13">
        <v>42675</v>
      </c>
      <c r="E41" s="16">
        <f t="shared" si="4"/>
        <v>245648.20411663805</v>
      </c>
      <c r="F41" s="16">
        <f t="shared" si="4"/>
        <v>28128568.929737519</v>
      </c>
      <c r="G41" s="14">
        <f t="shared" si="4"/>
        <v>114.50752929739141</v>
      </c>
      <c r="H41" s="46">
        <f t="shared" si="15"/>
        <v>0</v>
      </c>
      <c r="I41" s="91">
        <f t="shared" si="16"/>
        <v>0</v>
      </c>
      <c r="J41" s="22">
        <f>VLOOKUP(D41,Data!$A$5:$V$197,8,FALSE)*5.83</f>
        <v>65.662946915999996</v>
      </c>
      <c r="K41" s="91">
        <f>VLOOKUP(D41,Data!$A$5:$V$197,17,FALSE)</f>
        <v>0</v>
      </c>
      <c r="L41" s="91">
        <f t="shared" si="9"/>
        <v>0</v>
      </c>
      <c r="M41" s="14">
        <f t="shared" si="1"/>
        <v>0</v>
      </c>
      <c r="N41" s="15">
        <f t="shared" si="2"/>
        <v>245648.20411663805</v>
      </c>
      <c r="O41" s="15">
        <f t="shared" si="2"/>
        <v>28128568.929737519</v>
      </c>
      <c r="P41" s="22">
        <f t="shared" si="3"/>
        <v>114.50752929739141</v>
      </c>
      <c r="Q41" s="31">
        <f t="shared" si="21"/>
        <v>245725.44900382624</v>
      </c>
      <c r="R41" s="31">
        <f t="shared" si="21"/>
        <v>28134449.834443193</v>
      </c>
      <c r="S41" s="32">
        <f t="shared" si="18"/>
        <v>114.49546617373403</v>
      </c>
      <c r="T41" s="31">
        <f t="shared" si="19"/>
        <v>253679.20411663805</v>
      </c>
      <c r="U41" s="7">
        <v>18000</v>
      </c>
      <c r="V41" s="37">
        <f t="shared" si="20"/>
        <v>119.51278099220997</v>
      </c>
    </row>
    <row r="42" spans="1:22">
      <c r="A42" s="21">
        <v>8031</v>
      </c>
      <c r="B42" s="21">
        <v>10000</v>
      </c>
      <c r="C42" s="21">
        <v>260000</v>
      </c>
      <c r="D42" s="13">
        <v>42705</v>
      </c>
      <c r="E42" s="16">
        <f t="shared" si="4"/>
        <v>245648.20411663805</v>
      </c>
      <c r="F42" s="16">
        <f t="shared" si="4"/>
        <v>28128568.929737519</v>
      </c>
      <c r="G42" s="14">
        <f t="shared" si="4"/>
        <v>114.50752929739141</v>
      </c>
      <c r="H42" s="46">
        <f t="shared" si="15"/>
        <v>0</v>
      </c>
      <c r="I42" s="91">
        <f t="shared" si="16"/>
        <v>0</v>
      </c>
      <c r="J42" s="22">
        <f>VLOOKUP(D42,Data!$A$5:$V$197,8,FALSE)*5.83</f>
        <v>66.486146915999981</v>
      </c>
      <c r="K42" s="91">
        <f>VLOOKUP(D42,Data!$A$5:$V$197,17,FALSE)</f>
        <v>258.14751286449399</v>
      </c>
      <c r="L42" s="91">
        <f t="shared" si="9"/>
        <v>29559.833892379771</v>
      </c>
      <c r="M42" s="14">
        <f t="shared" si="1"/>
        <v>114.50752929739141</v>
      </c>
      <c r="N42" s="15">
        <f t="shared" si="2"/>
        <v>245390.05660377356</v>
      </c>
      <c r="O42" s="15">
        <f t="shared" si="2"/>
        <v>28099009.095845141</v>
      </c>
      <c r="P42" s="22">
        <f t="shared" si="3"/>
        <v>114.50752929739143</v>
      </c>
      <c r="Q42" s="31">
        <f t="shared" si="21"/>
        <v>245672.83797334737</v>
      </c>
      <c r="R42" s="31">
        <f t="shared" si="21"/>
        <v>28131389.691806369</v>
      </c>
      <c r="S42" s="32">
        <f t="shared" si="18"/>
        <v>114.50752929739141</v>
      </c>
      <c r="T42" s="31">
        <f t="shared" si="19"/>
        <v>253421.05660377356</v>
      </c>
      <c r="U42" s="7">
        <v>8000</v>
      </c>
      <c r="V42" s="37">
        <f t="shared" si="20"/>
        <v>124.45286846033142</v>
      </c>
    </row>
    <row r="43" spans="1:22">
      <c r="A43" s="21">
        <v>8031</v>
      </c>
      <c r="B43" s="21">
        <v>10000</v>
      </c>
      <c r="C43" s="21">
        <v>260000</v>
      </c>
      <c r="D43" s="13">
        <v>42736</v>
      </c>
      <c r="E43" s="16">
        <f t="shared" si="4"/>
        <v>245390.05660377356</v>
      </c>
      <c r="F43" s="16">
        <f t="shared" si="4"/>
        <v>28099009.095845141</v>
      </c>
      <c r="G43" s="14">
        <f t="shared" si="4"/>
        <v>114.50752929739143</v>
      </c>
      <c r="H43" s="46">
        <f t="shared" si="15"/>
        <v>0</v>
      </c>
      <c r="I43" s="91">
        <f t="shared" si="16"/>
        <v>0</v>
      </c>
      <c r="J43" s="22">
        <f>VLOOKUP(D43,Data!$A$5:$V$197,8,FALSE)*5.83</f>
        <v>67.317746916000004</v>
      </c>
      <c r="K43" s="91">
        <f>VLOOKUP(D43,Data!$A$5:$V$197,17,FALSE)</f>
        <v>0</v>
      </c>
      <c r="L43" s="91">
        <f t="shared" si="9"/>
        <v>0</v>
      </c>
      <c r="M43" s="14">
        <f t="shared" si="1"/>
        <v>0</v>
      </c>
      <c r="N43" s="15">
        <f t="shared" si="2"/>
        <v>245390.05660377356</v>
      </c>
      <c r="O43" s="15">
        <f t="shared" si="2"/>
        <v>28099009.095845141</v>
      </c>
      <c r="P43" s="22">
        <f t="shared" si="3"/>
        <v>114.50752929739143</v>
      </c>
      <c r="Q43" s="31">
        <f t="shared" si="21"/>
        <v>245638.15001979147</v>
      </c>
      <c r="R43" s="31">
        <f t="shared" si="21"/>
        <v>28127417.659948304</v>
      </c>
      <c r="S43" s="32">
        <f t="shared" si="18"/>
        <v>114.50752929739143</v>
      </c>
      <c r="T43" s="31">
        <f t="shared" si="19"/>
        <v>253421.05660377356</v>
      </c>
      <c r="U43" s="7">
        <v>8000</v>
      </c>
      <c r="V43" s="37">
        <f t="shared" si="20"/>
        <v>124.45286846033142</v>
      </c>
    </row>
    <row r="44" spans="1:22">
      <c r="A44" s="21">
        <v>8031</v>
      </c>
      <c r="B44" s="21">
        <v>10000</v>
      </c>
      <c r="C44" s="21">
        <v>260000</v>
      </c>
      <c r="D44" s="13">
        <v>42767</v>
      </c>
      <c r="E44" s="16">
        <f t="shared" si="4"/>
        <v>245390.05660377356</v>
      </c>
      <c r="F44" s="16">
        <f t="shared" si="4"/>
        <v>28099009.095845141</v>
      </c>
      <c r="G44" s="14">
        <f t="shared" si="4"/>
        <v>114.50752929739143</v>
      </c>
      <c r="H44" s="46">
        <f t="shared" si="15"/>
        <v>0</v>
      </c>
      <c r="I44" s="91">
        <f t="shared" si="16"/>
        <v>0</v>
      </c>
      <c r="J44" s="22">
        <f>VLOOKUP(D44,Data!$A$5:$V$197,8,FALSE)*5.83</f>
        <v>67.989746916000001</v>
      </c>
      <c r="K44" s="91">
        <f>VLOOKUP(D44,Data!$A$5:$V$197,17,FALSE)</f>
        <v>0</v>
      </c>
      <c r="L44" s="91">
        <f t="shared" si="9"/>
        <v>0</v>
      </c>
      <c r="M44" s="14">
        <f t="shared" si="1"/>
        <v>0</v>
      </c>
      <c r="N44" s="15">
        <f t="shared" si="2"/>
        <v>245390.05660377356</v>
      </c>
      <c r="O44" s="15">
        <f t="shared" si="2"/>
        <v>28099009.095845141</v>
      </c>
      <c r="P44" s="22">
        <f t="shared" si="3"/>
        <v>114.50752929739143</v>
      </c>
      <c r="Q44" s="31">
        <f t="shared" si="21"/>
        <v>245610.8772925188</v>
      </c>
      <c r="R44" s="31">
        <f t="shared" si="21"/>
        <v>28124294.727331106</v>
      </c>
      <c r="S44" s="32">
        <f t="shared" si="18"/>
        <v>114.50752929739143</v>
      </c>
      <c r="T44" s="31">
        <f t="shared" si="19"/>
        <v>253421.05660377356</v>
      </c>
      <c r="U44" s="7">
        <v>8000</v>
      </c>
      <c r="V44" s="37">
        <f t="shared" si="20"/>
        <v>124.45286846033142</v>
      </c>
    </row>
    <row r="45" spans="1:22">
      <c r="A45" s="21">
        <v>8031</v>
      </c>
      <c r="B45" s="21">
        <v>10000</v>
      </c>
      <c r="C45" s="21">
        <v>260000</v>
      </c>
      <c r="D45" s="13">
        <v>42795</v>
      </c>
      <c r="E45" s="16">
        <f t="shared" si="4"/>
        <v>245390.05660377356</v>
      </c>
      <c r="F45" s="16">
        <f t="shared" si="4"/>
        <v>28099009.095845141</v>
      </c>
      <c r="G45" s="14">
        <f t="shared" si="4"/>
        <v>114.50752929739143</v>
      </c>
      <c r="H45" s="46">
        <f t="shared" si="15"/>
        <v>0</v>
      </c>
      <c r="I45" s="91">
        <f t="shared" si="16"/>
        <v>0</v>
      </c>
      <c r="J45" s="22">
        <f>VLOOKUP(D45,Data!$A$5:$V$197,8,FALSE)*5.83</f>
        <v>68.388746915999988</v>
      </c>
      <c r="K45" s="91">
        <f>VLOOKUP(D45,Data!$A$5:$V$197,17,FALSE)</f>
        <v>3061.0634648370497</v>
      </c>
      <c r="L45" s="91">
        <f t="shared" si="9"/>
        <v>350514.81438100297</v>
      </c>
      <c r="M45" s="14">
        <f t="shared" si="1"/>
        <v>114.50752929739143</v>
      </c>
      <c r="N45" s="15">
        <f t="shared" si="2"/>
        <v>242328.99313893649</v>
      </c>
      <c r="O45" s="15">
        <f t="shared" si="2"/>
        <v>27748494.281464137</v>
      </c>
      <c r="P45" s="22">
        <f t="shared" si="3"/>
        <v>114.50752929739143</v>
      </c>
      <c r="Q45" s="31">
        <f t="shared" si="21"/>
        <v>245348.13814487396</v>
      </c>
      <c r="R45" s="31">
        <f t="shared" si="21"/>
        <v>28094209.116684597</v>
      </c>
      <c r="S45" s="32">
        <f t="shared" si="18"/>
        <v>114.50752929739144</v>
      </c>
      <c r="T45" s="31">
        <f t="shared" si="19"/>
        <v>250359.99313893649</v>
      </c>
      <c r="U45" s="7">
        <v>8000</v>
      </c>
      <c r="V45" s="37">
        <f t="shared" si="20"/>
        <v>122.90060504002865</v>
      </c>
    </row>
    <row r="46" spans="1:22">
      <c r="A46" s="21">
        <v>8031</v>
      </c>
      <c r="B46" s="21">
        <v>10000</v>
      </c>
      <c r="C46" s="21">
        <v>260000</v>
      </c>
      <c r="D46" s="13">
        <v>42826</v>
      </c>
      <c r="E46" s="16">
        <f t="shared" si="4"/>
        <v>242328.99313893649</v>
      </c>
      <c r="F46" s="16">
        <f t="shared" si="4"/>
        <v>27748494.281464137</v>
      </c>
      <c r="G46" s="14">
        <f t="shared" si="4"/>
        <v>114.50752929739143</v>
      </c>
      <c r="H46" s="46">
        <f t="shared" si="15"/>
        <v>0</v>
      </c>
      <c r="I46" s="91">
        <f t="shared" si="16"/>
        <v>0</v>
      </c>
      <c r="J46" s="22">
        <f>VLOOKUP(D46,Data!$A$5:$V$197,8,FALSE)*5.83</f>
        <v>68.422346915999995</v>
      </c>
      <c r="K46" s="91">
        <f>VLOOKUP(D46,Data!$A$5:$V$197,17,FALSE)</f>
        <v>113.55060034305318</v>
      </c>
      <c r="L46" s="91">
        <f t="shared" si="9"/>
        <v>13002.398695518546</v>
      </c>
      <c r="M46" s="14">
        <f t="shared" si="1"/>
        <v>114.50752929739143</v>
      </c>
      <c r="N46" s="15">
        <f t="shared" si="2"/>
        <v>242215.44253859343</v>
      </c>
      <c r="O46" s="15">
        <f t="shared" si="2"/>
        <v>27735491.88276862</v>
      </c>
      <c r="P46" s="22">
        <f t="shared" si="3"/>
        <v>114.50752929739144</v>
      </c>
      <c r="Q46" s="31">
        <f t="shared" si="21"/>
        <v>245076.6643356643</v>
      </c>
      <c r="R46" s="31">
        <f t="shared" si="21"/>
        <v>28063123.321523048</v>
      </c>
      <c r="S46" s="32">
        <f t="shared" si="18"/>
        <v>114.50752929739144</v>
      </c>
      <c r="T46" s="31">
        <f t="shared" si="19"/>
        <v>250246.44253859343</v>
      </c>
      <c r="U46" s="7">
        <v>8000</v>
      </c>
      <c r="V46" s="37">
        <f t="shared" si="20"/>
        <v>122.84302359969242</v>
      </c>
    </row>
    <row r="47" spans="1:22">
      <c r="A47" s="21">
        <v>8031</v>
      </c>
      <c r="B47" s="21">
        <v>10000</v>
      </c>
      <c r="C47" s="21">
        <v>260000</v>
      </c>
      <c r="D47" s="13">
        <v>42856</v>
      </c>
      <c r="E47" s="16">
        <f t="shared" si="4"/>
        <v>242215.44253859343</v>
      </c>
      <c r="F47" s="16">
        <f t="shared" si="4"/>
        <v>27735491.88276862</v>
      </c>
      <c r="G47" s="14">
        <f t="shared" si="4"/>
        <v>114.50752929739144</v>
      </c>
      <c r="H47" s="46">
        <f t="shared" si="15"/>
        <v>10055.272727272779</v>
      </c>
      <c r="I47" s="91">
        <f t="shared" si="16"/>
        <v>691848.48411681515</v>
      </c>
      <c r="J47" s="22">
        <f>VLOOKUP(D47,Data!$A$5:$V$197,8,FALSE)*5.83</f>
        <v>68.804546915999993</v>
      </c>
      <c r="K47" s="91">
        <f>VLOOKUP(D47,Data!$A$5:$V$197,17,FALSE)</f>
        <v>301.71526586620928</v>
      </c>
      <c r="L47" s="91">
        <f t="shared" si="9"/>
        <v>33999.041655012814</v>
      </c>
      <c r="M47" s="14">
        <f t="shared" si="1"/>
        <v>112.68585153423803</v>
      </c>
      <c r="N47" s="15">
        <f t="shared" si="2"/>
        <v>251968.99999999997</v>
      </c>
      <c r="O47" s="15">
        <f t="shared" si="2"/>
        <v>28393341.325230423</v>
      </c>
      <c r="P47" s="22">
        <f t="shared" si="3"/>
        <v>112.68585153423805</v>
      </c>
      <c r="Q47" s="31">
        <f t="shared" si="21"/>
        <v>245555.46417733206</v>
      </c>
      <c r="R47" s="31">
        <f t="shared" si="21"/>
        <v>28082641.32962779</v>
      </c>
      <c r="S47" s="32">
        <f t="shared" si="18"/>
        <v>114.3637402804746</v>
      </c>
      <c r="T47" s="31">
        <f t="shared" si="19"/>
        <v>259999.99999999997</v>
      </c>
      <c r="U47" s="7">
        <v>8000</v>
      </c>
      <c r="V47" s="37">
        <f t="shared" si="20"/>
        <v>127.789046653144</v>
      </c>
    </row>
    <row r="48" spans="1:22">
      <c r="A48" s="21">
        <v>8031</v>
      </c>
      <c r="B48" s="21">
        <v>10000</v>
      </c>
      <c r="C48" s="21">
        <v>260000</v>
      </c>
      <c r="D48" s="13">
        <v>42887</v>
      </c>
      <c r="E48" s="16">
        <f t="shared" si="4"/>
        <v>251968.99999999997</v>
      </c>
      <c r="F48" s="16">
        <f t="shared" si="4"/>
        <v>28393341.325230423</v>
      </c>
      <c r="G48" s="14">
        <f t="shared" si="4"/>
        <v>112.68585153423805</v>
      </c>
      <c r="H48" s="46">
        <f t="shared" si="15"/>
        <v>0</v>
      </c>
      <c r="I48" s="91">
        <f t="shared" si="16"/>
        <v>0</v>
      </c>
      <c r="J48" s="22">
        <f>VLOOKUP(D48,Data!$A$5:$V$197,8,FALSE)*5.83</f>
        <v>69.316946915999992</v>
      </c>
      <c r="K48" s="91">
        <f>VLOOKUP(D48,Data!$A$5:$V$197,17,FALSE)</f>
        <v>1236.878216123499</v>
      </c>
      <c r="L48" s="91">
        <f t="shared" si="9"/>
        <v>139378.67502802581</v>
      </c>
      <c r="M48" s="14">
        <f t="shared" ref="M48:M54" si="22">IF(K48=0,0,L48/K48)</f>
        <v>112.68585153423805</v>
      </c>
      <c r="N48" s="15">
        <f t="shared" si="2"/>
        <v>250732.12178387647</v>
      </c>
      <c r="O48" s="15">
        <f t="shared" si="2"/>
        <v>28253962.650202397</v>
      </c>
      <c r="P48" s="22">
        <f t="shared" si="3"/>
        <v>112.68585153423804</v>
      </c>
      <c r="Q48" s="31">
        <f t="shared" si="21"/>
        <v>245946.53476711962</v>
      </c>
      <c r="R48" s="31">
        <f t="shared" si="21"/>
        <v>28092287.000432774</v>
      </c>
      <c r="S48" s="32">
        <f t="shared" si="18"/>
        <v>114.22111324736748</v>
      </c>
      <c r="T48" s="31">
        <f t="shared" si="19"/>
        <v>258763.12178387647</v>
      </c>
      <c r="U48" s="7">
        <v>18000</v>
      </c>
      <c r="V48" s="37">
        <f t="shared" si="20"/>
        <v>122.09083254760471</v>
      </c>
    </row>
    <row r="49" spans="1:22">
      <c r="A49" s="21">
        <v>8031</v>
      </c>
      <c r="B49" s="21">
        <v>10000</v>
      </c>
      <c r="C49" s="21">
        <v>260000</v>
      </c>
      <c r="D49" s="13">
        <v>42917</v>
      </c>
      <c r="E49" s="16">
        <f t="shared" ref="E49:G54" si="23">N48</f>
        <v>250732.12178387647</v>
      </c>
      <c r="F49" s="16">
        <f t="shared" si="23"/>
        <v>28253962.650202397</v>
      </c>
      <c r="G49" s="14">
        <f t="shared" si="23"/>
        <v>112.68585153423804</v>
      </c>
      <c r="H49" s="46">
        <f t="shared" si="15"/>
        <v>0</v>
      </c>
      <c r="I49" s="91">
        <f t="shared" si="16"/>
        <v>0</v>
      </c>
      <c r="J49" s="22">
        <f>VLOOKUP(D49,Data!$A$5:$V$197,8,FALSE)*5.83</f>
        <v>69.993146916000001</v>
      </c>
      <c r="K49" s="91">
        <f>VLOOKUP(D49,Data!$A$5:$V$197,17,FALSE)</f>
        <v>3144.42538593482</v>
      </c>
      <c r="L49" s="91">
        <f t="shared" si="9"/>
        <v>354332.25219994027</v>
      </c>
      <c r="M49" s="14">
        <f t="shared" si="22"/>
        <v>112.68585153423804</v>
      </c>
      <c r="N49" s="15">
        <f t="shared" si="2"/>
        <v>247587.69639794165</v>
      </c>
      <c r="O49" s="15">
        <f t="shared" si="2"/>
        <v>27899630.398002457</v>
      </c>
      <c r="P49" s="22">
        <f t="shared" si="3"/>
        <v>112.68585153423805</v>
      </c>
      <c r="Q49" s="31">
        <f t="shared" ref="Q49:R54" si="24">AVERAGE(N37:N49)</f>
        <v>246095.72648106606</v>
      </c>
      <c r="R49" s="31">
        <f t="shared" si="24"/>
        <v>28074676.344145462</v>
      </c>
      <c r="S49" s="32">
        <f t="shared" si="18"/>
        <v>114.08030828323</v>
      </c>
      <c r="T49" s="31">
        <f t="shared" si="19"/>
        <v>255618.69639794165</v>
      </c>
      <c r="U49" s="7">
        <v>18000</v>
      </c>
      <c r="V49" s="37">
        <f t="shared" si="20"/>
        <v>120.4962963478406</v>
      </c>
    </row>
    <row r="50" spans="1:22">
      <c r="A50" s="21">
        <v>8031</v>
      </c>
      <c r="B50" s="21">
        <v>10000</v>
      </c>
      <c r="C50" s="21">
        <v>260000</v>
      </c>
      <c r="D50" s="13">
        <v>42948</v>
      </c>
      <c r="E50" s="16">
        <f t="shared" si="23"/>
        <v>247587.69639794165</v>
      </c>
      <c r="F50" s="16">
        <f t="shared" si="23"/>
        <v>27899630.398002457</v>
      </c>
      <c r="G50" s="14">
        <f t="shared" si="23"/>
        <v>112.68585153423805</v>
      </c>
      <c r="H50" s="46">
        <f t="shared" si="15"/>
        <v>0</v>
      </c>
      <c r="I50" s="91">
        <f t="shared" si="16"/>
        <v>0</v>
      </c>
      <c r="J50" s="22">
        <f>VLOOKUP(D50,Data!$A$5:$V$197,8,FALSE)*5.83</f>
        <v>70.681946916000001</v>
      </c>
      <c r="K50" s="91">
        <f>VLOOKUP(D50,Data!$A$5:$V$197,17,FALSE)</f>
        <v>2762.778730703259</v>
      </c>
      <c r="L50" s="91">
        <f t="shared" si="9"/>
        <v>311326.07386997814</v>
      </c>
      <c r="M50" s="14">
        <f t="shared" si="22"/>
        <v>112.68585153423807</v>
      </c>
      <c r="N50" s="15">
        <f t="shared" si="2"/>
        <v>244824.91766723839</v>
      </c>
      <c r="O50" s="15">
        <f t="shared" si="2"/>
        <v>27588304.32413248</v>
      </c>
      <c r="P50" s="22">
        <f t="shared" si="3"/>
        <v>112.68585153423805</v>
      </c>
      <c r="Q50" s="31">
        <f t="shared" si="24"/>
        <v>246032.39675418919</v>
      </c>
      <c r="R50" s="31">
        <f t="shared" si="24"/>
        <v>28033117.528329693</v>
      </c>
      <c r="S50" s="32">
        <f t="shared" si="18"/>
        <v>113.94075698225043</v>
      </c>
      <c r="T50" s="31">
        <f t="shared" si="19"/>
        <v>252855.91766723839</v>
      </c>
      <c r="U50" s="7">
        <v>18000</v>
      </c>
      <c r="V50" s="37">
        <f t="shared" si="20"/>
        <v>119.09529293470507</v>
      </c>
    </row>
    <row r="51" spans="1:22">
      <c r="A51" s="21">
        <v>8031</v>
      </c>
      <c r="B51" s="21">
        <v>10000</v>
      </c>
      <c r="C51" s="21">
        <v>260000</v>
      </c>
      <c r="D51" s="13">
        <v>42979</v>
      </c>
      <c r="E51" s="16">
        <f t="shared" si="23"/>
        <v>244824.91766723839</v>
      </c>
      <c r="F51" s="16">
        <f t="shared" si="23"/>
        <v>27588304.32413248</v>
      </c>
      <c r="G51" s="14">
        <f t="shared" si="23"/>
        <v>112.68585153423805</v>
      </c>
      <c r="H51" s="46">
        <f t="shared" si="15"/>
        <v>0</v>
      </c>
      <c r="I51" s="91">
        <f t="shared" si="16"/>
        <v>0</v>
      </c>
      <c r="J51" s="22">
        <f>VLOOKUP(D51,Data!$A$5:$V$197,8,FALSE)*5.83</f>
        <v>71.395946916</v>
      </c>
      <c r="K51" s="91">
        <f>VLOOKUP(D51,Data!$A$5:$V$197,17,FALSE)</f>
        <v>2355.57461406518</v>
      </c>
      <c r="L51" s="91">
        <f t="shared" si="9"/>
        <v>265439.93123836897</v>
      </c>
      <c r="M51" s="14">
        <f t="shared" si="22"/>
        <v>112.68585153423805</v>
      </c>
      <c r="N51" s="15">
        <f t="shared" si="2"/>
        <v>242469.34305317322</v>
      </c>
      <c r="O51" s="15">
        <f t="shared" si="2"/>
        <v>27322864.392894112</v>
      </c>
      <c r="P51" s="22">
        <f t="shared" si="3"/>
        <v>112.68585153423805</v>
      </c>
      <c r="Q51" s="31">
        <f t="shared" si="24"/>
        <v>245787.86898007648</v>
      </c>
      <c r="R51" s="31">
        <f t="shared" si="24"/>
        <v>27971140.256264813</v>
      </c>
      <c r="S51" s="32">
        <f t="shared" si="18"/>
        <v>113.80195602140213</v>
      </c>
      <c r="T51" s="31">
        <f t="shared" si="19"/>
        <v>250500.34305317322</v>
      </c>
      <c r="U51" s="7">
        <v>18000</v>
      </c>
      <c r="V51" s="37">
        <f t="shared" si="20"/>
        <v>117.90078248132517</v>
      </c>
    </row>
    <row r="52" spans="1:22">
      <c r="A52" s="21">
        <v>8031</v>
      </c>
      <c r="B52" s="21">
        <v>10000</v>
      </c>
      <c r="C52" s="21">
        <v>260000</v>
      </c>
      <c r="D52" s="13">
        <v>43009</v>
      </c>
      <c r="E52" s="16">
        <f t="shared" si="23"/>
        <v>242469.34305317322</v>
      </c>
      <c r="F52" s="16">
        <f t="shared" si="23"/>
        <v>27322864.392894112</v>
      </c>
      <c r="G52" s="14">
        <f t="shared" si="23"/>
        <v>112.68585153423805</v>
      </c>
      <c r="H52" s="46">
        <f t="shared" si="15"/>
        <v>10252.830188679272</v>
      </c>
      <c r="I52" s="91">
        <f t="shared" si="16"/>
        <v>739331.04064442439</v>
      </c>
      <c r="J52" s="22">
        <f>VLOOKUP(D52,Data!$A$5:$V$197,8,FALSE)*5.83</f>
        <v>72.109946915999984</v>
      </c>
      <c r="K52" s="91">
        <f>VLOOKUP(D52,Data!$A$5:$V$197,17,FALSE)</f>
        <v>753.17324185248708</v>
      </c>
      <c r="L52" s="91">
        <f t="shared" si="9"/>
        <v>83632.134201179244</v>
      </c>
      <c r="M52" s="14">
        <f t="shared" si="22"/>
        <v>111.03970448482693</v>
      </c>
      <c r="N52" s="15">
        <f t="shared" si="2"/>
        <v>251969</v>
      </c>
      <c r="O52" s="15">
        <f t="shared" si="2"/>
        <v>27978563.299337357</v>
      </c>
      <c r="P52" s="22">
        <f t="shared" si="3"/>
        <v>111.03970448482693</v>
      </c>
      <c r="Q52" s="31">
        <f t="shared" si="24"/>
        <v>246274.08404802743</v>
      </c>
      <c r="R52" s="31">
        <f t="shared" si="24"/>
        <v>27959601.361618645</v>
      </c>
      <c r="S52" s="32">
        <f t="shared" si="18"/>
        <v>113.53042472859657</v>
      </c>
      <c r="T52" s="31">
        <f t="shared" si="19"/>
        <v>260000</v>
      </c>
      <c r="U52" s="7">
        <v>18000</v>
      </c>
      <c r="V52" s="37">
        <f t="shared" si="20"/>
        <v>122.71805273833671</v>
      </c>
    </row>
    <row r="53" spans="1:22">
      <c r="A53" s="21">
        <v>8031</v>
      </c>
      <c r="B53" s="21">
        <v>10000</v>
      </c>
      <c r="C53" s="21">
        <v>260000</v>
      </c>
      <c r="D53" s="13">
        <v>43040</v>
      </c>
      <c r="E53" s="16">
        <f t="shared" si="23"/>
        <v>251969</v>
      </c>
      <c r="F53" s="16">
        <f t="shared" si="23"/>
        <v>27978563.299337357</v>
      </c>
      <c r="G53" s="14">
        <f t="shared" si="23"/>
        <v>111.03970448482693</v>
      </c>
      <c r="H53" s="46">
        <f t="shared" si="15"/>
        <v>0</v>
      </c>
      <c r="I53" s="91">
        <f t="shared" si="16"/>
        <v>0</v>
      </c>
      <c r="J53" s="22">
        <f>VLOOKUP(D53,Data!$A$5:$V$197,8,FALSE)*5.83</f>
        <v>72.697946915999992</v>
      </c>
      <c r="K53" s="91">
        <f>VLOOKUP(D53,Data!$A$5:$V$197,17,FALSE)</f>
        <v>889.53687821612345</v>
      </c>
      <c r="L53" s="91">
        <f t="shared" si="9"/>
        <v>98773.912085473828</v>
      </c>
      <c r="M53" s="14">
        <f t="shared" si="22"/>
        <v>111.03970448482693</v>
      </c>
      <c r="N53" s="15">
        <f t="shared" si="2"/>
        <v>251079.46312178389</v>
      </c>
      <c r="O53" s="15">
        <f t="shared" si="2"/>
        <v>27879789.387251884</v>
      </c>
      <c r="P53" s="22">
        <f t="shared" si="3"/>
        <v>111.03970448482693</v>
      </c>
      <c r="Q53" s="31">
        <f t="shared" si="24"/>
        <v>246691.87320226943</v>
      </c>
      <c r="R53" s="31">
        <f t="shared" si="24"/>
        <v>27940464.473735131</v>
      </c>
      <c r="S53" s="32">
        <f t="shared" si="18"/>
        <v>113.26057932531072</v>
      </c>
      <c r="T53" s="31">
        <f t="shared" si="19"/>
        <v>259110.46312178389</v>
      </c>
      <c r="U53" s="7">
        <v>18000</v>
      </c>
      <c r="V53" s="37">
        <f t="shared" si="20"/>
        <v>122.26696912869366</v>
      </c>
    </row>
    <row r="54" spans="1:22">
      <c r="A54" s="21">
        <v>8031</v>
      </c>
      <c r="B54" s="21">
        <v>10000</v>
      </c>
      <c r="C54" s="21">
        <v>260000</v>
      </c>
      <c r="D54" s="13">
        <v>43070</v>
      </c>
      <c r="E54" s="16">
        <f t="shared" si="23"/>
        <v>251079.46312178389</v>
      </c>
      <c r="F54" s="16">
        <f t="shared" si="23"/>
        <v>27879789.387251884</v>
      </c>
      <c r="G54" s="14">
        <f t="shared" si="23"/>
        <v>111.03970448482693</v>
      </c>
      <c r="H54" s="46">
        <f t="shared" si="15"/>
        <v>0</v>
      </c>
      <c r="I54" s="91">
        <f t="shared" si="16"/>
        <v>0</v>
      </c>
      <c r="J54" s="22">
        <f>VLOOKUP(D54,Data!$A$5:$V$197,8,FALSE)*5.83</f>
        <v>73.201946915999983</v>
      </c>
      <c r="K54" s="91">
        <f>VLOOKUP(D54,Data!$A$5:$V$197,17,FALSE)</f>
        <v>0</v>
      </c>
      <c r="L54" s="91">
        <f t="shared" si="9"/>
        <v>0</v>
      </c>
      <c r="M54" s="14">
        <f t="shared" si="22"/>
        <v>0</v>
      </c>
      <c r="N54" s="15">
        <f t="shared" si="2"/>
        <v>251079.46312178389</v>
      </c>
      <c r="O54" s="15">
        <f t="shared" si="2"/>
        <v>27879789.387251884</v>
      </c>
      <c r="P54" s="22">
        <f t="shared" si="3"/>
        <v>111.03970448482693</v>
      </c>
      <c r="Q54" s="31">
        <f t="shared" si="24"/>
        <v>247109.6623565114</v>
      </c>
      <c r="R54" s="31">
        <f t="shared" si="24"/>
        <v>27921327.585851625</v>
      </c>
      <c r="S54" s="32">
        <f t="shared" si="18"/>
        <v>112.99164637912384</v>
      </c>
      <c r="T54" s="31">
        <f t="shared" si="19"/>
        <v>259110.46312178389</v>
      </c>
      <c r="U54" s="7">
        <v>8000</v>
      </c>
      <c r="V54" s="37">
        <f t="shared" si="20"/>
        <v>127.33796304350096</v>
      </c>
    </row>
    <row r="55" spans="1:22">
      <c r="A55" s="21">
        <v>8031</v>
      </c>
      <c r="B55" s="21">
        <v>10000</v>
      </c>
      <c r="C55" s="21">
        <v>260000</v>
      </c>
      <c r="D55" s="13">
        <v>43101</v>
      </c>
      <c r="E55" s="16">
        <f t="shared" ref="E55:E66" si="25">N54</f>
        <v>251079.46312178389</v>
      </c>
      <c r="F55" s="16">
        <f t="shared" ref="F55:F66" si="26">O54</f>
        <v>27879789.387251884</v>
      </c>
      <c r="G55" s="14">
        <f t="shared" ref="G55:G66" si="27">P54</f>
        <v>111.03970448482693</v>
      </c>
      <c r="H55" s="46">
        <f t="shared" si="15"/>
        <v>0</v>
      </c>
      <c r="I55" s="91">
        <f t="shared" si="16"/>
        <v>0</v>
      </c>
      <c r="J55" s="22">
        <f>VLOOKUP(D55,Data!$A$5:$V$197,8,FALSE)*5.83</f>
        <v>73.726946916000003</v>
      </c>
      <c r="K55" s="91">
        <f>VLOOKUP(D55,Data!$A$5:$V$197,17,FALSE)</f>
        <v>0</v>
      </c>
      <c r="L55" s="91">
        <f t="shared" si="9"/>
        <v>0</v>
      </c>
      <c r="M55" s="14">
        <f t="shared" ref="M55:M66" si="28">IF(K55=0,0,L55/K55)</f>
        <v>0</v>
      </c>
      <c r="N55" s="15">
        <f t="shared" ref="N55:N66" si="29">+E55+H55-K55</f>
        <v>251079.46312178389</v>
      </c>
      <c r="O55" s="15">
        <f t="shared" ref="O55:O66" si="30">+F55+I55-L55</f>
        <v>27879789.387251884</v>
      </c>
      <c r="P55" s="22">
        <f t="shared" ref="P55:P66" si="31">IF(N55=0,0,O55/N55)</f>
        <v>111.03970448482693</v>
      </c>
      <c r="Q55" s="31">
        <f t="shared" ref="Q55:Q66" si="32">AVERAGE(N43:N55)</f>
        <v>247547.30901174297</v>
      </c>
      <c r="R55" s="31">
        <f t="shared" ref="R55:R66" si="33">AVERAGE(O43:O55)</f>
        <v>27904464.531344451</v>
      </c>
      <c r="S55" s="32">
        <f t="shared" ref="S55:S66" si="34">IF(Q55=0,0,R55/Q55)</f>
        <v>112.72376436950377</v>
      </c>
      <c r="T55" s="31">
        <f t="shared" si="19"/>
        <v>259110.46312178389</v>
      </c>
      <c r="U55" s="7">
        <v>8000</v>
      </c>
      <c r="V55" s="37">
        <f t="shared" si="20"/>
        <v>127.33796304350096</v>
      </c>
    </row>
    <row r="56" spans="1:22">
      <c r="A56" s="21">
        <v>8031</v>
      </c>
      <c r="B56" s="21">
        <v>10000</v>
      </c>
      <c r="C56" s="21">
        <v>260000</v>
      </c>
      <c r="D56" s="13">
        <v>43132</v>
      </c>
      <c r="E56" s="16">
        <f t="shared" si="25"/>
        <v>251079.46312178389</v>
      </c>
      <c r="F56" s="16">
        <f t="shared" si="26"/>
        <v>27879789.387251884</v>
      </c>
      <c r="G56" s="14">
        <f t="shared" si="27"/>
        <v>111.03970448482693</v>
      </c>
      <c r="H56" s="46">
        <f t="shared" si="15"/>
        <v>0</v>
      </c>
      <c r="I56" s="91">
        <f t="shared" si="16"/>
        <v>0</v>
      </c>
      <c r="J56" s="22">
        <f>VLOOKUP(D56,Data!$A$5:$V$197,8,FALSE)*5.83</f>
        <v>73.999946915999985</v>
      </c>
      <c r="K56" s="91">
        <f>VLOOKUP(D56,Data!$A$5:$V$197,17,FALSE)</f>
        <v>66.7238421955403</v>
      </c>
      <c r="L56" s="91">
        <f t="shared" si="9"/>
        <v>7408.9957194850203</v>
      </c>
      <c r="M56" s="14">
        <f t="shared" si="28"/>
        <v>111.03970448482693</v>
      </c>
      <c r="N56" s="15">
        <f t="shared" si="29"/>
        <v>251012.73927958836</v>
      </c>
      <c r="O56" s="15">
        <f t="shared" si="30"/>
        <v>27872380.391532399</v>
      </c>
      <c r="P56" s="22">
        <f t="shared" si="31"/>
        <v>111.03970448482693</v>
      </c>
      <c r="Q56" s="31">
        <f t="shared" si="32"/>
        <v>247979.82306372872</v>
      </c>
      <c r="R56" s="31">
        <f t="shared" si="33"/>
        <v>27887031.554089628</v>
      </c>
      <c r="S56" s="32">
        <f t="shared" si="34"/>
        <v>112.45685721343102</v>
      </c>
      <c r="T56" s="31">
        <f t="shared" si="19"/>
        <v>259043.73927958836</v>
      </c>
      <c r="U56" s="7">
        <v>8000</v>
      </c>
      <c r="V56" s="37">
        <f t="shared" si="20"/>
        <v>127.30412742372636</v>
      </c>
    </row>
    <row r="57" spans="1:22">
      <c r="A57" s="21">
        <v>8031</v>
      </c>
      <c r="B57" s="21">
        <v>10000</v>
      </c>
      <c r="C57" s="21">
        <v>260000</v>
      </c>
      <c r="D57" s="13">
        <v>43160</v>
      </c>
      <c r="E57" s="16">
        <f t="shared" si="25"/>
        <v>251012.73927958836</v>
      </c>
      <c r="F57" s="16">
        <f t="shared" si="26"/>
        <v>27872380.391532399</v>
      </c>
      <c r="G57" s="14">
        <f t="shared" si="27"/>
        <v>111.03970448482693</v>
      </c>
      <c r="H57" s="46">
        <f t="shared" si="15"/>
        <v>0</v>
      </c>
      <c r="I57" s="91">
        <f t="shared" si="16"/>
        <v>0</v>
      </c>
      <c r="J57" s="22">
        <f>VLOOKUP(D57,Data!$A$5:$V$197,8,FALSE)*5.83</f>
        <v>73.978946915999984</v>
      </c>
      <c r="K57" s="91">
        <f>VLOOKUP(D57,Data!$A$5:$V$197,17,FALSE)</f>
        <v>993.48198970840474</v>
      </c>
      <c r="L57" s="91">
        <f t="shared" si="9"/>
        <v>110315.94654821913</v>
      </c>
      <c r="M57" s="14">
        <f t="shared" si="28"/>
        <v>111.03970448482693</v>
      </c>
      <c r="N57" s="15">
        <f t="shared" si="29"/>
        <v>250019.25728987996</v>
      </c>
      <c r="O57" s="15">
        <f t="shared" si="30"/>
        <v>27762064.444984179</v>
      </c>
      <c r="P57" s="22">
        <f t="shared" si="31"/>
        <v>111.03970448482693</v>
      </c>
      <c r="Q57" s="31">
        <f t="shared" si="32"/>
        <v>248335.91542419841</v>
      </c>
      <c r="R57" s="31">
        <f t="shared" si="33"/>
        <v>27861112.734792635</v>
      </c>
      <c r="S57" s="32">
        <f t="shared" si="34"/>
        <v>112.1912337456356</v>
      </c>
      <c r="T57" s="31">
        <f t="shared" si="19"/>
        <v>258050.25728987996</v>
      </c>
      <c r="U57" s="7">
        <v>8000</v>
      </c>
      <c r="V57" s="37">
        <f t="shared" si="20"/>
        <v>126.80033331129815</v>
      </c>
    </row>
    <row r="58" spans="1:22">
      <c r="A58" s="21">
        <v>8031</v>
      </c>
      <c r="B58" s="21">
        <v>10000</v>
      </c>
      <c r="C58" s="21">
        <v>260000</v>
      </c>
      <c r="D58" s="13">
        <v>43191</v>
      </c>
      <c r="E58" s="16">
        <f t="shared" si="25"/>
        <v>250019.25728987996</v>
      </c>
      <c r="F58" s="16">
        <f t="shared" si="26"/>
        <v>27762064.444984179</v>
      </c>
      <c r="G58" s="14">
        <f t="shared" si="27"/>
        <v>111.03970448482693</v>
      </c>
      <c r="H58" s="46">
        <f t="shared" si="15"/>
        <v>0</v>
      </c>
      <c r="I58" s="91">
        <f t="shared" si="16"/>
        <v>0</v>
      </c>
      <c r="J58" s="22">
        <f>VLOOKUP(D58,Data!$A$5:$V$197,8,FALSE)*5.83</f>
        <v>73.810946915999992</v>
      </c>
      <c r="K58" s="91">
        <f>VLOOKUP(D58,Data!$A$5:$V$197,17,FALSE)</f>
        <v>1285.934819897084</v>
      </c>
      <c r="L58" s="91">
        <f t="shared" si="9"/>
        <v>142789.82238812133</v>
      </c>
      <c r="M58" s="14">
        <f t="shared" si="28"/>
        <v>111.03970448482691</v>
      </c>
      <c r="N58" s="15">
        <f t="shared" si="29"/>
        <v>248733.32246998287</v>
      </c>
      <c r="O58" s="15">
        <f t="shared" si="30"/>
        <v>27619274.622596059</v>
      </c>
      <c r="P58" s="22">
        <f t="shared" si="31"/>
        <v>111.03970448482693</v>
      </c>
      <c r="Q58" s="31">
        <f t="shared" si="32"/>
        <v>248828.5561419712</v>
      </c>
      <c r="R58" s="31">
        <f t="shared" si="33"/>
        <v>27851172.761033557</v>
      </c>
      <c r="S58" s="32">
        <f t="shared" si="34"/>
        <v>111.9291659802215</v>
      </c>
      <c r="T58" s="31">
        <f t="shared" si="19"/>
        <v>256764.32246998287</v>
      </c>
      <c r="U58" s="7">
        <v>8000</v>
      </c>
      <c r="V58" s="37">
        <f t="shared" si="20"/>
        <v>126.14823654664445</v>
      </c>
    </row>
    <row r="59" spans="1:22">
      <c r="A59" s="21">
        <v>8031</v>
      </c>
      <c r="B59" s="21">
        <v>10000</v>
      </c>
      <c r="C59" s="21">
        <v>260000</v>
      </c>
      <c r="D59" s="13">
        <v>43221</v>
      </c>
      <c r="E59" s="16">
        <f t="shared" si="25"/>
        <v>248733.32246998287</v>
      </c>
      <c r="F59" s="16">
        <f t="shared" si="26"/>
        <v>27619274.622596059</v>
      </c>
      <c r="G59" s="14">
        <f t="shared" si="27"/>
        <v>111.03970448482693</v>
      </c>
      <c r="H59" s="46">
        <f t="shared" si="15"/>
        <v>0</v>
      </c>
      <c r="I59" s="91">
        <f t="shared" si="16"/>
        <v>0</v>
      </c>
      <c r="J59" s="22">
        <f>VLOOKUP(D59,Data!$A$5:$V$197,8,FALSE)*5.83</f>
        <v>74.188946915999992</v>
      </c>
      <c r="K59" s="91">
        <f>VLOOKUP(D59,Data!$A$5:$V$197,17,FALSE)</f>
        <v>2204.9742710120067</v>
      </c>
      <c r="L59" s="91">
        <f t="shared" si="9"/>
        <v>244839.69144981992</v>
      </c>
      <c r="M59" s="14">
        <f t="shared" si="28"/>
        <v>111.03970448482693</v>
      </c>
      <c r="N59" s="15">
        <f t="shared" si="29"/>
        <v>246528.34819897087</v>
      </c>
      <c r="O59" s="15">
        <f t="shared" si="30"/>
        <v>27374434.931146238</v>
      </c>
      <c r="P59" s="22">
        <f t="shared" si="31"/>
        <v>111.03970448482691</v>
      </c>
      <c r="Q59" s="31">
        <f t="shared" si="32"/>
        <v>249160.3181158464</v>
      </c>
      <c r="R59" s="31">
        <f t="shared" si="33"/>
        <v>27823399.149370294</v>
      </c>
      <c r="S59" s="32">
        <f t="shared" si="34"/>
        <v>111.66866120484676</v>
      </c>
      <c r="T59" s="31">
        <f t="shared" si="19"/>
        <v>254559.34819897087</v>
      </c>
      <c r="U59" s="7">
        <v>8000</v>
      </c>
      <c r="V59" s="37">
        <f t="shared" si="20"/>
        <v>125.0300954355836</v>
      </c>
    </row>
    <row r="60" spans="1:22">
      <c r="A60" s="21">
        <v>8031</v>
      </c>
      <c r="B60" s="21">
        <v>10000</v>
      </c>
      <c r="C60" s="21">
        <v>260000</v>
      </c>
      <c r="D60" s="13">
        <v>43252</v>
      </c>
      <c r="E60" s="16">
        <f t="shared" si="25"/>
        <v>246528.34819897087</v>
      </c>
      <c r="F60" s="16">
        <f t="shared" si="26"/>
        <v>27374434.931146238</v>
      </c>
      <c r="G60" s="14">
        <f t="shared" si="27"/>
        <v>111.03970448482691</v>
      </c>
      <c r="H60" s="46">
        <f t="shared" si="15"/>
        <v>0</v>
      </c>
      <c r="I60" s="91">
        <f t="shared" si="16"/>
        <v>0</v>
      </c>
      <c r="J60" s="22">
        <f>VLOOKUP(D60,Data!$A$5:$V$197,8,FALSE)*5.83</f>
        <v>74.629946915999994</v>
      </c>
      <c r="K60" s="91">
        <f>VLOOKUP(D60,Data!$A$5:$V$197,17,FALSE)</f>
        <v>935.67753001715266</v>
      </c>
      <c r="L60" s="91">
        <f t="shared" si="9"/>
        <v>103897.3564261974</v>
      </c>
      <c r="M60" s="14">
        <f t="shared" si="28"/>
        <v>111.03970448482691</v>
      </c>
      <c r="N60" s="15">
        <f t="shared" si="29"/>
        <v>245592.67066895371</v>
      </c>
      <c r="O60" s="15">
        <f t="shared" si="30"/>
        <v>27270537.57472004</v>
      </c>
      <c r="P60" s="22">
        <f t="shared" si="31"/>
        <v>111.03970448482691</v>
      </c>
      <c r="Q60" s="31">
        <f t="shared" si="32"/>
        <v>248669.83124422745</v>
      </c>
      <c r="R60" s="31">
        <f t="shared" si="33"/>
        <v>27737029.630100265</v>
      </c>
      <c r="S60" s="32">
        <f t="shared" si="34"/>
        <v>111.54159509948252</v>
      </c>
      <c r="T60" s="31">
        <f t="shared" si="19"/>
        <v>253623.67066895371</v>
      </c>
      <c r="U60" s="7">
        <v>18000</v>
      </c>
      <c r="V60" s="37">
        <f t="shared" si="20"/>
        <v>119.48462001468241</v>
      </c>
    </row>
    <row r="61" spans="1:22">
      <c r="A61" s="21">
        <v>8031</v>
      </c>
      <c r="B61" s="21">
        <v>10000</v>
      </c>
      <c r="C61" s="21">
        <v>260000</v>
      </c>
      <c r="D61" s="13">
        <v>43282</v>
      </c>
      <c r="E61" s="16">
        <f t="shared" si="25"/>
        <v>245592.67066895371</v>
      </c>
      <c r="F61" s="16">
        <f t="shared" si="26"/>
        <v>27270537.57472004</v>
      </c>
      <c r="G61" s="14">
        <f t="shared" si="27"/>
        <v>111.03970448482691</v>
      </c>
      <c r="H61" s="46">
        <f t="shared" si="15"/>
        <v>0</v>
      </c>
      <c r="I61" s="91">
        <f t="shared" si="16"/>
        <v>0</v>
      </c>
      <c r="J61" s="22">
        <f>VLOOKUP(D61,Data!$A$5:$V$197,8,FALSE)*5.83</f>
        <v>75.175946915999987</v>
      </c>
      <c r="K61" s="91">
        <f>VLOOKUP(D61,Data!$A$5:$V$197,17,FALSE)</f>
        <v>913.722126929674</v>
      </c>
      <c r="L61" s="91">
        <f t="shared" si="9"/>
        <v>101459.4349555185</v>
      </c>
      <c r="M61" s="14">
        <f t="shared" si="28"/>
        <v>111.03970448482691</v>
      </c>
      <c r="N61" s="15">
        <f t="shared" si="29"/>
        <v>244678.94854202404</v>
      </c>
      <c r="O61" s="15">
        <f t="shared" si="30"/>
        <v>27169078.139764521</v>
      </c>
      <c r="P61" s="22">
        <f t="shared" si="31"/>
        <v>111.03970448482691</v>
      </c>
      <c r="Q61" s="31">
        <f t="shared" si="32"/>
        <v>248204.20253331572</v>
      </c>
      <c r="R61" s="31">
        <f t="shared" si="33"/>
        <v>27653576.975451194</v>
      </c>
      <c r="S61" s="32">
        <f t="shared" si="34"/>
        <v>111.41462027315728</v>
      </c>
      <c r="T61" s="31">
        <f t="shared" si="19"/>
        <v>252709.94854202404</v>
      </c>
      <c r="U61" s="7">
        <v>18000</v>
      </c>
      <c r="V61" s="37">
        <f t="shared" si="20"/>
        <v>119.0212720801339</v>
      </c>
    </row>
    <row r="62" spans="1:22">
      <c r="A62" s="21">
        <v>8031</v>
      </c>
      <c r="B62" s="21">
        <v>10000</v>
      </c>
      <c r="C62" s="21">
        <v>260000</v>
      </c>
      <c r="D62" s="13">
        <v>43313</v>
      </c>
      <c r="E62" s="16">
        <f t="shared" si="25"/>
        <v>244678.94854202404</v>
      </c>
      <c r="F62" s="16">
        <f t="shared" si="26"/>
        <v>27169078.139764521</v>
      </c>
      <c r="G62" s="14">
        <f t="shared" si="27"/>
        <v>111.03970448482691</v>
      </c>
      <c r="H62" s="46">
        <f t="shared" si="15"/>
        <v>0</v>
      </c>
      <c r="I62" s="91">
        <f t="shared" si="16"/>
        <v>0</v>
      </c>
      <c r="J62" s="22">
        <f>VLOOKUP(D62,Data!$A$5:$V$197,8,FALSE)*5.83</f>
        <v>75.700946915999978</v>
      </c>
      <c r="K62" s="91">
        <f>VLOOKUP(D62,Data!$A$5:$V$197,17,FALSE)</f>
        <v>1310.2915951972557</v>
      </c>
      <c r="L62" s="91">
        <f t="shared" si="9"/>
        <v>145494.39151965574</v>
      </c>
      <c r="M62" s="14">
        <f t="shared" si="28"/>
        <v>111.03970448482693</v>
      </c>
      <c r="N62" s="15">
        <f t="shared" si="29"/>
        <v>243368.65694682678</v>
      </c>
      <c r="O62" s="15">
        <f t="shared" si="30"/>
        <v>27023583.748244867</v>
      </c>
      <c r="P62" s="22">
        <f t="shared" si="31"/>
        <v>111.03970448482693</v>
      </c>
      <c r="Q62" s="31">
        <f t="shared" si="32"/>
        <v>247879.66103707612</v>
      </c>
      <c r="R62" s="31">
        <f t="shared" si="33"/>
        <v>27586188.771623686</v>
      </c>
      <c r="S62" s="32">
        <f t="shared" si="34"/>
        <v>111.28863359022237</v>
      </c>
      <c r="T62" s="31">
        <f t="shared" si="19"/>
        <v>251399.65694682678</v>
      </c>
      <c r="U62" s="7">
        <v>18000</v>
      </c>
      <c r="V62" s="37">
        <f t="shared" si="20"/>
        <v>118.35682400954705</v>
      </c>
    </row>
    <row r="63" spans="1:22">
      <c r="A63" s="21">
        <v>8031</v>
      </c>
      <c r="B63" s="21">
        <v>10000</v>
      </c>
      <c r="C63" s="21">
        <v>260000</v>
      </c>
      <c r="D63" s="13">
        <v>43344</v>
      </c>
      <c r="E63" s="16">
        <f t="shared" si="25"/>
        <v>243368.65694682678</v>
      </c>
      <c r="F63" s="16">
        <f t="shared" si="26"/>
        <v>27023583.748244867</v>
      </c>
      <c r="G63" s="14">
        <f t="shared" si="27"/>
        <v>111.03970448482693</v>
      </c>
      <c r="H63" s="46">
        <f t="shared" si="15"/>
        <v>0</v>
      </c>
      <c r="I63" s="91">
        <f t="shared" si="16"/>
        <v>0</v>
      </c>
      <c r="J63" s="22">
        <f>VLOOKUP(D63,Data!$A$5:$V$197,8,FALSE)*5.83</f>
        <v>76.246946915999985</v>
      </c>
      <c r="K63" s="91">
        <f>VLOOKUP(D63,Data!$A$5:$V$197,17,FALSE)</f>
        <v>1360.0343053173242</v>
      </c>
      <c r="L63" s="91">
        <f t="shared" si="9"/>
        <v>151017.80735166254</v>
      </c>
      <c r="M63" s="14">
        <f t="shared" si="28"/>
        <v>111.03970448482691</v>
      </c>
      <c r="N63" s="15">
        <f t="shared" si="29"/>
        <v>242008.62264150946</v>
      </c>
      <c r="O63" s="15">
        <f t="shared" si="30"/>
        <v>26872565.940893203</v>
      </c>
      <c r="P63" s="22">
        <f t="shared" si="31"/>
        <v>111.03970448482691</v>
      </c>
      <c r="Q63" s="31">
        <f t="shared" si="32"/>
        <v>247663.02295817388</v>
      </c>
      <c r="R63" s="31">
        <f t="shared" si="33"/>
        <v>27531131.972912971</v>
      </c>
      <c r="S63" s="32">
        <f t="shared" si="34"/>
        <v>111.16367572385853</v>
      </c>
      <c r="T63" s="31">
        <f t="shared" si="19"/>
        <v>250039.62264150946</v>
      </c>
      <c r="U63" s="7">
        <v>18000</v>
      </c>
      <c r="V63" s="37">
        <f t="shared" si="20"/>
        <v>117.66715144092771</v>
      </c>
    </row>
    <row r="64" spans="1:22">
      <c r="A64" s="21">
        <v>8031</v>
      </c>
      <c r="B64" s="21">
        <v>10000</v>
      </c>
      <c r="C64" s="21">
        <v>260000</v>
      </c>
      <c r="D64" s="13">
        <v>43374</v>
      </c>
      <c r="E64" s="16">
        <f t="shared" si="25"/>
        <v>242008.62264150946</v>
      </c>
      <c r="F64" s="16">
        <f t="shared" si="26"/>
        <v>26872565.940893203</v>
      </c>
      <c r="G64" s="14">
        <f t="shared" si="27"/>
        <v>111.03970448482691</v>
      </c>
      <c r="H64" s="46">
        <f t="shared" si="15"/>
        <v>14084.734133790713</v>
      </c>
      <c r="I64" s="91">
        <f t="shared" si="16"/>
        <v>1081312.4612453536</v>
      </c>
      <c r="J64" s="22">
        <f>VLOOKUP(D64,Data!$A$5:$V$197,8,FALSE)*5.83</f>
        <v>76.771946915999976</v>
      </c>
      <c r="K64" s="91">
        <f>VLOOKUP(D64,Data!$A$5:$V$197,17,FALSE)</f>
        <v>4124.3567753001707</v>
      </c>
      <c r="L64" s="91">
        <f t="shared" si="9"/>
        <v>450194.29334489082</v>
      </c>
      <c r="M64" s="14">
        <f t="shared" si="28"/>
        <v>109.15503140780677</v>
      </c>
      <c r="N64" s="15">
        <f t="shared" si="29"/>
        <v>251969</v>
      </c>
      <c r="O64" s="15">
        <f t="shared" si="30"/>
        <v>27503684.108793665</v>
      </c>
      <c r="P64" s="22">
        <f t="shared" si="31"/>
        <v>109.15503140780677</v>
      </c>
      <c r="Q64" s="31">
        <f t="shared" si="32"/>
        <v>248393.76580023751</v>
      </c>
      <c r="R64" s="31">
        <f t="shared" si="33"/>
        <v>27545041.18182832</v>
      </c>
      <c r="S64" s="32">
        <f t="shared" si="34"/>
        <v>110.89264294974501</v>
      </c>
      <c r="T64" s="31">
        <f t="shared" si="19"/>
        <v>260000</v>
      </c>
      <c r="U64" s="7">
        <v>18000</v>
      </c>
      <c r="V64" s="37">
        <f t="shared" si="20"/>
        <v>122.71805273833671</v>
      </c>
    </row>
    <row r="65" spans="1:22">
      <c r="A65" s="21">
        <v>8031</v>
      </c>
      <c r="B65" s="21">
        <v>10000</v>
      </c>
      <c r="C65" s="21">
        <v>260000</v>
      </c>
      <c r="D65" s="13">
        <v>43405</v>
      </c>
      <c r="E65" s="16">
        <f t="shared" si="25"/>
        <v>251969</v>
      </c>
      <c r="F65" s="16">
        <f t="shared" si="26"/>
        <v>27503684.108793665</v>
      </c>
      <c r="G65" s="14">
        <f t="shared" si="27"/>
        <v>109.15503140780677</v>
      </c>
      <c r="H65" s="46">
        <f t="shared" si="15"/>
        <v>0</v>
      </c>
      <c r="I65" s="91">
        <f t="shared" si="16"/>
        <v>0</v>
      </c>
      <c r="J65" s="22">
        <f>VLOOKUP(D65,Data!$A$5:$V$197,8,FALSE)*5.83</f>
        <v>77.170946916000005</v>
      </c>
      <c r="K65" s="91">
        <f>VLOOKUP(D65,Data!$A$5:$V$197,17,FALSE)</f>
        <v>12.34991423670669</v>
      </c>
      <c r="L65" s="91">
        <f t="shared" si="9"/>
        <v>1348.0552763914388</v>
      </c>
      <c r="M65" s="14">
        <f t="shared" si="28"/>
        <v>109.15503140780677</v>
      </c>
      <c r="N65" s="15">
        <f t="shared" si="29"/>
        <v>251956.65008576331</v>
      </c>
      <c r="O65" s="15">
        <f t="shared" si="30"/>
        <v>27502336.053517275</v>
      </c>
      <c r="P65" s="22">
        <f t="shared" si="31"/>
        <v>109.15503140780677</v>
      </c>
      <c r="Q65" s="31">
        <f t="shared" si="32"/>
        <v>248392.81580683467</v>
      </c>
      <c r="R65" s="31">
        <f t="shared" si="33"/>
        <v>27508408.316765234</v>
      </c>
      <c r="S65" s="32">
        <f t="shared" si="34"/>
        <v>110.74558749781814</v>
      </c>
      <c r="T65" s="31">
        <f t="shared" si="19"/>
        <v>259987.65008576331</v>
      </c>
      <c r="U65" s="7">
        <v>18000</v>
      </c>
      <c r="V65" s="37">
        <f t="shared" si="20"/>
        <v>122.71179010434244</v>
      </c>
    </row>
    <row r="66" spans="1:22">
      <c r="A66" s="21">
        <v>8031</v>
      </c>
      <c r="B66" s="21">
        <v>10000</v>
      </c>
      <c r="C66" s="21">
        <v>260000</v>
      </c>
      <c r="D66" s="13">
        <v>43435</v>
      </c>
      <c r="E66" s="16">
        <f t="shared" si="25"/>
        <v>251956.65008576331</v>
      </c>
      <c r="F66" s="16">
        <f t="shared" si="26"/>
        <v>27502336.053517275</v>
      </c>
      <c r="G66" s="14">
        <f t="shared" si="27"/>
        <v>109.15503140780677</v>
      </c>
      <c r="H66" s="46">
        <f t="shared" si="15"/>
        <v>0</v>
      </c>
      <c r="I66" s="91">
        <f t="shared" si="16"/>
        <v>0</v>
      </c>
      <c r="J66" s="22">
        <f>VLOOKUP(D66,Data!$A$5:$V$197,8,FALSE)*5.83</f>
        <v>77.50694691599999</v>
      </c>
      <c r="K66" s="91">
        <f>VLOOKUP(D66,Data!$A$5:$V$197,17,FALSE)</f>
        <v>0</v>
      </c>
      <c r="L66" s="91">
        <f t="shared" si="9"/>
        <v>0</v>
      </c>
      <c r="M66" s="14">
        <f t="shared" si="28"/>
        <v>0</v>
      </c>
      <c r="N66" s="15">
        <f t="shared" si="29"/>
        <v>251956.65008576331</v>
      </c>
      <c r="O66" s="15">
        <f t="shared" si="30"/>
        <v>27502336.053517275</v>
      </c>
      <c r="P66" s="22">
        <f t="shared" si="31"/>
        <v>109.15503140780677</v>
      </c>
      <c r="Q66" s="31">
        <f t="shared" si="32"/>
        <v>248460.29172714075</v>
      </c>
      <c r="R66" s="31">
        <f t="shared" si="33"/>
        <v>27479373.444939498</v>
      </c>
      <c r="S66" s="32">
        <f t="shared" si="34"/>
        <v>110.59865242015157</v>
      </c>
      <c r="T66" s="31">
        <f t="shared" si="19"/>
        <v>259987.65008576331</v>
      </c>
      <c r="U66" s="7">
        <v>8000</v>
      </c>
      <c r="V66" s="37">
        <f t="shared" si="20"/>
        <v>127.78278401914974</v>
      </c>
    </row>
    <row r="67" spans="1:22">
      <c r="A67" s="47">
        <v>8031</v>
      </c>
      <c r="B67" s="47">
        <v>10000</v>
      </c>
      <c r="C67" s="47">
        <v>260000</v>
      </c>
      <c r="D67" s="13">
        <v>43466</v>
      </c>
      <c r="E67" s="16">
        <f t="shared" ref="E67:E90" si="35">N66</f>
        <v>251956.65008576331</v>
      </c>
      <c r="F67" s="16">
        <f t="shared" ref="F67:F90" si="36">O66</f>
        <v>27502336.053517275</v>
      </c>
      <c r="G67" s="14">
        <f t="shared" ref="G67:G90" si="37">P66</f>
        <v>109.15503140780677</v>
      </c>
      <c r="H67" s="46">
        <f t="shared" si="15"/>
        <v>0</v>
      </c>
      <c r="I67" s="91">
        <f t="shared" si="16"/>
        <v>0</v>
      </c>
      <c r="J67" s="22">
        <f>VLOOKUP(D67,Data!$A$5:$V$197,8,FALSE)*5.83</f>
        <v>83.248223461435202</v>
      </c>
      <c r="K67" s="91">
        <f>VLOOKUP(D67,Data!$A$5:$V$197,17,FALSE)</f>
        <v>816.98113207547181</v>
      </c>
      <c r="L67" s="91">
        <f t="shared" si="9"/>
        <v>89177.601131283664</v>
      </c>
      <c r="M67" s="14">
        <f t="shared" ref="M67:M90" si="38">IF(K67=0,0,L67/K67)</f>
        <v>109.15503140780677</v>
      </c>
      <c r="N67" s="46">
        <f t="shared" ref="N67:N90" si="39">+E67+H67-K67</f>
        <v>251139.66895368783</v>
      </c>
      <c r="O67" s="46">
        <f t="shared" ref="O67:O90" si="40">+F67+I67-L67</f>
        <v>27413158.452385992</v>
      </c>
      <c r="P67" s="22">
        <f t="shared" ref="P67:P90" si="41">IF(N67=0,0,O67/N67)</f>
        <v>109.15503140780677</v>
      </c>
      <c r="Q67" s="55">
        <f t="shared" ref="Q67:Q90" si="42">AVERAGE(N55:N67)</f>
        <v>248464.92294497954</v>
      </c>
      <c r="R67" s="55">
        <f t="shared" ref="R67:R90" si="43">AVERAGE(O55:O67)</f>
        <v>27443478.757642124</v>
      </c>
      <c r="S67" s="32">
        <f t="shared" ref="S67:S90" si="44">IF(Q67=0,0,R67/Q67)</f>
        <v>110.45212512238297</v>
      </c>
      <c r="T67" s="55">
        <f t="shared" ref="T67:T90" si="45">N67+A67</f>
        <v>259170.66895368783</v>
      </c>
      <c r="U67" s="45">
        <v>8001</v>
      </c>
      <c r="V67" s="37">
        <f t="shared" ref="V67:V90" si="46">(T67-U67)/1972</f>
        <v>127.36798628483156</v>
      </c>
    </row>
    <row r="68" spans="1:22">
      <c r="A68" s="47">
        <v>8031</v>
      </c>
      <c r="B68" s="47">
        <v>10000</v>
      </c>
      <c r="C68" s="47">
        <v>260000</v>
      </c>
      <c r="D68" s="13">
        <v>43497</v>
      </c>
      <c r="E68" s="16">
        <f t="shared" si="35"/>
        <v>251139.66895368783</v>
      </c>
      <c r="F68" s="16">
        <f t="shared" si="36"/>
        <v>27413158.452385992</v>
      </c>
      <c r="G68" s="14">
        <f t="shared" si="37"/>
        <v>109.15503140780677</v>
      </c>
      <c r="H68" s="46">
        <f t="shared" si="15"/>
        <v>0</v>
      </c>
      <c r="I68" s="91">
        <f t="shared" si="16"/>
        <v>0</v>
      </c>
      <c r="J68" s="22">
        <f>VLOOKUP(D68,Data!$A$5:$V$197,8,FALSE)*5.83</f>
        <v>85.835650543006707</v>
      </c>
      <c r="K68" s="91">
        <f>VLOOKUP(D68,Data!$A$5:$V$197,17,FALSE)</f>
        <v>0</v>
      </c>
      <c r="L68" s="91">
        <f t="shared" si="9"/>
        <v>0</v>
      </c>
      <c r="M68" s="14">
        <f t="shared" si="38"/>
        <v>0</v>
      </c>
      <c r="N68" s="46">
        <f t="shared" si="39"/>
        <v>251139.66895368783</v>
      </c>
      <c r="O68" s="46">
        <f t="shared" si="40"/>
        <v>27413158.452385992</v>
      </c>
      <c r="P68" s="22">
        <f t="shared" si="41"/>
        <v>109.15503140780677</v>
      </c>
      <c r="Q68" s="55">
        <f t="shared" si="42"/>
        <v>248469.5541628183</v>
      </c>
      <c r="R68" s="55">
        <f t="shared" si="43"/>
        <v>27407584.07034475</v>
      </c>
      <c r="S68" s="32">
        <f t="shared" si="44"/>
        <v>110.30560328685171</v>
      </c>
      <c r="T68" s="55">
        <f t="shared" si="45"/>
        <v>259170.66895368783</v>
      </c>
      <c r="U68" s="45">
        <v>8002</v>
      </c>
      <c r="V68" s="37">
        <f t="shared" si="46"/>
        <v>127.36747918544008</v>
      </c>
    </row>
    <row r="69" spans="1:22">
      <c r="A69" s="47">
        <v>8031</v>
      </c>
      <c r="B69" s="47">
        <v>10000</v>
      </c>
      <c r="C69" s="47">
        <v>260000</v>
      </c>
      <c r="D69" s="13">
        <v>43525</v>
      </c>
      <c r="E69" s="16">
        <f t="shared" si="35"/>
        <v>251139.66895368783</v>
      </c>
      <c r="F69" s="16">
        <f t="shared" si="36"/>
        <v>27413158.452385992</v>
      </c>
      <c r="G69" s="14">
        <f t="shared" si="37"/>
        <v>109.15503140780677</v>
      </c>
      <c r="H69" s="46">
        <f t="shared" si="15"/>
        <v>0</v>
      </c>
      <c r="I69" s="91">
        <f t="shared" si="16"/>
        <v>0</v>
      </c>
      <c r="J69" s="22">
        <f>VLOOKUP(D69,Data!$A$5:$V$197,8,FALSE)*5.83</f>
        <v>89.886073263527052</v>
      </c>
      <c r="K69" s="91">
        <f>VLOOKUP(D69,Data!$A$5:$V$197,17,FALSE)</f>
        <v>0</v>
      </c>
      <c r="L69" s="91">
        <f t="shared" si="9"/>
        <v>0</v>
      </c>
      <c r="M69" s="14">
        <f t="shared" si="38"/>
        <v>0</v>
      </c>
      <c r="N69" s="46">
        <f t="shared" si="39"/>
        <v>251139.66895368783</v>
      </c>
      <c r="O69" s="46">
        <f t="shared" si="40"/>
        <v>27413158.452385992</v>
      </c>
      <c r="P69" s="22">
        <f t="shared" si="41"/>
        <v>109.15503140780677</v>
      </c>
      <c r="Q69" s="55">
        <f t="shared" si="42"/>
        <v>248479.31798390293</v>
      </c>
      <c r="R69" s="55">
        <f t="shared" si="43"/>
        <v>27372259.305795029</v>
      </c>
      <c r="S69" s="32">
        <f t="shared" si="44"/>
        <v>110.1591051033401</v>
      </c>
      <c r="T69" s="55">
        <f t="shared" si="45"/>
        <v>259170.66895368783</v>
      </c>
      <c r="U69" s="45">
        <v>8003</v>
      </c>
      <c r="V69" s="37">
        <f t="shared" si="46"/>
        <v>127.36697208604859</v>
      </c>
    </row>
    <row r="70" spans="1:22">
      <c r="A70" s="47">
        <v>8031</v>
      </c>
      <c r="B70" s="47">
        <v>10000</v>
      </c>
      <c r="C70" s="47">
        <v>260000</v>
      </c>
      <c r="D70" s="13">
        <v>43556</v>
      </c>
      <c r="E70" s="16">
        <f t="shared" si="35"/>
        <v>251139.66895368783</v>
      </c>
      <c r="F70" s="16">
        <f t="shared" si="36"/>
        <v>27413158.452385992</v>
      </c>
      <c r="G70" s="14">
        <f t="shared" si="37"/>
        <v>109.15503140780677</v>
      </c>
      <c r="H70" s="46">
        <f t="shared" si="15"/>
        <v>0</v>
      </c>
      <c r="I70" s="91">
        <f t="shared" si="16"/>
        <v>0</v>
      </c>
      <c r="J70" s="22">
        <f>VLOOKUP(D70,Data!$A$5:$V$197,8,FALSE)*5.83</f>
        <v>92.219245272171108</v>
      </c>
      <c r="K70" s="91">
        <f>VLOOKUP(D70,Data!$A$5:$V$197,17,FALSE)</f>
        <v>1520.9262435677529</v>
      </c>
      <c r="L70" s="91">
        <f t="shared" si="9"/>
        <v>166016.75188559564</v>
      </c>
      <c r="M70" s="14">
        <f t="shared" si="38"/>
        <v>109.15503140780677</v>
      </c>
      <c r="N70" s="46">
        <f t="shared" si="39"/>
        <v>249618.74271012007</v>
      </c>
      <c r="O70" s="46">
        <f t="shared" si="40"/>
        <v>27247141.700500395</v>
      </c>
      <c r="P70" s="22">
        <f t="shared" si="41"/>
        <v>109.15503140780677</v>
      </c>
      <c r="Q70" s="55">
        <f t="shared" si="42"/>
        <v>248448.50917007524</v>
      </c>
      <c r="R70" s="55">
        <f t="shared" si="43"/>
        <v>27332649.863911655</v>
      </c>
      <c r="S70" s="32">
        <f t="shared" si="44"/>
        <v>110.01333819717594</v>
      </c>
      <c r="T70" s="55">
        <f t="shared" si="45"/>
        <v>257649.74271012007</v>
      </c>
      <c r="U70" s="45">
        <v>8004</v>
      </c>
      <c r="V70" s="37">
        <f t="shared" si="46"/>
        <v>126.59520421405684</v>
      </c>
    </row>
    <row r="71" spans="1:22">
      <c r="A71" s="47">
        <v>8031</v>
      </c>
      <c r="B71" s="47">
        <v>10000</v>
      </c>
      <c r="C71" s="47">
        <v>260000</v>
      </c>
      <c r="D71" s="13">
        <v>43586</v>
      </c>
      <c r="E71" s="16">
        <f t="shared" si="35"/>
        <v>249618.74271012007</v>
      </c>
      <c r="F71" s="16">
        <f t="shared" si="36"/>
        <v>27247141.700500395</v>
      </c>
      <c r="G71" s="14">
        <f t="shared" si="37"/>
        <v>109.15503140780677</v>
      </c>
      <c r="H71" s="46">
        <f t="shared" si="15"/>
        <v>0</v>
      </c>
      <c r="I71" s="91">
        <f t="shared" si="16"/>
        <v>0</v>
      </c>
      <c r="J71" s="22">
        <f>VLOOKUP(D71,Data!$A$5:$V$197,8,FALSE)*5.83</f>
        <v>91.297288495978975</v>
      </c>
      <c r="K71" s="91">
        <f>VLOOKUP(D71,Data!$A$5:$V$197,17,FALSE)</f>
        <v>2345.9691252144085</v>
      </c>
      <c r="L71" s="91">
        <f t="shared" si="9"/>
        <v>256074.33354452375</v>
      </c>
      <c r="M71" s="14">
        <f t="shared" si="38"/>
        <v>109.15503140780677</v>
      </c>
      <c r="N71" s="46">
        <f t="shared" si="39"/>
        <v>247272.77358490566</v>
      </c>
      <c r="O71" s="46">
        <f t="shared" si="40"/>
        <v>26991067.366955873</v>
      </c>
      <c r="P71" s="22">
        <f t="shared" si="41"/>
        <v>109.15503140780677</v>
      </c>
      <c r="Q71" s="55">
        <f t="shared" si="42"/>
        <v>248336.15925583849</v>
      </c>
      <c r="R71" s="55">
        <f t="shared" si="43"/>
        <v>27284326.228862412</v>
      </c>
      <c r="S71" s="32">
        <f t="shared" si="44"/>
        <v>109.86851979438812</v>
      </c>
      <c r="T71" s="55">
        <f t="shared" si="45"/>
        <v>255303.77358490566</v>
      </c>
      <c r="U71" s="45">
        <v>8005</v>
      </c>
      <c r="V71" s="37">
        <f t="shared" si="46"/>
        <v>125.40505759883655</v>
      </c>
    </row>
    <row r="72" spans="1:22">
      <c r="A72" s="47">
        <v>8031</v>
      </c>
      <c r="B72" s="47">
        <v>10000</v>
      </c>
      <c r="C72" s="47">
        <v>260000</v>
      </c>
      <c r="D72" s="13">
        <v>43617</v>
      </c>
      <c r="E72" s="16">
        <f t="shared" si="35"/>
        <v>247272.77358490566</v>
      </c>
      <c r="F72" s="16">
        <f t="shared" si="36"/>
        <v>26991067.366955873</v>
      </c>
      <c r="G72" s="14">
        <f t="shared" si="37"/>
        <v>109.15503140780677</v>
      </c>
      <c r="H72" s="46">
        <f t="shared" si="15"/>
        <v>0</v>
      </c>
      <c r="I72" s="91">
        <f t="shared" si="16"/>
        <v>0</v>
      </c>
      <c r="J72" s="22">
        <f>VLOOKUP(D72,Data!$A$5:$V$197,8,FALSE)*5.83</f>
        <v>92.048148646942678</v>
      </c>
      <c r="K72" s="91">
        <f>VLOOKUP(D72,Data!$A$5:$V$197,17,FALSE)</f>
        <v>1551.9725557461404</v>
      </c>
      <c r="L72" s="91">
        <f t="shared" si="9"/>
        <v>169405.61306652409</v>
      </c>
      <c r="M72" s="14">
        <f t="shared" si="38"/>
        <v>109.15503140780676</v>
      </c>
      <c r="N72" s="46">
        <f t="shared" si="39"/>
        <v>245720.80102915951</v>
      </c>
      <c r="O72" s="46">
        <f t="shared" si="40"/>
        <v>26821661.753889348</v>
      </c>
      <c r="P72" s="22">
        <f t="shared" si="41"/>
        <v>109.15503140780679</v>
      </c>
      <c r="Q72" s="55">
        <f t="shared" si="42"/>
        <v>248274.0402427761</v>
      </c>
      <c r="R72" s="55">
        <f t="shared" si="43"/>
        <v>27241805.215227265</v>
      </c>
      <c r="S72" s="32">
        <f t="shared" si="44"/>
        <v>109.72474282284495</v>
      </c>
      <c r="T72" s="55">
        <f t="shared" si="45"/>
        <v>253751.80102915951</v>
      </c>
      <c r="U72" s="45">
        <v>8006</v>
      </c>
      <c r="V72" s="37">
        <f t="shared" si="46"/>
        <v>124.6175461608314</v>
      </c>
    </row>
    <row r="73" spans="1:22">
      <c r="A73" s="47">
        <v>8031</v>
      </c>
      <c r="B73" s="47">
        <v>10000</v>
      </c>
      <c r="C73" s="47">
        <v>260000</v>
      </c>
      <c r="D73" s="13">
        <v>43647</v>
      </c>
      <c r="E73" s="16">
        <f t="shared" si="35"/>
        <v>245720.80102915951</v>
      </c>
      <c r="F73" s="16">
        <f t="shared" si="36"/>
        <v>26821661.753889348</v>
      </c>
      <c r="G73" s="14">
        <f t="shared" si="37"/>
        <v>109.15503140780679</v>
      </c>
      <c r="H73" s="46">
        <f t="shared" si="15"/>
        <v>0</v>
      </c>
      <c r="I73" s="91">
        <f t="shared" si="16"/>
        <v>0</v>
      </c>
      <c r="J73" s="22">
        <f>VLOOKUP(D73,Data!$A$5:$V$197,8,FALSE)*5.83</f>
        <v>93.402980770097884</v>
      </c>
      <c r="K73" s="91">
        <f>VLOOKUP(D73,Data!$A$5:$V$197,17,FALSE)</f>
        <v>849.39965694682678</v>
      </c>
      <c r="L73" s="91">
        <f t="shared" si="9"/>
        <v>92716.246231811194</v>
      </c>
      <c r="M73" s="14">
        <f t="shared" si="38"/>
        <v>109.15503140780679</v>
      </c>
      <c r="N73" s="46">
        <f t="shared" si="39"/>
        <v>244871.40137221268</v>
      </c>
      <c r="O73" s="46">
        <f t="shared" si="40"/>
        <v>26728945.507657535</v>
      </c>
      <c r="P73" s="22">
        <f t="shared" si="41"/>
        <v>109.15503140780677</v>
      </c>
      <c r="Q73" s="55">
        <f t="shared" si="42"/>
        <v>248218.55798918067</v>
      </c>
      <c r="R73" s="55">
        <f t="shared" si="43"/>
        <v>27200144.286991682</v>
      </c>
      <c r="S73" s="32">
        <f t="shared" si="44"/>
        <v>109.58142899282043</v>
      </c>
      <c r="T73" s="55">
        <f t="shared" si="45"/>
        <v>252902.40137221268</v>
      </c>
      <c r="U73" s="45">
        <v>8007</v>
      </c>
      <c r="V73" s="37">
        <f t="shared" si="46"/>
        <v>124.18630901227824</v>
      </c>
    </row>
    <row r="74" spans="1:22">
      <c r="A74" s="47">
        <v>8031</v>
      </c>
      <c r="B74" s="47">
        <v>10000</v>
      </c>
      <c r="C74" s="47">
        <v>260000</v>
      </c>
      <c r="D74" s="13">
        <v>43678</v>
      </c>
      <c r="E74" s="16">
        <f t="shared" si="35"/>
        <v>244871.40137221268</v>
      </c>
      <c r="F74" s="16">
        <f t="shared" si="36"/>
        <v>26728945.507657535</v>
      </c>
      <c r="G74" s="14">
        <f t="shared" si="37"/>
        <v>109.15503140780677</v>
      </c>
      <c r="H74" s="46">
        <f t="shared" si="15"/>
        <v>0</v>
      </c>
      <c r="I74" s="91">
        <f t="shared" si="16"/>
        <v>0</v>
      </c>
      <c r="J74" s="22">
        <f>VLOOKUP(D74,Data!$A$5:$V$197,8,FALSE)*5.83</f>
        <v>92.508241899884936</v>
      </c>
      <c r="K74" s="91">
        <f>VLOOKUP(D74,Data!$A$5:$V$197,17,FALSE)</f>
        <v>1278.7307032590052</v>
      </c>
      <c r="L74" s="91">
        <f t="shared" si="9"/>
        <v>139579.89007636355</v>
      </c>
      <c r="M74" s="14">
        <f t="shared" si="38"/>
        <v>109.15503140780677</v>
      </c>
      <c r="N74" s="46">
        <f t="shared" si="39"/>
        <v>243592.67066895368</v>
      </c>
      <c r="O74" s="46">
        <f t="shared" si="40"/>
        <v>26589365.61758117</v>
      </c>
      <c r="P74" s="22">
        <f t="shared" si="41"/>
        <v>109.15503140780677</v>
      </c>
      <c r="Q74" s="55">
        <f t="shared" si="42"/>
        <v>248134.99815279062</v>
      </c>
      <c r="R74" s="55">
        <f t="shared" si="43"/>
        <v>27155551.016054507</v>
      </c>
      <c r="S74" s="32">
        <f t="shared" si="44"/>
        <v>109.43861695532894</v>
      </c>
      <c r="T74" s="55">
        <f t="shared" si="45"/>
        <v>251623.67066895368</v>
      </c>
      <c r="U74" s="45">
        <v>8008</v>
      </c>
      <c r="V74" s="37">
        <f t="shared" si="46"/>
        <v>123.53735835139639</v>
      </c>
    </row>
    <row r="75" spans="1:22">
      <c r="A75" s="47">
        <v>8031</v>
      </c>
      <c r="B75" s="47">
        <v>10000</v>
      </c>
      <c r="C75" s="47">
        <v>260000</v>
      </c>
      <c r="D75" s="13">
        <v>43709</v>
      </c>
      <c r="E75" s="16">
        <f t="shared" si="35"/>
        <v>243592.67066895368</v>
      </c>
      <c r="F75" s="16">
        <f t="shared" si="36"/>
        <v>26589365.61758117</v>
      </c>
      <c r="G75" s="14">
        <f t="shared" si="37"/>
        <v>109.15503140780677</v>
      </c>
      <c r="H75" s="46">
        <f t="shared" si="15"/>
        <v>11933.79073756433</v>
      </c>
      <c r="I75" s="91">
        <f t="shared" si="16"/>
        <v>1098929.1030797625</v>
      </c>
      <c r="J75" s="22">
        <f>VLOOKUP(D75,Data!$A$5:$V$197,8,FALSE)*5.83</f>
        <v>92.085501350432793</v>
      </c>
      <c r="K75" s="91">
        <f>VLOOKUP(D75,Data!$A$5:$V$197,17,FALSE)</f>
        <v>3557.4614065180103</v>
      </c>
      <c r="L75" s="91">
        <f t="shared" si="9"/>
        <v>385478.82414551015</v>
      </c>
      <c r="M75" s="14">
        <f t="shared" si="38"/>
        <v>108.35783725980347</v>
      </c>
      <c r="N75" s="46">
        <f t="shared" si="39"/>
        <v>251969</v>
      </c>
      <c r="O75" s="46">
        <f t="shared" si="40"/>
        <v>27302815.896515422</v>
      </c>
      <c r="P75" s="22">
        <f t="shared" si="41"/>
        <v>108.35783725980347</v>
      </c>
      <c r="Q75" s="55">
        <f t="shared" si="42"/>
        <v>248796.56300303474</v>
      </c>
      <c r="R75" s="55">
        <f t="shared" si="43"/>
        <v>27177030.412075318</v>
      </c>
      <c r="S75" s="32">
        <f t="shared" si="44"/>
        <v>109.23394633769045</v>
      </c>
      <c r="T75" s="55">
        <f t="shared" si="45"/>
        <v>260000</v>
      </c>
      <c r="U75" s="45">
        <v>8009</v>
      </c>
      <c r="V75" s="37">
        <f t="shared" si="46"/>
        <v>127.78448275862068</v>
      </c>
    </row>
    <row r="76" spans="1:22">
      <c r="A76" s="47">
        <v>8031</v>
      </c>
      <c r="B76" s="47">
        <v>10000</v>
      </c>
      <c r="C76" s="47">
        <v>260000</v>
      </c>
      <c r="D76" s="13">
        <v>43739</v>
      </c>
      <c r="E76" s="16">
        <f t="shared" si="35"/>
        <v>251969</v>
      </c>
      <c r="F76" s="16">
        <f t="shared" si="36"/>
        <v>27302815.896515422</v>
      </c>
      <c r="G76" s="14">
        <f t="shared" si="37"/>
        <v>108.35783725980347</v>
      </c>
      <c r="H76" s="46">
        <f t="shared" si="15"/>
        <v>0</v>
      </c>
      <c r="I76" s="91">
        <f t="shared" si="16"/>
        <v>0</v>
      </c>
      <c r="J76" s="22">
        <f>VLOOKUP(D76,Data!$A$5:$V$197,8,FALSE)*5.83</f>
        <v>90.953590515760666</v>
      </c>
      <c r="K76" s="91">
        <f>VLOOKUP(D76,Data!$A$5:$V$197,17,FALSE)</f>
        <v>1713.3790737564323</v>
      </c>
      <c r="L76" s="91">
        <f t="shared" si="9"/>
        <v>185658.0508384523</v>
      </c>
      <c r="M76" s="14">
        <f t="shared" si="38"/>
        <v>108.35783725980347</v>
      </c>
      <c r="N76" s="46">
        <f t="shared" si="39"/>
        <v>250255.62092624357</v>
      </c>
      <c r="O76" s="46">
        <f t="shared" si="40"/>
        <v>27117157.84567697</v>
      </c>
      <c r="P76" s="22">
        <f t="shared" si="41"/>
        <v>108.35783725980347</v>
      </c>
      <c r="Q76" s="55">
        <f t="shared" si="42"/>
        <v>249430.94748647584</v>
      </c>
      <c r="R76" s="55">
        <f t="shared" si="43"/>
        <v>27195845.173981763</v>
      </c>
      <c r="S76" s="32">
        <f t="shared" si="44"/>
        <v>109.03155942771025</v>
      </c>
      <c r="T76" s="55">
        <f t="shared" si="45"/>
        <v>258286.62092624357</v>
      </c>
      <c r="U76" s="45">
        <v>8010</v>
      </c>
      <c r="V76" s="37">
        <f t="shared" si="46"/>
        <v>126.91512217355151</v>
      </c>
    </row>
    <row r="77" spans="1:22">
      <c r="A77" s="47">
        <v>8031</v>
      </c>
      <c r="B77" s="47">
        <v>10000</v>
      </c>
      <c r="C77" s="47">
        <v>260000</v>
      </c>
      <c r="D77" s="13">
        <v>43770</v>
      </c>
      <c r="E77" s="16">
        <f t="shared" si="35"/>
        <v>250255.62092624357</v>
      </c>
      <c r="F77" s="16">
        <f t="shared" si="36"/>
        <v>27117157.84567697</v>
      </c>
      <c r="G77" s="14">
        <f t="shared" si="37"/>
        <v>108.35783725980347</v>
      </c>
      <c r="H77" s="46">
        <f t="shared" si="15"/>
        <v>0</v>
      </c>
      <c r="I77" s="91">
        <f t="shared" si="16"/>
        <v>0</v>
      </c>
      <c r="J77" s="22">
        <f>VLOOKUP(D77,Data!$A$5:$V$197,8,FALSE)*5.83</f>
        <v>90.564440845395012</v>
      </c>
      <c r="K77" s="91">
        <f>VLOOKUP(D77,Data!$A$5:$V$197,17,FALSE)</f>
        <v>0</v>
      </c>
      <c r="L77" s="91">
        <f t="shared" si="9"/>
        <v>0</v>
      </c>
      <c r="M77" s="14">
        <f t="shared" si="38"/>
        <v>0</v>
      </c>
      <c r="N77" s="46">
        <f t="shared" si="39"/>
        <v>250255.62092624357</v>
      </c>
      <c r="O77" s="46">
        <f t="shared" si="40"/>
        <v>27117157.84567697</v>
      </c>
      <c r="P77" s="22">
        <f t="shared" si="41"/>
        <v>108.35783725980347</v>
      </c>
      <c r="Q77" s="55">
        <f t="shared" si="42"/>
        <v>249299.14909618685</v>
      </c>
      <c r="R77" s="55">
        <f t="shared" si="43"/>
        <v>27166112.384511247</v>
      </c>
      <c r="S77" s="32">
        <f t="shared" si="44"/>
        <v>108.96993625128569</v>
      </c>
      <c r="T77" s="55">
        <f t="shared" si="45"/>
        <v>258286.62092624357</v>
      </c>
      <c r="U77" s="45">
        <v>8011</v>
      </c>
      <c r="V77" s="37">
        <f t="shared" si="46"/>
        <v>126.91461507416003</v>
      </c>
    </row>
    <row r="78" spans="1:22">
      <c r="A78" s="47">
        <v>8031</v>
      </c>
      <c r="B78" s="47">
        <v>10000</v>
      </c>
      <c r="C78" s="47">
        <v>260000</v>
      </c>
      <c r="D78" s="13">
        <v>43800</v>
      </c>
      <c r="E78" s="16">
        <f t="shared" si="35"/>
        <v>250255.62092624357</v>
      </c>
      <c r="F78" s="16">
        <f t="shared" si="36"/>
        <v>27117157.84567697</v>
      </c>
      <c r="G78" s="14">
        <f t="shared" si="37"/>
        <v>108.35783725980347</v>
      </c>
      <c r="H78" s="46">
        <f t="shared" si="15"/>
        <v>0</v>
      </c>
      <c r="I78" s="91">
        <f t="shared" si="16"/>
        <v>0</v>
      </c>
      <c r="J78" s="22">
        <f>VLOOKUP(D78,Data!$A$5:$V$197,8,FALSE)*5.83</f>
        <v>87.699479636351342</v>
      </c>
      <c r="K78" s="91">
        <f>VLOOKUP(D78,Data!$A$5:$V$197,17,FALSE)</f>
        <v>1326.5866209262435</v>
      </c>
      <c r="L78" s="91">
        <f t="shared" si="9"/>
        <v>143746.05718135851</v>
      </c>
      <c r="M78" s="14">
        <f t="shared" si="38"/>
        <v>108.35783725980349</v>
      </c>
      <c r="N78" s="46">
        <f t="shared" si="39"/>
        <v>248929.03430531733</v>
      </c>
      <c r="O78" s="46">
        <f t="shared" si="40"/>
        <v>26973411.788495611</v>
      </c>
      <c r="P78" s="22">
        <f t="shared" si="41"/>
        <v>108.35783725980347</v>
      </c>
      <c r="Q78" s="55">
        <f t="shared" si="42"/>
        <v>249066.25557461407</v>
      </c>
      <c r="R78" s="55">
        <f t="shared" si="43"/>
        <v>27125425.902586501</v>
      </c>
      <c r="S78" s="32">
        <f t="shared" si="44"/>
        <v>108.90847433349074</v>
      </c>
      <c r="T78" s="55">
        <f t="shared" si="45"/>
        <v>256960.03430531733</v>
      </c>
      <c r="U78" s="45">
        <v>8012</v>
      </c>
      <c r="V78" s="37">
        <f t="shared" si="46"/>
        <v>126.24139670655038</v>
      </c>
    </row>
    <row r="79" spans="1:22">
      <c r="A79" s="47">
        <v>8031</v>
      </c>
      <c r="B79" s="47">
        <v>10000</v>
      </c>
      <c r="C79" s="47">
        <v>260000</v>
      </c>
      <c r="D79" s="13">
        <v>43831</v>
      </c>
      <c r="E79" s="16">
        <f t="shared" si="35"/>
        <v>248929.03430531733</v>
      </c>
      <c r="F79" s="16">
        <f t="shared" si="36"/>
        <v>26973411.788495611</v>
      </c>
      <c r="G79" s="14">
        <f t="shared" si="37"/>
        <v>108.35783725980347</v>
      </c>
      <c r="H79" s="46">
        <f t="shared" si="15"/>
        <v>0</v>
      </c>
      <c r="I79" s="91">
        <f t="shared" si="16"/>
        <v>0</v>
      </c>
      <c r="J79" s="22">
        <f>VLOOKUP(D79,Data!$A$5:$V$197,8,FALSE)*5.83</f>
        <v>86.694828171209409</v>
      </c>
      <c r="K79" s="91">
        <f>VLOOKUP(D79,Data!$A$5:$V$197,17,FALSE)</f>
        <v>115.43739279588337</v>
      </c>
      <c r="L79" s="91">
        <f t="shared" si="9"/>
        <v>12508.54622227234</v>
      </c>
      <c r="M79" s="14">
        <f t="shared" si="38"/>
        <v>108.35783725980347</v>
      </c>
      <c r="N79" s="46">
        <f t="shared" si="39"/>
        <v>248813.59691252143</v>
      </c>
      <c r="O79" s="46">
        <f t="shared" si="40"/>
        <v>26960903.242273338</v>
      </c>
      <c r="P79" s="22">
        <f t="shared" si="41"/>
        <v>108.35783725980347</v>
      </c>
      <c r="Q79" s="55">
        <f t="shared" si="42"/>
        <v>248824.48225359546</v>
      </c>
      <c r="R79" s="55">
        <f t="shared" si="43"/>
        <v>27083777.224798504</v>
      </c>
      <c r="S79" s="32">
        <f t="shared" si="44"/>
        <v>108.84691481923961</v>
      </c>
      <c r="T79" s="55">
        <f t="shared" si="45"/>
        <v>256844.59691252143</v>
      </c>
      <c r="U79" s="45">
        <v>8013</v>
      </c>
      <c r="V79" s="37">
        <f t="shared" si="46"/>
        <v>126.18235137551797</v>
      </c>
    </row>
    <row r="80" spans="1:22">
      <c r="A80" s="47">
        <v>8031</v>
      </c>
      <c r="B80" s="47">
        <v>10000</v>
      </c>
      <c r="C80" s="47">
        <v>260000</v>
      </c>
      <c r="D80" s="13">
        <v>43862</v>
      </c>
      <c r="E80" s="16">
        <f t="shared" si="35"/>
        <v>248813.59691252143</v>
      </c>
      <c r="F80" s="16">
        <f t="shared" si="36"/>
        <v>26960903.242273338</v>
      </c>
      <c r="G80" s="14">
        <f t="shared" si="37"/>
        <v>108.35783725980347</v>
      </c>
      <c r="H80" s="46">
        <f t="shared" si="15"/>
        <v>0</v>
      </c>
      <c r="I80" s="91">
        <f t="shared" si="16"/>
        <v>0</v>
      </c>
      <c r="J80" s="22">
        <f>VLOOKUP(D80,Data!$A$5:$V$197,8,FALSE)*5.83</f>
        <v>89.40389939053739</v>
      </c>
      <c r="K80" s="91">
        <f>VLOOKUP(D80,Data!$A$5:$V$197,17,FALSE)</f>
        <v>0</v>
      </c>
      <c r="L80" s="91">
        <f t="shared" ref="L80:L90" si="47">IF(E80+H80&gt;0,((F80+I80)/(E80+H80)*K80),0)</f>
        <v>0</v>
      </c>
      <c r="M80" s="14">
        <f t="shared" si="38"/>
        <v>0</v>
      </c>
      <c r="N80" s="46">
        <f t="shared" si="39"/>
        <v>248813.59691252143</v>
      </c>
      <c r="O80" s="46">
        <f t="shared" si="40"/>
        <v>26960903.242273338</v>
      </c>
      <c r="P80" s="22">
        <f t="shared" si="41"/>
        <v>108.35783725980347</v>
      </c>
      <c r="Q80" s="55">
        <f t="shared" si="42"/>
        <v>248645.5536350442</v>
      </c>
      <c r="R80" s="55">
        <f t="shared" si="43"/>
        <v>27048988.362482149</v>
      </c>
      <c r="S80" s="32">
        <f t="shared" si="44"/>
        <v>108.78532902375558</v>
      </c>
      <c r="T80" s="55">
        <f t="shared" si="45"/>
        <v>256844.59691252143</v>
      </c>
      <c r="U80" s="45">
        <v>8014</v>
      </c>
      <c r="V80" s="37">
        <f t="shared" si="46"/>
        <v>126.18184427612648</v>
      </c>
    </row>
    <row r="81" spans="1:22">
      <c r="A81" s="47">
        <v>8031</v>
      </c>
      <c r="B81" s="47">
        <v>10000</v>
      </c>
      <c r="C81" s="47">
        <v>260000</v>
      </c>
      <c r="D81" s="13">
        <v>43891</v>
      </c>
      <c r="E81" s="16">
        <f t="shared" si="35"/>
        <v>248813.59691252143</v>
      </c>
      <c r="F81" s="16">
        <f t="shared" si="36"/>
        <v>26960903.242273338</v>
      </c>
      <c r="G81" s="14">
        <f t="shared" si="37"/>
        <v>108.35783725980347</v>
      </c>
      <c r="H81" s="46">
        <f t="shared" si="15"/>
        <v>0</v>
      </c>
      <c r="I81" s="91">
        <f t="shared" si="16"/>
        <v>0</v>
      </c>
      <c r="J81" s="22">
        <f>VLOOKUP(D81,Data!$A$5:$V$197,8,FALSE)*5.83</f>
        <v>93.64474687042437</v>
      </c>
      <c r="K81" s="91">
        <f>VLOOKUP(D81,Data!$A$5:$V$197,17,FALSE)</f>
        <v>0</v>
      </c>
      <c r="L81" s="91">
        <f t="shared" si="47"/>
        <v>0</v>
      </c>
      <c r="M81" s="14">
        <f t="shared" si="38"/>
        <v>0</v>
      </c>
      <c r="N81" s="46">
        <f t="shared" si="39"/>
        <v>248813.59691252143</v>
      </c>
      <c r="O81" s="46">
        <f t="shared" si="40"/>
        <v>26960903.242273338</v>
      </c>
      <c r="P81" s="22">
        <f t="shared" si="41"/>
        <v>108.35783725980347</v>
      </c>
      <c r="Q81" s="55">
        <f t="shared" si="42"/>
        <v>248466.62501649294</v>
      </c>
      <c r="R81" s="55">
        <f t="shared" si="43"/>
        <v>27014199.500165787</v>
      </c>
      <c r="S81" s="32">
        <f t="shared" si="44"/>
        <v>108.72365452854126</v>
      </c>
      <c r="T81" s="55">
        <f t="shared" si="45"/>
        <v>256844.59691252143</v>
      </c>
      <c r="U81" s="45">
        <v>8015</v>
      </c>
      <c r="V81" s="37">
        <f t="shared" si="46"/>
        <v>126.18133717673501</v>
      </c>
    </row>
    <row r="82" spans="1:22">
      <c r="A82" s="47">
        <v>8031</v>
      </c>
      <c r="B82" s="47">
        <v>10000</v>
      </c>
      <c r="C82" s="47">
        <v>260000</v>
      </c>
      <c r="D82" s="13">
        <v>43922</v>
      </c>
      <c r="E82" s="16">
        <f t="shared" si="35"/>
        <v>248813.59691252143</v>
      </c>
      <c r="F82" s="16">
        <f t="shared" si="36"/>
        <v>26960903.242273338</v>
      </c>
      <c r="G82" s="14">
        <f t="shared" si="37"/>
        <v>108.35783725980347</v>
      </c>
      <c r="H82" s="46">
        <f t="shared" si="15"/>
        <v>0</v>
      </c>
      <c r="I82" s="91">
        <f t="shared" si="16"/>
        <v>0</v>
      </c>
      <c r="J82" s="22">
        <f>VLOOKUP(D82,Data!$A$5:$V$197,8,FALSE)*5.83</f>
        <v>96.087609582721697</v>
      </c>
      <c r="K82" s="91">
        <f>VLOOKUP(D82,Data!$A$5:$V$197,17,FALSE)</f>
        <v>597.59862778730701</v>
      </c>
      <c r="L82" s="91">
        <f t="shared" si="47"/>
        <v>64754.494856458885</v>
      </c>
      <c r="M82" s="14">
        <f t="shared" si="38"/>
        <v>108.35783725980347</v>
      </c>
      <c r="N82" s="46">
        <f t="shared" si="39"/>
        <v>248215.99828473412</v>
      </c>
      <c r="O82" s="46">
        <f t="shared" si="40"/>
        <v>26896148.74741688</v>
      </c>
      <c r="P82" s="22">
        <f t="shared" si="41"/>
        <v>108.35783725980349</v>
      </c>
      <c r="Q82" s="55">
        <f t="shared" si="42"/>
        <v>248241.72727272726</v>
      </c>
      <c r="R82" s="55">
        <f t="shared" si="43"/>
        <v>26974429.522860471</v>
      </c>
      <c r="S82" s="32">
        <f t="shared" si="44"/>
        <v>108.6619474461898</v>
      </c>
      <c r="T82" s="55">
        <f t="shared" si="45"/>
        <v>256246.99828473412</v>
      </c>
      <c r="U82" s="45">
        <v>8016</v>
      </c>
      <c r="V82" s="37">
        <f t="shared" si="46"/>
        <v>125.87778817684286</v>
      </c>
    </row>
    <row r="83" spans="1:22">
      <c r="A83" s="47">
        <v>8031</v>
      </c>
      <c r="B83" s="47">
        <v>10000</v>
      </c>
      <c r="C83" s="47">
        <v>260000</v>
      </c>
      <c r="D83" s="13">
        <v>43952</v>
      </c>
      <c r="E83" s="16">
        <f t="shared" si="35"/>
        <v>248215.99828473412</v>
      </c>
      <c r="F83" s="16">
        <f t="shared" si="36"/>
        <v>26896148.74741688</v>
      </c>
      <c r="G83" s="14">
        <f t="shared" si="37"/>
        <v>108.35783725980349</v>
      </c>
      <c r="H83" s="46">
        <f t="shared" si="15"/>
        <v>0</v>
      </c>
      <c r="I83" s="91">
        <f t="shared" si="16"/>
        <v>0</v>
      </c>
      <c r="J83" s="22">
        <f>VLOOKUP(D83,Data!$A$5:$V$197,8,FALSE)*5.83</f>
        <v>95.122308343650815</v>
      </c>
      <c r="K83" s="91">
        <f>VLOOKUP(D83,Data!$A$5:$V$197,17,FALSE)</f>
        <v>786.96397941680959</v>
      </c>
      <c r="L83" s="91">
        <f t="shared" si="47"/>
        <v>85273.714810973994</v>
      </c>
      <c r="M83" s="14">
        <f t="shared" si="38"/>
        <v>108.35783725980349</v>
      </c>
      <c r="N83" s="46">
        <f t="shared" si="39"/>
        <v>247429.0343053173</v>
      </c>
      <c r="O83" s="46">
        <f t="shared" si="40"/>
        <v>26810875.032605905</v>
      </c>
      <c r="P83" s="22">
        <f t="shared" si="41"/>
        <v>108.35783725980349</v>
      </c>
      <c r="Q83" s="55">
        <f t="shared" si="42"/>
        <v>248073.28816466552</v>
      </c>
      <c r="R83" s="55">
        <f t="shared" si="43"/>
        <v>26940870.548407044</v>
      </c>
      <c r="S83" s="32">
        <f t="shared" si="44"/>
        <v>108.60044927740989</v>
      </c>
      <c r="T83" s="55">
        <f t="shared" si="45"/>
        <v>255460.0343053173</v>
      </c>
      <c r="U83" s="45">
        <v>8017</v>
      </c>
      <c r="V83" s="37">
        <f t="shared" si="46"/>
        <v>125.47821212237186</v>
      </c>
    </row>
    <row r="84" spans="1:22">
      <c r="A84" s="47">
        <v>8031</v>
      </c>
      <c r="B84" s="47">
        <v>10000</v>
      </c>
      <c r="C84" s="47">
        <v>260000</v>
      </c>
      <c r="D84" s="13">
        <v>43983</v>
      </c>
      <c r="E84" s="16">
        <f t="shared" si="35"/>
        <v>247429.0343053173</v>
      </c>
      <c r="F84" s="16">
        <f t="shared" si="36"/>
        <v>26810875.032605905</v>
      </c>
      <c r="G84" s="14">
        <f t="shared" si="37"/>
        <v>108.35783725980349</v>
      </c>
      <c r="H84" s="46">
        <f t="shared" si="15"/>
        <v>0</v>
      </c>
      <c r="I84" s="91">
        <f t="shared" si="16"/>
        <v>0</v>
      </c>
      <c r="J84" s="22">
        <f>VLOOKUP(D84,Data!$A$5:$V$197,8,FALSE)*5.83</f>
        <v>95.908469097398736</v>
      </c>
      <c r="K84" s="91">
        <f>VLOOKUP(D84,Data!$A$5:$V$197,17,FALSE)</f>
        <v>712.69296740994844</v>
      </c>
      <c r="L84" s="91">
        <f t="shared" si="47"/>
        <v>77225.868578813621</v>
      </c>
      <c r="M84" s="14">
        <f t="shared" si="38"/>
        <v>108.35783725980349</v>
      </c>
      <c r="N84" s="46">
        <f t="shared" si="39"/>
        <v>246716.34133790736</v>
      </c>
      <c r="O84" s="46">
        <f t="shared" si="40"/>
        <v>26733649.164027091</v>
      </c>
      <c r="P84" s="22">
        <f t="shared" si="41"/>
        <v>108.35783725980347</v>
      </c>
      <c r="Q84" s="55">
        <f t="shared" si="42"/>
        <v>248030.4856841272</v>
      </c>
      <c r="R84" s="55">
        <f t="shared" si="43"/>
        <v>26921069.148181755</v>
      </c>
      <c r="S84" s="32">
        <f t="shared" si="44"/>
        <v>108.53935585348322</v>
      </c>
      <c r="T84" s="55">
        <f t="shared" si="45"/>
        <v>254747.34133790736</v>
      </c>
      <c r="U84" s="45">
        <v>8018</v>
      </c>
      <c r="V84" s="37">
        <f t="shared" si="46"/>
        <v>125.1162988528942</v>
      </c>
    </row>
    <row r="85" spans="1:22">
      <c r="A85" s="47">
        <v>8031</v>
      </c>
      <c r="B85" s="47">
        <v>10000</v>
      </c>
      <c r="C85" s="47">
        <v>260000</v>
      </c>
      <c r="D85" s="13">
        <v>44013</v>
      </c>
      <c r="E85" s="16">
        <f t="shared" si="35"/>
        <v>246716.34133790736</v>
      </c>
      <c r="F85" s="16">
        <f t="shared" si="36"/>
        <v>26733649.164027091</v>
      </c>
      <c r="G85" s="14">
        <f t="shared" si="37"/>
        <v>108.35783725980347</v>
      </c>
      <c r="H85" s="46">
        <f t="shared" si="15"/>
        <v>0</v>
      </c>
      <c r="I85" s="91">
        <f t="shared" si="16"/>
        <v>0</v>
      </c>
      <c r="J85" s="22">
        <f>VLOOKUP(D85,Data!$A$5:$V$197,8,FALSE)*5.83</f>
        <v>97.326996691085213</v>
      </c>
      <c r="K85" s="91">
        <f>VLOOKUP(D85,Data!$A$5:$V$197,17,FALSE)</f>
        <v>777.18696397941687</v>
      </c>
      <c r="L85" s="91">
        <f t="shared" si="47"/>
        <v>84214.298563322402</v>
      </c>
      <c r="M85" s="14">
        <f t="shared" si="38"/>
        <v>108.35783725980347</v>
      </c>
      <c r="N85" s="46">
        <f t="shared" si="39"/>
        <v>245939.15437392794</v>
      </c>
      <c r="O85" s="46">
        <f t="shared" si="40"/>
        <v>26649434.865463767</v>
      </c>
      <c r="P85" s="22">
        <f t="shared" si="41"/>
        <v>108.35783725980347</v>
      </c>
      <c r="Q85" s="55">
        <f t="shared" si="42"/>
        <v>248047.28209526322</v>
      </c>
      <c r="R85" s="55">
        <f t="shared" si="43"/>
        <v>26907820.925995175</v>
      </c>
      <c r="S85" s="32">
        <f t="shared" si="44"/>
        <v>108.47859609145468</v>
      </c>
      <c r="T85" s="55">
        <f t="shared" si="45"/>
        <v>253970.15437392794</v>
      </c>
      <c r="U85" s="45">
        <v>8019</v>
      </c>
      <c r="V85" s="37">
        <f t="shared" si="46"/>
        <v>124.721680717002</v>
      </c>
    </row>
    <row r="86" spans="1:22">
      <c r="A86" s="47">
        <v>8031</v>
      </c>
      <c r="B86" s="47">
        <v>10000</v>
      </c>
      <c r="C86" s="47">
        <v>260000</v>
      </c>
      <c r="D86" s="13">
        <v>44044</v>
      </c>
      <c r="E86" s="16">
        <f t="shared" si="35"/>
        <v>245939.15437392794</v>
      </c>
      <c r="F86" s="16">
        <f t="shared" si="36"/>
        <v>26649434.865463767</v>
      </c>
      <c r="G86" s="14">
        <f t="shared" si="37"/>
        <v>108.35783725980347</v>
      </c>
      <c r="H86" s="46">
        <f t="shared" si="15"/>
        <v>0</v>
      </c>
      <c r="I86" s="91">
        <f t="shared" si="16"/>
        <v>0</v>
      </c>
      <c r="J86" s="22">
        <f>VLOOKUP(D86,Data!$A$5:$V$197,8,FALSE)*5.83</f>
        <v>96.390192968432771</v>
      </c>
      <c r="K86" s="91">
        <f>VLOOKUP(D86,Data!$A$5:$V$197,17,FALSE)</f>
        <v>975.12864493996562</v>
      </c>
      <c r="L86" s="91">
        <f t="shared" si="47"/>
        <v>105662.83101577748</v>
      </c>
      <c r="M86" s="14">
        <f t="shared" si="38"/>
        <v>108.35783725980347</v>
      </c>
      <c r="N86" s="46">
        <f t="shared" si="39"/>
        <v>244964.02572898797</v>
      </c>
      <c r="O86" s="46">
        <f t="shared" si="40"/>
        <v>26543772.03444799</v>
      </c>
      <c r="P86" s="22">
        <f t="shared" si="41"/>
        <v>108.35783725980347</v>
      </c>
      <c r="Q86" s="55">
        <f t="shared" si="42"/>
        <v>248054.40704578444</v>
      </c>
      <c r="R86" s="55">
        <f t="shared" si="43"/>
        <v>26893576.812671367</v>
      </c>
      <c r="S86" s="32">
        <f t="shared" si="44"/>
        <v>108.4180568809951</v>
      </c>
      <c r="T86" s="55">
        <f t="shared" si="45"/>
        <v>252995.02572898797</v>
      </c>
      <c r="U86" s="45">
        <v>8020</v>
      </c>
      <c r="V86" s="37">
        <f t="shared" si="46"/>
        <v>124.22668647514602</v>
      </c>
    </row>
    <row r="87" spans="1:22">
      <c r="A87" s="47">
        <v>8031</v>
      </c>
      <c r="B87" s="47">
        <v>10000</v>
      </c>
      <c r="C87" s="47">
        <v>260000</v>
      </c>
      <c r="D87" s="13">
        <v>44075</v>
      </c>
      <c r="E87" s="16">
        <f t="shared" si="35"/>
        <v>244964.02572898797</v>
      </c>
      <c r="F87" s="16">
        <f t="shared" si="36"/>
        <v>26543772.03444799</v>
      </c>
      <c r="G87" s="14">
        <f t="shared" si="37"/>
        <v>108.35783725980347</v>
      </c>
      <c r="H87" s="46">
        <f t="shared" si="15"/>
        <v>0</v>
      </c>
      <c r="I87" s="91">
        <f t="shared" si="16"/>
        <v>0</v>
      </c>
      <c r="J87" s="22">
        <f>VLOOKUP(D87,Data!$A$5:$V$197,8,FALSE)*5.83</f>
        <v>95.947577884158335</v>
      </c>
      <c r="K87" s="91">
        <f>VLOOKUP(D87,Data!$A$5:$V$197,17,FALSE)</f>
        <v>2937.2212692967414</v>
      </c>
      <c r="L87" s="91">
        <f t="shared" si="47"/>
        <v>318270.94429448969</v>
      </c>
      <c r="M87" s="14">
        <f t="shared" si="38"/>
        <v>108.35783725980347</v>
      </c>
      <c r="N87" s="46">
        <f t="shared" si="39"/>
        <v>242026.80445969122</v>
      </c>
      <c r="O87" s="46">
        <f t="shared" si="40"/>
        <v>26225501.0901535</v>
      </c>
      <c r="P87" s="22">
        <f t="shared" si="41"/>
        <v>108.35783725980347</v>
      </c>
      <c r="Q87" s="55">
        <f t="shared" si="42"/>
        <v>247933.95579891806</v>
      </c>
      <c r="R87" s="55">
        <f t="shared" si="43"/>
        <v>26865587.233638469</v>
      </c>
      <c r="S87" s="32">
        <f t="shared" si="44"/>
        <v>108.35783725980346</v>
      </c>
      <c r="T87" s="55">
        <f t="shared" si="45"/>
        <v>250057.80445969122</v>
      </c>
      <c r="U87" s="45">
        <v>8021</v>
      </c>
      <c r="V87" s="37">
        <f t="shared" si="46"/>
        <v>122.73671625744991</v>
      </c>
    </row>
    <row r="88" spans="1:22">
      <c r="A88" s="47">
        <v>8031</v>
      </c>
      <c r="B88" s="47">
        <v>10000</v>
      </c>
      <c r="C88" s="47">
        <v>260000</v>
      </c>
      <c r="D88" s="13">
        <v>44105</v>
      </c>
      <c r="E88" s="16">
        <f t="shared" si="35"/>
        <v>242026.80445969122</v>
      </c>
      <c r="F88" s="16">
        <f t="shared" si="36"/>
        <v>26225501.0901535</v>
      </c>
      <c r="G88" s="14">
        <f t="shared" si="37"/>
        <v>108.35783725980347</v>
      </c>
      <c r="H88" s="46">
        <f t="shared" si="15"/>
        <v>0</v>
      </c>
      <c r="I88" s="91">
        <f t="shared" si="16"/>
        <v>0</v>
      </c>
      <c r="J88" s="22">
        <f>VLOOKUP(D88,Data!$A$5:$V$197,8,FALSE)*5.83</f>
        <v>94.762451900552492</v>
      </c>
      <c r="K88" s="91">
        <f>VLOOKUP(D88,Data!$A$5:$V$197,17,FALSE)</f>
        <v>0</v>
      </c>
      <c r="L88" s="91">
        <f t="shared" si="47"/>
        <v>0</v>
      </c>
      <c r="M88" s="14">
        <f t="shared" si="38"/>
        <v>0</v>
      </c>
      <c r="N88" s="46">
        <f t="shared" si="39"/>
        <v>242026.80445969122</v>
      </c>
      <c r="O88" s="46">
        <f t="shared" si="40"/>
        <v>26225501.0901535</v>
      </c>
      <c r="P88" s="22">
        <f t="shared" si="41"/>
        <v>108.35783725980347</v>
      </c>
      <c r="Q88" s="55">
        <f t="shared" si="42"/>
        <v>247169.17152658661</v>
      </c>
      <c r="R88" s="55">
        <f t="shared" si="43"/>
        <v>26782716.863918323</v>
      </c>
      <c r="S88" s="32">
        <f t="shared" si="44"/>
        <v>108.35783725980347</v>
      </c>
      <c r="T88" s="55">
        <f t="shared" si="45"/>
        <v>250057.80445969122</v>
      </c>
      <c r="U88" s="45">
        <v>8022</v>
      </c>
      <c r="V88" s="37">
        <f t="shared" si="46"/>
        <v>122.73620915805843</v>
      </c>
    </row>
    <row r="89" spans="1:22">
      <c r="A89" s="47">
        <v>8031</v>
      </c>
      <c r="B89" s="47">
        <v>10000</v>
      </c>
      <c r="C89" s="47">
        <v>260000</v>
      </c>
      <c r="D89" s="13">
        <v>44136</v>
      </c>
      <c r="E89" s="16">
        <f t="shared" si="35"/>
        <v>242026.80445969122</v>
      </c>
      <c r="F89" s="16">
        <f t="shared" si="36"/>
        <v>26225501.0901535</v>
      </c>
      <c r="G89" s="14">
        <f t="shared" si="37"/>
        <v>108.35783725980347</v>
      </c>
      <c r="H89" s="46">
        <f t="shared" si="15"/>
        <v>0</v>
      </c>
      <c r="I89" s="91">
        <f t="shared" si="16"/>
        <v>0</v>
      </c>
      <c r="J89" s="22">
        <f>VLOOKUP(D89,Data!$A$5:$V$197,8,FALSE)*5.83</f>
        <v>94.355006921906664</v>
      </c>
      <c r="K89" s="91">
        <f>VLOOKUP(D89,Data!$A$5:$V$197,17,FALSE)</f>
        <v>0</v>
      </c>
      <c r="L89" s="91">
        <f t="shared" si="47"/>
        <v>0</v>
      </c>
      <c r="M89" s="14">
        <f t="shared" si="38"/>
        <v>0</v>
      </c>
      <c r="N89" s="46">
        <f t="shared" si="39"/>
        <v>242026.80445969122</v>
      </c>
      <c r="O89" s="46">
        <f t="shared" si="40"/>
        <v>26225501.0901535</v>
      </c>
      <c r="P89" s="22">
        <f t="shared" si="41"/>
        <v>108.35783725980347</v>
      </c>
      <c r="Q89" s="55">
        <f t="shared" si="42"/>
        <v>246536.18564454408</v>
      </c>
      <c r="R89" s="55">
        <f t="shared" si="43"/>
        <v>26714127.882724211</v>
      </c>
      <c r="S89" s="32">
        <f t="shared" si="44"/>
        <v>108.3578372598035</v>
      </c>
      <c r="T89" s="55">
        <f t="shared" si="45"/>
        <v>250057.80445969122</v>
      </c>
      <c r="U89" s="45">
        <v>8023</v>
      </c>
      <c r="V89" s="37">
        <f t="shared" si="46"/>
        <v>122.73570205866694</v>
      </c>
    </row>
    <row r="90" spans="1:22">
      <c r="A90" s="47">
        <v>8031</v>
      </c>
      <c r="B90" s="47">
        <v>10000</v>
      </c>
      <c r="C90" s="47">
        <v>260000</v>
      </c>
      <c r="D90" s="13">
        <v>44166</v>
      </c>
      <c r="E90" s="16">
        <f t="shared" si="35"/>
        <v>242026.80445969122</v>
      </c>
      <c r="F90" s="16">
        <f t="shared" si="36"/>
        <v>26225501.0901535</v>
      </c>
      <c r="G90" s="14">
        <f t="shared" si="37"/>
        <v>108.35783725980347</v>
      </c>
      <c r="H90" s="46">
        <f t="shared" si="15"/>
        <v>0</v>
      </c>
      <c r="I90" s="91">
        <f t="shared" ref="I90" si="48">H90*J90</f>
        <v>0</v>
      </c>
      <c r="J90" s="22">
        <f>VLOOKUP(D90,Data!$A$5:$V$197,8,FALSE)*5.83</f>
        <v>91.355353709960923</v>
      </c>
      <c r="K90" s="91">
        <f>VLOOKUP(D90,Data!$A$5:$V$197,17,FALSE)</f>
        <v>0</v>
      </c>
      <c r="L90" s="91">
        <f t="shared" si="47"/>
        <v>0</v>
      </c>
      <c r="M90" s="14">
        <f t="shared" si="38"/>
        <v>0</v>
      </c>
      <c r="N90" s="46">
        <f t="shared" si="39"/>
        <v>242026.80445969122</v>
      </c>
      <c r="O90" s="46">
        <f t="shared" si="40"/>
        <v>26225501.0901535</v>
      </c>
      <c r="P90" s="22">
        <f t="shared" si="41"/>
        <v>108.35783725980347</v>
      </c>
      <c r="Q90" s="55">
        <f t="shared" si="42"/>
        <v>245903.19976250158</v>
      </c>
      <c r="R90" s="55">
        <f t="shared" si="43"/>
        <v>26645538.901530102</v>
      </c>
      <c r="S90" s="32">
        <f t="shared" si="44"/>
        <v>108.35783725980352</v>
      </c>
      <c r="T90" s="55">
        <f t="shared" si="45"/>
        <v>250057.80445969122</v>
      </c>
      <c r="U90" s="45">
        <v>8024</v>
      </c>
      <c r="V90" s="37">
        <f t="shared" si="46"/>
        <v>122.73519495927546</v>
      </c>
    </row>
  </sheetData>
  <mergeCells count="8">
    <mergeCell ref="T5:V5"/>
    <mergeCell ref="Q7:S18"/>
    <mergeCell ref="T7:V18"/>
    <mergeCell ref="E5:G5"/>
    <mergeCell ref="H5:J5"/>
    <mergeCell ref="K5:M5"/>
    <mergeCell ref="N5:P5"/>
    <mergeCell ref="Q5:S5"/>
  </mergeCells>
  <conditionalFormatting sqref="H31:H90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 tint="0.59999389629810485"/>
  </sheetPr>
  <dimension ref="A1:V90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4.88671875" style="1" bestFit="1" customWidth="1"/>
    <col min="3" max="4" width="6.109375" style="1" bestFit="1" customWidth="1"/>
    <col min="5" max="5" width="5.6640625" style="1" bestFit="1" customWidth="1"/>
    <col min="6" max="6" width="7.88671875" style="1" bestFit="1" customWidth="1"/>
    <col min="7" max="7" width="5.6640625" style="1" bestFit="1" customWidth="1"/>
    <col min="8" max="8" width="6.33203125" style="1" bestFit="1" customWidth="1"/>
    <col min="9" max="9" width="8.44140625" style="1" bestFit="1" customWidth="1"/>
    <col min="10" max="11" width="6.33203125" style="1" bestFit="1" customWidth="1"/>
    <col min="12" max="12" width="8.44140625" style="1" bestFit="1" customWidth="1"/>
    <col min="13" max="13" width="5.6640625" style="1" bestFit="1" customWidth="1"/>
    <col min="14" max="14" width="6.33203125" style="1" bestFit="1" customWidth="1"/>
    <col min="15" max="15" width="10.5546875" style="1" bestFit="1" customWidth="1"/>
    <col min="16" max="17" width="6.33203125" style="1" bestFit="1" customWidth="1"/>
    <col min="18" max="18" width="8.44140625" style="1" bestFit="1" customWidth="1"/>
    <col min="19" max="19" width="6.33203125" style="1" bestFit="1" customWidth="1"/>
    <col min="20" max="20" width="12.6640625" style="1" bestFit="1" customWidth="1"/>
    <col min="21" max="21" width="10.33203125" style="1" bestFit="1" customWidth="1"/>
    <col min="22" max="22" width="9.88671875" style="1" bestFit="1" customWidth="1"/>
    <col min="23" max="16384" width="9.109375" style="1"/>
  </cols>
  <sheetData>
    <row r="1" spans="1:22" s="120" customFormat="1">
      <c r="A1" s="120" t="s">
        <v>69</v>
      </c>
    </row>
    <row r="2" spans="1:22" s="120" customFormat="1">
      <c r="A2" s="120" t="s">
        <v>59</v>
      </c>
    </row>
    <row r="3" spans="1:22" s="44" customFormat="1"/>
    <row r="5" spans="1:22">
      <c r="B5" s="17"/>
      <c r="C5" s="18"/>
      <c r="D5" s="19"/>
      <c r="E5" s="106" t="s">
        <v>0</v>
      </c>
      <c r="F5" s="106"/>
      <c r="G5" s="106"/>
      <c r="H5" s="106" t="s">
        <v>1</v>
      </c>
      <c r="I5" s="106"/>
      <c r="J5" s="106"/>
      <c r="K5" s="106" t="s">
        <v>40</v>
      </c>
      <c r="L5" s="106"/>
      <c r="M5" s="106"/>
      <c r="N5" s="106" t="s">
        <v>2</v>
      </c>
      <c r="O5" s="106"/>
      <c r="P5" s="106"/>
      <c r="Q5" s="106" t="s">
        <v>29</v>
      </c>
      <c r="R5" s="106"/>
      <c r="S5" s="106"/>
      <c r="T5" s="106" t="s">
        <v>39</v>
      </c>
      <c r="U5" s="106"/>
      <c r="V5" s="106"/>
    </row>
    <row r="6" spans="1:22">
      <c r="A6" s="20" t="s">
        <v>49</v>
      </c>
      <c r="B6" s="20" t="s">
        <v>20</v>
      </c>
      <c r="C6" s="12" t="s">
        <v>12</v>
      </c>
      <c r="D6" s="9" t="s">
        <v>26</v>
      </c>
      <c r="E6" s="11" t="s">
        <v>3</v>
      </c>
      <c r="F6" s="11" t="s">
        <v>27</v>
      </c>
      <c r="G6" s="11" t="s">
        <v>28</v>
      </c>
      <c r="H6" s="11" t="s">
        <v>3</v>
      </c>
      <c r="I6" s="11" t="s">
        <v>27</v>
      </c>
      <c r="J6" s="11" t="s">
        <v>28</v>
      </c>
      <c r="K6" s="11" t="s">
        <v>3</v>
      </c>
      <c r="L6" s="11" t="s">
        <v>27</v>
      </c>
      <c r="M6" s="11" t="s">
        <v>28</v>
      </c>
      <c r="N6" s="11" t="s">
        <v>3</v>
      </c>
      <c r="O6" s="11" t="s">
        <v>27</v>
      </c>
      <c r="P6" s="11" t="s">
        <v>28</v>
      </c>
      <c r="Q6" s="70" t="s">
        <v>3</v>
      </c>
      <c r="R6" s="70" t="s">
        <v>27</v>
      </c>
      <c r="S6" s="70" t="s">
        <v>28</v>
      </c>
      <c r="T6" s="72" t="s">
        <v>37</v>
      </c>
      <c r="U6" s="69" t="s">
        <v>38</v>
      </c>
      <c r="V6" s="69" t="s">
        <v>50</v>
      </c>
    </row>
    <row r="7" spans="1:22">
      <c r="A7" s="47">
        <v>4000</v>
      </c>
      <c r="B7" s="21">
        <v>8000</v>
      </c>
      <c r="C7" s="21">
        <v>45000</v>
      </c>
      <c r="D7" s="49">
        <v>41640</v>
      </c>
      <c r="E7" s="50">
        <v>35167</v>
      </c>
      <c r="F7" s="50">
        <v>3871842</v>
      </c>
      <c r="G7" s="53">
        <f>F7/E7</f>
        <v>110.09872892200075</v>
      </c>
      <c r="H7" s="51">
        <v>0</v>
      </c>
      <c r="I7" s="54">
        <v>0</v>
      </c>
      <c r="J7" s="52">
        <f t="shared" ref="J7:J9" si="0">IF(H7=0,0,I7/H7)</f>
        <v>0</v>
      </c>
      <c r="K7" s="54">
        <v>15</v>
      </c>
      <c r="L7" s="54">
        <v>1651.48</v>
      </c>
      <c r="M7" s="53">
        <f t="shared" ref="M7:M47" si="1">IF(K7=0,0,L7/K7)</f>
        <v>110.09866666666667</v>
      </c>
      <c r="N7" s="51">
        <f t="shared" ref="N7:O54" si="2">+E7+H7-K7</f>
        <v>35152</v>
      </c>
      <c r="O7" s="51">
        <f t="shared" si="2"/>
        <v>3870190.52</v>
      </c>
      <c r="P7" s="52">
        <f t="shared" ref="P7:P54" si="3">IF(N7=0,0,O7/N7)</f>
        <v>110.09872894856623</v>
      </c>
      <c r="Q7" s="107"/>
      <c r="R7" s="107"/>
      <c r="S7" s="107"/>
      <c r="T7" s="107"/>
      <c r="U7" s="107"/>
      <c r="V7" s="107"/>
    </row>
    <row r="8" spans="1:22">
      <c r="A8" s="21">
        <v>4000</v>
      </c>
      <c r="B8" s="21">
        <v>8000</v>
      </c>
      <c r="C8" s="21">
        <v>45000</v>
      </c>
      <c r="D8" s="49">
        <v>41671</v>
      </c>
      <c r="E8" s="50">
        <f t="shared" ref="E8:G48" si="4">N7</f>
        <v>35152</v>
      </c>
      <c r="F8" s="50">
        <f t="shared" si="4"/>
        <v>3870190.52</v>
      </c>
      <c r="G8" s="53">
        <f t="shared" si="4"/>
        <v>110.09872894856623</v>
      </c>
      <c r="H8" s="51">
        <v>0</v>
      </c>
      <c r="I8" s="54">
        <v>0</v>
      </c>
      <c r="J8" s="52">
        <f t="shared" si="0"/>
        <v>0</v>
      </c>
      <c r="K8" s="54">
        <v>8</v>
      </c>
      <c r="L8" s="54">
        <v>880.79</v>
      </c>
      <c r="M8" s="53">
        <f t="shared" si="1"/>
        <v>110.09875</v>
      </c>
      <c r="N8" s="51">
        <f t="shared" si="2"/>
        <v>35144</v>
      </c>
      <c r="O8" s="51">
        <f t="shared" si="2"/>
        <v>3869309.73</v>
      </c>
      <c r="P8" s="52">
        <f t="shared" si="3"/>
        <v>110.09872894377419</v>
      </c>
      <c r="Q8" s="107"/>
      <c r="R8" s="107"/>
      <c r="S8" s="107"/>
      <c r="T8" s="107"/>
      <c r="U8" s="107"/>
      <c r="V8" s="107"/>
    </row>
    <row r="9" spans="1:22">
      <c r="A9" s="21">
        <v>4000</v>
      </c>
      <c r="B9" s="21">
        <v>8000</v>
      </c>
      <c r="C9" s="21">
        <v>45000</v>
      </c>
      <c r="D9" s="49">
        <v>41699</v>
      </c>
      <c r="E9" s="50">
        <f t="shared" si="4"/>
        <v>35144</v>
      </c>
      <c r="F9" s="50">
        <f t="shared" si="4"/>
        <v>3869309.73</v>
      </c>
      <c r="G9" s="53">
        <f t="shared" si="4"/>
        <v>110.09872894377419</v>
      </c>
      <c r="H9" s="51">
        <v>0</v>
      </c>
      <c r="I9" s="54">
        <v>0</v>
      </c>
      <c r="J9" s="52">
        <f t="shared" si="0"/>
        <v>0</v>
      </c>
      <c r="K9" s="54">
        <v>41</v>
      </c>
      <c r="L9" s="54">
        <v>4514.05</v>
      </c>
      <c r="M9" s="53">
        <f t="shared" si="1"/>
        <v>110.09878048780489</v>
      </c>
      <c r="N9" s="51">
        <f t="shared" si="2"/>
        <v>35103</v>
      </c>
      <c r="O9" s="51">
        <f t="shared" si="2"/>
        <v>3864795.68</v>
      </c>
      <c r="P9" s="52">
        <f t="shared" si="3"/>
        <v>110.09872888357121</v>
      </c>
      <c r="Q9" s="107"/>
      <c r="R9" s="107"/>
      <c r="S9" s="107"/>
      <c r="T9" s="107"/>
      <c r="U9" s="107"/>
      <c r="V9" s="107"/>
    </row>
    <row r="10" spans="1:22">
      <c r="A10" s="21">
        <v>4000</v>
      </c>
      <c r="B10" s="21">
        <v>8000</v>
      </c>
      <c r="C10" s="21">
        <v>45000</v>
      </c>
      <c r="D10" s="49">
        <v>41730</v>
      </c>
      <c r="E10" s="50">
        <f t="shared" si="4"/>
        <v>35103</v>
      </c>
      <c r="F10" s="50">
        <f t="shared" si="4"/>
        <v>3864795.68</v>
      </c>
      <c r="G10" s="53">
        <f t="shared" si="4"/>
        <v>110.09872888357121</v>
      </c>
      <c r="H10" s="51">
        <v>0</v>
      </c>
      <c r="I10" s="54">
        <v>0</v>
      </c>
      <c r="J10" s="52">
        <f t="shared" ref="J10" si="5">IF(H10=0,0,I10/H10)</f>
        <v>0</v>
      </c>
      <c r="K10" s="54">
        <v>-1</v>
      </c>
      <c r="L10" s="54">
        <v>-110.1</v>
      </c>
      <c r="M10" s="53">
        <f t="shared" si="1"/>
        <v>110.1</v>
      </c>
      <c r="N10" s="51">
        <f t="shared" si="2"/>
        <v>35104</v>
      </c>
      <c r="O10" s="51">
        <f t="shared" si="2"/>
        <v>3864905.7800000003</v>
      </c>
      <c r="P10" s="52">
        <f t="shared" si="3"/>
        <v>110.09872891978122</v>
      </c>
      <c r="Q10" s="107"/>
      <c r="R10" s="107"/>
      <c r="S10" s="107"/>
      <c r="T10" s="107"/>
      <c r="U10" s="107"/>
      <c r="V10" s="107"/>
    </row>
    <row r="11" spans="1:22">
      <c r="A11" s="21">
        <v>4000</v>
      </c>
      <c r="B11" s="21">
        <v>8000</v>
      </c>
      <c r="C11" s="21">
        <v>45000</v>
      </c>
      <c r="D11" s="49">
        <v>41760</v>
      </c>
      <c r="E11" s="50">
        <f t="shared" si="4"/>
        <v>35104</v>
      </c>
      <c r="F11" s="50">
        <f t="shared" si="4"/>
        <v>3864905.7800000003</v>
      </c>
      <c r="G11" s="53">
        <f t="shared" si="4"/>
        <v>110.09872891978122</v>
      </c>
      <c r="H11" s="51">
        <v>0</v>
      </c>
      <c r="I11" s="54">
        <v>0</v>
      </c>
      <c r="J11" s="52">
        <f t="shared" ref="J11" si="6">IF(H11=0,0,I11/H11)</f>
        <v>0</v>
      </c>
      <c r="K11" s="54">
        <v>-5</v>
      </c>
      <c r="L11" s="54">
        <v>-550.49</v>
      </c>
      <c r="M11" s="53">
        <f t="shared" si="1"/>
        <v>110.098</v>
      </c>
      <c r="N11" s="51">
        <f t="shared" si="2"/>
        <v>35109</v>
      </c>
      <c r="O11" s="51">
        <f t="shared" si="2"/>
        <v>3865456.2700000005</v>
      </c>
      <c r="P11" s="52">
        <f t="shared" si="3"/>
        <v>110.09872881597313</v>
      </c>
      <c r="Q11" s="107"/>
      <c r="R11" s="107"/>
      <c r="S11" s="107"/>
      <c r="T11" s="107"/>
      <c r="U11" s="107"/>
      <c r="V11" s="107"/>
    </row>
    <row r="12" spans="1:22">
      <c r="A12" s="21">
        <v>4000</v>
      </c>
      <c r="B12" s="21">
        <v>8000</v>
      </c>
      <c r="C12" s="21">
        <v>45000</v>
      </c>
      <c r="D12" s="49">
        <v>41791</v>
      </c>
      <c r="E12" s="50">
        <f t="shared" si="4"/>
        <v>35109</v>
      </c>
      <c r="F12" s="50">
        <f t="shared" si="4"/>
        <v>3865456.2700000005</v>
      </c>
      <c r="G12" s="53">
        <f t="shared" si="4"/>
        <v>110.09872881597313</v>
      </c>
      <c r="H12" s="51">
        <v>0</v>
      </c>
      <c r="I12" s="54">
        <v>0</v>
      </c>
      <c r="J12" s="52">
        <f t="shared" ref="J12" si="7">IF(H12=0,0,I12/H12)</f>
        <v>0</v>
      </c>
      <c r="K12" s="54">
        <v>20</v>
      </c>
      <c r="L12" s="54">
        <v>2201.9699999999998</v>
      </c>
      <c r="M12" s="53">
        <f t="shared" si="1"/>
        <v>110.09849999999999</v>
      </c>
      <c r="N12" s="51">
        <f t="shared" si="2"/>
        <v>35089</v>
      </c>
      <c r="O12" s="51">
        <f t="shared" si="2"/>
        <v>3863254.3000000003</v>
      </c>
      <c r="P12" s="52">
        <f t="shared" si="3"/>
        <v>110.09872894639346</v>
      </c>
      <c r="Q12" s="107"/>
      <c r="R12" s="107"/>
      <c r="S12" s="107"/>
      <c r="T12" s="107"/>
      <c r="U12" s="107"/>
      <c r="V12" s="107"/>
    </row>
    <row r="13" spans="1:22">
      <c r="A13" s="21">
        <v>4000</v>
      </c>
      <c r="B13" s="21">
        <v>8000</v>
      </c>
      <c r="C13" s="21">
        <v>45000</v>
      </c>
      <c r="D13" s="49">
        <v>41821</v>
      </c>
      <c r="E13" s="50">
        <f t="shared" si="4"/>
        <v>35089</v>
      </c>
      <c r="F13" s="50">
        <f t="shared" si="4"/>
        <v>3863254.3000000003</v>
      </c>
      <c r="G13" s="53">
        <f t="shared" si="4"/>
        <v>110.09872894639346</v>
      </c>
      <c r="H13" s="51">
        <v>0</v>
      </c>
      <c r="I13" s="54">
        <v>0</v>
      </c>
      <c r="J13" s="52">
        <f t="shared" ref="J13" si="8">IF(H13=0,0,I13/H13)</f>
        <v>0</v>
      </c>
      <c r="K13" s="54">
        <v>42</v>
      </c>
      <c r="L13" s="54">
        <v>4624.1499999999996</v>
      </c>
      <c r="M13" s="53">
        <f t="shared" si="1"/>
        <v>110.09880952380952</v>
      </c>
      <c r="N13" s="51">
        <f t="shared" si="2"/>
        <v>35047</v>
      </c>
      <c r="O13" s="51">
        <f t="shared" si="2"/>
        <v>3858630.1500000004</v>
      </c>
      <c r="P13" s="52">
        <f t="shared" si="3"/>
        <v>110.09872884983024</v>
      </c>
      <c r="Q13" s="107"/>
      <c r="R13" s="107"/>
      <c r="S13" s="107"/>
      <c r="T13" s="107"/>
      <c r="U13" s="107"/>
      <c r="V13" s="107"/>
    </row>
    <row r="14" spans="1:22">
      <c r="A14" s="21">
        <v>4000</v>
      </c>
      <c r="B14" s="21">
        <v>8000</v>
      </c>
      <c r="C14" s="21">
        <v>45000</v>
      </c>
      <c r="D14" s="49">
        <v>41852</v>
      </c>
      <c r="E14" s="50">
        <f t="shared" si="4"/>
        <v>35047</v>
      </c>
      <c r="F14" s="50">
        <f t="shared" si="4"/>
        <v>3858630.1500000004</v>
      </c>
      <c r="G14" s="53">
        <f t="shared" si="4"/>
        <v>110.09872884983024</v>
      </c>
      <c r="H14" s="51">
        <v>0</v>
      </c>
      <c r="I14" s="54">
        <v>0</v>
      </c>
      <c r="J14" s="52">
        <f t="shared" ref="J14" si="9">IF(H14=0,0,I14/H14)</f>
        <v>0</v>
      </c>
      <c r="K14" s="54">
        <v>-123</v>
      </c>
      <c r="L14" s="54">
        <v>-13542.14</v>
      </c>
      <c r="M14" s="53">
        <f t="shared" si="1"/>
        <v>110.09869918699187</v>
      </c>
      <c r="N14" s="51">
        <f t="shared" si="2"/>
        <v>35170</v>
      </c>
      <c r="O14" s="51">
        <f t="shared" si="2"/>
        <v>3872172.2900000005</v>
      </c>
      <c r="P14" s="52">
        <f t="shared" si="3"/>
        <v>110.09872874609043</v>
      </c>
      <c r="Q14" s="107"/>
      <c r="R14" s="107"/>
      <c r="S14" s="107"/>
      <c r="T14" s="107"/>
      <c r="U14" s="107"/>
      <c r="V14" s="107"/>
    </row>
    <row r="15" spans="1:22">
      <c r="A15" s="21">
        <v>4000</v>
      </c>
      <c r="B15" s="21">
        <v>8000</v>
      </c>
      <c r="C15" s="21">
        <v>45000</v>
      </c>
      <c r="D15" s="49">
        <v>41883</v>
      </c>
      <c r="E15" s="50">
        <f t="shared" si="4"/>
        <v>35170</v>
      </c>
      <c r="F15" s="50">
        <f t="shared" si="4"/>
        <v>3872172.2900000005</v>
      </c>
      <c r="G15" s="53">
        <f t="shared" si="4"/>
        <v>110.09872874609043</v>
      </c>
      <c r="H15" s="51">
        <v>0</v>
      </c>
      <c r="I15" s="54">
        <v>0</v>
      </c>
      <c r="J15" s="52">
        <f t="shared" ref="J15" si="10">IF(H15=0,0,I15/H15)</f>
        <v>0</v>
      </c>
      <c r="K15" s="54">
        <v>0</v>
      </c>
      <c r="L15" s="54">
        <v>0</v>
      </c>
      <c r="M15" s="53">
        <f t="shared" si="1"/>
        <v>0</v>
      </c>
      <c r="N15" s="51">
        <f t="shared" si="2"/>
        <v>35170</v>
      </c>
      <c r="O15" s="51">
        <f t="shared" si="2"/>
        <v>3872172.2900000005</v>
      </c>
      <c r="P15" s="52">
        <f t="shared" si="3"/>
        <v>110.09872874609043</v>
      </c>
      <c r="Q15" s="107"/>
      <c r="R15" s="107"/>
      <c r="S15" s="107"/>
      <c r="T15" s="107"/>
      <c r="U15" s="107"/>
      <c r="V15" s="107"/>
    </row>
    <row r="16" spans="1:22">
      <c r="A16" s="21">
        <v>4000</v>
      </c>
      <c r="B16" s="21">
        <v>8000</v>
      </c>
      <c r="C16" s="21">
        <v>45000</v>
      </c>
      <c r="D16" s="49">
        <v>41913</v>
      </c>
      <c r="E16" s="50">
        <f t="shared" si="4"/>
        <v>35170</v>
      </c>
      <c r="F16" s="50">
        <f t="shared" si="4"/>
        <v>3872172.2900000005</v>
      </c>
      <c r="G16" s="53">
        <f t="shared" si="4"/>
        <v>110.09872874609043</v>
      </c>
      <c r="H16" s="51">
        <v>0</v>
      </c>
      <c r="I16" s="54">
        <v>0</v>
      </c>
      <c r="J16" s="52">
        <f t="shared" ref="J16" si="11">IF(H16=0,0,I16/H16)</f>
        <v>0</v>
      </c>
      <c r="K16" s="54">
        <v>2213</v>
      </c>
      <c r="L16" s="54">
        <v>243648.49</v>
      </c>
      <c r="M16" s="53">
        <f t="shared" si="1"/>
        <v>110.0987302304564</v>
      </c>
      <c r="N16" s="51">
        <f t="shared" si="2"/>
        <v>32957</v>
      </c>
      <c r="O16" s="51">
        <f t="shared" si="2"/>
        <v>3628523.8000000007</v>
      </c>
      <c r="P16" s="52">
        <f t="shared" si="3"/>
        <v>110.09872864641808</v>
      </c>
      <c r="Q16" s="107"/>
      <c r="R16" s="107"/>
      <c r="S16" s="107"/>
      <c r="T16" s="107"/>
      <c r="U16" s="107"/>
      <c r="V16" s="107"/>
    </row>
    <row r="17" spans="1:22">
      <c r="A17" s="21">
        <v>4000</v>
      </c>
      <c r="B17" s="21">
        <v>8000</v>
      </c>
      <c r="C17" s="21">
        <v>45000</v>
      </c>
      <c r="D17" s="49">
        <v>41944</v>
      </c>
      <c r="E17" s="50">
        <f t="shared" si="4"/>
        <v>32957</v>
      </c>
      <c r="F17" s="50">
        <f t="shared" si="4"/>
        <v>3628523.8000000007</v>
      </c>
      <c r="G17" s="53">
        <f t="shared" si="4"/>
        <v>110.09872864641808</v>
      </c>
      <c r="H17" s="51">
        <v>0</v>
      </c>
      <c r="I17" s="54">
        <v>0</v>
      </c>
      <c r="J17" s="52">
        <f t="shared" ref="J17" si="12">IF(H17=0,0,I17/H17)</f>
        <v>0</v>
      </c>
      <c r="K17" s="54">
        <v>-23</v>
      </c>
      <c r="L17" s="54">
        <v>-2532.27</v>
      </c>
      <c r="M17" s="53">
        <f t="shared" si="1"/>
        <v>110.09869565217392</v>
      </c>
      <c r="N17" s="51">
        <f t="shared" si="2"/>
        <v>32980</v>
      </c>
      <c r="O17" s="51">
        <f t="shared" si="2"/>
        <v>3631056.0700000008</v>
      </c>
      <c r="P17" s="52">
        <f t="shared" si="3"/>
        <v>110.09872862340815</v>
      </c>
      <c r="Q17" s="107"/>
      <c r="R17" s="107"/>
      <c r="S17" s="107"/>
      <c r="T17" s="107"/>
      <c r="U17" s="107"/>
      <c r="V17" s="107"/>
    </row>
    <row r="18" spans="1:22">
      <c r="A18" s="21">
        <v>4000</v>
      </c>
      <c r="B18" s="21">
        <v>8000</v>
      </c>
      <c r="C18" s="21">
        <v>45000</v>
      </c>
      <c r="D18" s="49">
        <v>41974</v>
      </c>
      <c r="E18" s="50">
        <f t="shared" si="4"/>
        <v>32980</v>
      </c>
      <c r="F18" s="50">
        <f t="shared" si="4"/>
        <v>3631056.0700000008</v>
      </c>
      <c r="G18" s="53">
        <f t="shared" si="4"/>
        <v>110.09872862340815</v>
      </c>
      <c r="H18" s="51">
        <v>0</v>
      </c>
      <c r="I18" s="54">
        <v>0</v>
      </c>
      <c r="J18" s="52">
        <f t="shared" ref="J18:J30" si="13">IF(H18=0,0,I18/H18)</f>
        <v>0</v>
      </c>
      <c r="K18" s="54">
        <v>3</v>
      </c>
      <c r="L18" s="54">
        <v>330.3</v>
      </c>
      <c r="M18" s="53">
        <f t="shared" si="1"/>
        <v>110.10000000000001</v>
      </c>
      <c r="N18" s="51">
        <f t="shared" si="2"/>
        <v>32977</v>
      </c>
      <c r="O18" s="51">
        <f t="shared" si="2"/>
        <v>3630725.7700000009</v>
      </c>
      <c r="P18" s="52">
        <f t="shared" si="3"/>
        <v>110.09872850774785</v>
      </c>
      <c r="Q18" s="107"/>
      <c r="R18" s="107"/>
      <c r="S18" s="107"/>
      <c r="T18" s="107"/>
      <c r="U18" s="107"/>
      <c r="V18" s="107"/>
    </row>
    <row r="19" spans="1:22">
      <c r="A19" s="21">
        <v>4000</v>
      </c>
      <c r="B19" s="21">
        <v>8000</v>
      </c>
      <c r="C19" s="21">
        <v>45000</v>
      </c>
      <c r="D19" s="49">
        <v>42005</v>
      </c>
      <c r="E19" s="50">
        <f t="shared" si="4"/>
        <v>32977</v>
      </c>
      <c r="F19" s="50">
        <f t="shared" si="4"/>
        <v>3630725.7700000009</v>
      </c>
      <c r="G19" s="53">
        <f t="shared" si="4"/>
        <v>110.09872850774785</v>
      </c>
      <c r="H19" s="51">
        <v>0</v>
      </c>
      <c r="I19" s="54">
        <v>0</v>
      </c>
      <c r="J19" s="52">
        <f t="shared" si="13"/>
        <v>0</v>
      </c>
      <c r="K19" s="54">
        <v>13</v>
      </c>
      <c r="L19" s="54">
        <v>1431.28</v>
      </c>
      <c r="M19" s="53">
        <f t="shared" si="1"/>
        <v>110.09846153846154</v>
      </c>
      <c r="N19" s="51">
        <f t="shared" si="2"/>
        <v>32964</v>
      </c>
      <c r="O19" s="51">
        <f t="shared" si="2"/>
        <v>3629294.4900000012</v>
      </c>
      <c r="P19" s="52">
        <f t="shared" si="3"/>
        <v>110.09872861303243</v>
      </c>
      <c r="Q19" s="54">
        <f t="shared" ref="Q19:R30" si="14">AVERAGE(N7:N19)</f>
        <v>34458.923076923078</v>
      </c>
      <c r="R19" s="54">
        <f t="shared" si="14"/>
        <v>3793883.6261538467</v>
      </c>
      <c r="S19" s="56">
        <f t="shared" ref="S19:S30" si="15">IF(Q19=0,0,R19/Q19)</f>
        <v>110.09872878745263</v>
      </c>
      <c r="T19" s="54">
        <f t="shared" ref="T19:T30" si="16">N19+A19</f>
        <v>36964</v>
      </c>
      <c r="U19" s="58">
        <v>1800</v>
      </c>
      <c r="V19" s="75">
        <f t="shared" ref="V19:V30" si="17">(T19-U19)/946</f>
        <v>37.171247357293872</v>
      </c>
    </row>
    <row r="20" spans="1:22">
      <c r="A20" s="21">
        <v>4000</v>
      </c>
      <c r="B20" s="21">
        <v>8000</v>
      </c>
      <c r="C20" s="21">
        <v>45000</v>
      </c>
      <c r="D20" s="49">
        <v>42036</v>
      </c>
      <c r="E20" s="50">
        <f t="shared" si="4"/>
        <v>32964</v>
      </c>
      <c r="F20" s="50">
        <f t="shared" si="4"/>
        <v>3629294.4900000012</v>
      </c>
      <c r="G20" s="53">
        <f t="shared" si="4"/>
        <v>110.09872861303243</v>
      </c>
      <c r="H20" s="51">
        <v>642</v>
      </c>
      <c r="I20" s="54">
        <v>51770.34</v>
      </c>
      <c r="J20" s="52">
        <f t="shared" si="13"/>
        <v>80.639158878504674</v>
      </c>
      <c r="K20" s="54">
        <v>26</v>
      </c>
      <c r="L20" s="54">
        <v>2847.94</v>
      </c>
      <c r="M20" s="53">
        <f t="shared" si="1"/>
        <v>109.53615384615385</v>
      </c>
      <c r="N20" s="51">
        <f t="shared" si="2"/>
        <v>33580</v>
      </c>
      <c r="O20" s="51">
        <f t="shared" si="2"/>
        <v>3678216.8900000011</v>
      </c>
      <c r="P20" s="52">
        <f t="shared" si="3"/>
        <v>109.53594073853488</v>
      </c>
      <c r="Q20" s="54">
        <f t="shared" si="14"/>
        <v>34338</v>
      </c>
      <c r="R20" s="54">
        <f t="shared" si="14"/>
        <v>3779116.4238461549</v>
      </c>
      <c r="S20" s="56">
        <f t="shared" si="15"/>
        <v>110.05639302947624</v>
      </c>
      <c r="T20" s="54">
        <f t="shared" si="16"/>
        <v>37580</v>
      </c>
      <c r="U20" s="58">
        <v>1800</v>
      </c>
      <c r="V20" s="75">
        <f t="shared" si="17"/>
        <v>37.82241014799154</v>
      </c>
    </row>
    <row r="21" spans="1:22">
      <c r="A21" s="21">
        <v>4000</v>
      </c>
      <c r="B21" s="21">
        <v>8000</v>
      </c>
      <c r="C21" s="21">
        <v>45000</v>
      </c>
      <c r="D21" s="49">
        <v>42064</v>
      </c>
      <c r="E21" s="50">
        <f t="shared" si="4"/>
        <v>33580</v>
      </c>
      <c r="F21" s="50">
        <f t="shared" si="4"/>
        <v>3678216.8900000011</v>
      </c>
      <c r="G21" s="53">
        <f t="shared" si="4"/>
        <v>109.53594073853488</v>
      </c>
      <c r="H21" s="51">
        <v>0</v>
      </c>
      <c r="I21" s="54">
        <v>14396.4</v>
      </c>
      <c r="J21" s="52">
        <f t="shared" si="13"/>
        <v>0</v>
      </c>
      <c r="K21" s="54">
        <v>-6</v>
      </c>
      <c r="L21" s="54">
        <v>-659.79</v>
      </c>
      <c r="M21" s="53">
        <f t="shared" si="1"/>
        <v>109.96499999999999</v>
      </c>
      <c r="N21" s="51">
        <f t="shared" si="2"/>
        <v>33586</v>
      </c>
      <c r="O21" s="51">
        <f t="shared" si="2"/>
        <v>3693273.080000001</v>
      </c>
      <c r="P21" s="52">
        <f t="shared" si="3"/>
        <v>109.96466027511467</v>
      </c>
      <c r="Q21" s="54">
        <f t="shared" si="14"/>
        <v>34218.153846153844</v>
      </c>
      <c r="R21" s="54">
        <f t="shared" si="14"/>
        <v>3765575.1430769237</v>
      </c>
      <c r="S21" s="56">
        <f t="shared" si="15"/>
        <v>110.04612230125262</v>
      </c>
      <c r="T21" s="54">
        <f t="shared" si="16"/>
        <v>37586</v>
      </c>
      <c r="U21" s="58">
        <v>1800</v>
      </c>
      <c r="V21" s="75">
        <f t="shared" si="17"/>
        <v>37.828752642706128</v>
      </c>
    </row>
    <row r="22" spans="1:22">
      <c r="A22" s="21">
        <v>4000</v>
      </c>
      <c r="B22" s="21">
        <v>8000</v>
      </c>
      <c r="C22" s="21">
        <v>45000</v>
      </c>
      <c r="D22" s="49">
        <v>42095</v>
      </c>
      <c r="E22" s="50">
        <f t="shared" si="4"/>
        <v>33586</v>
      </c>
      <c r="F22" s="50">
        <f t="shared" si="4"/>
        <v>3693273.080000001</v>
      </c>
      <c r="G22" s="53">
        <f t="shared" si="4"/>
        <v>109.96466027511467</v>
      </c>
      <c r="H22" s="51">
        <v>2806</v>
      </c>
      <c r="I22" s="54">
        <v>359954.81</v>
      </c>
      <c r="J22" s="52">
        <f t="shared" si="13"/>
        <v>128.28040270848183</v>
      </c>
      <c r="K22" s="54">
        <v>666</v>
      </c>
      <c r="L22" s="54">
        <v>73305.67</v>
      </c>
      <c r="M22" s="53">
        <f t="shared" si="1"/>
        <v>110.06857357357357</v>
      </c>
      <c r="N22" s="51">
        <f t="shared" si="2"/>
        <v>35726</v>
      </c>
      <c r="O22" s="51">
        <f t="shared" si="2"/>
        <v>3979922.2200000011</v>
      </c>
      <c r="P22" s="52">
        <f t="shared" si="3"/>
        <v>111.40128253932713</v>
      </c>
      <c r="Q22" s="54">
        <f t="shared" si="14"/>
        <v>34266.076923076922</v>
      </c>
      <c r="R22" s="54">
        <f t="shared" si="14"/>
        <v>3774431.0307692313</v>
      </c>
      <c r="S22" s="56">
        <f t="shared" si="15"/>
        <v>110.15066122808162</v>
      </c>
      <c r="T22" s="54">
        <f t="shared" si="16"/>
        <v>39726</v>
      </c>
      <c r="U22" s="58">
        <v>1800</v>
      </c>
      <c r="V22" s="75">
        <f t="shared" si="17"/>
        <v>40.090909090909093</v>
      </c>
    </row>
    <row r="23" spans="1:22">
      <c r="A23" s="21">
        <v>4000</v>
      </c>
      <c r="B23" s="21">
        <v>8000</v>
      </c>
      <c r="C23" s="21">
        <v>45000</v>
      </c>
      <c r="D23" s="49">
        <v>42125</v>
      </c>
      <c r="E23" s="50">
        <f t="shared" si="4"/>
        <v>35726</v>
      </c>
      <c r="F23" s="50">
        <f t="shared" si="4"/>
        <v>3979922.2200000011</v>
      </c>
      <c r="G23" s="53">
        <f t="shared" si="4"/>
        <v>111.40128253932713</v>
      </c>
      <c r="H23" s="51">
        <v>-360</v>
      </c>
      <c r="I23" s="54">
        <v>0</v>
      </c>
      <c r="J23" s="52">
        <f t="shared" si="13"/>
        <v>0</v>
      </c>
      <c r="K23" s="54">
        <v>9</v>
      </c>
      <c r="L23" s="54">
        <v>1012.82</v>
      </c>
      <c r="M23" s="53">
        <f t="shared" si="1"/>
        <v>112.53555555555556</v>
      </c>
      <c r="N23" s="51">
        <f t="shared" si="2"/>
        <v>35357</v>
      </c>
      <c r="O23" s="51">
        <f t="shared" si="2"/>
        <v>3978909.4000000013</v>
      </c>
      <c r="P23" s="52">
        <f t="shared" si="3"/>
        <v>112.53526600107479</v>
      </c>
      <c r="Q23" s="54">
        <f t="shared" si="14"/>
        <v>34285.538461538461</v>
      </c>
      <c r="R23" s="54">
        <f t="shared" si="14"/>
        <v>3783200.5399999996</v>
      </c>
      <c r="S23" s="56">
        <f t="shared" si="15"/>
        <v>110.34391494956384</v>
      </c>
      <c r="T23" s="54">
        <f t="shared" si="16"/>
        <v>39357</v>
      </c>
      <c r="U23" s="58">
        <v>1800</v>
      </c>
      <c r="V23" s="75">
        <f t="shared" si="17"/>
        <v>39.700845665961943</v>
      </c>
    </row>
    <row r="24" spans="1:22">
      <c r="A24" s="21">
        <v>4000</v>
      </c>
      <c r="B24" s="21">
        <v>8000</v>
      </c>
      <c r="C24" s="21">
        <v>45000</v>
      </c>
      <c r="D24" s="49">
        <v>42156</v>
      </c>
      <c r="E24" s="50">
        <f t="shared" si="4"/>
        <v>35357</v>
      </c>
      <c r="F24" s="50">
        <f t="shared" si="4"/>
        <v>3978909.4000000013</v>
      </c>
      <c r="G24" s="53">
        <f t="shared" si="4"/>
        <v>112.53526600107479</v>
      </c>
      <c r="H24" s="51">
        <v>-2442</v>
      </c>
      <c r="I24" s="54">
        <v>-719027.62</v>
      </c>
      <c r="J24" s="52">
        <f t="shared" si="13"/>
        <v>294.4421048321048</v>
      </c>
      <c r="K24" s="54">
        <v>-68</v>
      </c>
      <c r="L24" s="54">
        <v>-6734.68</v>
      </c>
      <c r="M24" s="53">
        <f t="shared" si="1"/>
        <v>99.039411764705889</v>
      </c>
      <c r="N24" s="51">
        <f t="shared" si="2"/>
        <v>32983</v>
      </c>
      <c r="O24" s="51">
        <f t="shared" si="2"/>
        <v>3266616.4600000014</v>
      </c>
      <c r="P24" s="52">
        <f t="shared" si="3"/>
        <v>99.039397871630882</v>
      </c>
      <c r="Q24" s="54">
        <f t="shared" si="14"/>
        <v>34122</v>
      </c>
      <c r="R24" s="54">
        <f t="shared" si="14"/>
        <v>3737135.9392307699</v>
      </c>
      <c r="S24" s="56">
        <f t="shared" si="15"/>
        <v>109.52276945169596</v>
      </c>
      <c r="T24" s="54">
        <f t="shared" si="16"/>
        <v>36983</v>
      </c>
      <c r="U24" s="58">
        <v>3800</v>
      </c>
      <c r="V24" s="75">
        <f t="shared" si="17"/>
        <v>35.077167019027485</v>
      </c>
    </row>
    <row r="25" spans="1:22">
      <c r="A25" s="21">
        <v>4000</v>
      </c>
      <c r="B25" s="21">
        <v>8000</v>
      </c>
      <c r="C25" s="21">
        <v>45000</v>
      </c>
      <c r="D25" s="49">
        <v>42186</v>
      </c>
      <c r="E25" s="50">
        <f t="shared" si="4"/>
        <v>32983</v>
      </c>
      <c r="F25" s="50">
        <f t="shared" si="4"/>
        <v>3266616.4600000014</v>
      </c>
      <c r="G25" s="53">
        <f t="shared" si="4"/>
        <v>99.039397871630882</v>
      </c>
      <c r="H25" s="51">
        <v>0</v>
      </c>
      <c r="I25" s="54">
        <v>0</v>
      </c>
      <c r="J25" s="52">
        <f t="shared" si="13"/>
        <v>0</v>
      </c>
      <c r="K25" s="54">
        <v>167</v>
      </c>
      <c r="L25" s="54">
        <v>16539.580000000002</v>
      </c>
      <c r="M25" s="53">
        <f t="shared" si="1"/>
        <v>99.039401197604803</v>
      </c>
      <c r="N25" s="51">
        <f t="shared" si="2"/>
        <v>32816</v>
      </c>
      <c r="O25" s="51">
        <f t="shared" si="2"/>
        <v>3250076.8800000013</v>
      </c>
      <c r="P25" s="52">
        <f t="shared" si="3"/>
        <v>99.039397854705058</v>
      </c>
      <c r="Q25" s="54">
        <f t="shared" si="14"/>
        <v>33947.153846153844</v>
      </c>
      <c r="R25" s="54">
        <f t="shared" si="14"/>
        <v>3689968.4453846165</v>
      </c>
      <c r="S25" s="56">
        <f t="shared" si="15"/>
        <v>108.69743195872321</v>
      </c>
      <c r="T25" s="54">
        <f t="shared" si="16"/>
        <v>36816</v>
      </c>
      <c r="U25" s="58">
        <v>3800</v>
      </c>
      <c r="V25" s="75">
        <f t="shared" si="17"/>
        <v>34.900634249471459</v>
      </c>
    </row>
    <row r="26" spans="1:22">
      <c r="A26" s="21">
        <v>4000</v>
      </c>
      <c r="B26" s="21">
        <v>8000</v>
      </c>
      <c r="C26" s="21">
        <v>45000</v>
      </c>
      <c r="D26" s="49">
        <v>42217</v>
      </c>
      <c r="E26" s="50">
        <f t="shared" si="4"/>
        <v>32816</v>
      </c>
      <c r="F26" s="50">
        <f t="shared" si="4"/>
        <v>3250076.8800000013</v>
      </c>
      <c r="G26" s="53">
        <f t="shared" si="4"/>
        <v>99.039397854705058</v>
      </c>
      <c r="H26" s="51">
        <v>0</v>
      </c>
      <c r="I26" s="54">
        <v>0</v>
      </c>
      <c r="J26" s="52">
        <f t="shared" si="13"/>
        <v>0</v>
      </c>
      <c r="K26" s="54">
        <v>91</v>
      </c>
      <c r="L26" s="54">
        <v>9012.59</v>
      </c>
      <c r="M26" s="53">
        <f t="shared" si="1"/>
        <v>99.039450549450549</v>
      </c>
      <c r="N26" s="51">
        <f t="shared" si="2"/>
        <v>32725</v>
      </c>
      <c r="O26" s="51">
        <f t="shared" si="2"/>
        <v>3241064.2900000014</v>
      </c>
      <c r="P26" s="52">
        <f t="shared" si="3"/>
        <v>99.039397708174221</v>
      </c>
      <c r="Q26" s="54">
        <f t="shared" si="14"/>
        <v>33768.538461538461</v>
      </c>
      <c r="R26" s="54">
        <f t="shared" si="14"/>
        <v>3642463.3792307698</v>
      </c>
      <c r="S26" s="56">
        <f t="shared" si="15"/>
        <v>107.86559161805141</v>
      </c>
      <c r="T26" s="54">
        <f t="shared" si="16"/>
        <v>36725</v>
      </c>
      <c r="U26" s="58">
        <v>3800</v>
      </c>
      <c r="V26" s="75">
        <f t="shared" si="17"/>
        <v>34.804439746300211</v>
      </c>
    </row>
    <row r="27" spans="1:22">
      <c r="A27" s="21">
        <v>4000</v>
      </c>
      <c r="B27" s="21">
        <v>8000</v>
      </c>
      <c r="C27" s="21">
        <v>45000</v>
      </c>
      <c r="D27" s="49">
        <v>42248</v>
      </c>
      <c r="E27" s="50">
        <f t="shared" si="4"/>
        <v>32725</v>
      </c>
      <c r="F27" s="50">
        <f t="shared" si="4"/>
        <v>3241064.2900000014</v>
      </c>
      <c r="G27" s="53">
        <f t="shared" si="4"/>
        <v>99.039397708174221</v>
      </c>
      <c r="H27" s="51">
        <v>0</v>
      </c>
      <c r="I27" s="54">
        <v>0</v>
      </c>
      <c r="J27" s="52">
        <f t="shared" si="13"/>
        <v>0</v>
      </c>
      <c r="K27" s="54">
        <v>17</v>
      </c>
      <c r="L27" s="54">
        <v>1683.67</v>
      </c>
      <c r="M27" s="53">
        <f t="shared" si="1"/>
        <v>99.039411764705889</v>
      </c>
      <c r="N27" s="51">
        <f t="shared" si="2"/>
        <v>32708</v>
      </c>
      <c r="O27" s="51">
        <f t="shared" si="2"/>
        <v>3239380.6200000015</v>
      </c>
      <c r="P27" s="52">
        <f t="shared" si="3"/>
        <v>99.039397700868335</v>
      </c>
      <c r="Q27" s="54">
        <f t="shared" si="14"/>
        <v>33579.153846153844</v>
      </c>
      <c r="R27" s="54">
        <f t="shared" si="14"/>
        <v>3593787.0969230784</v>
      </c>
      <c r="S27" s="56">
        <f t="shared" si="15"/>
        <v>107.02434949338995</v>
      </c>
      <c r="T27" s="54">
        <f t="shared" si="16"/>
        <v>36708</v>
      </c>
      <c r="U27" s="58">
        <v>3800</v>
      </c>
      <c r="V27" s="75">
        <f t="shared" si="17"/>
        <v>34.786469344608882</v>
      </c>
    </row>
    <row r="28" spans="1:22">
      <c r="A28" s="21">
        <v>4000</v>
      </c>
      <c r="B28" s="21">
        <v>8000</v>
      </c>
      <c r="C28" s="21">
        <v>45000</v>
      </c>
      <c r="D28" s="49">
        <v>42278</v>
      </c>
      <c r="E28" s="50">
        <f t="shared" si="4"/>
        <v>32708</v>
      </c>
      <c r="F28" s="50">
        <f t="shared" si="4"/>
        <v>3239380.6200000015</v>
      </c>
      <c r="G28" s="53">
        <f t="shared" si="4"/>
        <v>99.039397700868335</v>
      </c>
      <c r="H28" s="51">
        <v>0</v>
      </c>
      <c r="I28" s="54">
        <v>0</v>
      </c>
      <c r="J28" s="52">
        <f t="shared" si="13"/>
        <v>0</v>
      </c>
      <c r="K28" s="54">
        <v>-1</v>
      </c>
      <c r="L28" s="54">
        <v>-99.04</v>
      </c>
      <c r="M28" s="53">
        <f t="shared" si="1"/>
        <v>99.04</v>
      </c>
      <c r="N28" s="51">
        <f t="shared" si="2"/>
        <v>32709</v>
      </c>
      <c r="O28" s="51">
        <f t="shared" si="2"/>
        <v>3239479.6600000015</v>
      </c>
      <c r="P28" s="52">
        <f t="shared" si="3"/>
        <v>99.039397719282206</v>
      </c>
      <c r="Q28" s="54">
        <f t="shared" si="14"/>
        <v>33389.846153846156</v>
      </c>
      <c r="R28" s="54">
        <f t="shared" si="14"/>
        <v>3545118.4330769246</v>
      </c>
      <c r="S28" s="56">
        <f t="shared" si="15"/>
        <v>106.17354799248048</v>
      </c>
      <c r="T28" s="54">
        <f t="shared" si="16"/>
        <v>36709</v>
      </c>
      <c r="U28" s="58">
        <v>3800</v>
      </c>
      <c r="V28" s="75">
        <f t="shared" si="17"/>
        <v>34.787526427061309</v>
      </c>
    </row>
    <row r="29" spans="1:22">
      <c r="A29" s="21">
        <v>4000</v>
      </c>
      <c r="B29" s="21">
        <v>8000</v>
      </c>
      <c r="C29" s="21">
        <v>45000</v>
      </c>
      <c r="D29" s="49">
        <v>42309</v>
      </c>
      <c r="E29" s="50">
        <f t="shared" si="4"/>
        <v>32709</v>
      </c>
      <c r="F29" s="50">
        <f t="shared" si="4"/>
        <v>3239479.6600000015</v>
      </c>
      <c r="G29" s="53">
        <f t="shared" si="4"/>
        <v>99.039397719282206</v>
      </c>
      <c r="H29" s="51">
        <v>0</v>
      </c>
      <c r="I29" s="54">
        <v>0</v>
      </c>
      <c r="J29" s="52">
        <f t="shared" si="13"/>
        <v>0</v>
      </c>
      <c r="K29" s="54">
        <v>0</v>
      </c>
      <c r="L29" s="54">
        <v>0</v>
      </c>
      <c r="M29" s="53">
        <f t="shared" si="1"/>
        <v>0</v>
      </c>
      <c r="N29" s="51">
        <f t="shared" si="2"/>
        <v>32709</v>
      </c>
      <c r="O29" s="51">
        <f t="shared" si="2"/>
        <v>3239479.6600000015</v>
      </c>
      <c r="P29" s="52">
        <f t="shared" si="3"/>
        <v>99.039397719282206</v>
      </c>
      <c r="Q29" s="54">
        <f t="shared" si="14"/>
        <v>33370.769230769234</v>
      </c>
      <c r="R29" s="54">
        <f t="shared" si="14"/>
        <v>3515191.9607692328</v>
      </c>
      <c r="S29" s="56">
        <f t="shared" si="15"/>
        <v>105.3374567562584</v>
      </c>
      <c r="T29" s="54">
        <f t="shared" si="16"/>
        <v>36709</v>
      </c>
      <c r="U29" s="58">
        <v>3800</v>
      </c>
      <c r="V29" s="75">
        <f t="shared" si="17"/>
        <v>34.787526427061309</v>
      </c>
    </row>
    <row r="30" spans="1:22">
      <c r="A30" s="21">
        <v>4000</v>
      </c>
      <c r="B30" s="21">
        <v>8000</v>
      </c>
      <c r="C30" s="21">
        <v>45000</v>
      </c>
      <c r="D30" s="49">
        <v>42339</v>
      </c>
      <c r="E30" s="50">
        <f t="shared" si="4"/>
        <v>32709</v>
      </c>
      <c r="F30" s="50">
        <f t="shared" si="4"/>
        <v>3239479.6600000015</v>
      </c>
      <c r="G30" s="53">
        <f t="shared" si="4"/>
        <v>99.039397719282206</v>
      </c>
      <c r="H30" s="51">
        <v>0</v>
      </c>
      <c r="I30" s="54">
        <v>0</v>
      </c>
      <c r="J30" s="52">
        <f t="shared" si="13"/>
        <v>0</v>
      </c>
      <c r="K30" s="54">
        <v>20</v>
      </c>
      <c r="L30" s="54">
        <v>1980.79</v>
      </c>
      <c r="M30" s="53">
        <f t="shared" si="1"/>
        <v>99.039500000000004</v>
      </c>
      <c r="N30" s="51">
        <f t="shared" si="2"/>
        <v>32689</v>
      </c>
      <c r="O30" s="51">
        <f t="shared" si="2"/>
        <v>3237498.8700000015</v>
      </c>
      <c r="P30" s="52">
        <f t="shared" si="3"/>
        <v>99.039397656704139</v>
      </c>
      <c r="Q30" s="54">
        <f t="shared" si="14"/>
        <v>33348.384615384617</v>
      </c>
      <c r="R30" s="54">
        <f t="shared" si="14"/>
        <v>3484918.3300000024</v>
      </c>
      <c r="S30" s="56">
        <f t="shared" si="15"/>
        <v>104.50036396642446</v>
      </c>
      <c r="T30" s="54">
        <f t="shared" si="16"/>
        <v>36689</v>
      </c>
      <c r="U30" s="58">
        <v>1800</v>
      </c>
      <c r="V30" s="75">
        <f t="shared" si="17"/>
        <v>36.880549682875262</v>
      </c>
    </row>
    <row r="31" spans="1:22">
      <c r="A31" s="21">
        <v>4000</v>
      </c>
      <c r="B31" s="21">
        <v>8000</v>
      </c>
      <c r="C31" s="21">
        <v>45000</v>
      </c>
      <c r="D31" s="13">
        <v>42370</v>
      </c>
      <c r="E31" s="16">
        <f t="shared" si="4"/>
        <v>32689</v>
      </c>
      <c r="F31" s="16">
        <f t="shared" si="4"/>
        <v>3237498.8700000015</v>
      </c>
      <c r="G31" s="14">
        <f t="shared" si="4"/>
        <v>99.039397656704139</v>
      </c>
      <c r="H31" s="46">
        <v>0</v>
      </c>
      <c r="I31" s="23">
        <f t="shared" ref="I31:I54" si="18">H31*J31</f>
        <v>0</v>
      </c>
      <c r="J31" s="22">
        <f>VLOOKUP(D31,Data!$A$5:$V$197,8,FALSE)*5.83</f>
        <v>56.166746915999994</v>
      </c>
      <c r="K31" s="71">
        <f>VLOOKUP(D31,Data!$A$5:$V$197,18,FALSE)</f>
        <v>0</v>
      </c>
      <c r="L31" s="85">
        <f t="shared" ref="L31:L89" si="19">IF(E31+I31&gt;0,((F31+I31)/(E31+H31)*K31),0)</f>
        <v>0</v>
      </c>
      <c r="M31" s="14">
        <f t="shared" si="1"/>
        <v>0</v>
      </c>
      <c r="N31" s="15">
        <f t="shared" si="2"/>
        <v>32689</v>
      </c>
      <c r="O31" s="15">
        <f t="shared" si="2"/>
        <v>3237498.8700000015</v>
      </c>
      <c r="P31" s="22">
        <f t="shared" si="3"/>
        <v>99.039397656704139</v>
      </c>
      <c r="Q31" s="31">
        <f t="shared" ref="Q31:R32" si="20">AVERAGE(N19:N31)</f>
        <v>33326.230769230766</v>
      </c>
      <c r="R31" s="31">
        <f t="shared" si="20"/>
        <v>3454670.1069230791</v>
      </c>
      <c r="S31" s="32">
        <f t="shared" ref="S31:S54" si="21">IF(Q31=0,0,R31/Q31)</f>
        <v>103.66219122843876</v>
      </c>
      <c r="T31" s="31">
        <f t="shared" ref="T31:T66" si="22">N31+A31</f>
        <v>36689</v>
      </c>
      <c r="U31" s="7">
        <v>1800</v>
      </c>
      <c r="V31" s="37">
        <f t="shared" ref="V31:V66" si="23">(T31-U31)/946</f>
        <v>36.880549682875262</v>
      </c>
    </row>
    <row r="32" spans="1:22">
      <c r="A32" s="21">
        <v>4000</v>
      </c>
      <c r="B32" s="21">
        <v>8000</v>
      </c>
      <c r="C32" s="21">
        <v>45000</v>
      </c>
      <c r="D32" s="13">
        <v>42401</v>
      </c>
      <c r="E32" s="16">
        <f t="shared" si="4"/>
        <v>32689</v>
      </c>
      <c r="F32" s="16">
        <f t="shared" si="4"/>
        <v>3237498.8700000015</v>
      </c>
      <c r="G32" s="14">
        <f t="shared" si="4"/>
        <v>99.039397656704139</v>
      </c>
      <c r="H32" s="46">
        <v>0</v>
      </c>
      <c r="I32" s="23">
        <f t="shared" si="18"/>
        <v>0</v>
      </c>
      <c r="J32" s="22">
        <f>VLOOKUP(D32,Data!$A$5:$V$197,8,FALSE)*5.83</f>
        <v>57.246146916000001</v>
      </c>
      <c r="K32" s="91">
        <f>VLOOKUP(D32,Data!$A$5:$V$197,18,FALSE)</f>
        <v>0</v>
      </c>
      <c r="L32" s="91">
        <f t="shared" si="19"/>
        <v>0</v>
      </c>
      <c r="M32" s="14">
        <f t="shared" si="1"/>
        <v>0</v>
      </c>
      <c r="N32" s="15">
        <f t="shared" si="2"/>
        <v>32689</v>
      </c>
      <c r="O32" s="15">
        <f t="shared" si="2"/>
        <v>3237498.8700000015</v>
      </c>
      <c r="P32" s="22">
        <f t="shared" si="3"/>
        <v>99.039397656704139</v>
      </c>
      <c r="Q32" s="31">
        <f t="shared" si="20"/>
        <v>33305.076923076922</v>
      </c>
      <c r="R32" s="31">
        <f t="shared" si="20"/>
        <v>3424531.9823076944</v>
      </c>
      <c r="S32" s="32">
        <f t="shared" si="21"/>
        <v>102.82312183866638</v>
      </c>
      <c r="T32" s="31">
        <f t="shared" si="22"/>
        <v>36689</v>
      </c>
      <c r="U32" s="7">
        <v>1800</v>
      </c>
      <c r="V32" s="37">
        <f t="shared" si="23"/>
        <v>36.880549682875262</v>
      </c>
    </row>
    <row r="33" spans="1:22">
      <c r="A33" s="21">
        <v>4000</v>
      </c>
      <c r="B33" s="21">
        <v>8000</v>
      </c>
      <c r="C33" s="21">
        <v>45000</v>
      </c>
      <c r="D33" s="13">
        <v>42430</v>
      </c>
      <c r="E33" s="16">
        <f t="shared" si="4"/>
        <v>32689</v>
      </c>
      <c r="F33" s="16">
        <f t="shared" si="4"/>
        <v>3237498.8700000015</v>
      </c>
      <c r="G33" s="14">
        <f t="shared" si="4"/>
        <v>99.039397656704139</v>
      </c>
      <c r="H33" s="46">
        <v>0</v>
      </c>
      <c r="I33" s="23">
        <f t="shared" si="18"/>
        <v>0</v>
      </c>
      <c r="J33" s="22">
        <f>VLOOKUP(D33,Data!$A$5:$V$197,8,FALSE)*5.83</f>
        <v>58.195346915999984</v>
      </c>
      <c r="K33" s="91">
        <f>VLOOKUP(D33,Data!$A$5:$V$197,18,FALSE)</f>
        <v>0</v>
      </c>
      <c r="L33" s="91">
        <f t="shared" si="19"/>
        <v>0</v>
      </c>
      <c r="M33" s="14">
        <f t="shared" si="1"/>
        <v>0</v>
      </c>
      <c r="N33" s="15">
        <f t="shared" si="2"/>
        <v>32689</v>
      </c>
      <c r="O33" s="15">
        <f t="shared" si="2"/>
        <v>3237498.8700000015</v>
      </c>
      <c r="P33" s="22">
        <f t="shared" si="3"/>
        <v>99.039397656704139</v>
      </c>
      <c r="Q33" s="31">
        <f t="shared" ref="Q33:R48" si="24">AVERAGE(N21:N33)</f>
        <v>33236.538461538461</v>
      </c>
      <c r="R33" s="31">
        <f t="shared" si="24"/>
        <v>3390630.5961538483</v>
      </c>
      <c r="S33" s="32">
        <f t="shared" si="21"/>
        <v>102.01515419776666</v>
      </c>
      <c r="T33" s="31">
        <f t="shared" si="22"/>
        <v>36689</v>
      </c>
      <c r="U33" s="7">
        <v>1800</v>
      </c>
      <c r="V33" s="37">
        <f t="shared" si="23"/>
        <v>36.880549682875262</v>
      </c>
    </row>
    <row r="34" spans="1:22">
      <c r="A34" s="21">
        <v>4000</v>
      </c>
      <c r="B34" s="21">
        <v>8000</v>
      </c>
      <c r="C34" s="21">
        <v>45000</v>
      </c>
      <c r="D34" s="13">
        <v>42461</v>
      </c>
      <c r="E34" s="16">
        <f t="shared" si="4"/>
        <v>32689</v>
      </c>
      <c r="F34" s="16">
        <f t="shared" si="4"/>
        <v>3237498.8700000015</v>
      </c>
      <c r="G34" s="14">
        <f t="shared" si="4"/>
        <v>99.039397656704139</v>
      </c>
      <c r="H34" s="46">
        <v>0</v>
      </c>
      <c r="I34" s="23">
        <f t="shared" si="18"/>
        <v>0</v>
      </c>
      <c r="J34" s="22">
        <f>VLOOKUP(D34,Data!$A$5:$V$197,8,FALSE)*5.83</f>
        <v>58.842146916000004</v>
      </c>
      <c r="K34" s="91">
        <f>VLOOKUP(D34,Data!$A$5:$V$197,18,FALSE)</f>
        <v>406.86106346483706</v>
      </c>
      <c r="L34" s="91">
        <f t="shared" si="19"/>
        <v>40295.274655523535</v>
      </c>
      <c r="M34" s="14">
        <f t="shared" si="1"/>
        <v>99.039397656704139</v>
      </c>
      <c r="N34" s="15">
        <f t="shared" si="2"/>
        <v>32282.138936535164</v>
      </c>
      <c r="O34" s="15">
        <f t="shared" si="2"/>
        <v>3197203.5953444778</v>
      </c>
      <c r="P34" s="22">
        <f t="shared" si="3"/>
        <v>99.039397656704125</v>
      </c>
      <c r="Q34" s="31">
        <f t="shared" si="24"/>
        <v>33136.241456656549</v>
      </c>
      <c r="R34" s="31">
        <f t="shared" si="24"/>
        <v>3352471.4050265001</v>
      </c>
      <c r="S34" s="32">
        <f t="shared" si="21"/>
        <v>101.17234959829885</v>
      </c>
      <c r="T34" s="31">
        <f t="shared" si="22"/>
        <v>36282.138936535164</v>
      </c>
      <c r="U34" s="7">
        <v>1800</v>
      </c>
      <c r="V34" s="37">
        <f t="shared" si="23"/>
        <v>36.45046399210905</v>
      </c>
    </row>
    <row r="35" spans="1:22">
      <c r="A35" s="21">
        <v>4000</v>
      </c>
      <c r="B35" s="21">
        <v>8000</v>
      </c>
      <c r="C35" s="21">
        <v>45000</v>
      </c>
      <c r="D35" s="13">
        <v>42491</v>
      </c>
      <c r="E35" s="16">
        <f t="shared" si="4"/>
        <v>32282.138936535164</v>
      </c>
      <c r="F35" s="16">
        <f t="shared" si="4"/>
        <v>3197203.5953444778</v>
      </c>
      <c r="G35" s="14">
        <f t="shared" si="4"/>
        <v>99.039397656704125</v>
      </c>
      <c r="H35" s="46">
        <v>0</v>
      </c>
      <c r="I35" s="23">
        <f t="shared" si="18"/>
        <v>0</v>
      </c>
      <c r="J35" s="22">
        <f>VLOOKUP(D35,Data!$A$5:$V$197,8,FALSE)*5.83</f>
        <v>59.698946915999983</v>
      </c>
      <c r="K35" s="91">
        <f>VLOOKUP(D35,Data!$A$5:$V$197,18,FALSE)</f>
        <v>70.325900514579757</v>
      </c>
      <c r="L35" s="91">
        <f t="shared" si="19"/>
        <v>6965.0348266292776</v>
      </c>
      <c r="M35" s="14">
        <f t="shared" si="1"/>
        <v>99.039397656704125</v>
      </c>
      <c r="N35" s="15">
        <f t="shared" si="2"/>
        <v>32211.813036020583</v>
      </c>
      <c r="O35" s="15">
        <f t="shared" si="2"/>
        <v>3190238.5605178485</v>
      </c>
      <c r="P35" s="22">
        <f t="shared" si="3"/>
        <v>99.039397656704125</v>
      </c>
      <c r="Q35" s="31">
        <f t="shared" si="24"/>
        <v>32865.919382504289</v>
      </c>
      <c r="R35" s="31">
        <f t="shared" si="24"/>
        <v>3291726.5081432564</v>
      </c>
      <c r="S35" s="32">
        <f t="shared" si="21"/>
        <v>100.15622778821641</v>
      </c>
      <c r="T35" s="31">
        <f t="shared" si="22"/>
        <v>36211.813036020583</v>
      </c>
      <c r="U35" s="7">
        <v>1800</v>
      </c>
      <c r="V35" s="37">
        <f t="shared" si="23"/>
        <v>36.376123716723662</v>
      </c>
    </row>
    <row r="36" spans="1:22">
      <c r="A36" s="21">
        <v>4000</v>
      </c>
      <c r="B36" s="21">
        <v>8000</v>
      </c>
      <c r="C36" s="21">
        <v>45000</v>
      </c>
      <c r="D36" s="13">
        <v>42522</v>
      </c>
      <c r="E36" s="16">
        <f t="shared" si="4"/>
        <v>32211.813036020583</v>
      </c>
      <c r="F36" s="16">
        <f t="shared" si="4"/>
        <v>3190238.5605178485</v>
      </c>
      <c r="G36" s="14">
        <f t="shared" si="4"/>
        <v>99.039397656704125</v>
      </c>
      <c r="H36" s="46">
        <v>0</v>
      </c>
      <c r="I36" s="23">
        <f t="shared" si="18"/>
        <v>0</v>
      </c>
      <c r="J36" s="22">
        <f>VLOOKUP(D36,Data!$A$5:$V$197,8,FALSE)*5.83</f>
        <v>60.769946915999988</v>
      </c>
      <c r="K36" s="91">
        <f>VLOOKUP(D36,Data!$A$5:$V$197,18,FALSE)</f>
        <v>0</v>
      </c>
      <c r="L36" s="91">
        <f t="shared" si="19"/>
        <v>0</v>
      </c>
      <c r="M36" s="14">
        <f t="shared" si="1"/>
        <v>0</v>
      </c>
      <c r="N36" s="15">
        <f t="shared" si="2"/>
        <v>32211.813036020583</v>
      </c>
      <c r="O36" s="15">
        <f t="shared" si="2"/>
        <v>3190238.5605178485</v>
      </c>
      <c r="P36" s="22">
        <f t="shared" si="3"/>
        <v>99.039397656704125</v>
      </c>
      <c r="Q36" s="31">
        <f t="shared" si="24"/>
        <v>32623.981923736639</v>
      </c>
      <c r="R36" s="31">
        <f t="shared" si="24"/>
        <v>3231059.5204907833</v>
      </c>
      <c r="S36" s="32">
        <f t="shared" si="21"/>
        <v>99.039397705769346</v>
      </c>
      <c r="T36" s="31">
        <f t="shared" si="22"/>
        <v>36211.813036020583</v>
      </c>
      <c r="U36" s="7">
        <v>3800</v>
      </c>
      <c r="V36" s="37">
        <f t="shared" si="23"/>
        <v>34.261958811861085</v>
      </c>
    </row>
    <row r="37" spans="1:22">
      <c r="A37" s="21">
        <v>4000</v>
      </c>
      <c r="B37" s="21">
        <v>8000</v>
      </c>
      <c r="C37" s="21">
        <v>45000</v>
      </c>
      <c r="D37" s="13">
        <v>42552</v>
      </c>
      <c r="E37" s="16">
        <f t="shared" si="4"/>
        <v>32211.813036020583</v>
      </c>
      <c r="F37" s="16">
        <f t="shared" si="4"/>
        <v>3190238.5605178485</v>
      </c>
      <c r="G37" s="14">
        <f t="shared" si="4"/>
        <v>99.039397656704125</v>
      </c>
      <c r="H37" s="46">
        <v>0</v>
      </c>
      <c r="I37" s="23">
        <f t="shared" si="18"/>
        <v>0</v>
      </c>
      <c r="J37" s="22">
        <f>VLOOKUP(D37,Data!$A$5:$V$197,8,FALSE)*5.83</f>
        <v>61.874546915999986</v>
      </c>
      <c r="K37" s="91">
        <f>VLOOKUP(D37,Data!$A$5:$V$197,18,FALSE)</f>
        <v>250.08576329331046</v>
      </c>
      <c r="L37" s="91">
        <f t="shared" si="19"/>
        <v>24768.343359086553</v>
      </c>
      <c r="M37" s="14">
        <f t="shared" si="1"/>
        <v>99.039397656704125</v>
      </c>
      <c r="N37" s="15">
        <f t="shared" si="2"/>
        <v>31961.727272727272</v>
      </c>
      <c r="O37" s="15">
        <f t="shared" si="2"/>
        <v>3165470.2171587618</v>
      </c>
      <c r="P37" s="22">
        <f t="shared" si="3"/>
        <v>99.039397656704125</v>
      </c>
      <c r="Q37" s="31">
        <f t="shared" si="24"/>
        <v>32545.422483177201</v>
      </c>
      <c r="R37" s="31">
        <f t="shared" si="24"/>
        <v>3223279.0402722275</v>
      </c>
      <c r="S37" s="32">
        <f t="shared" si="21"/>
        <v>99.039397689132699</v>
      </c>
      <c r="T37" s="31">
        <f t="shared" si="22"/>
        <v>35961.727272727272</v>
      </c>
      <c r="U37" s="7">
        <v>3800</v>
      </c>
      <c r="V37" s="37">
        <f t="shared" si="23"/>
        <v>33.997597539880836</v>
      </c>
    </row>
    <row r="38" spans="1:22">
      <c r="A38" s="21">
        <v>4000</v>
      </c>
      <c r="B38" s="21">
        <v>8000</v>
      </c>
      <c r="C38" s="21">
        <v>45000</v>
      </c>
      <c r="D38" s="13">
        <v>42583</v>
      </c>
      <c r="E38" s="16">
        <f t="shared" si="4"/>
        <v>31961.727272727272</v>
      </c>
      <c r="F38" s="16">
        <f t="shared" si="4"/>
        <v>3165470.2171587618</v>
      </c>
      <c r="G38" s="14">
        <f t="shared" si="4"/>
        <v>99.039397656704125</v>
      </c>
      <c r="H38" s="46">
        <v>0</v>
      </c>
      <c r="I38" s="23">
        <f t="shared" si="18"/>
        <v>0</v>
      </c>
      <c r="J38" s="22">
        <f>VLOOKUP(D38,Data!$A$5:$V$197,8,FALSE)*5.83</f>
        <v>62.874146915999994</v>
      </c>
      <c r="K38" s="91">
        <f>VLOOKUP(D38,Data!$A$5:$V$197,18,FALSE)</f>
        <v>149.39965694682675</v>
      </c>
      <c r="L38" s="91">
        <f t="shared" si="19"/>
        <v>14796.452034131953</v>
      </c>
      <c r="M38" s="14">
        <f t="shared" si="1"/>
        <v>99.039397656704125</v>
      </c>
      <c r="N38" s="15">
        <f t="shared" si="2"/>
        <v>31812.327615780447</v>
      </c>
      <c r="O38" s="15">
        <f t="shared" si="2"/>
        <v>3150673.7651246297</v>
      </c>
      <c r="P38" s="22">
        <f t="shared" si="3"/>
        <v>99.039397656704125</v>
      </c>
      <c r="Q38" s="31">
        <f t="shared" si="24"/>
        <v>32468.216915160316</v>
      </c>
      <c r="R38" s="31">
        <f t="shared" si="24"/>
        <v>3215632.6468202751</v>
      </c>
      <c r="S38" s="32">
        <f t="shared" si="21"/>
        <v>99.039397673815799</v>
      </c>
      <c r="T38" s="31">
        <f t="shared" si="22"/>
        <v>35812.32761578045</v>
      </c>
      <c r="U38" s="7">
        <v>3800</v>
      </c>
      <c r="V38" s="37">
        <f t="shared" si="23"/>
        <v>33.839669784123096</v>
      </c>
    </row>
    <row r="39" spans="1:22">
      <c r="A39" s="21">
        <v>4000</v>
      </c>
      <c r="B39" s="21">
        <v>8000</v>
      </c>
      <c r="C39" s="21">
        <v>45000</v>
      </c>
      <c r="D39" s="13">
        <v>42614</v>
      </c>
      <c r="E39" s="16">
        <f t="shared" si="4"/>
        <v>31812.327615780447</v>
      </c>
      <c r="F39" s="16">
        <f t="shared" si="4"/>
        <v>3150673.7651246297</v>
      </c>
      <c r="G39" s="14">
        <f t="shared" si="4"/>
        <v>99.039397656704125</v>
      </c>
      <c r="H39" s="46">
        <v>0</v>
      </c>
      <c r="I39" s="23">
        <f t="shared" si="18"/>
        <v>0</v>
      </c>
      <c r="J39" s="22">
        <f>VLOOKUP(D39,Data!$A$5:$V$197,8,FALSE)*5.83</f>
        <v>63.810746915999978</v>
      </c>
      <c r="K39" s="91">
        <f>VLOOKUP(D39,Data!$A$5:$V$197,18,FALSE)</f>
        <v>2615.0943396226417</v>
      </c>
      <c r="L39" s="91">
        <f t="shared" si="19"/>
        <v>258997.36821168289</v>
      </c>
      <c r="M39" s="14">
        <f t="shared" si="1"/>
        <v>99.039397656704125</v>
      </c>
      <c r="N39" s="15">
        <f t="shared" si="2"/>
        <v>29197.233276157804</v>
      </c>
      <c r="O39" s="15">
        <f t="shared" si="2"/>
        <v>2891676.3969129468</v>
      </c>
      <c r="P39" s="22">
        <f t="shared" si="3"/>
        <v>99.039397656704125</v>
      </c>
      <c r="Q39" s="31">
        <f t="shared" si="24"/>
        <v>32196.850244095531</v>
      </c>
      <c r="R39" s="31">
        <f t="shared" si="24"/>
        <v>3188756.6550443475</v>
      </c>
      <c r="S39" s="32">
        <f t="shared" si="21"/>
        <v>99.039397669935823</v>
      </c>
      <c r="T39" s="31">
        <f t="shared" si="22"/>
        <v>33197.2332761578</v>
      </c>
      <c r="U39" s="7">
        <v>3800</v>
      </c>
      <c r="V39" s="37">
        <f t="shared" si="23"/>
        <v>31.075299446255602</v>
      </c>
    </row>
    <row r="40" spans="1:22">
      <c r="A40" s="21">
        <v>4000</v>
      </c>
      <c r="B40" s="21">
        <v>8000</v>
      </c>
      <c r="C40" s="21">
        <v>45000</v>
      </c>
      <c r="D40" s="13">
        <v>42644</v>
      </c>
      <c r="E40" s="16">
        <f t="shared" si="4"/>
        <v>29197.233276157804</v>
      </c>
      <c r="F40" s="16">
        <f t="shared" si="4"/>
        <v>2891676.3969129468</v>
      </c>
      <c r="G40" s="14">
        <f t="shared" si="4"/>
        <v>99.039397656704125</v>
      </c>
      <c r="H40" s="46">
        <v>0</v>
      </c>
      <c r="I40" s="23">
        <f t="shared" si="18"/>
        <v>0</v>
      </c>
      <c r="J40" s="22">
        <f>VLOOKUP(D40,Data!$A$5:$V$197,8,FALSE)*5.83</f>
        <v>64.785146915999988</v>
      </c>
      <c r="K40" s="91">
        <f>VLOOKUP(D40,Data!$A$5:$V$197,18,FALSE)</f>
        <v>0</v>
      </c>
      <c r="L40" s="91">
        <f t="shared" si="19"/>
        <v>0</v>
      </c>
      <c r="M40" s="14">
        <f t="shared" si="1"/>
        <v>0</v>
      </c>
      <c r="N40" s="15">
        <f t="shared" si="2"/>
        <v>29197.233276157804</v>
      </c>
      <c r="O40" s="15">
        <f t="shared" si="2"/>
        <v>2891676.3969129468</v>
      </c>
      <c r="P40" s="22">
        <f t="shared" si="3"/>
        <v>99.039397656704125</v>
      </c>
      <c r="Q40" s="31">
        <f t="shared" si="24"/>
        <v>31926.791265338441</v>
      </c>
      <c r="R40" s="31">
        <f t="shared" si="24"/>
        <v>3162010.1763453432</v>
      </c>
      <c r="S40" s="32">
        <f t="shared" si="21"/>
        <v>99.039397666567368</v>
      </c>
      <c r="T40" s="31">
        <f t="shared" si="22"/>
        <v>33197.2332761578</v>
      </c>
      <c r="U40" s="7">
        <v>3800</v>
      </c>
      <c r="V40" s="37">
        <f t="shared" si="23"/>
        <v>31.075299446255602</v>
      </c>
    </row>
    <row r="41" spans="1:22">
      <c r="A41" s="21">
        <v>4000</v>
      </c>
      <c r="B41" s="21">
        <v>8000</v>
      </c>
      <c r="C41" s="21">
        <v>45000</v>
      </c>
      <c r="D41" s="13">
        <v>42675</v>
      </c>
      <c r="E41" s="16">
        <f t="shared" si="4"/>
        <v>29197.233276157804</v>
      </c>
      <c r="F41" s="16">
        <f t="shared" si="4"/>
        <v>2891676.3969129468</v>
      </c>
      <c r="G41" s="14">
        <f t="shared" si="4"/>
        <v>99.039397656704125</v>
      </c>
      <c r="H41" s="46">
        <v>0</v>
      </c>
      <c r="I41" s="23">
        <f t="shared" si="18"/>
        <v>0</v>
      </c>
      <c r="J41" s="22">
        <f>VLOOKUP(D41,Data!$A$5:$V$197,8,FALSE)*5.83</f>
        <v>65.662946915999996</v>
      </c>
      <c r="K41" s="91">
        <f>VLOOKUP(D41,Data!$A$5:$V$197,18,FALSE)</f>
        <v>3762.0926243567751</v>
      </c>
      <c r="L41" s="91">
        <f t="shared" si="19"/>
        <v>372595.38744502427</v>
      </c>
      <c r="M41" s="14">
        <f t="shared" si="1"/>
        <v>99.039397656704125</v>
      </c>
      <c r="N41" s="46">
        <f t="shared" si="2"/>
        <v>25435.14065180103</v>
      </c>
      <c r="O41" s="46">
        <f t="shared" si="2"/>
        <v>2519081.0094679226</v>
      </c>
      <c r="P41" s="22">
        <f t="shared" si="3"/>
        <v>99.039397656704125</v>
      </c>
      <c r="Q41" s="31">
        <f t="shared" si="24"/>
        <v>31367.263623169289</v>
      </c>
      <c r="R41" s="31">
        <f t="shared" si="24"/>
        <v>3106594.8955351836</v>
      </c>
      <c r="S41" s="32">
        <f t="shared" si="21"/>
        <v>99.039397661723712</v>
      </c>
      <c r="T41" s="31">
        <f t="shared" si="22"/>
        <v>29435.14065180103</v>
      </c>
      <c r="U41" s="7">
        <v>3800</v>
      </c>
      <c r="V41" s="37">
        <f t="shared" si="23"/>
        <v>27.09845734862688</v>
      </c>
    </row>
    <row r="42" spans="1:22">
      <c r="A42" s="21">
        <v>4000</v>
      </c>
      <c r="B42" s="21">
        <v>8000</v>
      </c>
      <c r="C42" s="21">
        <v>45000</v>
      </c>
      <c r="D42" s="13">
        <v>42705</v>
      </c>
      <c r="E42" s="16">
        <f t="shared" si="4"/>
        <v>25435.14065180103</v>
      </c>
      <c r="F42" s="16">
        <f t="shared" si="4"/>
        <v>2519081.0094679226</v>
      </c>
      <c r="G42" s="14">
        <f t="shared" si="4"/>
        <v>99.039397656704125</v>
      </c>
      <c r="H42" s="46">
        <v>0</v>
      </c>
      <c r="I42" s="23">
        <f t="shared" si="18"/>
        <v>0</v>
      </c>
      <c r="J42" s="22">
        <f>VLOOKUP(D42,Data!$A$5:$V$197,8,FALSE)*5.83</f>
        <v>66.486146915999981</v>
      </c>
      <c r="K42" s="91">
        <f>VLOOKUP(D42,Data!$A$5:$V$197,18,FALSE)</f>
        <v>0</v>
      </c>
      <c r="L42" s="91">
        <f t="shared" si="19"/>
        <v>0</v>
      </c>
      <c r="M42" s="14">
        <f t="shared" si="1"/>
        <v>0</v>
      </c>
      <c r="N42" s="15">
        <f t="shared" si="2"/>
        <v>25435.14065180103</v>
      </c>
      <c r="O42" s="15">
        <f t="shared" si="2"/>
        <v>2519081.0094679226</v>
      </c>
      <c r="P42" s="22">
        <f t="shared" si="3"/>
        <v>99.039397656704125</v>
      </c>
      <c r="Q42" s="31">
        <f t="shared" si="24"/>
        <v>30807.735981000129</v>
      </c>
      <c r="R42" s="31">
        <f t="shared" si="24"/>
        <v>3051179.6147250235</v>
      </c>
      <c r="S42" s="32">
        <f t="shared" si="21"/>
        <v>99.039397656704125</v>
      </c>
      <c r="T42" s="31">
        <f t="shared" si="22"/>
        <v>29435.14065180103</v>
      </c>
      <c r="U42" s="7">
        <v>1800</v>
      </c>
      <c r="V42" s="37">
        <f t="shared" si="23"/>
        <v>29.21262225348946</v>
      </c>
    </row>
    <row r="43" spans="1:22">
      <c r="A43" s="21">
        <v>0</v>
      </c>
      <c r="B43" s="21">
        <v>8000</v>
      </c>
      <c r="C43" s="21">
        <v>45000</v>
      </c>
      <c r="D43" s="13">
        <v>42736</v>
      </c>
      <c r="E43" s="16">
        <v>0</v>
      </c>
      <c r="F43" s="16">
        <v>0</v>
      </c>
      <c r="G43" s="14">
        <v>0</v>
      </c>
      <c r="H43" s="46">
        <v>0</v>
      </c>
      <c r="I43" s="23">
        <f t="shared" si="18"/>
        <v>0</v>
      </c>
      <c r="J43" s="22">
        <f>VLOOKUP(D43,Data!$A$5:$V$197,8,FALSE)*5.83</f>
        <v>67.317746916000004</v>
      </c>
      <c r="K43" s="91">
        <f>VLOOKUP(D43,Data!$A$5:$V$197,18,FALSE)</f>
        <v>0</v>
      </c>
      <c r="L43" s="91">
        <f t="shared" si="19"/>
        <v>0</v>
      </c>
      <c r="M43" s="14">
        <f t="shared" si="1"/>
        <v>0</v>
      </c>
      <c r="N43" s="15">
        <f t="shared" si="2"/>
        <v>0</v>
      </c>
      <c r="O43" s="15">
        <f t="shared" si="2"/>
        <v>0</v>
      </c>
      <c r="P43" s="22">
        <f t="shared" si="3"/>
        <v>0</v>
      </c>
      <c r="Q43" s="31">
        <f t="shared" si="24"/>
        <v>28293.197519461668</v>
      </c>
      <c r="R43" s="31">
        <f t="shared" si="24"/>
        <v>2802141.2401096392</v>
      </c>
      <c r="S43" s="32">
        <f t="shared" si="21"/>
        <v>99.039397656704139</v>
      </c>
      <c r="T43" s="31">
        <f t="shared" si="22"/>
        <v>0</v>
      </c>
      <c r="U43" s="55">
        <v>0</v>
      </c>
      <c r="V43" s="37">
        <f>(T43-U43)/946</f>
        <v>0</v>
      </c>
    </row>
    <row r="44" spans="1:22">
      <c r="A44" s="47">
        <v>0</v>
      </c>
      <c r="B44" s="21">
        <v>8000</v>
      </c>
      <c r="C44" s="21">
        <v>45000</v>
      </c>
      <c r="D44" s="13">
        <v>42767</v>
      </c>
      <c r="E44" s="16">
        <f t="shared" si="4"/>
        <v>0</v>
      </c>
      <c r="F44" s="16">
        <f t="shared" si="4"/>
        <v>0</v>
      </c>
      <c r="G44" s="14">
        <f t="shared" si="4"/>
        <v>0</v>
      </c>
      <c r="H44" s="46">
        <v>0</v>
      </c>
      <c r="I44" s="23">
        <f t="shared" si="18"/>
        <v>0</v>
      </c>
      <c r="J44" s="22">
        <f>VLOOKUP(D44,Data!$A$5:$V$197,8,FALSE)*5.83</f>
        <v>67.989746916000001</v>
      </c>
      <c r="K44" s="91">
        <f>VLOOKUP(D44,Data!$A$5:$V$197,18,FALSE)</f>
        <v>0</v>
      </c>
      <c r="L44" s="91">
        <f t="shared" si="19"/>
        <v>0</v>
      </c>
      <c r="M44" s="14">
        <f t="shared" si="1"/>
        <v>0</v>
      </c>
      <c r="N44" s="15">
        <f t="shared" si="2"/>
        <v>0</v>
      </c>
      <c r="O44" s="15">
        <f t="shared" si="2"/>
        <v>0</v>
      </c>
      <c r="P44" s="22">
        <f t="shared" si="3"/>
        <v>0</v>
      </c>
      <c r="Q44" s="31">
        <f t="shared" si="24"/>
        <v>25778.659057923207</v>
      </c>
      <c r="R44" s="31">
        <f t="shared" si="24"/>
        <v>2553102.8654942545</v>
      </c>
      <c r="S44" s="32">
        <f t="shared" si="21"/>
        <v>99.039397656704139</v>
      </c>
      <c r="T44" s="31">
        <f t="shared" si="22"/>
        <v>0</v>
      </c>
      <c r="U44" s="55">
        <v>0</v>
      </c>
      <c r="V44" s="37">
        <f t="shared" si="23"/>
        <v>0</v>
      </c>
    </row>
    <row r="45" spans="1:22">
      <c r="A45" s="47">
        <v>0</v>
      </c>
      <c r="B45" s="21">
        <v>8000</v>
      </c>
      <c r="C45" s="21">
        <v>45000</v>
      </c>
      <c r="D45" s="13">
        <v>42795</v>
      </c>
      <c r="E45" s="16">
        <f t="shared" si="4"/>
        <v>0</v>
      </c>
      <c r="F45" s="16">
        <f t="shared" si="4"/>
        <v>0</v>
      </c>
      <c r="G45" s="14">
        <f t="shared" si="4"/>
        <v>0</v>
      </c>
      <c r="H45" s="46">
        <v>0</v>
      </c>
      <c r="I45" s="23">
        <f t="shared" si="18"/>
        <v>0</v>
      </c>
      <c r="J45" s="22">
        <f>VLOOKUP(D45,Data!$A$5:$V$197,8,FALSE)*5.83</f>
        <v>68.388746915999988</v>
      </c>
      <c r="K45" s="91">
        <f>VLOOKUP(D45,Data!$A$5:$V$197,18,FALSE)</f>
        <v>0</v>
      </c>
      <c r="L45" s="91">
        <f t="shared" si="19"/>
        <v>0</v>
      </c>
      <c r="M45" s="14">
        <f t="shared" si="1"/>
        <v>0</v>
      </c>
      <c r="N45" s="15">
        <f t="shared" si="2"/>
        <v>0</v>
      </c>
      <c r="O45" s="15">
        <f t="shared" si="2"/>
        <v>0</v>
      </c>
      <c r="P45" s="22">
        <f t="shared" si="3"/>
        <v>0</v>
      </c>
      <c r="Q45" s="31">
        <f t="shared" si="24"/>
        <v>23264.120596384746</v>
      </c>
      <c r="R45" s="31">
        <f t="shared" si="24"/>
        <v>2304064.4908788698</v>
      </c>
      <c r="S45" s="32">
        <f t="shared" si="21"/>
        <v>99.039397656704139</v>
      </c>
      <c r="T45" s="31">
        <f t="shared" si="22"/>
        <v>0</v>
      </c>
      <c r="U45" s="55">
        <v>0</v>
      </c>
      <c r="V45" s="37">
        <f t="shared" si="23"/>
        <v>0</v>
      </c>
    </row>
    <row r="46" spans="1:22">
      <c r="A46" s="47">
        <v>0</v>
      </c>
      <c r="B46" s="21">
        <v>8000</v>
      </c>
      <c r="C46" s="21">
        <v>45000</v>
      </c>
      <c r="D46" s="13">
        <v>42826</v>
      </c>
      <c r="E46" s="16">
        <f t="shared" si="4"/>
        <v>0</v>
      </c>
      <c r="F46" s="16">
        <f t="shared" si="4"/>
        <v>0</v>
      </c>
      <c r="G46" s="14">
        <f t="shared" si="4"/>
        <v>0</v>
      </c>
      <c r="H46" s="46">
        <v>0</v>
      </c>
      <c r="I46" s="23">
        <f t="shared" si="18"/>
        <v>0</v>
      </c>
      <c r="J46" s="22">
        <f>VLOOKUP(D46,Data!$A$5:$V$197,8,FALSE)*5.83</f>
        <v>68.422346915999995</v>
      </c>
      <c r="K46" s="91">
        <f>VLOOKUP(D46,Data!$A$5:$V$197,18,FALSE)</f>
        <v>0</v>
      </c>
      <c r="L46" s="91">
        <f t="shared" si="19"/>
        <v>0</v>
      </c>
      <c r="M46" s="14">
        <f t="shared" si="1"/>
        <v>0</v>
      </c>
      <c r="N46" s="15">
        <f t="shared" si="2"/>
        <v>0</v>
      </c>
      <c r="O46" s="15">
        <f t="shared" si="2"/>
        <v>0</v>
      </c>
      <c r="P46" s="22">
        <f t="shared" si="3"/>
        <v>0</v>
      </c>
      <c r="Q46" s="31">
        <f t="shared" si="24"/>
        <v>20749.582134846285</v>
      </c>
      <c r="R46" s="31">
        <f t="shared" si="24"/>
        <v>2055026.116263485</v>
      </c>
      <c r="S46" s="32">
        <f t="shared" si="21"/>
        <v>99.039397656704125</v>
      </c>
      <c r="T46" s="31">
        <f t="shared" si="22"/>
        <v>0</v>
      </c>
      <c r="U46" s="55">
        <v>0</v>
      </c>
      <c r="V46" s="37">
        <f t="shared" si="23"/>
        <v>0</v>
      </c>
    </row>
    <row r="47" spans="1:22">
      <c r="A47" s="47">
        <v>0</v>
      </c>
      <c r="B47" s="21">
        <v>8000</v>
      </c>
      <c r="C47" s="21">
        <v>45000</v>
      </c>
      <c r="D47" s="13">
        <v>42856</v>
      </c>
      <c r="E47" s="16">
        <f t="shared" si="4"/>
        <v>0</v>
      </c>
      <c r="F47" s="16">
        <f t="shared" si="4"/>
        <v>0</v>
      </c>
      <c r="G47" s="14">
        <f t="shared" si="4"/>
        <v>0</v>
      </c>
      <c r="H47" s="46">
        <v>0</v>
      </c>
      <c r="I47" s="23">
        <f t="shared" si="18"/>
        <v>0</v>
      </c>
      <c r="J47" s="22">
        <f>VLOOKUP(D47,Data!$A$5:$V$197,8,FALSE)*5.83</f>
        <v>68.804546915999993</v>
      </c>
      <c r="K47" s="91">
        <f>VLOOKUP(D47,Data!$A$5:$V$197,18,FALSE)</f>
        <v>0</v>
      </c>
      <c r="L47" s="91">
        <f t="shared" si="19"/>
        <v>0</v>
      </c>
      <c r="M47" s="14">
        <f t="shared" si="1"/>
        <v>0</v>
      </c>
      <c r="N47" s="15">
        <f t="shared" si="2"/>
        <v>0</v>
      </c>
      <c r="O47" s="15">
        <f t="shared" si="2"/>
        <v>0</v>
      </c>
      <c r="P47" s="22">
        <f t="shared" si="3"/>
        <v>0</v>
      </c>
      <c r="Q47" s="31">
        <f t="shared" si="24"/>
        <v>18266.340678189732</v>
      </c>
      <c r="R47" s="31">
        <f t="shared" si="24"/>
        <v>1809087.3781600636</v>
      </c>
      <c r="S47" s="32">
        <f t="shared" si="21"/>
        <v>99.039397656704139</v>
      </c>
      <c r="T47" s="31">
        <f t="shared" si="22"/>
        <v>0</v>
      </c>
      <c r="U47" s="55">
        <v>0</v>
      </c>
      <c r="V47" s="37">
        <f t="shared" si="23"/>
        <v>0</v>
      </c>
    </row>
    <row r="48" spans="1:22">
      <c r="A48" s="47">
        <v>0</v>
      </c>
      <c r="B48" s="21">
        <v>8000</v>
      </c>
      <c r="C48" s="21">
        <v>45000</v>
      </c>
      <c r="D48" s="13">
        <v>42887</v>
      </c>
      <c r="E48" s="16">
        <f t="shared" si="4"/>
        <v>0</v>
      </c>
      <c r="F48" s="16">
        <f t="shared" si="4"/>
        <v>0</v>
      </c>
      <c r="G48" s="14">
        <f t="shared" si="4"/>
        <v>0</v>
      </c>
      <c r="H48" s="46">
        <v>0</v>
      </c>
      <c r="I48" s="23">
        <f t="shared" si="18"/>
        <v>0</v>
      </c>
      <c r="J48" s="22">
        <f>VLOOKUP(D48,Data!$A$5:$V$197,8,FALSE)*5.83</f>
        <v>69.316946915999992</v>
      </c>
      <c r="K48" s="91">
        <f>VLOOKUP(D48,Data!$A$5:$V$197,18,FALSE)</f>
        <v>0</v>
      </c>
      <c r="L48" s="91">
        <f t="shared" si="19"/>
        <v>0</v>
      </c>
      <c r="M48" s="14">
        <f t="shared" ref="M48:M54" si="25">IF(K48=0,0,L48/K48)</f>
        <v>0</v>
      </c>
      <c r="N48" s="15">
        <f t="shared" si="2"/>
        <v>0</v>
      </c>
      <c r="O48" s="15">
        <f t="shared" si="2"/>
        <v>0</v>
      </c>
      <c r="P48" s="22">
        <f t="shared" si="3"/>
        <v>0</v>
      </c>
      <c r="Q48" s="31">
        <f t="shared" si="24"/>
        <v>15788.50890618815</v>
      </c>
      <c r="R48" s="31">
        <f t="shared" si="24"/>
        <v>1563684.4119663832</v>
      </c>
      <c r="S48" s="32">
        <f t="shared" si="21"/>
        <v>99.039397656704153</v>
      </c>
      <c r="T48" s="31">
        <f t="shared" si="22"/>
        <v>0</v>
      </c>
      <c r="U48" s="55">
        <v>0</v>
      </c>
      <c r="V48" s="37">
        <f t="shared" si="23"/>
        <v>0</v>
      </c>
    </row>
    <row r="49" spans="1:22">
      <c r="A49" s="47">
        <v>0</v>
      </c>
      <c r="B49" s="21">
        <v>8000</v>
      </c>
      <c r="C49" s="21">
        <v>45000</v>
      </c>
      <c r="D49" s="13">
        <v>42917</v>
      </c>
      <c r="E49" s="16">
        <f t="shared" ref="E49:G54" si="26">N48</f>
        <v>0</v>
      </c>
      <c r="F49" s="16">
        <f t="shared" si="26"/>
        <v>0</v>
      </c>
      <c r="G49" s="14">
        <f t="shared" si="26"/>
        <v>0</v>
      </c>
      <c r="H49" s="46">
        <v>0</v>
      </c>
      <c r="I49" s="23">
        <f t="shared" si="18"/>
        <v>0</v>
      </c>
      <c r="J49" s="22">
        <f>VLOOKUP(D49,Data!$A$5:$V$197,8,FALSE)*5.83</f>
        <v>69.993146916000001</v>
      </c>
      <c r="K49" s="91">
        <f>VLOOKUP(D49,Data!$A$5:$V$197,18,FALSE)</f>
        <v>0</v>
      </c>
      <c r="L49" s="91">
        <f t="shared" si="19"/>
        <v>0</v>
      </c>
      <c r="M49" s="14">
        <f t="shared" si="25"/>
        <v>0</v>
      </c>
      <c r="N49" s="15">
        <f t="shared" si="2"/>
        <v>0</v>
      </c>
      <c r="O49" s="15">
        <f t="shared" si="2"/>
        <v>0</v>
      </c>
      <c r="P49" s="22">
        <f t="shared" si="3"/>
        <v>0</v>
      </c>
      <c r="Q49" s="31">
        <f t="shared" ref="Q49:R54" si="27">AVERAGE(N37:N49)</f>
        <v>13310.677134186566</v>
      </c>
      <c r="R49" s="31">
        <f t="shared" si="27"/>
        <v>1318281.4457727023</v>
      </c>
      <c r="S49" s="32">
        <f t="shared" si="21"/>
        <v>99.039397656704139</v>
      </c>
      <c r="T49" s="31">
        <f t="shared" si="22"/>
        <v>0</v>
      </c>
      <c r="U49" s="55">
        <v>0</v>
      </c>
      <c r="V49" s="37">
        <f t="shared" si="23"/>
        <v>0</v>
      </c>
    </row>
    <row r="50" spans="1:22">
      <c r="A50" s="47">
        <v>0</v>
      </c>
      <c r="B50" s="21">
        <v>8000</v>
      </c>
      <c r="C50" s="21">
        <v>45000</v>
      </c>
      <c r="D50" s="13">
        <v>42948</v>
      </c>
      <c r="E50" s="16">
        <f t="shared" si="26"/>
        <v>0</v>
      </c>
      <c r="F50" s="16">
        <f t="shared" si="26"/>
        <v>0</v>
      </c>
      <c r="G50" s="14">
        <f t="shared" si="26"/>
        <v>0</v>
      </c>
      <c r="H50" s="46">
        <v>0</v>
      </c>
      <c r="I50" s="23">
        <f t="shared" si="18"/>
        <v>0</v>
      </c>
      <c r="J50" s="22">
        <f>VLOOKUP(D50,Data!$A$5:$V$197,8,FALSE)*5.83</f>
        <v>70.681946916000001</v>
      </c>
      <c r="K50" s="91">
        <f>VLOOKUP(D50,Data!$A$5:$V$197,18,FALSE)</f>
        <v>0</v>
      </c>
      <c r="L50" s="91">
        <f t="shared" si="19"/>
        <v>0</v>
      </c>
      <c r="M50" s="14">
        <f t="shared" si="25"/>
        <v>0</v>
      </c>
      <c r="N50" s="15">
        <f t="shared" si="2"/>
        <v>0</v>
      </c>
      <c r="O50" s="15">
        <f t="shared" si="2"/>
        <v>0</v>
      </c>
      <c r="P50" s="22">
        <f t="shared" si="3"/>
        <v>0</v>
      </c>
      <c r="Q50" s="31">
        <f t="shared" si="27"/>
        <v>10852.082728592162</v>
      </c>
      <c r="R50" s="31">
        <f t="shared" si="27"/>
        <v>1074783.7367604899</v>
      </c>
      <c r="S50" s="32">
        <f t="shared" si="21"/>
        <v>99.039397656704125</v>
      </c>
      <c r="T50" s="31">
        <f t="shared" si="22"/>
        <v>0</v>
      </c>
      <c r="U50" s="55">
        <v>0</v>
      </c>
      <c r="V50" s="37">
        <f t="shared" si="23"/>
        <v>0</v>
      </c>
    </row>
    <row r="51" spans="1:22">
      <c r="A51" s="47">
        <v>0</v>
      </c>
      <c r="B51" s="21">
        <v>8000</v>
      </c>
      <c r="C51" s="21">
        <v>45000</v>
      </c>
      <c r="D51" s="13">
        <v>42979</v>
      </c>
      <c r="E51" s="16">
        <f t="shared" si="26"/>
        <v>0</v>
      </c>
      <c r="F51" s="16">
        <f t="shared" si="26"/>
        <v>0</v>
      </c>
      <c r="G51" s="14">
        <f t="shared" si="26"/>
        <v>0</v>
      </c>
      <c r="H51" s="46">
        <v>0</v>
      </c>
      <c r="I51" s="23">
        <f t="shared" si="18"/>
        <v>0</v>
      </c>
      <c r="J51" s="22">
        <f>VLOOKUP(D51,Data!$A$5:$V$197,8,FALSE)*5.83</f>
        <v>71.395946916</v>
      </c>
      <c r="K51" s="91">
        <f>VLOOKUP(D51,Data!$A$5:$V$197,18,FALSE)</f>
        <v>0</v>
      </c>
      <c r="L51" s="91">
        <f t="shared" si="19"/>
        <v>0</v>
      </c>
      <c r="M51" s="14">
        <f t="shared" si="25"/>
        <v>0</v>
      </c>
      <c r="N51" s="15">
        <f t="shared" si="2"/>
        <v>0</v>
      </c>
      <c r="O51" s="15">
        <f t="shared" si="2"/>
        <v>0</v>
      </c>
      <c r="P51" s="22">
        <f t="shared" si="3"/>
        <v>0</v>
      </c>
      <c r="Q51" s="31">
        <f t="shared" si="27"/>
        <v>8404.9806043013596</v>
      </c>
      <c r="R51" s="31">
        <f t="shared" si="27"/>
        <v>832424.21636628755</v>
      </c>
      <c r="S51" s="32">
        <f t="shared" si="21"/>
        <v>99.039397656704111</v>
      </c>
      <c r="T51" s="31">
        <f t="shared" si="22"/>
        <v>0</v>
      </c>
      <c r="U51" s="55">
        <v>0</v>
      </c>
      <c r="V51" s="37">
        <f t="shared" si="23"/>
        <v>0</v>
      </c>
    </row>
    <row r="52" spans="1:22">
      <c r="A52" s="47">
        <v>0</v>
      </c>
      <c r="B52" s="21">
        <v>8000</v>
      </c>
      <c r="C52" s="21">
        <v>45000</v>
      </c>
      <c r="D52" s="13">
        <v>43009</v>
      </c>
      <c r="E52" s="16">
        <f t="shared" si="26"/>
        <v>0</v>
      </c>
      <c r="F52" s="16">
        <f t="shared" si="26"/>
        <v>0</v>
      </c>
      <c r="G52" s="14">
        <f t="shared" si="26"/>
        <v>0</v>
      </c>
      <c r="H52" s="46">
        <v>0</v>
      </c>
      <c r="I52" s="23">
        <f t="shared" si="18"/>
        <v>0</v>
      </c>
      <c r="J52" s="22">
        <f>VLOOKUP(D52,Data!$A$5:$V$197,8,FALSE)*5.83</f>
        <v>72.109946915999984</v>
      </c>
      <c r="K52" s="91">
        <f>VLOOKUP(D52,Data!$A$5:$V$197,18,FALSE)</f>
        <v>0</v>
      </c>
      <c r="L52" s="91">
        <f t="shared" si="19"/>
        <v>0</v>
      </c>
      <c r="M52" s="14">
        <f t="shared" si="25"/>
        <v>0</v>
      </c>
      <c r="N52" s="15">
        <f t="shared" si="2"/>
        <v>0</v>
      </c>
      <c r="O52" s="15">
        <f t="shared" si="2"/>
        <v>0</v>
      </c>
      <c r="P52" s="22">
        <f t="shared" si="3"/>
        <v>0</v>
      </c>
      <c r="Q52" s="31">
        <f t="shared" si="27"/>
        <v>6159.0395830584512</v>
      </c>
      <c r="R52" s="31">
        <f t="shared" si="27"/>
        <v>609987.5704499071</v>
      </c>
      <c r="S52" s="32">
        <f t="shared" si="21"/>
        <v>99.039397656704125</v>
      </c>
      <c r="T52" s="31">
        <f t="shared" si="22"/>
        <v>0</v>
      </c>
      <c r="U52" s="55">
        <v>0</v>
      </c>
      <c r="V52" s="37">
        <f t="shared" si="23"/>
        <v>0</v>
      </c>
    </row>
    <row r="53" spans="1:22">
      <c r="A53" s="47">
        <v>0</v>
      </c>
      <c r="B53" s="21">
        <v>8000</v>
      </c>
      <c r="C53" s="21">
        <v>45000</v>
      </c>
      <c r="D53" s="13">
        <v>43040</v>
      </c>
      <c r="E53" s="16">
        <f t="shared" si="26"/>
        <v>0</v>
      </c>
      <c r="F53" s="16">
        <f t="shared" si="26"/>
        <v>0</v>
      </c>
      <c r="G53" s="14">
        <f t="shared" si="26"/>
        <v>0</v>
      </c>
      <c r="H53" s="46">
        <v>0</v>
      </c>
      <c r="I53" s="23">
        <f t="shared" si="18"/>
        <v>0</v>
      </c>
      <c r="J53" s="22">
        <f>VLOOKUP(D53,Data!$A$5:$V$197,8,FALSE)*5.83</f>
        <v>72.697946915999992</v>
      </c>
      <c r="K53" s="91">
        <f>VLOOKUP(D53,Data!$A$5:$V$197,18,FALSE)</f>
        <v>0</v>
      </c>
      <c r="L53" s="91">
        <f t="shared" si="19"/>
        <v>0</v>
      </c>
      <c r="M53" s="14">
        <f t="shared" si="25"/>
        <v>0</v>
      </c>
      <c r="N53" s="15">
        <f t="shared" si="2"/>
        <v>0</v>
      </c>
      <c r="O53" s="15">
        <f t="shared" si="2"/>
        <v>0</v>
      </c>
      <c r="P53" s="22">
        <f t="shared" si="3"/>
        <v>0</v>
      </c>
      <c r="Q53" s="31">
        <f t="shared" si="27"/>
        <v>3913.0985618155432</v>
      </c>
      <c r="R53" s="31">
        <f t="shared" si="27"/>
        <v>387550.92453352653</v>
      </c>
      <c r="S53" s="32">
        <f t="shared" si="21"/>
        <v>99.039397656704111</v>
      </c>
      <c r="T53" s="31">
        <f t="shared" si="22"/>
        <v>0</v>
      </c>
      <c r="U53" s="55">
        <v>0</v>
      </c>
      <c r="V53" s="37">
        <f t="shared" si="23"/>
        <v>0</v>
      </c>
    </row>
    <row r="54" spans="1:22">
      <c r="A54" s="47">
        <v>0</v>
      </c>
      <c r="B54" s="21">
        <v>8000</v>
      </c>
      <c r="C54" s="21">
        <v>45000</v>
      </c>
      <c r="D54" s="13">
        <v>43070</v>
      </c>
      <c r="E54" s="16">
        <f t="shared" si="26"/>
        <v>0</v>
      </c>
      <c r="F54" s="16">
        <f t="shared" si="26"/>
        <v>0</v>
      </c>
      <c r="G54" s="14">
        <f t="shared" si="26"/>
        <v>0</v>
      </c>
      <c r="H54" s="46">
        <v>0</v>
      </c>
      <c r="I54" s="23">
        <f t="shared" si="18"/>
        <v>0</v>
      </c>
      <c r="J54" s="22">
        <f>VLOOKUP(D54,Data!$A$5:$V$197,8,FALSE)*5.83</f>
        <v>73.201946915999983</v>
      </c>
      <c r="K54" s="91">
        <f>VLOOKUP(D54,Data!$A$5:$V$197,18,FALSE)</f>
        <v>0</v>
      </c>
      <c r="L54" s="91">
        <f t="shared" si="19"/>
        <v>0</v>
      </c>
      <c r="M54" s="14">
        <f t="shared" si="25"/>
        <v>0</v>
      </c>
      <c r="N54" s="15">
        <f t="shared" si="2"/>
        <v>0</v>
      </c>
      <c r="O54" s="15">
        <f t="shared" si="2"/>
        <v>0</v>
      </c>
      <c r="P54" s="22">
        <f t="shared" si="3"/>
        <v>0</v>
      </c>
      <c r="Q54" s="31">
        <f t="shared" si="27"/>
        <v>1956.5492809077716</v>
      </c>
      <c r="R54" s="31">
        <f t="shared" si="27"/>
        <v>193775.46226676326</v>
      </c>
      <c r="S54" s="32">
        <f t="shared" si="21"/>
        <v>99.039397656704111</v>
      </c>
      <c r="T54" s="31">
        <f t="shared" si="22"/>
        <v>0</v>
      </c>
      <c r="U54" s="55">
        <v>0</v>
      </c>
      <c r="V54" s="37">
        <f t="shared" si="23"/>
        <v>0</v>
      </c>
    </row>
    <row r="55" spans="1:22">
      <c r="A55" s="47">
        <v>0</v>
      </c>
      <c r="B55" s="21">
        <v>8000</v>
      </c>
      <c r="C55" s="21">
        <v>45000</v>
      </c>
      <c r="D55" s="13">
        <v>43101</v>
      </c>
      <c r="E55" s="16">
        <f t="shared" ref="E55:E66" si="28">N54</f>
        <v>0</v>
      </c>
      <c r="F55" s="16">
        <f t="shared" ref="F55:F66" si="29">O54</f>
        <v>0</v>
      </c>
      <c r="G55" s="14">
        <f t="shared" ref="G55:G66" si="30">P54</f>
        <v>0</v>
      </c>
      <c r="H55" s="46">
        <v>0</v>
      </c>
      <c r="I55" s="23">
        <f t="shared" ref="I55:I66" si="31">H55*J55</f>
        <v>0</v>
      </c>
      <c r="J55" s="22">
        <f>VLOOKUP(D55,Data!$A$5:$V$197,8,FALSE)*5.83</f>
        <v>73.726946916000003</v>
      </c>
      <c r="K55" s="91">
        <f>VLOOKUP(D55,Data!$A$5:$V$197,18,FALSE)</f>
        <v>0</v>
      </c>
      <c r="L55" s="91">
        <f t="shared" si="19"/>
        <v>0</v>
      </c>
      <c r="M55" s="14">
        <f t="shared" ref="M55:M66" si="32">IF(K55=0,0,L55/K55)</f>
        <v>0</v>
      </c>
      <c r="N55" s="15">
        <f t="shared" ref="N55:N66" si="33">+E55+H55-K55</f>
        <v>0</v>
      </c>
      <c r="O55" s="15">
        <f t="shared" ref="O55:O66" si="34">+F55+I55-L55</f>
        <v>0</v>
      </c>
      <c r="P55" s="22">
        <f t="shared" ref="P55:P66" si="35">IF(N55=0,0,O55/N55)</f>
        <v>0</v>
      </c>
      <c r="Q55" s="31">
        <f t="shared" ref="Q55:Q66" si="36">AVERAGE(N43:N55)</f>
        <v>0</v>
      </c>
      <c r="R55" s="31">
        <f t="shared" ref="R55:R66" si="37">AVERAGE(O43:O55)</f>
        <v>0</v>
      </c>
      <c r="S55" s="32">
        <f t="shared" ref="S55:S66" si="38">IF(Q55=0,0,R55/Q55)</f>
        <v>0</v>
      </c>
      <c r="T55" s="31">
        <f t="shared" si="22"/>
        <v>0</v>
      </c>
      <c r="U55" s="55">
        <v>0</v>
      </c>
      <c r="V55" s="37">
        <f t="shared" si="23"/>
        <v>0</v>
      </c>
    </row>
    <row r="56" spans="1:22">
      <c r="A56" s="47">
        <v>0</v>
      </c>
      <c r="B56" s="21">
        <v>8000</v>
      </c>
      <c r="C56" s="21">
        <v>45000</v>
      </c>
      <c r="D56" s="13">
        <v>43132</v>
      </c>
      <c r="E56" s="16">
        <f t="shared" si="28"/>
        <v>0</v>
      </c>
      <c r="F56" s="16">
        <f t="shared" si="29"/>
        <v>0</v>
      </c>
      <c r="G56" s="14">
        <f t="shared" si="30"/>
        <v>0</v>
      </c>
      <c r="H56" s="46">
        <v>0</v>
      </c>
      <c r="I56" s="23">
        <f t="shared" si="31"/>
        <v>0</v>
      </c>
      <c r="J56" s="22">
        <f>VLOOKUP(D56,Data!$A$5:$V$197,8,FALSE)*5.83</f>
        <v>73.999946915999985</v>
      </c>
      <c r="K56" s="91">
        <f>VLOOKUP(D56,Data!$A$5:$V$197,18,FALSE)</f>
        <v>0</v>
      </c>
      <c r="L56" s="91">
        <f t="shared" si="19"/>
        <v>0</v>
      </c>
      <c r="M56" s="14">
        <f t="shared" si="32"/>
        <v>0</v>
      </c>
      <c r="N56" s="15">
        <f t="shared" si="33"/>
        <v>0</v>
      </c>
      <c r="O56" s="15">
        <f t="shared" si="34"/>
        <v>0</v>
      </c>
      <c r="P56" s="22">
        <f t="shared" si="35"/>
        <v>0</v>
      </c>
      <c r="Q56" s="31">
        <f t="shared" si="36"/>
        <v>0</v>
      </c>
      <c r="R56" s="31">
        <f t="shared" si="37"/>
        <v>0</v>
      </c>
      <c r="S56" s="32">
        <f t="shared" si="38"/>
        <v>0</v>
      </c>
      <c r="T56" s="31">
        <f t="shared" si="22"/>
        <v>0</v>
      </c>
      <c r="U56" s="55">
        <v>0</v>
      </c>
      <c r="V56" s="37">
        <f t="shared" si="23"/>
        <v>0</v>
      </c>
    </row>
    <row r="57" spans="1:22">
      <c r="A57" s="47">
        <v>0</v>
      </c>
      <c r="B57" s="21">
        <v>8000</v>
      </c>
      <c r="C57" s="21">
        <v>45000</v>
      </c>
      <c r="D57" s="13">
        <v>43160</v>
      </c>
      <c r="E57" s="16">
        <f t="shared" si="28"/>
        <v>0</v>
      </c>
      <c r="F57" s="16">
        <f t="shared" si="29"/>
        <v>0</v>
      </c>
      <c r="G57" s="14">
        <f t="shared" si="30"/>
        <v>0</v>
      </c>
      <c r="H57" s="46">
        <v>0</v>
      </c>
      <c r="I57" s="23">
        <f t="shared" si="31"/>
        <v>0</v>
      </c>
      <c r="J57" s="22">
        <f>VLOOKUP(D57,Data!$A$5:$V$197,8,FALSE)*5.83</f>
        <v>73.978946915999984</v>
      </c>
      <c r="K57" s="91">
        <f>VLOOKUP(D57,Data!$A$5:$V$197,18,FALSE)</f>
        <v>0</v>
      </c>
      <c r="L57" s="91">
        <f t="shared" si="19"/>
        <v>0</v>
      </c>
      <c r="M57" s="14">
        <f t="shared" si="32"/>
        <v>0</v>
      </c>
      <c r="N57" s="15">
        <f t="shared" si="33"/>
        <v>0</v>
      </c>
      <c r="O57" s="15">
        <f t="shared" si="34"/>
        <v>0</v>
      </c>
      <c r="P57" s="22">
        <f t="shared" si="35"/>
        <v>0</v>
      </c>
      <c r="Q57" s="31">
        <f t="shared" si="36"/>
        <v>0</v>
      </c>
      <c r="R57" s="31">
        <f t="shared" si="37"/>
        <v>0</v>
      </c>
      <c r="S57" s="32">
        <f t="shared" si="38"/>
        <v>0</v>
      </c>
      <c r="T57" s="31">
        <f t="shared" si="22"/>
        <v>0</v>
      </c>
      <c r="U57" s="55">
        <v>0</v>
      </c>
      <c r="V57" s="37">
        <f t="shared" si="23"/>
        <v>0</v>
      </c>
    </row>
    <row r="58" spans="1:22">
      <c r="A58" s="47">
        <v>0</v>
      </c>
      <c r="B58" s="21">
        <v>8000</v>
      </c>
      <c r="C58" s="21">
        <v>45000</v>
      </c>
      <c r="D58" s="13">
        <v>43191</v>
      </c>
      <c r="E58" s="16">
        <f t="shared" si="28"/>
        <v>0</v>
      </c>
      <c r="F58" s="16">
        <f t="shared" si="29"/>
        <v>0</v>
      </c>
      <c r="G58" s="14">
        <f t="shared" si="30"/>
        <v>0</v>
      </c>
      <c r="H58" s="46">
        <v>0</v>
      </c>
      <c r="I58" s="23">
        <f t="shared" si="31"/>
        <v>0</v>
      </c>
      <c r="J58" s="22">
        <f>VLOOKUP(D58,Data!$A$5:$V$197,8,FALSE)*5.83</f>
        <v>73.810946915999992</v>
      </c>
      <c r="K58" s="91">
        <f>VLOOKUP(D58,Data!$A$5:$V$197,18,FALSE)</f>
        <v>0</v>
      </c>
      <c r="L58" s="91">
        <f t="shared" si="19"/>
        <v>0</v>
      </c>
      <c r="M58" s="14">
        <f t="shared" si="32"/>
        <v>0</v>
      </c>
      <c r="N58" s="15">
        <f t="shared" si="33"/>
        <v>0</v>
      </c>
      <c r="O58" s="15">
        <f t="shared" si="34"/>
        <v>0</v>
      </c>
      <c r="P58" s="22">
        <f t="shared" si="35"/>
        <v>0</v>
      </c>
      <c r="Q58" s="31">
        <f t="shared" si="36"/>
        <v>0</v>
      </c>
      <c r="R58" s="31">
        <f t="shared" si="37"/>
        <v>0</v>
      </c>
      <c r="S58" s="32">
        <f t="shared" si="38"/>
        <v>0</v>
      </c>
      <c r="T58" s="31">
        <f t="shared" si="22"/>
        <v>0</v>
      </c>
      <c r="U58" s="55">
        <v>0</v>
      </c>
      <c r="V58" s="37">
        <f t="shared" si="23"/>
        <v>0</v>
      </c>
    </row>
    <row r="59" spans="1:22">
      <c r="A59" s="47">
        <v>0</v>
      </c>
      <c r="B59" s="21">
        <v>8000</v>
      </c>
      <c r="C59" s="21">
        <v>45000</v>
      </c>
      <c r="D59" s="13">
        <v>43221</v>
      </c>
      <c r="E59" s="16">
        <f t="shared" si="28"/>
        <v>0</v>
      </c>
      <c r="F59" s="16">
        <f t="shared" si="29"/>
        <v>0</v>
      </c>
      <c r="G59" s="14">
        <f t="shared" si="30"/>
        <v>0</v>
      </c>
      <c r="H59" s="46">
        <v>0</v>
      </c>
      <c r="I59" s="23">
        <f t="shared" si="31"/>
        <v>0</v>
      </c>
      <c r="J59" s="22">
        <f>VLOOKUP(D59,Data!$A$5:$V$197,8,FALSE)*5.83</f>
        <v>74.188946915999992</v>
      </c>
      <c r="K59" s="91">
        <f>VLOOKUP(D59,Data!$A$5:$V$197,18,FALSE)</f>
        <v>0</v>
      </c>
      <c r="L59" s="91">
        <f t="shared" si="19"/>
        <v>0</v>
      </c>
      <c r="M59" s="14">
        <f t="shared" si="32"/>
        <v>0</v>
      </c>
      <c r="N59" s="15">
        <f t="shared" si="33"/>
        <v>0</v>
      </c>
      <c r="O59" s="15">
        <f t="shared" si="34"/>
        <v>0</v>
      </c>
      <c r="P59" s="22">
        <f t="shared" si="35"/>
        <v>0</v>
      </c>
      <c r="Q59" s="31">
        <f t="shared" si="36"/>
        <v>0</v>
      </c>
      <c r="R59" s="31">
        <f t="shared" si="37"/>
        <v>0</v>
      </c>
      <c r="S59" s="32">
        <f t="shared" si="38"/>
        <v>0</v>
      </c>
      <c r="T59" s="31">
        <f t="shared" si="22"/>
        <v>0</v>
      </c>
      <c r="U59" s="55">
        <v>0</v>
      </c>
      <c r="V59" s="37">
        <f t="shared" si="23"/>
        <v>0</v>
      </c>
    </row>
    <row r="60" spans="1:22">
      <c r="A60" s="47">
        <v>0</v>
      </c>
      <c r="B60" s="21">
        <v>8000</v>
      </c>
      <c r="C60" s="21">
        <v>45000</v>
      </c>
      <c r="D60" s="13">
        <v>43252</v>
      </c>
      <c r="E60" s="16">
        <f t="shared" si="28"/>
        <v>0</v>
      </c>
      <c r="F60" s="16">
        <f t="shared" si="29"/>
        <v>0</v>
      </c>
      <c r="G60" s="14">
        <f t="shared" si="30"/>
        <v>0</v>
      </c>
      <c r="H60" s="46">
        <v>0</v>
      </c>
      <c r="I60" s="23">
        <f t="shared" si="31"/>
        <v>0</v>
      </c>
      <c r="J60" s="22">
        <f>VLOOKUP(D60,Data!$A$5:$V$197,8,FALSE)*5.83</f>
        <v>74.629946915999994</v>
      </c>
      <c r="K60" s="91">
        <f>VLOOKUP(D60,Data!$A$5:$V$197,18,FALSE)</f>
        <v>0</v>
      </c>
      <c r="L60" s="91">
        <f t="shared" si="19"/>
        <v>0</v>
      </c>
      <c r="M60" s="14">
        <f t="shared" si="32"/>
        <v>0</v>
      </c>
      <c r="N60" s="15">
        <f t="shared" si="33"/>
        <v>0</v>
      </c>
      <c r="O60" s="15">
        <f t="shared" si="34"/>
        <v>0</v>
      </c>
      <c r="P60" s="22">
        <f t="shared" si="35"/>
        <v>0</v>
      </c>
      <c r="Q60" s="31">
        <f t="shared" si="36"/>
        <v>0</v>
      </c>
      <c r="R60" s="31">
        <f t="shared" si="37"/>
        <v>0</v>
      </c>
      <c r="S60" s="32">
        <f t="shared" si="38"/>
        <v>0</v>
      </c>
      <c r="T60" s="31">
        <f t="shared" si="22"/>
        <v>0</v>
      </c>
      <c r="U60" s="55">
        <v>0</v>
      </c>
      <c r="V60" s="37">
        <f t="shared" si="23"/>
        <v>0</v>
      </c>
    </row>
    <row r="61" spans="1:22">
      <c r="A61" s="47">
        <v>0</v>
      </c>
      <c r="B61" s="21">
        <v>8000</v>
      </c>
      <c r="C61" s="21">
        <v>45000</v>
      </c>
      <c r="D61" s="13">
        <v>43282</v>
      </c>
      <c r="E61" s="16">
        <f t="shared" si="28"/>
        <v>0</v>
      </c>
      <c r="F61" s="16">
        <f t="shared" si="29"/>
        <v>0</v>
      </c>
      <c r="G61" s="14">
        <f t="shared" si="30"/>
        <v>0</v>
      </c>
      <c r="H61" s="46">
        <v>0</v>
      </c>
      <c r="I61" s="23">
        <f t="shared" si="31"/>
        <v>0</v>
      </c>
      <c r="J61" s="22">
        <f>VLOOKUP(D61,Data!$A$5:$V$197,8,FALSE)*5.83</f>
        <v>75.175946915999987</v>
      </c>
      <c r="K61" s="91">
        <f>VLOOKUP(D61,Data!$A$5:$V$197,18,FALSE)</f>
        <v>0</v>
      </c>
      <c r="L61" s="91">
        <f t="shared" si="19"/>
        <v>0</v>
      </c>
      <c r="M61" s="14">
        <f t="shared" si="32"/>
        <v>0</v>
      </c>
      <c r="N61" s="15">
        <f t="shared" si="33"/>
        <v>0</v>
      </c>
      <c r="O61" s="15">
        <f t="shared" si="34"/>
        <v>0</v>
      </c>
      <c r="P61" s="22">
        <f t="shared" si="35"/>
        <v>0</v>
      </c>
      <c r="Q61" s="31">
        <f t="shared" si="36"/>
        <v>0</v>
      </c>
      <c r="R61" s="31">
        <f t="shared" si="37"/>
        <v>0</v>
      </c>
      <c r="S61" s="32">
        <f t="shared" si="38"/>
        <v>0</v>
      </c>
      <c r="T61" s="31">
        <f t="shared" si="22"/>
        <v>0</v>
      </c>
      <c r="U61" s="55">
        <v>0</v>
      </c>
      <c r="V61" s="37">
        <f t="shared" si="23"/>
        <v>0</v>
      </c>
    </row>
    <row r="62" spans="1:22">
      <c r="A62" s="47">
        <v>0</v>
      </c>
      <c r="B62" s="21">
        <v>8000</v>
      </c>
      <c r="C62" s="21">
        <v>45000</v>
      </c>
      <c r="D62" s="13">
        <v>43313</v>
      </c>
      <c r="E62" s="16">
        <f t="shared" si="28"/>
        <v>0</v>
      </c>
      <c r="F62" s="16">
        <f t="shared" si="29"/>
        <v>0</v>
      </c>
      <c r="G62" s="14">
        <f t="shared" si="30"/>
        <v>0</v>
      </c>
      <c r="H62" s="46">
        <v>0</v>
      </c>
      <c r="I62" s="23">
        <f t="shared" si="31"/>
        <v>0</v>
      </c>
      <c r="J62" s="22">
        <f>VLOOKUP(D62,Data!$A$5:$V$197,8,FALSE)*5.83</f>
        <v>75.700946915999978</v>
      </c>
      <c r="K62" s="91">
        <f>VLOOKUP(D62,Data!$A$5:$V$197,18,FALSE)</f>
        <v>0</v>
      </c>
      <c r="L62" s="91">
        <f t="shared" si="19"/>
        <v>0</v>
      </c>
      <c r="M62" s="14">
        <f t="shared" si="32"/>
        <v>0</v>
      </c>
      <c r="N62" s="15">
        <f t="shared" si="33"/>
        <v>0</v>
      </c>
      <c r="O62" s="15">
        <f t="shared" si="34"/>
        <v>0</v>
      </c>
      <c r="P62" s="22">
        <f t="shared" si="35"/>
        <v>0</v>
      </c>
      <c r="Q62" s="31">
        <f t="shared" si="36"/>
        <v>0</v>
      </c>
      <c r="R62" s="31">
        <f t="shared" si="37"/>
        <v>0</v>
      </c>
      <c r="S62" s="32">
        <f t="shared" si="38"/>
        <v>0</v>
      </c>
      <c r="T62" s="31">
        <f t="shared" si="22"/>
        <v>0</v>
      </c>
      <c r="U62" s="55">
        <v>0</v>
      </c>
      <c r="V62" s="37">
        <f t="shared" si="23"/>
        <v>0</v>
      </c>
    </row>
    <row r="63" spans="1:22">
      <c r="A63" s="47">
        <v>0</v>
      </c>
      <c r="B63" s="21">
        <v>8000</v>
      </c>
      <c r="C63" s="21">
        <v>45000</v>
      </c>
      <c r="D63" s="13">
        <v>43344</v>
      </c>
      <c r="E63" s="16">
        <f t="shared" si="28"/>
        <v>0</v>
      </c>
      <c r="F63" s="16">
        <f t="shared" si="29"/>
        <v>0</v>
      </c>
      <c r="G63" s="14">
        <f t="shared" si="30"/>
        <v>0</v>
      </c>
      <c r="H63" s="46">
        <v>0</v>
      </c>
      <c r="I63" s="23">
        <f t="shared" si="31"/>
        <v>0</v>
      </c>
      <c r="J63" s="22">
        <f>VLOOKUP(D63,Data!$A$5:$V$197,8,FALSE)*5.83</f>
        <v>76.246946915999985</v>
      </c>
      <c r="K63" s="91">
        <f>VLOOKUP(D63,Data!$A$5:$V$197,18,FALSE)</f>
        <v>0</v>
      </c>
      <c r="L63" s="91">
        <f t="shared" si="19"/>
        <v>0</v>
      </c>
      <c r="M63" s="14">
        <f t="shared" si="32"/>
        <v>0</v>
      </c>
      <c r="N63" s="15">
        <f t="shared" si="33"/>
        <v>0</v>
      </c>
      <c r="O63" s="15">
        <f t="shared" si="34"/>
        <v>0</v>
      </c>
      <c r="P63" s="22">
        <f t="shared" si="35"/>
        <v>0</v>
      </c>
      <c r="Q63" s="31">
        <f t="shared" si="36"/>
        <v>0</v>
      </c>
      <c r="R63" s="31">
        <f t="shared" si="37"/>
        <v>0</v>
      </c>
      <c r="S63" s="32">
        <f t="shared" si="38"/>
        <v>0</v>
      </c>
      <c r="T63" s="31">
        <f t="shared" si="22"/>
        <v>0</v>
      </c>
      <c r="U63" s="55">
        <v>0</v>
      </c>
      <c r="V63" s="37">
        <f t="shared" si="23"/>
        <v>0</v>
      </c>
    </row>
    <row r="64" spans="1:22">
      <c r="A64" s="47">
        <v>0</v>
      </c>
      <c r="B64" s="21">
        <v>8000</v>
      </c>
      <c r="C64" s="21">
        <v>45000</v>
      </c>
      <c r="D64" s="13">
        <v>43374</v>
      </c>
      <c r="E64" s="16">
        <f t="shared" si="28"/>
        <v>0</v>
      </c>
      <c r="F64" s="16">
        <f t="shared" si="29"/>
        <v>0</v>
      </c>
      <c r="G64" s="14">
        <f t="shared" si="30"/>
        <v>0</v>
      </c>
      <c r="H64" s="46">
        <v>0</v>
      </c>
      <c r="I64" s="23">
        <f t="shared" si="31"/>
        <v>0</v>
      </c>
      <c r="J64" s="22">
        <f>VLOOKUP(D64,Data!$A$5:$V$197,8,FALSE)*5.83</f>
        <v>76.771946915999976</v>
      </c>
      <c r="K64" s="91">
        <f>VLOOKUP(D64,Data!$A$5:$V$197,18,FALSE)</f>
        <v>0</v>
      </c>
      <c r="L64" s="91">
        <f t="shared" si="19"/>
        <v>0</v>
      </c>
      <c r="M64" s="14">
        <f t="shared" si="32"/>
        <v>0</v>
      </c>
      <c r="N64" s="15">
        <f t="shared" si="33"/>
        <v>0</v>
      </c>
      <c r="O64" s="15">
        <f t="shared" si="34"/>
        <v>0</v>
      </c>
      <c r="P64" s="22">
        <f t="shared" si="35"/>
        <v>0</v>
      </c>
      <c r="Q64" s="31">
        <f t="shared" si="36"/>
        <v>0</v>
      </c>
      <c r="R64" s="31">
        <f t="shared" si="37"/>
        <v>0</v>
      </c>
      <c r="S64" s="32">
        <f t="shared" si="38"/>
        <v>0</v>
      </c>
      <c r="T64" s="31">
        <f t="shared" si="22"/>
        <v>0</v>
      </c>
      <c r="U64" s="55">
        <v>0</v>
      </c>
      <c r="V64" s="37">
        <f t="shared" si="23"/>
        <v>0</v>
      </c>
    </row>
    <row r="65" spans="1:22">
      <c r="A65" s="47">
        <v>0</v>
      </c>
      <c r="B65" s="21">
        <v>8000</v>
      </c>
      <c r="C65" s="21">
        <v>45000</v>
      </c>
      <c r="D65" s="13">
        <v>43405</v>
      </c>
      <c r="E65" s="16">
        <f t="shared" si="28"/>
        <v>0</v>
      </c>
      <c r="F65" s="16">
        <f t="shared" si="29"/>
        <v>0</v>
      </c>
      <c r="G65" s="14">
        <f t="shared" si="30"/>
        <v>0</v>
      </c>
      <c r="H65" s="46">
        <v>0</v>
      </c>
      <c r="I65" s="23">
        <f t="shared" si="31"/>
        <v>0</v>
      </c>
      <c r="J65" s="22">
        <f>VLOOKUP(D65,Data!$A$5:$V$197,8,FALSE)*5.83</f>
        <v>77.170946916000005</v>
      </c>
      <c r="K65" s="91">
        <f>VLOOKUP(D65,Data!$A$5:$V$197,18,FALSE)</f>
        <v>0</v>
      </c>
      <c r="L65" s="91">
        <f t="shared" si="19"/>
        <v>0</v>
      </c>
      <c r="M65" s="14">
        <f t="shared" si="32"/>
        <v>0</v>
      </c>
      <c r="N65" s="15">
        <f t="shared" si="33"/>
        <v>0</v>
      </c>
      <c r="O65" s="15">
        <f t="shared" si="34"/>
        <v>0</v>
      </c>
      <c r="P65" s="22">
        <f t="shared" si="35"/>
        <v>0</v>
      </c>
      <c r="Q65" s="31">
        <f t="shared" si="36"/>
        <v>0</v>
      </c>
      <c r="R65" s="31">
        <f t="shared" si="37"/>
        <v>0</v>
      </c>
      <c r="S65" s="32">
        <f t="shared" si="38"/>
        <v>0</v>
      </c>
      <c r="T65" s="31">
        <f t="shared" si="22"/>
        <v>0</v>
      </c>
      <c r="U65" s="55">
        <v>0</v>
      </c>
      <c r="V65" s="37">
        <f t="shared" si="23"/>
        <v>0</v>
      </c>
    </row>
    <row r="66" spans="1:22">
      <c r="A66" s="47">
        <v>0</v>
      </c>
      <c r="B66" s="21">
        <v>8000</v>
      </c>
      <c r="C66" s="21">
        <v>45000</v>
      </c>
      <c r="D66" s="13">
        <v>43435</v>
      </c>
      <c r="E66" s="16">
        <f t="shared" si="28"/>
        <v>0</v>
      </c>
      <c r="F66" s="16">
        <f t="shared" si="29"/>
        <v>0</v>
      </c>
      <c r="G66" s="14">
        <f t="shared" si="30"/>
        <v>0</v>
      </c>
      <c r="H66" s="46">
        <v>0</v>
      </c>
      <c r="I66" s="23">
        <f t="shared" si="31"/>
        <v>0</v>
      </c>
      <c r="J66" s="22">
        <f>VLOOKUP(D66,Data!$A$5:$V$197,8,FALSE)*5.83</f>
        <v>77.50694691599999</v>
      </c>
      <c r="K66" s="91">
        <f>VLOOKUP(D66,Data!$A$5:$V$197,18,FALSE)</f>
        <v>0</v>
      </c>
      <c r="L66" s="91">
        <f t="shared" si="19"/>
        <v>0</v>
      </c>
      <c r="M66" s="14">
        <f t="shared" si="32"/>
        <v>0</v>
      </c>
      <c r="N66" s="15">
        <f t="shared" si="33"/>
        <v>0</v>
      </c>
      <c r="O66" s="15">
        <f t="shared" si="34"/>
        <v>0</v>
      </c>
      <c r="P66" s="22">
        <f t="shared" si="35"/>
        <v>0</v>
      </c>
      <c r="Q66" s="31">
        <f t="shared" si="36"/>
        <v>0</v>
      </c>
      <c r="R66" s="31">
        <f t="shared" si="37"/>
        <v>0</v>
      </c>
      <c r="S66" s="32">
        <f t="shared" si="38"/>
        <v>0</v>
      </c>
      <c r="T66" s="31">
        <f t="shared" si="22"/>
        <v>0</v>
      </c>
      <c r="U66" s="55">
        <v>0</v>
      </c>
      <c r="V66" s="37">
        <f t="shared" si="23"/>
        <v>0</v>
      </c>
    </row>
    <row r="67" spans="1:22">
      <c r="A67" s="47">
        <v>0</v>
      </c>
      <c r="B67" s="47">
        <v>8000</v>
      </c>
      <c r="C67" s="47">
        <v>45000</v>
      </c>
      <c r="D67" s="13">
        <v>43466</v>
      </c>
      <c r="E67" s="16">
        <f t="shared" ref="E67:E90" si="39">N66</f>
        <v>0</v>
      </c>
      <c r="F67" s="16">
        <f t="shared" ref="F67:F90" si="40">O66</f>
        <v>0</v>
      </c>
      <c r="G67" s="14">
        <f t="shared" ref="G67:G90" si="41">P66</f>
        <v>0</v>
      </c>
      <c r="H67" s="46">
        <v>0</v>
      </c>
      <c r="I67" s="74">
        <f t="shared" ref="I67:I90" si="42">H67*J67</f>
        <v>0</v>
      </c>
      <c r="J67" s="22">
        <f>VLOOKUP(D67,Data!$A$5:$V$197,8,FALSE)*5.83</f>
        <v>83.248223461435202</v>
      </c>
      <c r="K67" s="91">
        <f>VLOOKUP(D67,Data!$A$5:$V$197,18,FALSE)</f>
        <v>0</v>
      </c>
      <c r="L67" s="91">
        <f t="shared" si="19"/>
        <v>0</v>
      </c>
      <c r="M67" s="14">
        <f t="shared" ref="M67:M90" si="43">IF(K67=0,0,L67/K67)</f>
        <v>0</v>
      </c>
      <c r="N67" s="46">
        <f t="shared" ref="N67:N90" si="44">+E67+H67-K67</f>
        <v>0</v>
      </c>
      <c r="O67" s="46">
        <f t="shared" ref="O67:O90" si="45">+F67+I67-L67</f>
        <v>0</v>
      </c>
      <c r="P67" s="22">
        <f t="shared" ref="P67:P90" si="46">IF(N67=0,0,O67/N67)</f>
        <v>0</v>
      </c>
      <c r="Q67" s="55">
        <f t="shared" ref="Q67:Q90" si="47">AVERAGE(N55:N67)</f>
        <v>0</v>
      </c>
      <c r="R67" s="55">
        <f t="shared" ref="R67:R90" si="48">AVERAGE(O55:O67)</f>
        <v>0</v>
      </c>
      <c r="S67" s="32">
        <f t="shared" ref="S67:S90" si="49">IF(Q67=0,0,R67/Q67)</f>
        <v>0</v>
      </c>
      <c r="T67" s="55">
        <f t="shared" ref="T67:T90" si="50">N67+A67</f>
        <v>0</v>
      </c>
      <c r="U67" s="55">
        <v>0</v>
      </c>
      <c r="V67" s="37">
        <f t="shared" ref="V67:V90" si="51">(T67-U67)/946</f>
        <v>0</v>
      </c>
    </row>
    <row r="68" spans="1:22">
      <c r="A68" s="47">
        <v>0</v>
      </c>
      <c r="B68" s="47">
        <v>8000</v>
      </c>
      <c r="C68" s="47">
        <v>45000</v>
      </c>
      <c r="D68" s="13">
        <v>43497</v>
      </c>
      <c r="E68" s="16">
        <f t="shared" si="39"/>
        <v>0</v>
      </c>
      <c r="F68" s="16">
        <f t="shared" si="40"/>
        <v>0</v>
      </c>
      <c r="G68" s="14">
        <f t="shared" si="41"/>
        <v>0</v>
      </c>
      <c r="H68" s="46">
        <v>0</v>
      </c>
      <c r="I68" s="74">
        <f t="shared" si="42"/>
        <v>0</v>
      </c>
      <c r="J68" s="22">
        <f>VLOOKUP(D68,Data!$A$5:$V$197,8,FALSE)*5.83</f>
        <v>85.835650543006707</v>
      </c>
      <c r="K68" s="91">
        <f>VLOOKUP(D68,Data!$A$5:$V$197,18,FALSE)</f>
        <v>0</v>
      </c>
      <c r="L68" s="91">
        <f t="shared" si="19"/>
        <v>0</v>
      </c>
      <c r="M68" s="14">
        <f t="shared" si="43"/>
        <v>0</v>
      </c>
      <c r="N68" s="46">
        <f t="shared" si="44"/>
        <v>0</v>
      </c>
      <c r="O68" s="46">
        <f t="shared" si="45"/>
        <v>0</v>
      </c>
      <c r="P68" s="22">
        <f t="shared" si="46"/>
        <v>0</v>
      </c>
      <c r="Q68" s="55">
        <f t="shared" si="47"/>
        <v>0</v>
      </c>
      <c r="R68" s="55">
        <f t="shared" si="48"/>
        <v>0</v>
      </c>
      <c r="S68" s="32">
        <f t="shared" si="49"/>
        <v>0</v>
      </c>
      <c r="T68" s="55">
        <f t="shared" si="50"/>
        <v>0</v>
      </c>
      <c r="U68" s="55">
        <v>0</v>
      </c>
      <c r="V68" s="37">
        <f t="shared" si="51"/>
        <v>0</v>
      </c>
    </row>
    <row r="69" spans="1:22">
      <c r="A69" s="47">
        <v>0</v>
      </c>
      <c r="B69" s="47">
        <v>8000</v>
      </c>
      <c r="C69" s="47">
        <v>45000</v>
      </c>
      <c r="D69" s="13">
        <v>43525</v>
      </c>
      <c r="E69" s="16">
        <f t="shared" si="39"/>
        <v>0</v>
      </c>
      <c r="F69" s="16">
        <f t="shared" si="40"/>
        <v>0</v>
      </c>
      <c r="G69" s="14">
        <f t="shared" si="41"/>
        <v>0</v>
      </c>
      <c r="H69" s="46">
        <v>0</v>
      </c>
      <c r="I69" s="74">
        <f t="shared" si="42"/>
        <v>0</v>
      </c>
      <c r="J69" s="22">
        <f>VLOOKUP(D69,Data!$A$5:$V$197,8,FALSE)*5.83</f>
        <v>89.886073263527052</v>
      </c>
      <c r="K69" s="91">
        <f>VLOOKUP(D69,Data!$A$5:$V$197,18,FALSE)</f>
        <v>0</v>
      </c>
      <c r="L69" s="91">
        <f t="shared" si="19"/>
        <v>0</v>
      </c>
      <c r="M69" s="14">
        <f t="shared" si="43"/>
        <v>0</v>
      </c>
      <c r="N69" s="46">
        <f t="shared" si="44"/>
        <v>0</v>
      </c>
      <c r="O69" s="46">
        <f t="shared" si="45"/>
        <v>0</v>
      </c>
      <c r="P69" s="22">
        <f t="shared" si="46"/>
        <v>0</v>
      </c>
      <c r="Q69" s="55">
        <f t="shared" si="47"/>
        <v>0</v>
      </c>
      <c r="R69" s="55">
        <f t="shared" si="48"/>
        <v>0</v>
      </c>
      <c r="S69" s="32">
        <f t="shared" si="49"/>
        <v>0</v>
      </c>
      <c r="T69" s="55">
        <f t="shared" si="50"/>
        <v>0</v>
      </c>
      <c r="U69" s="55">
        <v>0</v>
      </c>
      <c r="V69" s="37">
        <f t="shared" si="51"/>
        <v>0</v>
      </c>
    </row>
    <row r="70" spans="1:22">
      <c r="A70" s="47">
        <v>0</v>
      </c>
      <c r="B70" s="47">
        <v>8000</v>
      </c>
      <c r="C70" s="47">
        <v>45000</v>
      </c>
      <c r="D70" s="13">
        <v>43556</v>
      </c>
      <c r="E70" s="16">
        <f t="shared" si="39"/>
        <v>0</v>
      </c>
      <c r="F70" s="16">
        <f t="shared" si="40"/>
        <v>0</v>
      </c>
      <c r="G70" s="14">
        <f t="shared" si="41"/>
        <v>0</v>
      </c>
      <c r="H70" s="46">
        <v>0</v>
      </c>
      <c r="I70" s="74">
        <f t="shared" si="42"/>
        <v>0</v>
      </c>
      <c r="J70" s="22">
        <f>VLOOKUP(D70,Data!$A$5:$V$197,8,FALSE)*5.83</f>
        <v>92.219245272171108</v>
      </c>
      <c r="K70" s="91">
        <f>VLOOKUP(D70,Data!$A$5:$V$197,18,FALSE)</f>
        <v>0</v>
      </c>
      <c r="L70" s="91">
        <f t="shared" si="19"/>
        <v>0</v>
      </c>
      <c r="M70" s="14">
        <f t="shared" si="43"/>
        <v>0</v>
      </c>
      <c r="N70" s="46">
        <f t="shared" si="44"/>
        <v>0</v>
      </c>
      <c r="O70" s="46">
        <f t="shared" si="45"/>
        <v>0</v>
      </c>
      <c r="P70" s="22">
        <f t="shared" si="46"/>
        <v>0</v>
      </c>
      <c r="Q70" s="55">
        <f t="shared" si="47"/>
        <v>0</v>
      </c>
      <c r="R70" s="55">
        <f t="shared" si="48"/>
        <v>0</v>
      </c>
      <c r="S70" s="32">
        <f t="shared" si="49"/>
        <v>0</v>
      </c>
      <c r="T70" s="55">
        <f t="shared" si="50"/>
        <v>0</v>
      </c>
      <c r="U70" s="55">
        <v>0</v>
      </c>
      <c r="V70" s="37">
        <f t="shared" si="51"/>
        <v>0</v>
      </c>
    </row>
    <row r="71" spans="1:22">
      <c r="A71" s="47">
        <v>0</v>
      </c>
      <c r="B71" s="47">
        <v>8000</v>
      </c>
      <c r="C71" s="47">
        <v>45000</v>
      </c>
      <c r="D71" s="13">
        <v>43586</v>
      </c>
      <c r="E71" s="16">
        <f t="shared" si="39"/>
        <v>0</v>
      </c>
      <c r="F71" s="16">
        <f t="shared" si="40"/>
        <v>0</v>
      </c>
      <c r="G71" s="14">
        <f t="shared" si="41"/>
        <v>0</v>
      </c>
      <c r="H71" s="46">
        <v>0</v>
      </c>
      <c r="I71" s="74">
        <f t="shared" si="42"/>
        <v>0</v>
      </c>
      <c r="J71" s="22">
        <f>VLOOKUP(D71,Data!$A$5:$V$197,8,FALSE)*5.83</f>
        <v>91.297288495978975</v>
      </c>
      <c r="K71" s="91">
        <f>VLOOKUP(D71,Data!$A$5:$V$197,18,FALSE)</f>
        <v>0</v>
      </c>
      <c r="L71" s="91">
        <f t="shared" si="19"/>
        <v>0</v>
      </c>
      <c r="M71" s="14">
        <f t="shared" si="43"/>
        <v>0</v>
      </c>
      <c r="N71" s="46">
        <f t="shared" si="44"/>
        <v>0</v>
      </c>
      <c r="O71" s="46">
        <f t="shared" si="45"/>
        <v>0</v>
      </c>
      <c r="P71" s="22">
        <f t="shared" si="46"/>
        <v>0</v>
      </c>
      <c r="Q71" s="55">
        <f t="shared" si="47"/>
        <v>0</v>
      </c>
      <c r="R71" s="55">
        <f t="shared" si="48"/>
        <v>0</v>
      </c>
      <c r="S71" s="32">
        <f t="shared" si="49"/>
        <v>0</v>
      </c>
      <c r="T71" s="55">
        <f t="shared" si="50"/>
        <v>0</v>
      </c>
      <c r="U71" s="55">
        <v>0</v>
      </c>
      <c r="V71" s="37">
        <f t="shared" si="51"/>
        <v>0</v>
      </c>
    </row>
    <row r="72" spans="1:22">
      <c r="A72" s="47">
        <v>0</v>
      </c>
      <c r="B72" s="47">
        <v>8000</v>
      </c>
      <c r="C72" s="47">
        <v>45000</v>
      </c>
      <c r="D72" s="13">
        <v>43617</v>
      </c>
      <c r="E72" s="16">
        <f t="shared" si="39"/>
        <v>0</v>
      </c>
      <c r="F72" s="16">
        <f t="shared" si="40"/>
        <v>0</v>
      </c>
      <c r="G72" s="14">
        <f t="shared" si="41"/>
        <v>0</v>
      </c>
      <c r="H72" s="46">
        <v>0</v>
      </c>
      <c r="I72" s="74">
        <f t="shared" si="42"/>
        <v>0</v>
      </c>
      <c r="J72" s="22">
        <f>VLOOKUP(D72,Data!$A$5:$V$197,8,FALSE)*5.83</f>
        <v>92.048148646942678</v>
      </c>
      <c r="K72" s="91">
        <f>VLOOKUP(D72,Data!$A$5:$V$197,18,FALSE)</f>
        <v>0</v>
      </c>
      <c r="L72" s="91">
        <f t="shared" si="19"/>
        <v>0</v>
      </c>
      <c r="M72" s="14">
        <f t="shared" si="43"/>
        <v>0</v>
      </c>
      <c r="N72" s="46">
        <f t="shared" si="44"/>
        <v>0</v>
      </c>
      <c r="O72" s="46">
        <f t="shared" si="45"/>
        <v>0</v>
      </c>
      <c r="P72" s="22">
        <f t="shared" si="46"/>
        <v>0</v>
      </c>
      <c r="Q72" s="55">
        <f t="shared" si="47"/>
        <v>0</v>
      </c>
      <c r="R72" s="55">
        <f t="shared" si="48"/>
        <v>0</v>
      </c>
      <c r="S72" s="32">
        <f t="shared" si="49"/>
        <v>0</v>
      </c>
      <c r="T72" s="55">
        <f t="shared" si="50"/>
        <v>0</v>
      </c>
      <c r="U72" s="55">
        <v>0</v>
      </c>
      <c r="V72" s="37">
        <f t="shared" si="51"/>
        <v>0</v>
      </c>
    </row>
    <row r="73" spans="1:22">
      <c r="A73" s="47">
        <v>0</v>
      </c>
      <c r="B73" s="47">
        <v>8000</v>
      </c>
      <c r="C73" s="47">
        <v>45000</v>
      </c>
      <c r="D73" s="13">
        <v>43647</v>
      </c>
      <c r="E73" s="16">
        <f t="shared" si="39"/>
        <v>0</v>
      </c>
      <c r="F73" s="16">
        <f t="shared" si="40"/>
        <v>0</v>
      </c>
      <c r="G73" s="14">
        <f t="shared" si="41"/>
        <v>0</v>
      </c>
      <c r="H73" s="46">
        <v>0</v>
      </c>
      <c r="I73" s="74">
        <f t="shared" si="42"/>
        <v>0</v>
      </c>
      <c r="J73" s="22">
        <f>VLOOKUP(D73,Data!$A$5:$V$197,8,FALSE)*5.83</f>
        <v>93.402980770097884</v>
      </c>
      <c r="K73" s="91">
        <f>VLOOKUP(D73,Data!$A$5:$V$197,18,FALSE)</f>
        <v>0</v>
      </c>
      <c r="L73" s="91">
        <f t="shared" si="19"/>
        <v>0</v>
      </c>
      <c r="M73" s="14">
        <f t="shared" si="43"/>
        <v>0</v>
      </c>
      <c r="N73" s="46">
        <f t="shared" si="44"/>
        <v>0</v>
      </c>
      <c r="O73" s="46">
        <f t="shared" si="45"/>
        <v>0</v>
      </c>
      <c r="P73" s="22">
        <f t="shared" si="46"/>
        <v>0</v>
      </c>
      <c r="Q73" s="55">
        <f t="shared" si="47"/>
        <v>0</v>
      </c>
      <c r="R73" s="55">
        <f t="shared" si="48"/>
        <v>0</v>
      </c>
      <c r="S73" s="32">
        <f t="shared" si="49"/>
        <v>0</v>
      </c>
      <c r="T73" s="55">
        <f t="shared" si="50"/>
        <v>0</v>
      </c>
      <c r="U73" s="55">
        <v>0</v>
      </c>
      <c r="V73" s="37">
        <f t="shared" si="51"/>
        <v>0</v>
      </c>
    </row>
    <row r="74" spans="1:22">
      <c r="A74" s="47">
        <v>0</v>
      </c>
      <c r="B74" s="47">
        <v>8000</v>
      </c>
      <c r="C74" s="47">
        <v>45000</v>
      </c>
      <c r="D74" s="13">
        <v>43678</v>
      </c>
      <c r="E74" s="16">
        <f t="shared" si="39"/>
        <v>0</v>
      </c>
      <c r="F74" s="16">
        <f t="shared" si="40"/>
        <v>0</v>
      </c>
      <c r="G74" s="14">
        <f t="shared" si="41"/>
        <v>0</v>
      </c>
      <c r="H74" s="46">
        <v>0</v>
      </c>
      <c r="I74" s="74">
        <f t="shared" si="42"/>
        <v>0</v>
      </c>
      <c r="J74" s="22">
        <f>VLOOKUP(D74,Data!$A$5:$V$197,8,FALSE)*5.83</f>
        <v>92.508241899884936</v>
      </c>
      <c r="K74" s="91">
        <f>VLOOKUP(D74,Data!$A$5:$V$197,18,FALSE)</f>
        <v>0</v>
      </c>
      <c r="L74" s="91">
        <f t="shared" si="19"/>
        <v>0</v>
      </c>
      <c r="M74" s="14">
        <f t="shared" si="43"/>
        <v>0</v>
      </c>
      <c r="N74" s="46">
        <f t="shared" si="44"/>
        <v>0</v>
      </c>
      <c r="O74" s="46">
        <f t="shared" si="45"/>
        <v>0</v>
      </c>
      <c r="P74" s="22">
        <f t="shared" si="46"/>
        <v>0</v>
      </c>
      <c r="Q74" s="55">
        <f t="shared" si="47"/>
        <v>0</v>
      </c>
      <c r="R74" s="55">
        <f t="shared" si="48"/>
        <v>0</v>
      </c>
      <c r="S74" s="32">
        <f t="shared" si="49"/>
        <v>0</v>
      </c>
      <c r="T74" s="55">
        <f t="shared" si="50"/>
        <v>0</v>
      </c>
      <c r="U74" s="55">
        <v>0</v>
      </c>
      <c r="V74" s="37">
        <f t="shared" si="51"/>
        <v>0</v>
      </c>
    </row>
    <row r="75" spans="1:22">
      <c r="A75" s="47">
        <v>0</v>
      </c>
      <c r="B75" s="47">
        <v>8000</v>
      </c>
      <c r="C75" s="47">
        <v>45000</v>
      </c>
      <c r="D75" s="13">
        <v>43709</v>
      </c>
      <c r="E75" s="16">
        <f t="shared" si="39"/>
        <v>0</v>
      </c>
      <c r="F75" s="16">
        <f t="shared" si="40"/>
        <v>0</v>
      </c>
      <c r="G75" s="14">
        <f t="shared" si="41"/>
        <v>0</v>
      </c>
      <c r="H75" s="46">
        <v>0</v>
      </c>
      <c r="I75" s="74">
        <f t="shared" si="42"/>
        <v>0</v>
      </c>
      <c r="J75" s="22">
        <f>VLOOKUP(D75,Data!$A$5:$V$197,8,FALSE)*5.83</f>
        <v>92.085501350432793</v>
      </c>
      <c r="K75" s="91">
        <f>VLOOKUP(D75,Data!$A$5:$V$197,18,FALSE)</f>
        <v>0</v>
      </c>
      <c r="L75" s="91">
        <f t="shared" si="19"/>
        <v>0</v>
      </c>
      <c r="M75" s="14">
        <f t="shared" si="43"/>
        <v>0</v>
      </c>
      <c r="N75" s="46">
        <f t="shared" si="44"/>
        <v>0</v>
      </c>
      <c r="O75" s="46">
        <f t="shared" si="45"/>
        <v>0</v>
      </c>
      <c r="P75" s="22">
        <f t="shared" si="46"/>
        <v>0</v>
      </c>
      <c r="Q75" s="55">
        <f t="shared" si="47"/>
        <v>0</v>
      </c>
      <c r="R75" s="55">
        <f t="shared" si="48"/>
        <v>0</v>
      </c>
      <c r="S75" s="32">
        <f t="shared" si="49"/>
        <v>0</v>
      </c>
      <c r="T75" s="55">
        <f t="shared" si="50"/>
        <v>0</v>
      </c>
      <c r="U75" s="55">
        <v>0</v>
      </c>
      <c r="V75" s="37">
        <f t="shared" si="51"/>
        <v>0</v>
      </c>
    </row>
    <row r="76" spans="1:22">
      <c r="A76" s="47">
        <v>0</v>
      </c>
      <c r="B76" s="47">
        <v>8000</v>
      </c>
      <c r="C76" s="47">
        <v>45000</v>
      </c>
      <c r="D76" s="13">
        <v>43739</v>
      </c>
      <c r="E76" s="16">
        <f t="shared" si="39"/>
        <v>0</v>
      </c>
      <c r="F76" s="16">
        <f t="shared" si="40"/>
        <v>0</v>
      </c>
      <c r="G76" s="14">
        <f t="shared" si="41"/>
        <v>0</v>
      </c>
      <c r="H76" s="46">
        <v>0</v>
      </c>
      <c r="I76" s="74">
        <f t="shared" si="42"/>
        <v>0</v>
      </c>
      <c r="J76" s="22">
        <f>VLOOKUP(D76,Data!$A$5:$V$197,8,FALSE)*5.83</f>
        <v>90.953590515760666</v>
      </c>
      <c r="K76" s="91">
        <f>VLOOKUP(D76,Data!$A$5:$V$197,18,FALSE)</f>
        <v>0</v>
      </c>
      <c r="L76" s="91">
        <f t="shared" si="19"/>
        <v>0</v>
      </c>
      <c r="M76" s="14">
        <f t="shared" si="43"/>
        <v>0</v>
      </c>
      <c r="N76" s="46">
        <f t="shared" si="44"/>
        <v>0</v>
      </c>
      <c r="O76" s="46">
        <f t="shared" si="45"/>
        <v>0</v>
      </c>
      <c r="P76" s="22">
        <f t="shared" si="46"/>
        <v>0</v>
      </c>
      <c r="Q76" s="55">
        <f t="shared" si="47"/>
        <v>0</v>
      </c>
      <c r="R76" s="55">
        <f t="shared" si="48"/>
        <v>0</v>
      </c>
      <c r="S76" s="32">
        <f t="shared" si="49"/>
        <v>0</v>
      </c>
      <c r="T76" s="55">
        <f t="shared" si="50"/>
        <v>0</v>
      </c>
      <c r="U76" s="55">
        <v>0</v>
      </c>
      <c r="V76" s="37">
        <f t="shared" si="51"/>
        <v>0</v>
      </c>
    </row>
    <row r="77" spans="1:22">
      <c r="A77" s="47">
        <v>0</v>
      </c>
      <c r="B77" s="47">
        <v>8000</v>
      </c>
      <c r="C77" s="47">
        <v>45000</v>
      </c>
      <c r="D77" s="13">
        <v>43770</v>
      </c>
      <c r="E77" s="16">
        <f t="shared" si="39"/>
        <v>0</v>
      </c>
      <c r="F77" s="16">
        <f t="shared" si="40"/>
        <v>0</v>
      </c>
      <c r="G77" s="14">
        <f t="shared" si="41"/>
        <v>0</v>
      </c>
      <c r="H77" s="46">
        <v>0</v>
      </c>
      <c r="I77" s="74">
        <f t="shared" si="42"/>
        <v>0</v>
      </c>
      <c r="J77" s="22">
        <f>VLOOKUP(D77,Data!$A$5:$V$197,8,FALSE)*5.83</f>
        <v>90.564440845395012</v>
      </c>
      <c r="K77" s="91">
        <f>VLOOKUP(D77,Data!$A$5:$V$197,18,FALSE)</f>
        <v>0</v>
      </c>
      <c r="L77" s="91">
        <f t="shared" si="19"/>
        <v>0</v>
      </c>
      <c r="M77" s="14">
        <f t="shared" si="43"/>
        <v>0</v>
      </c>
      <c r="N77" s="46">
        <f t="shared" si="44"/>
        <v>0</v>
      </c>
      <c r="O77" s="46">
        <f t="shared" si="45"/>
        <v>0</v>
      </c>
      <c r="P77" s="22">
        <f t="shared" si="46"/>
        <v>0</v>
      </c>
      <c r="Q77" s="55">
        <f t="shared" si="47"/>
        <v>0</v>
      </c>
      <c r="R77" s="55">
        <f t="shared" si="48"/>
        <v>0</v>
      </c>
      <c r="S77" s="32">
        <f t="shared" si="49"/>
        <v>0</v>
      </c>
      <c r="T77" s="55">
        <f t="shared" si="50"/>
        <v>0</v>
      </c>
      <c r="U77" s="55">
        <v>0</v>
      </c>
      <c r="V77" s="37">
        <f t="shared" si="51"/>
        <v>0</v>
      </c>
    </row>
    <row r="78" spans="1:22">
      <c r="A78" s="47">
        <v>0</v>
      </c>
      <c r="B78" s="47">
        <v>8000</v>
      </c>
      <c r="C78" s="47">
        <v>45000</v>
      </c>
      <c r="D78" s="13">
        <v>43800</v>
      </c>
      <c r="E78" s="16">
        <f t="shared" si="39"/>
        <v>0</v>
      </c>
      <c r="F78" s="16">
        <f t="shared" si="40"/>
        <v>0</v>
      </c>
      <c r="G78" s="14">
        <f t="shared" si="41"/>
        <v>0</v>
      </c>
      <c r="H78" s="46">
        <v>0</v>
      </c>
      <c r="I78" s="74">
        <f t="shared" si="42"/>
        <v>0</v>
      </c>
      <c r="J78" s="22">
        <f>VLOOKUP(D78,Data!$A$5:$V$197,8,FALSE)*5.83</f>
        <v>87.699479636351342</v>
      </c>
      <c r="K78" s="91">
        <f>VLOOKUP(D78,Data!$A$5:$V$197,18,FALSE)</f>
        <v>0</v>
      </c>
      <c r="L78" s="91">
        <f t="shared" si="19"/>
        <v>0</v>
      </c>
      <c r="M78" s="14">
        <f t="shared" si="43"/>
        <v>0</v>
      </c>
      <c r="N78" s="46">
        <f t="shared" si="44"/>
        <v>0</v>
      </c>
      <c r="O78" s="46">
        <f t="shared" si="45"/>
        <v>0</v>
      </c>
      <c r="P78" s="22">
        <f t="shared" si="46"/>
        <v>0</v>
      </c>
      <c r="Q78" s="55">
        <f t="shared" si="47"/>
        <v>0</v>
      </c>
      <c r="R78" s="55">
        <f t="shared" si="48"/>
        <v>0</v>
      </c>
      <c r="S78" s="32">
        <f t="shared" si="49"/>
        <v>0</v>
      </c>
      <c r="T78" s="55">
        <f t="shared" si="50"/>
        <v>0</v>
      </c>
      <c r="U78" s="55">
        <v>0</v>
      </c>
      <c r="V78" s="37">
        <f t="shared" si="51"/>
        <v>0</v>
      </c>
    </row>
    <row r="79" spans="1:22">
      <c r="A79" s="47">
        <v>0</v>
      </c>
      <c r="B79" s="47">
        <v>8000</v>
      </c>
      <c r="C79" s="47">
        <v>45000</v>
      </c>
      <c r="D79" s="13">
        <v>43831</v>
      </c>
      <c r="E79" s="16">
        <f t="shared" si="39"/>
        <v>0</v>
      </c>
      <c r="F79" s="16">
        <f t="shared" si="40"/>
        <v>0</v>
      </c>
      <c r="G79" s="14">
        <f t="shared" si="41"/>
        <v>0</v>
      </c>
      <c r="H79" s="46">
        <v>0</v>
      </c>
      <c r="I79" s="74">
        <f t="shared" si="42"/>
        <v>0</v>
      </c>
      <c r="J79" s="22">
        <f>VLOOKUP(D79,Data!$A$5:$V$197,8,FALSE)*5.83</f>
        <v>86.694828171209409</v>
      </c>
      <c r="K79" s="91">
        <f>VLOOKUP(D79,Data!$A$5:$V$197,18,FALSE)</f>
        <v>0</v>
      </c>
      <c r="L79" s="91">
        <f t="shared" si="19"/>
        <v>0</v>
      </c>
      <c r="M79" s="14">
        <f t="shared" si="43"/>
        <v>0</v>
      </c>
      <c r="N79" s="46">
        <f t="shared" si="44"/>
        <v>0</v>
      </c>
      <c r="O79" s="46">
        <f t="shared" si="45"/>
        <v>0</v>
      </c>
      <c r="P79" s="22">
        <f t="shared" si="46"/>
        <v>0</v>
      </c>
      <c r="Q79" s="55">
        <f t="shared" si="47"/>
        <v>0</v>
      </c>
      <c r="R79" s="55">
        <f t="shared" si="48"/>
        <v>0</v>
      </c>
      <c r="S79" s="32">
        <f t="shared" si="49"/>
        <v>0</v>
      </c>
      <c r="T79" s="55">
        <f t="shared" si="50"/>
        <v>0</v>
      </c>
      <c r="U79" s="55">
        <v>0</v>
      </c>
      <c r="V79" s="37">
        <f t="shared" si="51"/>
        <v>0</v>
      </c>
    </row>
    <row r="80" spans="1:22">
      <c r="A80" s="47">
        <v>0</v>
      </c>
      <c r="B80" s="47">
        <v>8000</v>
      </c>
      <c r="C80" s="47">
        <v>45000</v>
      </c>
      <c r="D80" s="13">
        <v>43862</v>
      </c>
      <c r="E80" s="16">
        <f t="shared" si="39"/>
        <v>0</v>
      </c>
      <c r="F80" s="16">
        <f t="shared" si="40"/>
        <v>0</v>
      </c>
      <c r="G80" s="14">
        <f t="shared" si="41"/>
        <v>0</v>
      </c>
      <c r="H80" s="46">
        <v>0</v>
      </c>
      <c r="I80" s="74">
        <f t="shared" si="42"/>
        <v>0</v>
      </c>
      <c r="J80" s="22">
        <f>VLOOKUP(D80,Data!$A$5:$V$197,8,FALSE)*5.83</f>
        <v>89.40389939053739</v>
      </c>
      <c r="K80" s="91">
        <f>VLOOKUP(D80,Data!$A$5:$V$197,18,FALSE)</f>
        <v>0</v>
      </c>
      <c r="L80" s="91">
        <f t="shared" si="19"/>
        <v>0</v>
      </c>
      <c r="M80" s="14">
        <f t="shared" si="43"/>
        <v>0</v>
      </c>
      <c r="N80" s="46">
        <f t="shared" si="44"/>
        <v>0</v>
      </c>
      <c r="O80" s="46">
        <f t="shared" si="45"/>
        <v>0</v>
      </c>
      <c r="P80" s="22">
        <f t="shared" si="46"/>
        <v>0</v>
      </c>
      <c r="Q80" s="55">
        <f t="shared" si="47"/>
        <v>0</v>
      </c>
      <c r="R80" s="55">
        <f t="shared" si="48"/>
        <v>0</v>
      </c>
      <c r="S80" s="32">
        <f t="shared" si="49"/>
        <v>0</v>
      </c>
      <c r="T80" s="55">
        <f t="shared" si="50"/>
        <v>0</v>
      </c>
      <c r="U80" s="55">
        <v>0</v>
      </c>
      <c r="V80" s="37">
        <f t="shared" si="51"/>
        <v>0</v>
      </c>
    </row>
    <row r="81" spans="1:22">
      <c r="A81" s="47">
        <v>0</v>
      </c>
      <c r="B81" s="47">
        <v>8000</v>
      </c>
      <c r="C81" s="47">
        <v>45000</v>
      </c>
      <c r="D81" s="13">
        <v>43891</v>
      </c>
      <c r="E81" s="16">
        <f t="shared" si="39"/>
        <v>0</v>
      </c>
      <c r="F81" s="16">
        <f t="shared" si="40"/>
        <v>0</v>
      </c>
      <c r="G81" s="14">
        <f t="shared" si="41"/>
        <v>0</v>
      </c>
      <c r="H81" s="46">
        <v>0</v>
      </c>
      <c r="I81" s="74">
        <f t="shared" si="42"/>
        <v>0</v>
      </c>
      <c r="J81" s="22">
        <f>VLOOKUP(D81,Data!$A$5:$V$197,8,FALSE)*5.83</f>
        <v>93.64474687042437</v>
      </c>
      <c r="K81" s="91">
        <f>VLOOKUP(D81,Data!$A$5:$V$197,18,FALSE)</f>
        <v>0</v>
      </c>
      <c r="L81" s="91">
        <f t="shared" si="19"/>
        <v>0</v>
      </c>
      <c r="M81" s="14">
        <f t="shared" si="43"/>
        <v>0</v>
      </c>
      <c r="N81" s="46">
        <f t="shared" si="44"/>
        <v>0</v>
      </c>
      <c r="O81" s="46">
        <f t="shared" si="45"/>
        <v>0</v>
      </c>
      <c r="P81" s="22">
        <f t="shared" si="46"/>
        <v>0</v>
      </c>
      <c r="Q81" s="55">
        <f t="shared" si="47"/>
        <v>0</v>
      </c>
      <c r="R81" s="55">
        <f t="shared" si="48"/>
        <v>0</v>
      </c>
      <c r="S81" s="32">
        <f t="shared" si="49"/>
        <v>0</v>
      </c>
      <c r="T81" s="55">
        <f t="shared" si="50"/>
        <v>0</v>
      </c>
      <c r="U81" s="55">
        <v>0</v>
      </c>
      <c r="V81" s="37">
        <f t="shared" si="51"/>
        <v>0</v>
      </c>
    </row>
    <row r="82" spans="1:22">
      <c r="A82" s="47">
        <v>0</v>
      </c>
      <c r="B82" s="47">
        <v>8000</v>
      </c>
      <c r="C82" s="47">
        <v>45000</v>
      </c>
      <c r="D82" s="13">
        <v>43922</v>
      </c>
      <c r="E82" s="16">
        <f t="shared" si="39"/>
        <v>0</v>
      </c>
      <c r="F82" s="16">
        <f t="shared" si="40"/>
        <v>0</v>
      </c>
      <c r="G82" s="14">
        <f t="shared" si="41"/>
        <v>0</v>
      </c>
      <c r="H82" s="46">
        <v>0</v>
      </c>
      <c r="I82" s="74">
        <f t="shared" si="42"/>
        <v>0</v>
      </c>
      <c r="J82" s="22">
        <f>VLOOKUP(D82,Data!$A$5:$V$197,8,FALSE)*5.83</f>
        <v>96.087609582721697</v>
      </c>
      <c r="K82" s="91">
        <f>VLOOKUP(D82,Data!$A$5:$V$197,18,FALSE)</f>
        <v>0</v>
      </c>
      <c r="L82" s="91">
        <f t="shared" si="19"/>
        <v>0</v>
      </c>
      <c r="M82" s="14">
        <f t="shared" si="43"/>
        <v>0</v>
      </c>
      <c r="N82" s="46">
        <f t="shared" si="44"/>
        <v>0</v>
      </c>
      <c r="O82" s="46">
        <f t="shared" si="45"/>
        <v>0</v>
      </c>
      <c r="P82" s="22">
        <f t="shared" si="46"/>
        <v>0</v>
      </c>
      <c r="Q82" s="55">
        <f t="shared" si="47"/>
        <v>0</v>
      </c>
      <c r="R82" s="55">
        <f t="shared" si="48"/>
        <v>0</v>
      </c>
      <c r="S82" s="32">
        <f t="shared" si="49"/>
        <v>0</v>
      </c>
      <c r="T82" s="55">
        <f t="shared" si="50"/>
        <v>0</v>
      </c>
      <c r="U82" s="55">
        <v>0</v>
      </c>
      <c r="V82" s="37">
        <f t="shared" si="51"/>
        <v>0</v>
      </c>
    </row>
    <row r="83" spans="1:22">
      <c r="A83" s="47">
        <v>0</v>
      </c>
      <c r="B83" s="47">
        <v>8000</v>
      </c>
      <c r="C83" s="47">
        <v>45000</v>
      </c>
      <c r="D83" s="13">
        <v>43952</v>
      </c>
      <c r="E83" s="16">
        <f t="shared" si="39"/>
        <v>0</v>
      </c>
      <c r="F83" s="16">
        <f t="shared" si="40"/>
        <v>0</v>
      </c>
      <c r="G83" s="14">
        <f t="shared" si="41"/>
        <v>0</v>
      </c>
      <c r="H83" s="46">
        <v>0</v>
      </c>
      <c r="I83" s="74">
        <f t="shared" si="42"/>
        <v>0</v>
      </c>
      <c r="J83" s="22">
        <f>VLOOKUP(D83,Data!$A$5:$V$197,8,FALSE)*5.83</f>
        <v>95.122308343650815</v>
      </c>
      <c r="K83" s="91">
        <f>VLOOKUP(D83,Data!$A$5:$V$197,18,FALSE)</f>
        <v>0</v>
      </c>
      <c r="L83" s="91">
        <f t="shared" si="19"/>
        <v>0</v>
      </c>
      <c r="M83" s="14">
        <f t="shared" si="43"/>
        <v>0</v>
      </c>
      <c r="N83" s="46">
        <f t="shared" si="44"/>
        <v>0</v>
      </c>
      <c r="O83" s="46">
        <f t="shared" si="45"/>
        <v>0</v>
      </c>
      <c r="P83" s="22">
        <f t="shared" si="46"/>
        <v>0</v>
      </c>
      <c r="Q83" s="55">
        <f t="shared" si="47"/>
        <v>0</v>
      </c>
      <c r="R83" s="55">
        <f t="shared" si="48"/>
        <v>0</v>
      </c>
      <c r="S83" s="32">
        <f t="shared" si="49"/>
        <v>0</v>
      </c>
      <c r="T83" s="55">
        <f t="shared" si="50"/>
        <v>0</v>
      </c>
      <c r="U83" s="55">
        <v>0</v>
      </c>
      <c r="V83" s="37">
        <f t="shared" si="51"/>
        <v>0</v>
      </c>
    </row>
    <row r="84" spans="1:22">
      <c r="A84" s="47">
        <v>0</v>
      </c>
      <c r="B84" s="47">
        <v>8000</v>
      </c>
      <c r="C84" s="47">
        <v>45000</v>
      </c>
      <c r="D84" s="13">
        <v>43983</v>
      </c>
      <c r="E84" s="16">
        <f t="shared" si="39"/>
        <v>0</v>
      </c>
      <c r="F84" s="16">
        <f t="shared" si="40"/>
        <v>0</v>
      </c>
      <c r="G84" s="14">
        <f t="shared" si="41"/>
        <v>0</v>
      </c>
      <c r="H84" s="46">
        <v>0</v>
      </c>
      <c r="I84" s="74">
        <f t="shared" si="42"/>
        <v>0</v>
      </c>
      <c r="J84" s="22">
        <f>VLOOKUP(D84,Data!$A$5:$V$197,8,FALSE)*5.83</f>
        <v>95.908469097398736</v>
      </c>
      <c r="K84" s="91">
        <f>VLOOKUP(D84,Data!$A$5:$V$197,18,FALSE)</f>
        <v>0</v>
      </c>
      <c r="L84" s="91">
        <f t="shared" si="19"/>
        <v>0</v>
      </c>
      <c r="M84" s="14">
        <f t="shared" si="43"/>
        <v>0</v>
      </c>
      <c r="N84" s="46">
        <f t="shared" si="44"/>
        <v>0</v>
      </c>
      <c r="O84" s="46">
        <f t="shared" si="45"/>
        <v>0</v>
      </c>
      <c r="P84" s="22">
        <f t="shared" si="46"/>
        <v>0</v>
      </c>
      <c r="Q84" s="55">
        <f t="shared" si="47"/>
        <v>0</v>
      </c>
      <c r="R84" s="55">
        <f t="shared" si="48"/>
        <v>0</v>
      </c>
      <c r="S84" s="32">
        <f t="shared" si="49"/>
        <v>0</v>
      </c>
      <c r="T84" s="55">
        <f t="shared" si="50"/>
        <v>0</v>
      </c>
      <c r="U84" s="55">
        <v>0</v>
      </c>
      <c r="V84" s="37">
        <f t="shared" si="51"/>
        <v>0</v>
      </c>
    </row>
    <row r="85" spans="1:22">
      <c r="A85" s="47">
        <v>0</v>
      </c>
      <c r="B85" s="47">
        <v>8000</v>
      </c>
      <c r="C85" s="47">
        <v>45000</v>
      </c>
      <c r="D85" s="13">
        <v>44013</v>
      </c>
      <c r="E85" s="16">
        <f t="shared" si="39"/>
        <v>0</v>
      </c>
      <c r="F85" s="16">
        <f t="shared" si="40"/>
        <v>0</v>
      </c>
      <c r="G85" s="14">
        <f t="shared" si="41"/>
        <v>0</v>
      </c>
      <c r="H85" s="46">
        <v>0</v>
      </c>
      <c r="I85" s="74">
        <f t="shared" si="42"/>
        <v>0</v>
      </c>
      <c r="J85" s="22">
        <f>VLOOKUP(D85,Data!$A$5:$V$197,8,FALSE)*5.83</f>
        <v>97.326996691085213</v>
      </c>
      <c r="K85" s="91">
        <f>VLOOKUP(D85,Data!$A$5:$V$197,18,FALSE)</f>
        <v>0</v>
      </c>
      <c r="L85" s="91">
        <f t="shared" si="19"/>
        <v>0</v>
      </c>
      <c r="M85" s="14">
        <f t="shared" si="43"/>
        <v>0</v>
      </c>
      <c r="N85" s="46">
        <f t="shared" si="44"/>
        <v>0</v>
      </c>
      <c r="O85" s="46">
        <f t="shared" si="45"/>
        <v>0</v>
      </c>
      <c r="P85" s="22">
        <f t="shared" si="46"/>
        <v>0</v>
      </c>
      <c r="Q85" s="55">
        <f t="shared" si="47"/>
        <v>0</v>
      </c>
      <c r="R85" s="55">
        <f t="shared" si="48"/>
        <v>0</v>
      </c>
      <c r="S85" s="32">
        <f t="shared" si="49"/>
        <v>0</v>
      </c>
      <c r="T85" s="55">
        <f t="shared" si="50"/>
        <v>0</v>
      </c>
      <c r="U85" s="55">
        <v>0</v>
      </c>
      <c r="V85" s="37">
        <f t="shared" si="51"/>
        <v>0</v>
      </c>
    </row>
    <row r="86" spans="1:22">
      <c r="A86" s="47">
        <v>0</v>
      </c>
      <c r="B86" s="47">
        <v>8000</v>
      </c>
      <c r="C86" s="47">
        <v>45000</v>
      </c>
      <c r="D86" s="13">
        <v>44044</v>
      </c>
      <c r="E86" s="16">
        <f t="shared" si="39"/>
        <v>0</v>
      </c>
      <c r="F86" s="16">
        <f t="shared" si="40"/>
        <v>0</v>
      </c>
      <c r="G86" s="14">
        <f t="shared" si="41"/>
        <v>0</v>
      </c>
      <c r="H86" s="46">
        <v>0</v>
      </c>
      <c r="I86" s="74">
        <f t="shared" si="42"/>
        <v>0</v>
      </c>
      <c r="J86" s="22">
        <f>VLOOKUP(D86,Data!$A$5:$V$197,8,FALSE)*5.83</f>
        <v>96.390192968432771</v>
      </c>
      <c r="K86" s="91">
        <f>VLOOKUP(D86,Data!$A$5:$V$197,18,FALSE)</f>
        <v>0</v>
      </c>
      <c r="L86" s="91">
        <f t="shared" si="19"/>
        <v>0</v>
      </c>
      <c r="M86" s="14">
        <f t="shared" si="43"/>
        <v>0</v>
      </c>
      <c r="N86" s="46">
        <f t="shared" si="44"/>
        <v>0</v>
      </c>
      <c r="O86" s="46">
        <f t="shared" si="45"/>
        <v>0</v>
      </c>
      <c r="P86" s="22">
        <f t="shared" si="46"/>
        <v>0</v>
      </c>
      <c r="Q86" s="55">
        <f t="shared" si="47"/>
        <v>0</v>
      </c>
      <c r="R86" s="55">
        <f t="shared" si="48"/>
        <v>0</v>
      </c>
      <c r="S86" s="32">
        <f t="shared" si="49"/>
        <v>0</v>
      </c>
      <c r="T86" s="55">
        <f t="shared" si="50"/>
        <v>0</v>
      </c>
      <c r="U86" s="55">
        <v>0</v>
      </c>
      <c r="V86" s="37">
        <f t="shared" si="51"/>
        <v>0</v>
      </c>
    </row>
    <row r="87" spans="1:22">
      <c r="A87" s="47">
        <v>0</v>
      </c>
      <c r="B87" s="47">
        <v>8000</v>
      </c>
      <c r="C87" s="47">
        <v>45000</v>
      </c>
      <c r="D87" s="13">
        <v>44075</v>
      </c>
      <c r="E87" s="16">
        <f t="shared" si="39"/>
        <v>0</v>
      </c>
      <c r="F87" s="16">
        <f t="shared" si="40"/>
        <v>0</v>
      </c>
      <c r="G87" s="14">
        <f t="shared" si="41"/>
        <v>0</v>
      </c>
      <c r="H87" s="46">
        <v>0</v>
      </c>
      <c r="I87" s="74">
        <f t="shared" si="42"/>
        <v>0</v>
      </c>
      <c r="J87" s="22">
        <f>VLOOKUP(D87,Data!$A$5:$V$197,8,FALSE)*5.83</f>
        <v>95.947577884158335</v>
      </c>
      <c r="K87" s="91">
        <f>VLOOKUP(D87,Data!$A$5:$V$197,18,FALSE)</f>
        <v>0</v>
      </c>
      <c r="L87" s="91">
        <f t="shared" si="19"/>
        <v>0</v>
      </c>
      <c r="M87" s="14">
        <f t="shared" si="43"/>
        <v>0</v>
      </c>
      <c r="N87" s="46">
        <f t="shared" si="44"/>
        <v>0</v>
      </c>
      <c r="O87" s="46">
        <f t="shared" si="45"/>
        <v>0</v>
      </c>
      <c r="P87" s="22">
        <f t="shared" si="46"/>
        <v>0</v>
      </c>
      <c r="Q87" s="55">
        <f t="shared" si="47"/>
        <v>0</v>
      </c>
      <c r="R87" s="55">
        <f t="shared" si="48"/>
        <v>0</v>
      </c>
      <c r="S87" s="32">
        <f t="shared" si="49"/>
        <v>0</v>
      </c>
      <c r="T87" s="55">
        <f t="shared" si="50"/>
        <v>0</v>
      </c>
      <c r="U87" s="55">
        <v>0</v>
      </c>
      <c r="V87" s="37">
        <f t="shared" si="51"/>
        <v>0</v>
      </c>
    </row>
    <row r="88" spans="1:22">
      <c r="A88" s="47">
        <v>0</v>
      </c>
      <c r="B88" s="47">
        <v>8000</v>
      </c>
      <c r="C88" s="47">
        <v>45000</v>
      </c>
      <c r="D88" s="13">
        <v>44105</v>
      </c>
      <c r="E88" s="16">
        <f t="shared" si="39"/>
        <v>0</v>
      </c>
      <c r="F88" s="16">
        <f t="shared" si="40"/>
        <v>0</v>
      </c>
      <c r="G88" s="14">
        <f t="shared" si="41"/>
        <v>0</v>
      </c>
      <c r="H88" s="46">
        <v>0</v>
      </c>
      <c r="I88" s="74">
        <f t="shared" si="42"/>
        <v>0</v>
      </c>
      <c r="J88" s="22">
        <f>VLOOKUP(D88,Data!$A$5:$V$197,8,FALSE)*5.83</f>
        <v>94.762451900552492</v>
      </c>
      <c r="K88" s="91">
        <f>VLOOKUP(D88,Data!$A$5:$V$197,18,FALSE)</f>
        <v>0</v>
      </c>
      <c r="L88" s="91">
        <f t="shared" si="19"/>
        <v>0</v>
      </c>
      <c r="M88" s="14">
        <f t="shared" si="43"/>
        <v>0</v>
      </c>
      <c r="N88" s="46">
        <f t="shared" si="44"/>
        <v>0</v>
      </c>
      <c r="O88" s="46">
        <f t="shared" si="45"/>
        <v>0</v>
      </c>
      <c r="P88" s="22">
        <f t="shared" si="46"/>
        <v>0</v>
      </c>
      <c r="Q88" s="55">
        <f t="shared" si="47"/>
        <v>0</v>
      </c>
      <c r="R88" s="55">
        <f t="shared" si="48"/>
        <v>0</v>
      </c>
      <c r="S88" s="32">
        <f t="shared" si="49"/>
        <v>0</v>
      </c>
      <c r="T88" s="55">
        <f t="shared" si="50"/>
        <v>0</v>
      </c>
      <c r="U88" s="55">
        <v>0</v>
      </c>
      <c r="V88" s="37">
        <f t="shared" si="51"/>
        <v>0</v>
      </c>
    </row>
    <row r="89" spans="1:22">
      <c r="A89" s="47">
        <v>0</v>
      </c>
      <c r="B89" s="47">
        <v>8000</v>
      </c>
      <c r="C89" s="47">
        <v>45000</v>
      </c>
      <c r="D89" s="13">
        <v>44136</v>
      </c>
      <c r="E89" s="16">
        <f t="shared" si="39"/>
        <v>0</v>
      </c>
      <c r="F89" s="16">
        <f t="shared" si="40"/>
        <v>0</v>
      </c>
      <c r="G89" s="14">
        <f t="shared" si="41"/>
        <v>0</v>
      </c>
      <c r="H89" s="46">
        <v>0</v>
      </c>
      <c r="I89" s="74">
        <f t="shared" si="42"/>
        <v>0</v>
      </c>
      <c r="J89" s="22">
        <f>VLOOKUP(D89,Data!$A$5:$V$197,8,FALSE)*5.83</f>
        <v>94.355006921906664</v>
      </c>
      <c r="K89" s="91">
        <f>VLOOKUP(D89,Data!$A$5:$V$197,18,FALSE)</f>
        <v>0</v>
      </c>
      <c r="L89" s="91">
        <f t="shared" si="19"/>
        <v>0</v>
      </c>
      <c r="M89" s="14">
        <f t="shared" si="43"/>
        <v>0</v>
      </c>
      <c r="N89" s="46">
        <f t="shared" si="44"/>
        <v>0</v>
      </c>
      <c r="O89" s="46">
        <f t="shared" si="45"/>
        <v>0</v>
      </c>
      <c r="P89" s="22">
        <f t="shared" si="46"/>
        <v>0</v>
      </c>
      <c r="Q89" s="55">
        <f t="shared" si="47"/>
        <v>0</v>
      </c>
      <c r="R89" s="55">
        <f t="shared" si="48"/>
        <v>0</v>
      </c>
      <c r="S89" s="32">
        <f t="shared" si="49"/>
        <v>0</v>
      </c>
      <c r="T89" s="55">
        <f t="shared" si="50"/>
        <v>0</v>
      </c>
      <c r="U89" s="55">
        <v>0</v>
      </c>
      <c r="V89" s="37">
        <f t="shared" si="51"/>
        <v>0</v>
      </c>
    </row>
    <row r="90" spans="1:22">
      <c r="A90" s="47">
        <v>0</v>
      </c>
      <c r="B90" s="47">
        <v>8000</v>
      </c>
      <c r="C90" s="47">
        <v>45000</v>
      </c>
      <c r="D90" s="13">
        <v>44166</v>
      </c>
      <c r="E90" s="16">
        <f t="shared" si="39"/>
        <v>0</v>
      </c>
      <c r="F90" s="16">
        <f t="shared" si="40"/>
        <v>0</v>
      </c>
      <c r="G90" s="14">
        <f t="shared" si="41"/>
        <v>0</v>
      </c>
      <c r="H90" s="46">
        <v>0</v>
      </c>
      <c r="I90" s="74">
        <f t="shared" si="42"/>
        <v>0</v>
      </c>
      <c r="J90" s="22">
        <f>VLOOKUP(D90,Data!$A$5:$V$197,8,FALSE)*5.83</f>
        <v>91.355353709960923</v>
      </c>
      <c r="K90" s="91">
        <f>VLOOKUP(D90,Data!$A$5:$V$197,18,FALSE)</f>
        <v>0</v>
      </c>
      <c r="L90" s="91">
        <f t="shared" ref="L90" si="52">IF(E90+I90&gt;0,((F90+I90)/(E90+H90)*K90),0)</f>
        <v>0</v>
      </c>
      <c r="M90" s="14">
        <f t="shared" si="43"/>
        <v>0</v>
      </c>
      <c r="N90" s="46">
        <f t="shared" si="44"/>
        <v>0</v>
      </c>
      <c r="O90" s="46">
        <f t="shared" si="45"/>
        <v>0</v>
      </c>
      <c r="P90" s="22">
        <f t="shared" si="46"/>
        <v>0</v>
      </c>
      <c r="Q90" s="55">
        <f t="shared" si="47"/>
        <v>0</v>
      </c>
      <c r="R90" s="55">
        <f t="shared" si="48"/>
        <v>0</v>
      </c>
      <c r="S90" s="32">
        <f t="shared" si="49"/>
        <v>0</v>
      </c>
      <c r="T90" s="55">
        <f t="shared" si="50"/>
        <v>0</v>
      </c>
      <c r="U90" s="55">
        <v>0</v>
      </c>
      <c r="V90" s="37">
        <f t="shared" si="51"/>
        <v>0</v>
      </c>
    </row>
  </sheetData>
  <mergeCells count="8">
    <mergeCell ref="T5:V5"/>
    <mergeCell ref="Q7:S18"/>
    <mergeCell ref="T7:V18"/>
    <mergeCell ref="E5:G5"/>
    <mergeCell ref="H5:J5"/>
    <mergeCell ref="K5:M5"/>
    <mergeCell ref="N5:P5"/>
    <mergeCell ref="Q5:S5"/>
  </mergeCells>
  <conditionalFormatting sqref="H31:H90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5" tint="0.59999389629810485"/>
  </sheetPr>
  <dimension ref="A1:Y90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5.6640625" style="1" bestFit="1" customWidth="1"/>
    <col min="3" max="3" width="6.5546875" style="1" bestFit="1" customWidth="1"/>
    <col min="4" max="4" width="6.109375" style="1" bestFit="1" customWidth="1"/>
    <col min="5" max="5" width="6.5546875" style="1" bestFit="1" customWidth="1"/>
    <col min="6" max="6" width="8.6640625" style="1" bestFit="1" customWidth="1"/>
    <col min="7" max="7" width="5.6640625" style="1" bestFit="1" customWidth="1"/>
    <col min="8" max="8" width="6.33203125" style="1" bestFit="1" customWidth="1"/>
    <col min="9" max="9" width="8.44140625" style="1" bestFit="1" customWidth="1"/>
    <col min="10" max="10" width="8.109375" style="1" bestFit="1" customWidth="1"/>
    <col min="11" max="11" width="6.33203125" style="1" bestFit="1" customWidth="1"/>
    <col min="12" max="12" width="8.44140625" style="1" bestFit="1" customWidth="1"/>
    <col min="13" max="13" width="5.6640625" style="1" bestFit="1" customWidth="1"/>
    <col min="14" max="14" width="7.109375" style="1" bestFit="1" customWidth="1"/>
    <col min="15" max="15" width="13.33203125" style="1" bestFit="1" customWidth="1"/>
    <col min="16" max="16" width="6.33203125" style="1" bestFit="1" customWidth="1"/>
    <col min="17" max="17" width="7.109375" style="1" bestFit="1" customWidth="1"/>
    <col min="18" max="18" width="9.33203125" style="1" bestFit="1" customWidth="1"/>
    <col min="19" max="19" width="6.33203125" style="1" bestFit="1" customWidth="1"/>
    <col min="20" max="20" width="12.6640625" style="1" bestFit="1" customWidth="1"/>
    <col min="21" max="21" width="10.33203125" style="1" bestFit="1" customWidth="1"/>
    <col min="22" max="22" width="9.88671875" style="1" bestFit="1" customWidth="1"/>
    <col min="23" max="24" width="9.109375" style="1"/>
    <col min="25" max="25" width="10.6640625" style="1" bestFit="1" customWidth="1"/>
    <col min="26" max="16384" width="9.109375" style="1"/>
  </cols>
  <sheetData>
    <row r="1" spans="1:25" s="120" customFormat="1">
      <c r="A1" s="120" t="s">
        <v>70</v>
      </c>
    </row>
    <row r="2" spans="1:25" s="120" customFormat="1">
      <c r="A2" s="120" t="s">
        <v>59</v>
      </c>
    </row>
    <row r="3" spans="1:25" s="44" customFormat="1"/>
    <row r="5" spans="1:25">
      <c r="B5" s="17"/>
      <c r="C5" s="18"/>
      <c r="D5" s="19"/>
      <c r="E5" s="106" t="s">
        <v>0</v>
      </c>
      <c r="F5" s="106"/>
      <c r="G5" s="106"/>
      <c r="H5" s="106" t="s">
        <v>1</v>
      </c>
      <c r="I5" s="106"/>
      <c r="J5" s="106"/>
      <c r="K5" s="106" t="s">
        <v>40</v>
      </c>
      <c r="L5" s="106"/>
      <c r="M5" s="106"/>
      <c r="N5" s="106" t="s">
        <v>2</v>
      </c>
      <c r="O5" s="106"/>
      <c r="P5" s="106"/>
      <c r="Q5" s="106" t="s">
        <v>29</v>
      </c>
      <c r="R5" s="106"/>
      <c r="S5" s="106"/>
      <c r="T5" s="106" t="s">
        <v>39</v>
      </c>
      <c r="U5" s="106"/>
      <c r="V5" s="106"/>
    </row>
    <row r="6" spans="1:25">
      <c r="A6" s="20" t="s">
        <v>49</v>
      </c>
      <c r="B6" s="20" t="s">
        <v>20</v>
      </c>
      <c r="C6" s="12" t="s">
        <v>12</v>
      </c>
      <c r="D6" s="9" t="s">
        <v>26</v>
      </c>
      <c r="E6" s="33" t="s">
        <v>3</v>
      </c>
      <c r="F6" s="33" t="s">
        <v>27</v>
      </c>
      <c r="G6" s="33" t="s">
        <v>28</v>
      </c>
      <c r="H6" s="33" t="s">
        <v>3</v>
      </c>
      <c r="I6" s="33" t="s">
        <v>27</v>
      </c>
      <c r="J6" s="33" t="s">
        <v>28</v>
      </c>
      <c r="K6" s="33" t="s">
        <v>3</v>
      </c>
      <c r="L6" s="33" t="s">
        <v>27</v>
      </c>
      <c r="M6" s="33" t="s">
        <v>28</v>
      </c>
      <c r="N6" s="33" t="s">
        <v>3</v>
      </c>
      <c r="O6" s="33" t="s">
        <v>27</v>
      </c>
      <c r="P6" s="33" t="s">
        <v>28</v>
      </c>
      <c r="Q6" s="70" t="s">
        <v>3</v>
      </c>
      <c r="R6" s="70" t="s">
        <v>27</v>
      </c>
      <c r="S6" s="70" t="s">
        <v>28</v>
      </c>
      <c r="T6" s="72" t="s">
        <v>37</v>
      </c>
      <c r="U6" s="69" t="s">
        <v>38</v>
      </c>
      <c r="V6" s="69" t="s">
        <v>50</v>
      </c>
    </row>
    <row r="7" spans="1:25">
      <c r="A7" s="47">
        <v>5594</v>
      </c>
      <c r="B7" s="21">
        <v>20000</v>
      </c>
      <c r="C7" s="21">
        <v>279000</v>
      </c>
      <c r="D7" s="49">
        <v>41640</v>
      </c>
      <c r="E7" s="50">
        <v>261357</v>
      </c>
      <c r="F7" s="50">
        <v>27670084.439999998</v>
      </c>
      <c r="G7" s="53">
        <f>F7/E7</f>
        <v>105.8708373603921</v>
      </c>
      <c r="H7" s="51">
        <v>0</v>
      </c>
      <c r="I7" s="54">
        <v>0</v>
      </c>
      <c r="J7" s="52">
        <f t="shared" ref="J7:J12" si="0">IF(H7=0,0,I7/H7)</f>
        <v>0</v>
      </c>
      <c r="K7" s="54">
        <v>-140</v>
      </c>
      <c r="L7" s="54">
        <v>-17990.37</v>
      </c>
      <c r="M7" s="53">
        <f t="shared" ref="M7:M47" si="1">IF(K7=0,0,L7/K7)</f>
        <v>128.50264285714286</v>
      </c>
      <c r="N7" s="51">
        <f t="shared" ref="N7:O54" si="2">+E7+H7-K7</f>
        <v>261497</v>
      </c>
      <c r="O7" s="51">
        <f t="shared" si="2"/>
        <v>27688074.809999999</v>
      </c>
      <c r="P7" s="52">
        <f t="shared" ref="P7:P54" si="3">IF(N7=0,0,O7/N7)</f>
        <v>105.88295395358264</v>
      </c>
      <c r="Q7" s="107"/>
      <c r="R7" s="107"/>
      <c r="S7" s="107"/>
      <c r="T7" s="107"/>
      <c r="U7" s="107"/>
      <c r="V7" s="107"/>
      <c r="X7" s="8" t="s">
        <v>54</v>
      </c>
      <c r="Y7" s="8" t="s">
        <v>55</v>
      </c>
    </row>
    <row r="8" spans="1:25">
      <c r="A8" s="21">
        <v>5594</v>
      </c>
      <c r="B8" s="21">
        <v>20000</v>
      </c>
      <c r="C8" s="21">
        <v>279000</v>
      </c>
      <c r="D8" s="49">
        <v>41671</v>
      </c>
      <c r="E8" s="50">
        <f t="shared" ref="E8:G48" si="4">N7</f>
        <v>261497</v>
      </c>
      <c r="F8" s="50">
        <f t="shared" si="4"/>
        <v>27688074.809999999</v>
      </c>
      <c r="G8" s="53">
        <f t="shared" si="4"/>
        <v>105.88295395358264</v>
      </c>
      <c r="H8" s="51">
        <v>0</v>
      </c>
      <c r="I8" s="54">
        <v>0</v>
      </c>
      <c r="J8" s="52">
        <f t="shared" si="0"/>
        <v>0</v>
      </c>
      <c r="K8" s="54">
        <v>43</v>
      </c>
      <c r="L8" s="54">
        <v>4521.12</v>
      </c>
      <c r="M8" s="53">
        <f t="shared" si="1"/>
        <v>105.14232558139534</v>
      </c>
      <c r="N8" s="51">
        <f t="shared" si="2"/>
        <v>261454</v>
      </c>
      <c r="O8" s="51">
        <f t="shared" si="2"/>
        <v>27683553.689999998</v>
      </c>
      <c r="P8" s="52">
        <f t="shared" si="3"/>
        <v>105.8830757609369</v>
      </c>
      <c r="Q8" s="107"/>
      <c r="R8" s="107"/>
      <c r="S8" s="107"/>
      <c r="T8" s="107"/>
      <c r="U8" s="107"/>
      <c r="V8" s="107"/>
      <c r="W8" s="8" t="s">
        <v>51</v>
      </c>
      <c r="X8" s="79">
        <v>73519.08</v>
      </c>
      <c r="Y8" s="79">
        <v>3350</v>
      </c>
    </row>
    <row r="9" spans="1:25">
      <c r="A9" s="21">
        <v>5594</v>
      </c>
      <c r="B9" s="21">
        <v>20000</v>
      </c>
      <c r="C9" s="21">
        <v>279000</v>
      </c>
      <c r="D9" s="49">
        <v>41699</v>
      </c>
      <c r="E9" s="50">
        <f t="shared" si="4"/>
        <v>261454</v>
      </c>
      <c r="F9" s="50">
        <f t="shared" si="4"/>
        <v>27683553.689999998</v>
      </c>
      <c r="G9" s="53">
        <f t="shared" si="4"/>
        <v>105.8830757609369</v>
      </c>
      <c r="H9" s="51">
        <v>0</v>
      </c>
      <c r="I9" s="54">
        <v>0</v>
      </c>
      <c r="J9" s="52">
        <f t="shared" si="0"/>
        <v>0</v>
      </c>
      <c r="K9" s="54">
        <v>390</v>
      </c>
      <c r="L9" s="54">
        <v>43580.67</v>
      </c>
      <c r="M9" s="53">
        <f t="shared" si="1"/>
        <v>111.74530769230769</v>
      </c>
      <c r="N9" s="51">
        <f t="shared" si="2"/>
        <v>261064</v>
      </c>
      <c r="O9" s="51">
        <f t="shared" si="2"/>
        <v>27639973.019999996</v>
      </c>
      <c r="P9" s="52">
        <f t="shared" si="3"/>
        <v>105.87431825146322</v>
      </c>
      <c r="Q9" s="107"/>
      <c r="R9" s="107"/>
      <c r="S9" s="107"/>
      <c r="T9" s="107"/>
      <c r="U9" s="107"/>
      <c r="V9" s="107"/>
      <c r="W9" s="8" t="s">
        <v>52</v>
      </c>
      <c r="X9" s="79">
        <v>140957.51</v>
      </c>
      <c r="Y9" s="79">
        <v>244</v>
      </c>
    </row>
    <row r="10" spans="1:25">
      <c r="A10" s="21">
        <v>5594</v>
      </c>
      <c r="B10" s="21">
        <v>20000</v>
      </c>
      <c r="C10" s="21">
        <v>279000</v>
      </c>
      <c r="D10" s="49">
        <v>41730</v>
      </c>
      <c r="E10" s="50">
        <f t="shared" si="4"/>
        <v>261064</v>
      </c>
      <c r="F10" s="50">
        <f t="shared" si="4"/>
        <v>27639973.019999996</v>
      </c>
      <c r="G10" s="53">
        <f t="shared" si="4"/>
        <v>105.87431825146322</v>
      </c>
      <c r="H10" s="51">
        <v>0</v>
      </c>
      <c r="I10" s="54">
        <v>0</v>
      </c>
      <c r="J10" s="52">
        <f t="shared" si="0"/>
        <v>0</v>
      </c>
      <c r="K10" s="54">
        <v>436</v>
      </c>
      <c r="L10" s="54">
        <v>44730.19</v>
      </c>
      <c r="M10" s="53">
        <f t="shared" si="1"/>
        <v>102.59217889908257</v>
      </c>
      <c r="N10" s="51">
        <f t="shared" si="2"/>
        <v>260628</v>
      </c>
      <c r="O10" s="51">
        <f t="shared" si="2"/>
        <v>27595242.829999994</v>
      </c>
      <c r="P10" s="52">
        <f t="shared" si="3"/>
        <v>105.87980888469387</v>
      </c>
      <c r="Q10" s="107"/>
      <c r="R10" s="107"/>
      <c r="S10" s="107"/>
      <c r="T10" s="107"/>
      <c r="U10" s="107"/>
      <c r="V10" s="107"/>
      <c r="W10" s="8" t="s">
        <v>53</v>
      </c>
      <c r="X10" s="79">
        <v>72415.27</v>
      </c>
      <c r="Y10" s="79">
        <v>2000</v>
      </c>
    </row>
    <row r="11" spans="1:25">
      <c r="A11" s="21">
        <v>5594</v>
      </c>
      <c r="B11" s="21">
        <v>20000</v>
      </c>
      <c r="C11" s="21">
        <v>279000</v>
      </c>
      <c r="D11" s="49">
        <v>41760</v>
      </c>
      <c r="E11" s="50">
        <f t="shared" si="4"/>
        <v>260628</v>
      </c>
      <c r="F11" s="50">
        <f t="shared" si="4"/>
        <v>27595242.829999994</v>
      </c>
      <c r="G11" s="53">
        <f t="shared" si="4"/>
        <v>105.87980888469387</v>
      </c>
      <c r="H11" s="51">
        <v>0</v>
      </c>
      <c r="I11" s="54">
        <v>0</v>
      </c>
      <c r="J11" s="52">
        <f t="shared" si="0"/>
        <v>0</v>
      </c>
      <c r="K11" s="54">
        <v>336</v>
      </c>
      <c r="L11" s="54">
        <v>38215.269999999997</v>
      </c>
      <c r="M11" s="53">
        <f t="shared" si="1"/>
        <v>113.73592261904761</v>
      </c>
      <c r="N11" s="51">
        <f t="shared" si="2"/>
        <v>260292</v>
      </c>
      <c r="O11" s="51">
        <f t="shared" si="2"/>
        <v>27557027.559999995</v>
      </c>
      <c r="P11" s="52">
        <f t="shared" si="3"/>
        <v>105.86966775774897</v>
      </c>
      <c r="Q11" s="107"/>
      <c r="R11" s="107"/>
      <c r="S11" s="107"/>
      <c r="T11" s="107"/>
      <c r="U11" s="107"/>
      <c r="V11" s="107"/>
      <c r="X11" s="79">
        <f>SUM(X8:X10)</f>
        <v>286891.86000000004</v>
      </c>
      <c r="Y11" s="79">
        <f>SUM(Y8:Y10)</f>
        <v>5594</v>
      </c>
    </row>
    <row r="12" spans="1:25">
      <c r="A12" s="21">
        <v>5594</v>
      </c>
      <c r="B12" s="21">
        <v>20000</v>
      </c>
      <c r="C12" s="21">
        <v>279000</v>
      </c>
      <c r="D12" s="49">
        <v>41791</v>
      </c>
      <c r="E12" s="50">
        <f t="shared" si="4"/>
        <v>260292</v>
      </c>
      <c r="F12" s="50">
        <f t="shared" si="4"/>
        <v>27557027.559999995</v>
      </c>
      <c r="G12" s="53">
        <f t="shared" si="4"/>
        <v>105.86966775774897</v>
      </c>
      <c r="H12" s="51">
        <v>0</v>
      </c>
      <c r="I12" s="54">
        <v>0</v>
      </c>
      <c r="J12" s="52">
        <f t="shared" si="0"/>
        <v>0</v>
      </c>
      <c r="K12" s="54">
        <v>10696</v>
      </c>
      <c r="L12" s="54">
        <v>996749.45</v>
      </c>
      <c r="M12" s="53">
        <f t="shared" si="1"/>
        <v>93.188991211667911</v>
      </c>
      <c r="N12" s="51">
        <f t="shared" si="2"/>
        <v>249596</v>
      </c>
      <c r="O12" s="51">
        <f t="shared" si="2"/>
        <v>26560278.109999996</v>
      </c>
      <c r="P12" s="52">
        <f t="shared" si="3"/>
        <v>106.41307597076874</v>
      </c>
      <c r="Q12" s="107"/>
      <c r="R12" s="107"/>
      <c r="S12" s="107"/>
      <c r="T12" s="107"/>
      <c r="U12" s="107"/>
      <c r="V12" s="107"/>
    </row>
    <row r="13" spans="1:25">
      <c r="A13" s="21">
        <v>5594</v>
      </c>
      <c r="B13" s="21">
        <v>25000</v>
      </c>
      <c r="C13" s="21">
        <v>279000</v>
      </c>
      <c r="D13" s="49">
        <v>41821</v>
      </c>
      <c r="E13" s="50">
        <f t="shared" si="4"/>
        <v>249596</v>
      </c>
      <c r="F13" s="50">
        <f t="shared" si="4"/>
        <v>26560278.109999996</v>
      </c>
      <c r="G13" s="53">
        <f t="shared" si="4"/>
        <v>106.41307597076874</v>
      </c>
      <c r="H13" s="51">
        <v>0</v>
      </c>
      <c r="I13" s="54">
        <v>0</v>
      </c>
      <c r="J13" s="52">
        <f t="shared" ref="J13" si="5">IF(H13=0,0,I13/H13)</f>
        <v>0</v>
      </c>
      <c r="K13" s="54">
        <v>19475</v>
      </c>
      <c r="L13" s="54">
        <v>1763707.23</v>
      </c>
      <c r="M13" s="53">
        <f t="shared" si="1"/>
        <v>90.562630551989727</v>
      </c>
      <c r="N13" s="51">
        <f t="shared" si="2"/>
        <v>230121</v>
      </c>
      <c r="O13" s="51">
        <f t="shared" si="2"/>
        <v>24796570.879999995</v>
      </c>
      <c r="P13" s="52">
        <f t="shared" si="3"/>
        <v>107.75448950769376</v>
      </c>
      <c r="Q13" s="107"/>
      <c r="R13" s="107"/>
      <c r="S13" s="107"/>
      <c r="T13" s="107"/>
      <c r="U13" s="107"/>
      <c r="V13" s="107"/>
    </row>
    <row r="14" spans="1:25">
      <c r="A14" s="21">
        <v>5594</v>
      </c>
      <c r="B14" s="47">
        <v>25000</v>
      </c>
      <c r="C14" s="21">
        <v>279000</v>
      </c>
      <c r="D14" s="49">
        <v>41852</v>
      </c>
      <c r="E14" s="50">
        <f t="shared" si="4"/>
        <v>230121</v>
      </c>
      <c r="F14" s="50">
        <f t="shared" si="4"/>
        <v>24796570.879999995</v>
      </c>
      <c r="G14" s="53">
        <f t="shared" si="4"/>
        <v>107.75448950769376</v>
      </c>
      <c r="H14" s="51">
        <v>-67</v>
      </c>
      <c r="I14" s="54">
        <v>0</v>
      </c>
      <c r="J14" s="52">
        <f t="shared" ref="J14:J17" si="6">IF(H14=0,0,I14/H14)</f>
        <v>0</v>
      </c>
      <c r="K14" s="54">
        <v>14065</v>
      </c>
      <c r="L14" s="54">
        <v>1363235.12</v>
      </c>
      <c r="M14" s="53">
        <f t="shared" si="1"/>
        <v>96.923933167436914</v>
      </c>
      <c r="N14" s="51">
        <f t="shared" si="2"/>
        <v>215989</v>
      </c>
      <c r="O14" s="51">
        <f t="shared" si="2"/>
        <v>23433335.759999994</v>
      </c>
      <c r="P14" s="52">
        <f t="shared" si="3"/>
        <v>108.49319067174714</v>
      </c>
      <c r="Q14" s="107"/>
      <c r="R14" s="107"/>
      <c r="S14" s="107"/>
      <c r="T14" s="107"/>
      <c r="U14" s="107"/>
      <c r="V14" s="107"/>
    </row>
    <row r="15" spans="1:25">
      <c r="A15" s="21">
        <v>5594</v>
      </c>
      <c r="B15" s="47">
        <v>25000</v>
      </c>
      <c r="C15" s="21">
        <v>279000</v>
      </c>
      <c r="D15" s="49">
        <v>41883</v>
      </c>
      <c r="E15" s="50">
        <f t="shared" si="4"/>
        <v>215989</v>
      </c>
      <c r="F15" s="50">
        <f t="shared" si="4"/>
        <v>23433335.759999994</v>
      </c>
      <c r="G15" s="53">
        <f t="shared" si="4"/>
        <v>108.49319067174714</v>
      </c>
      <c r="H15" s="51">
        <v>-7</v>
      </c>
      <c r="I15" s="54">
        <v>0</v>
      </c>
      <c r="J15" s="52">
        <f t="shared" si="6"/>
        <v>0</v>
      </c>
      <c r="K15" s="54">
        <v>219</v>
      </c>
      <c r="L15" s="54">
        <v>25523</v>
      </c>
      <c r="M15" s="53">
        <f t="shared" si="1"/>
        <v>116.54337899543378</v>
      </c>
      <c r="N15" s="51">
        <f t="shared" si="2"/>
        <v>215763</v>
      </c>
      <c r="O15" s="51">
        <f t="shared" si="2"/>
        <v>23407812.759999994</v>
      </c>
      <c r="P15" s="52">
        <f t="shared" si="3"/>
        <v>108.48853955497465</v>
      </c>
      <c r="Q15" s="107"/>
      <c r="R15" s="107"/>
      <c r="S15" s="107"/>
      <c r="T15" s="107"/>
      <c r="U15" s="107"/>
      <c r="V15" s="107"/>
    </row>
    <row r="16" spans="1:25">
      <c r="A16" s="21">
        <v>5594</v>
      </c>
      <c r="B16" s="47">
        <v>25000</v>
      </c>
      <c r="C16" s="21">
        <v>279000</v>
      </c>
      <c r="D16" s="49">
        <v>41913</v>
      </c>
      <c r="E16" s="50">
        <f t="shared" si="4"/>
        <v>215763</v>
      </c>
      <c r="F16" s="50">
        <f t="shared" si="4"/>
        <v>23407812.759999994</v>
      </c>
      <c r="G16" s="53">
        <f t="shared" si="4"/>
        <v>108.48853955497465</v>
      </c>
      <c r="H16" s="51">
        <v>29891</v>
      </c>
      <c r="I16" s="54">
        <v>3151857.95</v>
      </c>
      <c r="J16" s="52">
        <f t="shared" si="6"/>
        <v>105.44504867685926</v>
      </c>
      <c r="K16" s="54">
        <v>1776</v>
      </c>
      <c r="L16" s="54">
        <v>178527.54</v>
      </c>
      <c r="M16" s="53">
        <f t="shared" si="1"/>
        <v>100.52226351351352</v>
      </c>
      <c r="N16" s="51">
        <f t="shared" si="2"/>
        <v>243878</v>
      </c>
      <c r="O16" s="51">
        <f t="shared" si="2"/>
        <v>26381143.169999994</v>
      </c>
      <c r="P16" s="52">
        <f t="shared" si="3"/>
        <v>108.17352598430361</v>
      </c>
      <c r="Q16" s="107"/>
      <c r="R16" s="107"/>
      <c r="S16" s="107"/>
      <c r="T16" s="107"/>
      <c r="U16" s="107"/>
      <c r="V16" s="107"/>
    </row>
    <row r="17" spans="1:22">
      <c r="A17" s="21">
        <v>5594</v>
      </c>
      <c r="B17" s="47">
        <v>25000</v>
      </c>
      <c r="C17" s="21">
        <v>279000</v>
      </c>
      <c r="D17" s="49">
        <v>41944</v>
      </c>
      <c r="E17" s="50">
        <f t="shared" si="4"/>
        <v>243878</v>
      </c>
      <c r="F17" s="50">
        <f t="shared" si="4"/>
        <v>26381143.169999994</v>
      </c>
      <c r="G17" s="53">
        <f t="shared" si="4"/>
        <v>108.17352598430361</v>
      </c>
      <c r="H17" s="51">
        <v>20010</v>
      </c>
      <c r="I17" s="54">
        <v>2177004.8199999998</v>
      </c>
      <c r="J17" s="52">
        <f t="shared" si="6"/>
        <v>108.79584307846076</v>
      </c>
      <c r="K17" s="54">
        <v>71</v>
      </c>
      <c r="L17" s="54">
        <v>8120.42</v>
      </c>
      <c r="M17" s="53">
        <f t="shared" si="1"/>
        <v>114.37211267605633</v>
      </c>
      <c r="N17" s="51">
        <f t="shared" si="2"/>
        <v>263817</v>
      </c>
      <c r="O17" s="51">
        <f t="shared" si="2"/>
        <v>28550027.569999993</v>
      </c>
      <c r="P17" s="52">
        <f t="shared" si="3"/>
        <v>108.21905931005202</v>
      </c>
      <c r="Q17" s="107"/>
      <c r="R17" s="107"/>
      <c r="S17" s="107"/>
      <c r="T17" s="107"/>
      <c r="U17" s="107"/>
      <c r="V17" s="107"/>
    </row>
    <row r="18" spans="1:22">
      <c r="A18" s="21">
        <v>5594</v>
      </c>
      <c r="B18" s="47">
        <v>25000</v>
      </c>
      <c r="C18" s="21">
        <v>279000</v>
      </c>
      <c r="D18" s="49">
        <v>41974</v>
      </c>
      <c r="E18" s="50">
        <f t="shared" si="4"/>
        <v>263817</v>
      </c>
      <c r="F18" s="50">
        <f t="shared" si="4"/>
        <v>28550027.569999993</v>
      </c>
      <c r="G18" s="53">
        <f t="shared" si="4"/>
        <v>108.21905931005202</v>
      </c>
      <c r="H18" s="51">
        <v>-2</v>
      </c>
      <c r="I18" s="54">
        <v>15935.4</v>
      </c>
      <c r="J18" s="52">
        <f t="shared" ref="J18" si="7">IF(H18=0,0,I18/H18)</f>
        <v>-7967.7</v>
      </c>
      <c r="K18" s="54">
        <v>-428</v>
      </c>
      <c r="L18" s="54">
        <v>-49298.39</v>
      </c>
      <c r="M18" s="53">
        <f t="shared" si="1"/>
        <v>115.18315420560748</v>
      </c>
      <c r="N18" s="51">
        <f t="shared" si="2"/>
        <v>264243</v>
      </c>
      <c r="O18" s="51">
        <f t="shared" si="2"/>
        <v>28615261.359999992</v>
      </c>
      <c r="P18" s="52">
        <f t="shared" si="3"/>
        <v>108.29146414474553</v>
      </c>
      <c r="Q18" s="107"/>
      <c r="R18" s="107"/>
      <c r="S18" s="107"/>
      <c r="T18" s="107"/>
      <c r="U18" s="107"/>
      <c r="V18" s="107"/>
    </row>
    <row r="19" spans="1:22">
      <c r="A19" s="21">
        <v>5594</v>
      </c>
      <c r="B19" s="47">
        <v>25000</v>
      </c>
      <c r="C19" s="21">
        <v>279000</v>
      </c>
      <c r="D19" s="49">
        <v>42005</v>
      </c>
      <c r="E19" s="50">
        <f t="shared" si="4"/>
        <v>264243</v>
      </c>
      <c r="F19" s="50">
        <f t="shared" si="4"/>
        <v>28615261.359999992</v>
      </c>
      <c r="G19" s="53">
        <f t="shared" si="4"/>
        <v>108.29146414474553</v>
      </c>
      <c r="H19" s="51">
        <v>0</v>
      </c>
      <c r="I19" s="54">
        <v>250</v>
      </c>
      <c r="J19" s="52">
        <f t="shared" ref="J19" si="8">IF(H19=0,0,I19/H19)</f>
        <v>0</v>
      </c>
      <c r="K19" s="54">
        <v>259</v>
      </c>
      <c r="L19" s="54">
        <v>28644.1</v>
      </c>
      <c r="M19" s="53">
        <f t="shared" si="1"/>
        <v>110.59498069498069</v>
      </c>
      <c r="N19" s="51">
        <f t="shared" si="2"/>
        <v>263984</v>
      </c>
      <c r="O19" s="51">
        <f t="shared" si="2"/>
        <v>28586867.25999999</v>
      </c>
      <c r="P19" s="52">
        <f t="shared" si="3"/>
        <v>108.29015114552394</v>
      </c>
      <c r="Q19" s="54">
        <f t="shared" ref="Q19:R32" si="9">AVERAGE(N7:N19)</f>
        <v>250178.92307692306</v>
      </c>
      <c r="R19" s="54">
        <f t="shared" si="9"/>
        <v>26807320.675384615</v>
      </c>
      <c r="S19" s="56">
        <f t="shared" ref="S19:S54" si="10">IF(Q19=0,0,R19/Q19)</f>
        <v>107.15259441396711</v>
      </c>
      <c r="T19" s="54">
        <f t="shared" ref="T19:T66" si="11">N19+A19</f>
        <v>269578</v>
      </c>
      <c r="U19" s="58">
        <v>10000</v>
      </c>
      <c r="V19" s="75">
        <f t="shared" ref="V19:V66" si="12">(T19-U19)/3064</f>
        <v>84.718668407310702</v>
      </c>
    </row>
    <row r="20" spans="1:22">
      <c r="A20" s="21">
        <v>5594</v>
      </c>
      <c r="B20" s="47">
        <v>25000</v>
      </c>
      <c r="C20" s="21">
        <v>279000</v>
      </c>
      <c r="D20" s="49">
        <v>42036</v>
      </c>
      <c r="E20" s="50">
        <f t="shared" si="4"/>
        <v>263984</v>
      </c>
      <c r="F20" s="50">
        <f t="shared" si="4"/>
        <v>28586867.25999999</v>
      </c>
      <c r="G20" s="53">
        <f t="shared" si="4"/>
        <v>108.29015114552394</v>
      </c>
      <c r="H20" s="51">
        <v>0</v>
      </c>
      <c r="I20" s="54">
        <v>0</v>
      </c>
      <c r="J20" s="52">
        <f t="shared" ref="J20" si="13">IF(H20=0,0,I20/H20)</f>
        <v>0</v>
      </c>
      <c r="K20" s="54">
        <v>88</v>
      </c>
      <c r="L20" s="54">
        <v>10426.67</v>
      </c>
      <c r="M20" s="53">
        <f t="shared" si="1"/>
        <v>118.48488636363636</v>
      </c>
      <c r="N20" s="51">
        <f t="shared" si="2"/>
        <v>263896</v>
      </c>
      <c r="O20" s="51">
        <f t="shared" si="2"/>
        <v>28576440.589999989</v>
      </c>
      <c r="P20" s="52">
        <f t="shared" si="3"/>
        <v>108.28675156122104</v>
      </c>
      <c r="Q20" s="54">
        <f t="shared" si="9"/>
        <v>250363.46153846153</v>
      </c>
      <c r="R20" s="54">
        <f t="shared" si="9"/>
        <v>26875656.504615374</v>
      </c>
      <c r="S20" s="56">
        <f t="shared" si="10"/>
        <v>107.34656063415493</v>
      </c>
      <c r="T20" s="54">
        <f t="shared" si="11"/>
        <v>269490</v>
      </c>
      <c r="U20" s="58">
        <v>10000</v>
      </c>
      <c r="V20" s="75">
        <f t="shared" si="12"/>
        <v>84.68994778067885</v>
      </c>
    </row>
    <row r="21" spans="1:22">
      <c r="A21" s="21">
        <v>5594</v>
      </c>
      <c r="B21" s="47">
        <v>25000</v>
      </c>
      <c r="C21" s="21">
        <v>279000</v>
      </c>
      <c r="D21" s="49">
        <v>42064</v>
      </c>
      <c r="E21" s="50">
        <f t="shared" si="4"/>
        <v>263896</v>
      </c>
      <c r="F21" s="50">
        <f t="shared" si="4"/>
        <v>28576440.589999989</v>
      </c>
      <c r="G21" s="53">
        <f t="shared" si="4"/>
        <v>108.28675156122104</v>
      </c>
      <c r="H21" s="51">
        <v>0</v>
      </c>
      <c r="I21" s="54">
        <v>0</v>
      </c>
      <c r="J21" s="52">
        <f t="shared" ref="J21" si="14">IF(H21=0,0,I21/H21)</f>
        <v>0</v>
      </c>
      <c r="K21" s="54">
        <v>1568</v>
      </c>
      <c r="L21" s="54">
        <v>163389.85999999999</v>
      </c>
      <c r="M21" s="53">
        <f t="shared" si="1"/>
        <v>104.20271683673468</v>
      </c>
      <c r="N21" s="51">
        <f t="shared" si="2"/>
        <v>262328</v>
      </c>
      <c r="O21" s="51">
        <f t="shared" si="2"/>
        <v>28413050.729999989</v>
      </c>
      <c r="P21" s="52">
        <f t="shared" si="3"/>
        <v>108.31116285718639</v>
      </c>
      <c r="Q21" s="54">
        <f t="shared" si="9"/>
        <v>250430.69230769231</v>
      </c>
      <c r="R21" s="54">
        <f t="shared" si="9"/>
        <v>26931771.661538456</v>
      </c>
      <c r="S21" s="56">
        <f t="shared" si="10"/>
        <v>107.54181691295517</v>
      </c>
      <c r="T21" s="54">
        <f t="shared" si="11"/>
        <v>267922</v>
      </c>
      <c r="U21" s="58">
        <v>10000</v>
      </c>
      <c r="V21" s="75">
        <f t="shared" si="12"/>
        <v>84.178198433420363</v>
      </c>
    </row>
    <row r="22" spans="1:22">
      <c r="A22" s="21">
        <v>5594</v>
      </c>
      <c r="B22" s="47">
        <v>25000</v>
      </c>
      <c r="C22" s="21">
        <v>279000</v>
      </c>
      <c r="D22" s="49">
        <v>42095</v>
      </c>
      <c r="E22" s="50">
        <f t="shared" si="4"/>
        <v>262328</v>
      </c>
      <c r="F22" s="50">
        <f t="shared" si="4"/>
        <v>28413050.729999989</v>
      </c>
      <c r="G22" s="53">
        <f t="shared" si="4"/>
        <v>108.31116285718639</v>
      </c>
      <c r="H22" s="51">
        <v>0</v>
      </c>
      <c r="I22" s="54">
        <v>0</v>
      </c>
      <c r="J22" s="52">
        <f t="shared" ref="J22" si="15">IF(H22=0,0,I22/H22)</f>
        <v>0</v>
      </c>
      <c r="K22" s="54">
        <v>18822</v>
      </c>
      <c r="L22" s="54">
        <v>1886320.32</v>
      </c>
      <c r="M22" s="53">
        <f t="shared" si="1"/>
        <v>100.21890978642016</v>
      </c>
      <c r="N22" s="51">
        <f t="shared" si="2"/>
        <v>243506</v>
      </c>
      <c r="O22" s="51">
        <f t="shared" si="2"/>
        <v>26526730.409999989</v>
      </c>
      <c r="P22" s="52">
        <f t="shared" si="3"/>
        <v>108.93666032869822</v>
      </c>
      <c r="Q22" s="54">
        <f t="shared" si="9"/>
        <v>249080.07692307694</v>
      </c>
      <c r="R22" s="54">
        <f t="shared" si="9"/>
        <v>26846137.614615377</v>
      </c>
      <c r="S22" s="56">
        <f t="shared" si="10"/>
        <v>107.7811519341478</v>
      </c>
      <c r="T22" s="54">
        <f t="shared" si="11"/>
        <v>249100</v>
      </c>
      <c r="U22" s="58">
        <v>10000</v>
      </c>
      <c r="V22" s="75">
        <f t="shared" si="12"/>
        <v>78.035248041775461</v>
      </c>
    </row>
    <row r="23" spans="1:22">
      <c r="A23" s="21">
        <v>5594</v>
      </c>
      <c r="B23" s="47">
        <v>25000</v>
      </c>
      <c r="C23" s="21">
        <v>210000</v>
      </c>
      <c r="D23" s="49">
        <v>42125</v>
      </c>
      <c r="E23" s="50">
        <f t="shared" si="4"/>
        <v>243506</v>
      </c>
      <c r="F23" s="50">
        <f t="shared" si="4"/>
        <v>26526730.409999989</v>
      </c>
      <c r="G23" s="53">
        <f t="shared" si="4"/>
        <v>108.93666032869822</v>
      </c>
      <c r="H23" s="51">
        <v>0</v>
      </c>
      <c r="I23" s="54">
        <v>0</v>
      </c>
      <c r="J23" s="52">
        <f t="shared" ref="J23" si="16">IF(H23=0,0,I23/H23)</f>
        <v>0</v>
      </c>
      <c r="K23" s="54">
        <v>10411</v>
      </c>
      <c r="L23" s="54">
        <v>1043879.64</v>
      </c>
      <c r="M23" s="53">
        <f t="shared" si="1"/>
        <v>100.26699068293152</v>
      </c>
      <c r="N23" s="51">
        <f t="shared" si="2"/>
        <v>233095</v>
      </c>
      <c r="O23" s="51">
        <f t="shared" si="2"/>
        <v>25482850.769999988</v>
      </c>
      <c r="P23" s="52">
        <f t="shared" si="3"/>
        <v>109.32388412449855</v>
      </c>
      <c r="Q23" s="54">
        <f t="shared" si="9"/>
        <v>246962.15384615384</v>
      </c>
      <c r="R23" s="54">
        <f t="shared" si="9"/>
        <v>26683645.917692296</v>
      </c>
      <c r="S23" s="56">
        <f t="shared" si="10"/>
        <v>108.04751052792886</v>
      </c>
      <c r="T23" s="54">
        <f t="shared" si="11"/>
        <v>238689</v>
      </c>
      <c r="U23" s="58">
        <v>10000</v>
      </c>
      <c r="V23" s="75">
        <f t="shared" si="12"/>
        <v>74.637402088772845</v>
      </c>
    </row>
    <row r="24" spans="1:22">
      <c r="A24" s="21">
        <v>5594</v>
      </c>
      <c r="B24" s="47">
        <v>25000</v>
      </c>
      <c r="C24" s="47">
        <v>210000</v>
      </c>
      <c r="D24" s="49">
        <v>42156</v>
      </c>
      <c r="E24" s="50">
        <f t="shared" si="4"/>
        <v>233095</v>
      </c>
      <c r="F24" s="50">
        <f t="shared" si="4"/>
        <v>25482850.769999988</v>
      </c>
      <c r="G24" s="53">
        <f t="shared" si="4"/>
        <v>109.32388412449855</v>
      </c>
      <c r="H24" s="51">
        <v>0</v>
      </c>
      <c r="I24" s="54">
        <v>0</v>
      </c>
      <c r="J24" s="52">
        <f t="shared" ref="J24" si="17">IF(H24=0,0,I24/H24)</f>
        <v>0</v>
      </c>
      <c r="K24" s="54">
        <v>47792</v>
      </c>
      <c r="L24" s="54">
        <v>4788512.05</v>
      </c>
      <c r="M24" s="53">
        <f t="shared" si="1"/>
        <v>100.19484537161031</v>
      </c>
      <c r="N24" s="51">
        <f t="shared" si="2"/>
        <v>185303</v>
      </c>
      <c r="O24" s="51">
        <f t="shared" si="2"/>
        <v>20694338.719999988</v>
      </c>
      <c r="P24" s="52">
        <f t="shared" si="3"/>
        <v>111.67837930308731</v>
      </c>
      <c r="Q24" s="54">
        <f t="shared" si="9"/>
        <v>241193.76923076922</v>
      </c>
      <c r="R24" s="54">
        <f t="shared" si="9"/>
        <v>26155746.776153836</v>
      </c>
      <c r="S24" s="56">
        <f t="shared" si="10"/>
        <v>108.44287918204287</v>
      </c>
      <c r="T24" s="54">
        <f t="shared" si="11"/>
        <v>190897</v>
      </c>
      <c r="U24" s="58">
        <v>12000</v>
      </c>
      <c r="V24" s="75">
        <f t="shared" si="12"/>
        <v>58.386749347258487</v>
      </c>
    </row>
    <row r="25" spans="1:22">
      <c r="A25" s="21">
        <v>5594</v>
      </c>
      <c r="B25" s="47">
        <v>25000</v>
      </c>
      <c r="C25" s="47">
        <v>210000</v>
      </c>
      <c r="D25" s="49">
        <v>42186</v>
      </c>
      <c r="E25" s="50">
        <f t="shared" si="4"/>
        <v>185303</v>
      </c>
      <c r="F25" s="50">
        <f t="shared" si="4"/>
        <v>20694338.719999988</v>
      </c>
      <c r="G25" s="53">
        <f t="shared" si="4"/>
        <v>111.67837930308731</v>
      </c>
      <c r="H25" s="51">
        <v>2000</v>
      </c>
      <c r="I25" s="54">
        <v>47632.75</v>
      </c>
      <c r="J25" s="52">
        <f t="shared" ref="J25" si="18">IF(H25=0,0,I25/H25)</f>
        <v>23.816375000000001</v>
      </c>
      <c r="K25" s="54">
        <v>4484</v>
      </c>
      <c r="L25" s="54">
        <v>434312.1</v>
      </c>
      <c r="M25" s="53">
        <f t="shared" si="1"/>
        <v>96.858184656556645</v>
      </c>
      <c r="N25" s="51">
        <f t="shared" si="2"/>
        <v>182819</v>
      </c>
      <c r="O25" s="51">
        <f t="shared" si="2"/>
        <v>20307659.369999986</v>
      </c>
      <c r="P25" s="52">
        <f t="shared" si="3"/>
        <v>111.08068291588941</v>
      </c>
      <c r="Q25" s="54">
        <f t="shared" si="9"/>
        <v>236057.07692307694</v>
      </c>
      <c r="R25" s="54">
        <f t="shared" si="9"/>
        <v>25674776.10384614</v>
      </c>
      <c r="S25" s="56">
        <f t="shared" si="10"/>
        <v>108.76511917587069</v>
      </c>
      <c r="T25" s="54">
        <f t="shared" si="11"/>
        <v>188413</v>
      </c>
      <c r="U25" s="58">
        <v>12000</v>
      </c>
      <c r="V25" s="75">
        <f t="shared" si="12"/>
        <v>57.576044386422979</v>
      </c>
    </row>
    <row r="26" spans="1:22">
      <c r="A26" s="21">
        <v>3594</v>
      </c>
      <c r="B26" s="47">
        <v>25000</v>
      </c>
      <c r="C26" s="47">
        <v>210000</v>
      </c>
      <c r="D26" s="49">
        <v>42217</v>
      </c>
      <c r="E26" s="50">
        <f t="shared" si="4"/>
        <v>182819</v>
      </c>
      <c r="F26" s="50">
        <f t="shared" si="4"/>
        <v>20307659.369999986</v>
      </c>
      <c r="G26" s="53">
        <f t="shared" si="4"/>
        <v>111.08068291588941</v>
      </c>
      <c r="H26" s="51">
        <v>0</v>
      </c>
      <c r="I26" s="54">
        <v>1000</v>
      </c>
      <c r="J26" s="52">
        <f t="shared" ref="J26" si="19">IF(H26=0,0,I26/H26)</f>
        <v>0</v>
      </c>
      <c r="K26" s="54">
        <v>1185</v>
      </c>
      <c r="L26" s="54">
        <v>115419.32</v>
      </c>
      <c r="M26" s="53">
        <f t="shared" si="1"/>
        <v>97.400270042194094</v>
      </c>
      <c r="N26" s="51">
        <f t="shared" si="2"/>
        <v>181634</v>
      </c>
      <c r="O26" s="51">
        <f t="shared" si="2"/>
        <v>20193240.049999986</v>
      </c>
      <c r="P26" s="52">
        <f t="shared" si="3"/>
        <v>111.17544099672961</v>
      </c>
      <c r="Q26" s="54">
        <f t="shared" si="9"/>
        <v>232327.30769230769</v>
      </c>
      <c r="R26" s="54">
        <f t="shared" si="9"/>
        <v>25320673.732307687</v>
      </c>
      <c r="S26" s="56">
        <f t="shared" si="10"/>
        <v>108.98707510458551</v>
      </c>
      <c r="T26" s="54">
        <f t="shared" si="11"/>
        <v>185228</v>
      </c>
      <c r="U26" s="58">
        <v>12000</v>
      </c>
      <c r="V26" s="75">
        <f t="shared" si="12"/>
        <v>56.536553524804177</v>
      </c>
    </row>
    <row r="27" spans="1:22">
      <c r="A27" s="47">
        <v>3594</v>
      </c>
      <c r="B27" s="47">
        <v>25000</v>
      </c>
      <c r="C27" s="47">
        <v>210000</v>
      </c>
      <c r="D27" s="49">
        <v>42248</v>
      </c>
      <c r="E27" s="50">
        <f t="shared" si="4"/>
        <v>181634</v>
      </c>
      <c r="F27" s="50">
        <f t="shared" si="4"/>
        <v>20193240.049999986</v>
      </c>
      <c r="G27" s="53">
        <f t="shared" si="4"/>
        <v>111.17544099672961</v>
      </c>
      <c r="H27" s="51">
        <v>0</v>
      </c>
      <c r="I27" s="54">
        <v>0</v>
      </c>
      <c r="J27" s="52">
        <f t="shared" ref="J27" si="20">IF(H27=0,0,I27/H27)</f>
        <v>0</v>
      </c>
      <c r="K27" s="54">
        <v>7407</v>
      </c>
      <c r="L27" s="54">
        <v>730862.18</v>
      </c>
      <c r="M27" s="53">
        <f t="shared" si="1"/>
        <v>98.671821250168762</v>
      </c>
      <c r="N27" s="51">
        <f t="shared" si="2"/>
        <v>174227</v>
      </c>
      <c r="O27" s="51">
        <f t="shared" si="2"/>
        <v>19462377.869999986</v>
      </c>
      <c r="P27" s="52">
        <f t="shared" si="3"/>
        <v>111.70701366607923</v>
      </c>
      <c r="Q27" s="54">
        <f t="shared" si="9"/>
        <v>229114.84615384616</v>
      </c>
      <c r="R27" s="54">
        <f t="shared" si="9"/>
        <v>25015215.433076918</v>
      </c>
      <c r="S27" s="56">
        <f t="shared" si="10"/>
        <v>109.1819925814833</v>
      </c>
      <c r="T27" s="54">
        <f t="shared" si="11"/>
        <v>177821</v>
      </c>
      <c r="U27" s="58">
        <v>12000</v>
      </c>
      <c r="V27" s="75">
        <f t="shared" si="12"/>
        <v>54.119125326370757</v>
      </c>
    </row>
    <row r="28" spans="1:22">
      <c r="A28" s="47">
        <v>3594</v>
      </c>
      <c r="B28" s="47">
        <v>25000</v>
      </c>
      <c r="C28" s="47">
        <v>210000</v>
      </c>
      <c r="D28" s="49">
        <v>42278</v>
      </c>
      <c r="E28" s="50">
        <f t="shared" si="4"/>
        <v>174227</v>
      </c>
      <c r="F28" s="50">
        <f t="shared" si="4"/>
        <v>19462377.869999986</v>
      </c>
      <c r="G28" s="53">
        <f t="shared" si="4"/>
        <v>111.70701366607923</v>
      </c>
      <c r="H28" s="51">
        <v>0</v>
      </c>
      <c r="I28" s="54">
        <v>0</v>
      </c>
      <c r="J28" s="52">
        <f t="shared" ref="J28:J30" si="21">IF(H28=0,0,I28/H28)</f>
        <v>0</v>
      </c>
      <c r="K28" s="54">
        <v>9585</v>
      </c>
      <c r="L28" s="54">
        <v>929170.53</v>
      </c>
      <c r="M28" s="53">
        <f t="shared" si="1"/>
        <v>96.940065727699533</v>
      </c>
      <c r="N28" s="51">
        <f t="shared" si="2"/>
        <v>164642</v>
      </c>
      <c r="O28" s="51">
        <f t="shared" si="2"/>
        <v>18533207.339999985</v>
      </c>
      <c r="P28" s="52">
        <f t="shared" si="3"/>
        <v>112.56670436462133</v>
      </c>
      <c r="Q28" s="54">
        <f t="shared" si="9"/>
        <v>225182.46153846153</v>
      </c>
      <c r="R28" s="54">
        <f t="shared" si="9"/>
        <v>24640245.785384603</v>
      </c>
      <c r="S28" s="56">
        <f t="shared" si="10"/>
        <v>109.42346760507371</v>
      </c>
      <c r="T28" s="54">
        <f t="shared" si="11"/>
        <v>168236</v>
      </c>
      <c r="U28" s="58">
        <v>12000</v>
      </c>
      <c r="V28" s="75">
        <f t="shared" si="12"/>
        <v>50.990861618798952</v>
      </c>
    </row>
    <row r="29" spans="1:22">
      <c r="A29" s="47">
        <v>3594</v>
      </c>
      <c r="B29" s="47">
        <v>25000</v>
      </c>
      <c r="C29" s="47">
        <v>140000</v>
      </c>
      <c r="D29" s="49">
        <v>42309</v>
      </c>
      <c r="E29" s="50">
        <f t="shared" si="4"/>
        <v>164642</v>
      </c>
      <c r="F29" s="50">
        <f t="shared" si="4"/>
        <v>18533207.339999985</v>
      </c>
      <c r="G29" s="53">
        <f t="shared" si="4"/>
        <v>112.56670436462133</v>
      </c>
      <c r="H29" s="51">
        <v>0</v>
      </c>
      <c r="I29" s="54">
        <v>618616.31999999995</v>
      </c>
      <c r="J29" s="52">
        <f t="shared" si="21"/>
        <v>0</v>
      </c>
      <c r="K29" s="54">
        <v>13015</v>
      </c>
      <c r="L29" s="54">
        <v>1286090.7</v>
      </c>
      <c r="M29" s="53">
        <f t="shared" si="1"/>
        <v>98.816035343834031</v>
      </c>
      <c r="N29" s="51">
        <f t="shared" si="2"/>
        <v>151627</v>
      </c>
      <c r="O29" s="51">
        <f t="shared" si="2"/>
        <v>17865732.959999986</v>
      </c>
      <c r="P29" s="52">
        <f t="shared" si="3"/>
        <v>117.82685774960915</v>
      </c>
      <c r="Q29" s="54">
        <f t="shared" si="9"/>
        <v>218086.23076923078</v>
      </c>
      <c r="R29" s="54">
        <f t="shared" si="9"/>
        <v>23985214.230769217</v>
      </c>
      <c r="S29" s="56">
        <f t="shared" si="10"/>
        <v>109.98041529797133</v>
      </c>
      <c r="T29" s="54">
        <f t="shared" si="11"/>
        <v>155221</v>
      </c>
      <c r="U29" s="58">
        <v>12000</v>
      </c>
      <c r="V29" s="75">
        <f t="shared" si="12"/>
        <v>46.74314621409922</v>
      </c>
    </row>
    <row r="30" spans="1:22">
      <c r="A30" s="47">
        <v>3594</v>
      </c>
      <c r="B30" s="47">
        <v>25000</v>
      </c>
      <c r="C30" s="47">
        <v>140000</v>
      </c>
      <c r="D30" s="49">
        <v>42339</v>
      </c>
      <c r="E30" s="50">
        <f t="shared" si="4"/>
        <v>151627</v>
      </c>
      <c r="F30" s="50">
        <f t="shared" si="4"/>
        <v>17865732.959999986</v>
      </c>
      <c r="G30" s="53">
        <f t="shared" si="4"/>
        <v>117.82685774960915</v>
      </c>
      <c r="H30" s="51">
        <v>0</v>
      </c>
      <c r="I30" s="54">
        <v>0</v>
      </c>
      <c r="J30" s="52">
        <f t="shared" si="21"/>
        <v>0</v>
      </c>
      <c r="K30" s="54">
        <v>-103</v>
      </c>
      <c r="L30" s="54">
        <v>-12281.03</v>
      </c>
      <c r="M30" s="53">
        <f t="shared" si="1"/>
        <v>119.2333009708738</v>
      </c>
      <c r="N30" s="51">
        <f t="shared" si="2"/>
        <v>151730</v>
      </c>
      <c r="O30" s="51">
        <f t="shared" si="2"/>
        <v>17878013.989999987</v>
      </c>
      <c r="P30" s="52">
        <f t="shared" si="3"/>
        <v>117.82781249588075</v>
      </c>
      <c r="Q30" s="54">
        <f t="shared" si="9"/>
        <v>209464.15384615384</v>
      </c>
      <c r="R30" s="54">
        <f t="shared" si="9"/>
        <v>23164290.109230757</v>
      </c>
      <c r="S30" s="56">
        <f t="shared" si="10"/>
        <v>110.58832589677537</v>
      </c>
      <c r="T30" s="54">
        <f t="shared" si="11"/>
        <v>155324</v>
      </c>
      <c r="U30" s="58">
        <v>10000</v>
      </c>
      <c r="V30" s="75">
        <f t="shared" si="12"/>
        <v>47.429503916449086</v>
      </c>
    </row>
    <row r="31" spans="1:22">
      <c r="A31" s="47">
        <v>3594</v>
      </c>
      <c r="B31" s="47">
        <v>25000</v>
      </c>
      <c r="C31" s="47">
        <v>140000</v>
      </c>
      <c r="D31" s="13">
        <v>42370</v>
      </c>
      <c r="E31" s="16">
        <f t="shared" si="4"/>
        <v>151730</v>
      </c>
      <c r="F31" s="16">
        <f t="shared" si="4"/>
        <v>17878013.989999987</v>
      </c>
      <c r="G31" s="14">
        <f t="shared" si="4"/>
        <v>117.82781249588075</v>
      </c>
      <c r="H31" s="46">
        <v>0</v>
      </c>
      <c r="I31" s="23">
        <f t="shared" ref="I31:I54" si="22">H31*J31</f>
        <v>0</v>
      </c>
      <c r="J31" s="22">
        <f>VLOOKUP(D31,Data!$A$5:$V$197,8,FALSE)*5.83</f>
        <v>56.166746915999994</v>
      </c>
      <c r="K31" s="80">
        <f>VLOOKUP(D31,Data!$A$5:$V$197,19,FALSE)</f>
        <v>0</v>
      </c>
      <c r="L31" s="48">
        <f t="shared" ref="L31:L66" si="23">IF(E31+H31&gt;0,((F31+I31)/(E31+H31)*K31),0)</f>
        <v>0</v>
      </c>
      <c r="M31" s="14">
        <f t="shared" si="1"/>
        <v>0</v>
      </c>
      <c r="N31" s="15">
        <f t="shared" si="2"/>
        <v>151730</v>
      </c>
      <c r="O31" s="15">
        <f t="shared" si="2"/>
        <v>17878013.989999987</v>
      </c>
      <c r="P31" s="22">
        <f t="shared" si="3"/>
        <v>117.82781249588075</v>
      </c>
      <c r="Q31" s="31">
        <f t="shared" si="9"/>
        <v>200809.30769230769</v>
      </c>
      <c r="R31" s="31">
        <f t="shared" si="9"/>
        <v>22338348.003846142</v>
      </c>
      <c r="S31" s="32">
        <f t="shared" si="10"/>
        <v>111.241596619985</v>
      </c>
      <c r="T31" s="31">
        <f t="shared" si="11"/>
        <v>155324</v>
      </c>
      <c r="U31" s="7">
        <v>10000</v>
      </c>
      <c r="V31" s="37">
        <f t="shared" si="12"/>
        <v>47.429503916449086</v>
      </c>
    </row>
    <row r="32" spans="1:22">
      <c r="A32" s="47">
        <v>3594</v>
      </c>
      <c r="B32" s="47">
        <v>25000</v>
      </c>
      <c r="C32" s="47">
        <v>140000</v>
      </c>
      <c r="D32" s="13">
        <v>42401</v>
      </c>
      <c r="E32" s="16">
        <f t="shared" si="4"/>
        <v>151730</v>
      </c>
      <c r="F32" s="16">
        <f t="shared" si="4"/>
        <v>17878013.989999987</v>
      </c>
      <c r="G32" s="14">
        <f t="shared" si="4"/>
        <v>117.82781249588075</v>
      </c>
      <c r="H32" s="46">
        <v>0</v>
      </c>
      <c r="I32" s="23">
        <f t="shared" si="22"/>
        <v>0</v>
      </c>
      <c r="J32" s="22">
        <f>VLOOKUP(D32,Data!$A$5:$V$197,8,FALSE)*5.83</f>
        <v>57.246146916000001</v>
      </c>
      <c r="K32" s="80">
        <f>VLOOKUP(D32,Data!$A$5:$V$197,19,FALSE)</f>
        <v>0</v>
      </c>
      <c r="L32" s="48">
        <f t="shared" si="23"/>
        <v>0</v>
      </c>
      <c r="M32" s="14">
        <f t="shared" si="1"/>
        <v>0</v>
      </c>
      <c r="N32" s="15">
        <f t="shared" si="2"/>
        <v>151730</v>
      </c>
      <c r="O32" s="15">
        <f t="shared" si="2"/>
        <v>17878013.989999987</v>
      </c>
      <c r="P32" s="22">
        <f t="shared" si="3"/>
        <v>117.82781249588075</v>
      </c>
      <c r="Q32" s="31">
        <f t="shared" si="9"/>
        <v>192174.38461538462</v>
      </c>
      <c r="R32" s="31">
        <f t="shared" si="9"/>
        <v>21514590.059999984</v>
      </c>
      <c r="S32" s="32">
        <f t="shared" si="10"/>
        <v>111.95347446049593</v>
      </c>
      <c r="T32" s="31">
        <f t="shared" si="11"/>
        <v>155324</v>
      </c>
      <c r="U32" s="7">
        <v>10000</v>
      </c>
      <c r="V32" s="37">
        <f t="shared" si="12"/>
        <v>47.429503916449086</v>
      </c>
    </row>
    <row r="33" spans="1:22">
      <c r="A33" s="47">
        <v>3594</v>
      </c>
      <c r="B33" s="47">
        <v>25000</v>
      </c>
      <c r="C33" s="47">
        <v>140000</v>
      </c>
      <c r="D33" s="13">
        <v>42430</v>
      </c>
      <c r="E33" s="16">
        <f t="shared" si="4"/>
        <v>151730</v>
      </c>
      <c r="F33" s="16">
        <f t="shared" si="4"/>
        <v>17878013.989999987</v>
      </c>
      <c r="G33" s="14">
        <f t="shared" si="4"/>
        <v>117.82781249588075</v>
      </c>
      <c r="H33" s="46">
        <v>0</v>
      </c>
      <c r="I33" s="23">
        <f t="shared" si="22"/>
        <v>0</v>
      </c>
      <c r="J33" s="22">
        <f>VLOOKUP(D33,Data!$A$5:$V$197,8,FALSE)*5.83</f>
        <v>58.195346915999984</v>
      </c>
      <c r="K33" s="78">
        <f>VLOOKUP(D33,Data!$A$5:$V$197,19,FALSE)</f>
        <v>0</v>
      </c>
      <c r="L33" s="48">
        <f t="shared" si="23"/>
        <v>0</v>
      </c>
      <c r="M33" s="14">
        <f t="shared" si="1"/>
        <v>0</v>
      </c>
      <c r="N33" s="15">
        <f t="shared" si="2"/>
        <v>151730</v>
      </c>
      <c r="O33" s="15">
        <f t="shared" si="2"/>
        <v>17878013.989999987</v>
      </c>
      <c r="P33" s="22">
        <f t="shared" si="3"/>
        <v>117.82781249588075</v>
      </c>
      <c r="Q33" s="31">
        <f t="shared" ref="Q33:R48" si="24">AVERAGE(N21:N33)</f>
        <v>183546.23076923078</v>
      </c>
      <c r="R33" s="31">
        <f t="shared" si="24"/>
        <v>20691634.167692289</v>
      </c>
      <c r="S33" s="32">
        <f t="shared" si="10"/>
        <v>112.7325474403639</v>
      </c>
      <c r="T33" s="31">
        <f t="shared" si="11"/>
        <v>155324</v>
      </c>
      <c r="U33" s="7">
        <v>10000</v>
      </c>
      <c r="V33" s="37">
        <f t="shared" si="12"/>
        <v>47.429503916449086</v>
      </c>
    </row>
    <row r="34" spans="1:22">
      <c r="A34" s="47">
        <v>3594</v>
      </c>
      <c r="B34" s="47">
        <v>25000</v>
      </c>
      <c r="C34" s="47">
        <v>210000</v>
      </c>
      <c r="D34" s="13">
        <v>42461</v>
      </c>
      <c r="E34" s="16">
        <f t="shared" si="4"/>
        <v>151730</v>
      </c>
      <c r="F34" s="16">
        <f t="shared" si="4"/>
        <v>17878013.989999987</v>
      </c>
      <c r="G34" s="14">
        <f t="shared" si="4"/>
        <v>117.82781249588075</v>
      </c>
      <c r="H34" s="57">
        <v>15000</v>
      </c>
      <c r="I34" s="23">
        <f t="shared" si="22"/>
        <v>882632.20374000003</v>
      </c>
      <c r="J34" s="22">
        <f>VLOOKUP(D34,Data!$A$5:$V$197,8,FALSE)*5.83</f>
        <v>58.842146916000004</v>
      </c>
      <c r="K34" s="78">
        <f>VLOOKUP(D34,Data!$A$5:$V$197,19,FALSE)</f>
        <v>0</v>
      </c>
      <c r="L34" s="48">
        <f t="shared" si="23"/>
        <v>0</v>
      </c>
      <c r="M34" s="14">
        <f t="shared" si="1"/>
        <v>0</v>
      </c>
      <c r="N34" s="15">
        <f t="shared" si="2"/>
        <v>166730</v>
      </c>
      <c r="O34" s="15">
        <f t="shared" si="2"/>
        <v>18760646.193739988</v>
      </c>
      <c r="P34" s="22">
        <f t="shared" si="3"/>
        <v>112.5211191371678</v>
      </c>
      <c r="Q34" s="31">
        <f t="shared" si="24"/>
        <v>176192.53846153847</v>
      </c>
      <c r="R34" s="31">
        <f t="shared" si="24"/>
        <v>19949141.511056907</v>
      </c>
      <c r="S34" s="32">
        <f t="shared" si="10"/>
        <v>113.22353196819205</v>
      </c>
      <c r="T34" s="31">
        <f t="shared" si="11"/>
        <v>170324</v>
      </c>
      <c r="U34" s="7">
        <v>10000</v>
      </c>
      <c r="V34" s="37">
        <f t="shared" si="12"/>
        <v>52.325065274151434</v>
      </c>
    </row>
    <row r="35" spans="1:22">
      <c r="A35" s="47">
        <v>3594</v>
      </c>
      <c r="B35" s="47">
        <v>25000</v>
      </c>
      <c r="C35" s="47">
        <v>210000</v>
      </c>
      <c r="D35" s="13">
        <v>42491</v>
      </c>
      <c r="E35" s="16">
        <f t="shared" si="4"/>
        <v>166730</v>
      </c>
      <c r="F35" s="16">
        <f t="shared" si="4"/>
        <v>18760646.193739988</v>
      </c>
      <c r="G35" s="14">
        <f t="shared" si="4"/>
        <v>112.5211191371678</v>
      </c>
      <c r="H35" s="57">
        <v>15000</v>
      </c>
      <c r="I35" s="23">
        <f t="shared" si="22"/>
        <v>895484.20373999979</v>
      </c>
      <c r="J35" s="22">
        <f>VLOOKUP(D35,Data!$A$5:$V$197,8,FALSE)*5.83</f>
        <v>59.698946915999983</v>
      </c>
      <c r="K35" s="71">
        <f>VLOOKUP(D35,Data!$A$5:$V$197,19,FALSE)</f>
        <v>0</v>
      </c>
      <c r="L35" s="48">
        <f t="shared" si="23"/>
        <v>0</v>
      </c>
      <c r="M35" s="14">
        <f t="shared" si="1"/>
        <v>0</v>
      </c>
      <c r="N35" s="15">
        <f t="shared" si="2"/>
        <v>181730</v>
      </c>
      <c r="O35" s="15">
        <f t="shared" si="2"/>
        <v>19656130.397479989</v>
      </c>
      <c r="P35" s="22">
        <f t="shared" si="3"/>
        <v>108.16117535618768</v>
      </c>
      <c r="Q35" s="31">
        <f t="shared" si="24"/>
        <v>171440.53846153847</v>
      </c>
      <c r="R35" s="31">
        <f t="shared" si="24"/>
        <v>19420633.817786139</v>
      </c>
      <c r="S35" s="32">
        <f t="shared" si="10"/>
        <v>113.2791228495997</v>
      </c>
      <c r="T35" s="31">
        <f t="shared" si="11"/>
        <v>185324</v>
      </c>
      <c r="U35" s="7">
        <v>10000</v>
      </c>
      <c r="V35" s="37">
        <f t="shared" si="12"/>
        <v>57.220626631853783</v>
      </c>
    </row>
    <row r="36" spans="1:22">
      <c r="A36" s="47">
        <v>3594</v>
      </c>
      <c r="B36" s="47">
        <v>25000</v>
      </c>
      <c r="C36" s="47">
        <v>210000</v>
      </c>
      <c r="D36" s="13">
        <v>42522</v>
      </c>
      <c r="E36" s="16">
        <f t="shared" si="4"/>
        <v>181730</v>
      </c>
      <c r="F36" s="16">
        <f t="shared" si="4"/>
        <v>19656130.397479989</v>
      </c>
      <c r="G36" s="14">
        <f t="shared" si="4"/>
        <v>108.16117535618768</v>
      </c>
      <c r="H36" s="57">
        <v>15000</v>
      </c>
      <c r="I36" s="23">
        <f t="shared" si="22"/>
        <v>911549.20373999979</v>
      </c>
      <c r="J36" s="22">
        <f>VLOOKUP(D36,Data!$A$5:$V$197,8,FALSE)*5.83</f>
        <v>60.769946915999988</v>
      </c>
      <c r="K36" s="71">
        <f>VLOOKUP(D36,Data!$A$5:$V$197,19,FALSE)</f>
        <v>610.97770154373927</v>
      </c>
      <c r="L36" s="48">
        <f t="shared" si="23"/>
        <v>63876.346306315463</v>
      </c>
      <c r="M36" s="14">
        <f t="shared" si="1"/>
        <v>104.54775378040965</v>
      </c>
      <c r="N36" s="15">
        <f t="shared" si="2"/>
        <v>196119.02229845626</v>
      </c>
      <c r="O36" s="15">
        <f t="shared" si="2"/>
        <v>20503803.254913673</v>
      </c>
      <c r="P36" s="22">
        <f t="shared" si="3"/>
        <v>104.54775378040964</v>
      </c>
      <c r="Q36" s="31">
        <f t="shared" si="24"/>
        <v>168596.23248449664</v>
      </c>
      <c r="R36" s="31">
        <f t="shared" si="24"/>
        <v>19037630.162779495</v>
      </c>
      <c r="S36" s="32">
        <f t="shared" si="10"/>
        <v>112.91847915124741</v>
      </c>
      <c r="T36" s="31">
        <f t="shared" si="11"/>
        <v>199713.02229845626</v>
      </c>
      <c r="U36" s="7">
        <v>12000</v>
      </c>
      <c r="V36" s="37">
        <f t="shared" si="12"/>
        <v>61.264041220122799</v>
      </c>
    </row>
    <row r="37" spans="1:22">
      <c r="A37" s="47">
        <v>3594</v>
      </c>
      <c r="B37" s="47">
        <v>25000</v>
      </c>
      <c r="C37" s="47">
        <v>210000</v>
      </c>
      <c r="D37" s="13">
        <v>42552</v>
      </c>
      <c r="E37" s="16">
        <f t="shared" si="4"/>
        <v>196119.02229845626</v>
      </c>
      <c r="F37" s="16">
        <f t="shared" si="4"/>
        <v>20503803.254913673</v>
      </c>
      <c r="G37" s="14">
        <f t="shared" si="4"/>
        <v>104.54775378040964</v>
      </c>
      <c r="H37" s="57">
        <v>20000</v>
      </c>
      <c r="I37" s="23">
        <f t="shared" si="22"/>
        <v>1237490.9383199997</v>
      </c>
      <c r="J37" s="22">
        <f>VLOOKUP(D37,Data!$A$5:$V$197,8,FALSE)*5.83</f>
        <v>61.874546915999986</v>
      </c>
      <c r="K37" s="71">
        <f>VLOOKUP(D37,Data!$A$5:$V$197,19,FALSE)</f>
        <v>0</v>
      </c>
      <c r="L37" s="48">
        <f t="shared" si="23"/>
        <v>0</v>
      </c>
      <c r="M37" s="14">
        <f t="shared" si="1"/>
        <v>0</v>
      </c>
      <c r="N37" s="15">
        <f t="shared" si="2"/>
        <v>216119.02229845626</v>
      </c>
      <c r="O37" s="15">
        <f t="shared" si="2"/>
        <v>21741294.193233673</v>
      </c>
      <c r="P37" s="22">
        <f t="shared" si="3"/>
        <v>100.59870696254289</v>
      </c>
      <c r="Q37" s="31">
        <f t="shared" si="24"/>
        <v>170966.69573822402</v>
      </c>
      <c r="R37" s="31">
        <f t="shared" si="24"/>
        <v>19118165.199182089</v>
      </c>
      <c r="S37" s="32">
        <f t="shared" si="10"/>
        <v>111.82391469070036</v>
      </c>
      <c r="T37" s="31">
        <f t="shared" si="11"/>
        <v>219713.02229845626</v>
      </c>
      <c r="U37" s="7">
        <v>12000</v>
      </c>
      <c r="V37" s="37">
        <f t="shared" si="12"/>
        <v>67.791456363725928</v>
      </c>
    </row>
    <row r="38" spans="1:22">
      <c r="A38" s="47">
        <v>3594</v>
      </c>
      <c r="B38" s="47">
        <v>25000</v>
      </c>
      <c r="C38" s="47">
        <v>210000</v>
      </c>
      <c r="D38" s="13">
        <v>42583</v>
      </c>
      <c r="E38" s="16">
        <f t="shared" si="4"/>
        <v>216119.02229845626</v>
      </c>
      <c r="F38" s="16">
        <f t="shared" si="4"/>
        <v>21741294.193233673</v>
      </c>
      <c r="G38" s="14">
        <f t="shared" si="4"/>
        <v>100.59870696254289</v>
      </c>
      <c r="H38" s="46">
        <f t="shared" ref="H38:H90" si="25">IF(E38+A38-K38&lt;C38-B38,C38-E38+K38-A38,0)</f>
        <v>0</v>
      </c>
      <c r="I38" s="23">
        <f t="shared" si="22"/>
        <v>0</v>
      </c>
      <c r="J38" s="22">
        <f>VLOOKUP(D38,Data!$A$5:$V$197,8,FALSE)*5.83</f>
        <v>62.874146915999994</v>
      </c>
      <c r="K38" s="71">
        <f>VLOOKUP(D38,Data!$A$5:$V$197,19,FALSE)</f>
        <v>1031.9039451114922</v>
      </c>
      <c r="L38" s="48">
        <f t="shared" si="23"/>
        <v>103808.20258776295</v>
      </c>
      <c r="M38" s="14">
        <f t="shared" si="1"/>
        <v>100.59870696254289</v>
      </c>
      <c r="N38" s="15">
        <f t="shared" si="2"/>
        <v>215087.11835334476</v>
      </c>
      <c r="O38" s="15">
        <f t="shared" si="2"/>
        <v>21637485.990645908</v>
      </c>
      <c r="P38" s="22">
        <f t="shared" si="3"/>
        <v>100.59870696254288</v>
      </c>
      <c r="Q38" s="31">
        <f t="shared" si="24"/>
        <v>173448.85868848133</v>
      </c>
      <c r="R38" s="31">
        <f t="shared" si="24"/>
        <v>19220459.554616388</v>
      </c>
      <c r="S38" s="32">
        <f t="shared" si="10"/>
        <v>110.81341036170687</v>
      </c>
      <c r="T38" s="31">
        <f t="shared" si="11"/>
        <v>218681.11835334476</v>
      </c>
      <c r="U38" s="7">
        <v>12000</v>
      </c>
      <c r="V38" s="37">
        <f t="shared" si="12"/>
        <v>67.454673091822698</v>
      </c>
    </row>
    <row r="39" spans="1:22">
      <c r="A39" s="47">
        <v>3594</v>
      </c>
      <c r="B39" s="47">
        <v>25000</v>
      </c>
      <c r="C39" s="47">
        <v>210000</v>
      </c>
      <c r="D39" s="13">
        <v>42614</v>
      </c>
      <c r="E39" s="16">
        <f t="shared" si="4"/>
        <v>215087.11835334476</v>
      </c>
      <c r="F39" s="16">
        <f t="shared" si="4"/>
        <v>21637485.990645908</v>
      </c>
      <c r="G39" s="14">
        <f t="shared" si="4"/>
        <v>100.59870696254288</v>
      </c>
      <c r="H39" s="46">
        <f t="shared" si="25"/>
        <v>0</v>
      </c>
      <c r="I39" s="23">
        <f t="shared" si="22"/>
        <v>0</v>
      </c>
      <c r="J39" s="22">
        <f>VLOOKUP(D39,Data!$A$5:$V$197,8,FALSE)*5.83</f>
        <v>63.810746915999978</v>
      </c>
      <c r="K39" s="71">
        <f>VLOOKUP(D39,Data!$A$5:$V$197,19,FALSE)</f>
        <v>0</v>
      </c>
      <c r="L39" s="48">
        <f t="shared" si="23"/>
        <v>0</v>
      </c>
      <c r="M39" s="14">
        <f t="shared" si="1"/>
        <v>0</v>
      </c>
      <c r="N39" s="15">
        <f t="shared" si="2"/>
        <v>215087.11835334476</v>
      </c>
      <c r="O39" s="15">
        <f t="shared" si="2"/>
        <v>21637485.990645908</v>
      </c>
      <c r="P39" s="22">
        <f t="shared" si="3"/>
        <v>100.59870696254288</v>
      </c>
      <c r="Q39" s="31">
        <f t="shared" si="24"/>
        <v>176022.17548489245</v>
      </c>
      <c r="R39" s="31">
        <f t="shared" si="24"/>
        <v>19331555.396204539</v>
      </c>
      <c r="S39" s="32">
        <f t="shared" si="10"/>
        <v>109.82454536169347</v>
      </c>
      <c r="T39" s="31">
        <f t="shared" si="11"/>
        <v>218681.11835334476</v>
      </c>
      <c r="U39" s="7">
        <v>12000</v>
      </c>
      <c r="V39" s="37">
        <f t="shared" si="12"/>
        <v>67.454673091822698</v>
      </c>
    </row>
    <row r="40" spans="1:22">
      <c r="A40" s="47">
        <v>3594</v>
      </c>
      <c r="B40" s="47">
        <v>25000</v>
      </c>
      <c r="C40" s="47">
        <v>210000</v>
      </c>
      <c r="D40" s="13">
        <v>42644</v>
      </c>
      <c r="E40" s="16">
        <f t="shared" si="4"/>
        <v>215087.11835334476</v>
      </c>
      <c r="F40" s="16">
        <f t="shared" si="4"/>
        <v>21637485.990645908</v>
      </c>
      <c r="G40" s="14">
        <f t="shared" si="4"/>
        <v>100.59870696254288</v>
      </c>
      <c r="H40" s="46">
        <f t="shared" si="25"/>
        <v>0</v>
      </c>
      <c r="I40" s="23">
        <f t="shared" si="22"/>
        <v>0</v>
      </c>
      <c r="J40" s="22">
        <f>VLOOKUP(D40,Data!$A$5:$V$197,8,FALSE)*5.83</f>
        <v>64.785146915999988</v>
      </c>
      <c r="K40" s="71">
        <f>VLOOKUP(D40,Data!$A$5:$V$197,19,FALSE)</f>
        <v>0</v>
      </c>
      <c r="L40" s="48">
        <f t="shared" si="23"/>
        <v>0</v>
      </c>
      <c r="M40" s="14">
        <f t="shared" si="1"/>
        <v>0</v>
      </c>
      <c r="N40" s="15">
        <f t="shared" si="2"/>
        <v>215087.11835334476</v>
      </c>
      <c r="O40" s="15">
        <f t="shared" si="2"/>
        <v>21637485.990645908</v>
      </c>
      <c r="P40" s="22">
        <f t="shared" si="3"/>
        <v>100.59870696254288</v>
      </c>
      <c r="Q40" s="31">
        <f t="shared" si="24"/>
        <v>179165.26151207282</v>
      </c>
      <c r="R40" s="31">
        <f t="shared" si="24"/>
        <v>19498871.405484997</v>
      </c>
      <c r="S40" s="32">
        <f t="shared" si="10"/>
        <v>108.8317637075594</v>
      </c>
      <c r="T40" s="31">
        <f t="shared" si="11"/>
        <v>218681.11835334476</v>
      </c>
      <c r="U40" s="7">
        <v>12000</v>
      </c>
      <c r="V40" s="37">
        <f t="shared" si="12"/>
        <v>67.454673091822698</v>
      </c>
    </row>
    <row r="41" spans="1:22">
      <c r="A41" s="47">
        <v>3594</v>
      </c>
      <c r="B41" s="47">
        <v>25000</v>
      </c>
      <c r="C41" s="47">
        <v>210000</v>
      </c>
      <c r="D41" s="13">
        <v>42675</v>
      </c>
      <c r="E41" s="16">
        <f t="shared" si="4"/>
        <v>215087.11835334476</v>
      </c>
      <c r="F41" s="16">
        <f t="shared" si="4"/>
        <v>21637485.990645908</v>
      </c>
      <c r="G41" s="14">
        <f t="shared" si="4"/>
        <v>100.59870696254288</v>
      </c>
      <c r="H41" s="46">
        <f t="shared" si="25"/>
        <v>0</v>
      </c>
      <c r="I41" s="23">
        <f t="shared" si="22"/>
        <v>0</v>
      </c>
      <c r="J41" s="22">
        <f>VLOOKUP(D41,Data!$A$5:$V$197,8,FALSE)*5.83</f>
        <v>65.662946915999996</v>
      </c>
      <c r="K41" s="71">
        <f>VLOOKUP(D41,Data!$A$5:$V$197,19,FALSE)</f>
        <v>0</v>
      </c>
      <c r="L41" s="48">
        <f t="shared" si="23"/>
        <v>0</v>
      </c>
      <c r="M41" s="14">
        <f t="shared" si="1"/>
        <v>0</v>
      </c>
      <c r="N41" s="15">
        <f t="shared" si="2"/>
        <v>215087.11835334476</v>
      </c>
      <c r="O41" s="15">
        <f t="shared" si="2"/>
        <v>21637485.990645908</v>
      </c>
      <c r="P41" s="22">
        <f t="shared" si="3"/>
        <v>100.59870696254288</v>
      </c>
      <c r="Q41" s="31">
        <f t="shared" si="24"/>
        <v>183045.6552315609</v>
      </c>
      <c r="R41" s="31">
        <f t="shared" si="24"/>
        <v>19737662.070919298</v>
      </c>
      <c r="S41" s="32">
        <f t="shared" si="10"/>
        <v>107.82917543686179</v>
      </c>
      <c r="T41" s="31">
        <f t="shared" si="11"/>
        <v>218681.11835334476</v>
      </c>
      <c r="U41" s="7">
        <v>12000</v>
      </c>
      <c r="V41" s="37">
        <f t="shared" si="12"/>
        <v>67.454673091822698</v>
      </c>
    </row>
    <row r="42" spans="1:22">
      <c r="A42" s="47">
        <v>3594</v>
      </c>
      <c r="B42" s="47">
        <v>25000</v>
      </c>
      <c r="C42" s="47">
        <v>210000</v>
      </c>
      <c r="D42" s="13">
        <v>42705</v>
      </c>
      <c r="E42" s="16">
        <f t="shared" si="4"/>
        <v>215087.11835334476</v>
      </c>
      <c r="F42" s="16">
        <f t="shared" si="4"/>
        <v>21637485.990645908</v>
      </c>
      <c r="G42" s="14">
        <f t="shared" si="4"/>
        <v>100.59870696254288</v>
      </c>
      <c r="H42" s="46">
        <f t="shared" si="25"/>
        <v>0</v>
      </c>
      <c r="I42" s="23">
        <f t="shared" si="22"/>
        <v>0</v>
      </c>
      <c r="J42" s="22">
        <f>VLOOKUP(D42,Data!$A$5:$V$197,8,FALSE)*5.83</f>
        <v>66.486146915999981</v>
      </c>
      <c r="K42" s="71">
        <f>VLOOKUP(D42,Data!$A$5:$V$197,19,FALSE)</f>
        <v>17908.233276157804</v>
      </c>
      <c r="L42" s="48">
        <f t="shared" si="23"/>
        <v>1801545.1115650581</v>
      </c>
      <c r="M42" s="14">
        <f t="shared" si="1"/>
        <v>100.59870696254288</v>
      </c>
      <c r="N42" s="15">
        <f t="shared" si="2"/>
        <v>197178.88507718695</v>
      </c>
      <c r="O42" s="15">
        <f t="shared" si="2"/>
        <v>19835940.879080851</v>
      </c>
      <c r="P42" s="22">
        <f t="shared" si="3"/>
        <v>100.59870696254289</v>
      </c>
      <c r="Q42" s="31">
        <f t="shared" si="24"/>
        <v>186549.64639134446</v>
      </c>
      <c r="R42" s="31">
        <f t="shared" si="24"/>
        <v>19889216.526233215</v>
      </c>
      <c r="S42" s="32">
        <f t="shared" si="10"/>
        <v>106.61621134627912</v>
      </c>
      <c r="T42" s="31">
        <f t="shared" si="11"/>
        <v>200772.88507718695</v>
      </c>
      <c r="U42" s="7">
        <v>10000</v>
      </c>
      <c r="V42" s="37">
        <f t="shared" si="12"/>
        <v>62.262690952084512</v>
      </c>
    </row>
    <row r="43" spans="1:22">
      <c r="A43" s="47">
        <v>3594</v>
      </c>
      <c r="B43" s="47">
        <v>25000</v>
      </c>
      <c r="C43" s="47">
        <v>210000</v>
      </c>
      <c r="D43" s="13">
        <v>42736</v>
      </c>
      <c r="E43" s="16">
        <f t="shared" si="4"/>
        <v>197178.88507718695</v>
      </c>
      <c r="F43" s="16">
        <f t="shared" si="4"/>
        <v>19835940.879080851</v>
      </c>
      <c r="G43" s="14">
        <f t="shared" si="4"/>
        <v>100.59870696254289</v>
      </c>
      <c r="H43" s="46">
        <f t="shared" si="25"/>
        <v>0</v>
      </c>
      <c r="I43" s="23">
        <f t="shared" si="22"/>
        <v>0</v>
      </c>
      <c r="J43" s="22">
        <f>VLOOKUP(D43,Data!$A$5:$V$197,8,FALSE)*5.83</f>
        <v>67.317746916000004</v>
      </c>
      <c r="K43" s="71">
        <f>VLOOKUP(D43,Data!$A$5:$V$197,19,FALSE)</f>
        <v>0</v>
      </c>
      <c r="L43" s="48">
        <f t="shared" si="23"/>
        <v>0</v>
      </c>
      <c r="M43" s="14">
        <f t="shared" si="1"/>
        <v>0</v>
      </c>
      <c r="N43" s="15">
        <f t="shared" si="2"/>
        <v>197178.88507718695</v>
      </c>
      <c r="O43" s="15">
        <f t="shared" si="2"/>
        <v>19835940.879080851</v>
      </c>
      <c r="P43" s="22">
        <f t="shared" si="3"/>
        <v>100.59870696254289</v>
      </c>
      <c r="Q43" s="31">
        <f t="shared" si="24"/>
        <v>190045.71447420504</v>
      </c>
      <c r="R43" s="31">
        <f t="shared" si="24"/>
        <v>20039826.286931746</v>
      </c>
      <c r="S43" s="32">
        <f t="shared" si="10"/>
        <v>105.44739902383728</v>
      </c>
      <c r="T43" s="31">
        <f t="shared" si="11"/>
        <v>200772.88507718695</v>
      </c>
      <c r="U43" s="7">
        <v>10000</v>
      </c>
      <c r="V43" s="37">
        <f t="shared" si="12"/>
        <v>62.262690952084512</v>
      </c>
    </row>
    <row r="44" spans="1:22">
      <c r="A44" s="47">
        <v>3594</v>
      </c>
      <c r="B44" s="47">
        <v>25000</v>
      </c>
      <c r="C44" s="47">
        <v>210000</v>
      </c>
      <c r="D44" s="13">
        <v>42767</v>
      </c>
      <c r="E44" s="16">
        <f t="shared" si="4"/>
        <v>197178.88507718695</v>
      </c>
      <c r="F44" s="16">
        <f t="shared" si="4"/>
        <v>19835940.879080851</v>
      </c>
      <c r="G44" s="14">
        <f t="shared" si="4"/>
        <v>100.59870696254289</v>
      </c>
      <c r="H44" s="46">
        <f t="shared" si="25"/>
        <v>0</v>
      </c>
      <c r="I44" s="23">
        <f t="shared" si="22"/>
        <v>0</v>
      </c>
      <c r="J44" s="22">
        <f>VLOOKUP(D44,Data!$A$5:$V$197,8,FALSE)*5.83</f>
        <v>67.989746916000001</v>
      </c>
      <c r="K44" s="71">
        <f>VLOOKUP(D44,Data!$A$5:$V$197,19,FALSE)</f>
        <v>5298.1132075471705</v>
      </c>
      <c r="L44" s="48">
        <f t="shared" si="23"/>
        <v>532983.33802041598</v>
      </c>
      <c r="M44" s="14">
        <f t="shared" si="1"/>
        <v>100.59870696254289</v>
      </c>
      <c r="N44" s="15">
        <f t="shared" si="2"/>
        <v>191880.77186963978</v>
      </c>
      <c r="O44" s="15">
        <f t="shared" si="2"/>
        <v>19302957.541060433</v>
      </c>
      <c r="P44" s="22">
        <f t="shared" si="3"/>
        <v>100.59870696254288</v>
      </c>
      <c r="Q44" s="31">
        <f t="shared" si="24"/>
        <v>193134.23538725424</v>
      </c>
      <c r="R44" s="31">
        <f t="shared" si="24"/>
        <v>20149437.329321008</v>
      </c>
      <c r="S44" s="32">
        <f t="shared" si="10"/>
        <v>104.32866699639911</v>
      </c>
      <c r="T44" s="31">
        <f t="shared" si="11"/>
        <v>195474.77186963978</v>
      </c>
      <c r="U44" s="7">
        <v>10000</v>
      </c>
      <c r="V44" s="37">
        <f t="shared" si="12"/>
        <v>60.533541732911154</v>
      </c>
    </row>
    <row r="45" spans="1:22">
      <c r="A45" s="47">
        <v>3594</v>
      </c>
      <c r="B45" s="47">
        <v>25000</v>
      </c>
      <c r="C45" s="47">
        <v>210000</v>
      </c>
      <c r="D45" s="13">
        <v>42795</v>
      </c>
      <c r="E45" s="16">
        <f t="shared" si="4"/>
        <v>191880.77186963978</v>
      </c>
      <c r="F45" s="16">
        <f t="shared" si="4"/>
        <v>19302957.541060433</v>
      </c>
      <c r="G45" s="14">
        <f t="shared" si="4"/>
        <v>100.59870696254288</v>
      </c>
      <c r="H45" s="46">
        <f t="shared" si="25"/>
        <v>0</v>
      </c>
      <c r="I45" s="23">
        <f t="shared" si="22"/>
        <v>0</v>
      </c>
      <c r="J45" s="22">
        <f>VLOOKUP(D45,Data!$A$5:$V$197,8,FALSE)*5.83</f>
        <v>68.388746915999988</v>
      </c>
      <c r="K45" s="71">
        <f>VLOOKUP(D45,Data!$A$5:$V$197,19,FALSE)</f>
        <v>9988.507718696399</v>
      </c>
      <c r="L45" s="48">
        <f t="shared" si="23"/>
        <v>1004830.9609862367</v>
      </c>
      <c r="M45" s="14">
        <f t="shared" si="1"/>
        <v>100.59870696254288</v>
      </c>
      <c r="N45" s="15">
        <f t="shared" si="2"/>
        <v>181892.26415094337</v>
      </c>
      <c r="O45" s="15">
        <f t="shared" si="2"/>
        <v>18298126.580074195</v>
      </c>
      <c r="P45" s="22">
        <f t="shared" si="3"/>
        <v>100.59870696254288</v>
      </c>
      <c r="Q45" s="31">
        <f t="shared" si="24"/>
        <v>195454.40955271141</v>
      </c>
      <c r="R45" s="31">
        <f t="shared" si="24"/>
        <v>20181753.682403639</v>
      </c>
      <c r="S45" s="32">
        <f t="shared" si="10"/>
        <v>103.25555575128067</v>
      </c>
      <c r="T45" s="31">
        <f t="shared" si="11"/>
        <v>185486.26415094337</v>
      </c>
      <c r="U45" s="7">
        <v>10000</v>
      </c>
      <c r="V45" s="37">
        <f t="shared" si="12"/>
        <v>57.273584905660371</v>
      </c>
    </row>
    <row r="46" spans="1:22">
      <c r="A46" s="47">
        <v>3594</v>
      </c>
      <c r="B46" s="47">
        <v>25000</v>
      </c>
      <c r="C46" s="47">
        <v>210000</v>
      </c>
      <c r="D46" s="13">
        <v>42826</v>
      </c>
      <c r="E46" s="16">
        <f t="shared" si="4"/>
        <v>181892.26415094337</v>
      </c>
      <c r="F46" s="16">
        <f t="shared" si="4"/>
        <v>18298126.580074195</v>
      </c>
      <c r="G46" s="14">
        <f t="shared" si="4"/>
        <v>100.59870696254288</v>
      </c>
      <c r="H46" s="46">
        <f t="shared" si="25"/>
        <v>32257.989708404828</v>
      </c>
      <c r="I46" s="23">
        <f t="shared" si="22"/>
        <v>2207167.3626412326</v>
      </c>
      <c r="J46" s="22">
        <f>VLOOKUP(D46,Data!$A$5:$V$197,8,FALSE)*5.83</f>
        <v>68.422346915999995</v>
      </c>
      <c r="K46" s="71">
        <f>VLOOKUP(D46,Data!$A$5:$V$197,19,FALSE)</f>
        <v>7744.2538593481995</v>
      </c>
      <c r="L46" s="48">
        <f t="shared" si="23"/>
        <v>741527.03016285168</v>
      </c>
      <c r="M46" s="14">
        <f t="shared" si="1"/>
        <v>95.751901168340936</v>
      </c>
      <c r="N46" s="15">
        <f t="shared" si="2"/>
        <v>206406</v>
      </c>
      <c r="O46" s="15">
        <f t="shared" si="2"/>
        <v>19763766.912552577</v>
      </c>
      <c r="P46" s="22">
        <f t="shared" si="3"/>
        <v>95.751901168340922</v>
      </c>
      <c r="Q46" s="31">
        <f t="shared" si="24"/>
        <v>199660.25570655757</v>
      </c>
      <c r="R46" s="31">
        <f t="shared" si="24"/>
        <v>20326811.599523071</v>
      </c>
      <c r="S46" s="32">
        <f t="shared" si="10"/>
        <v>101.80699973357524</v>
      </c>
      <c r="T46" s="31">
        <f t="shared" si="11"/>
        <v>210000</v>
      </c>
      <c r="U46" s="7">
        <v>10000</v>
      </c>
      <c r="V46" s="37">
        <f t="shared" si="12"/>
        <v>65.274151436031332</v>
      </c>
    </row>
    <row r="47" spans="1:22">
      <c r="A47" s="47">
        <v>3594</v>
      </c>
      <c r="B47" s="47">
        <v>25000</v>
      </c>
      <c r="C47" s="47">
        <v>210000</v>
      </c>
      <c r="D47" s="13">
        <v>42856</v>
      </c>
      <c r="E47" s="16">
        <f t="shared" si="4"/>
        <v>206406</v>
      </c>
      <c r="F47" s="16">
        <f t="shared" si="4"/>
        <v>19763766.912552577</v>
      </c>
      <c r="G47" s="14">
        <f t="shared" si="4"/>
        <v>95.751901168340922</v>
      </c>
      <c r="H47" s="46">
        <f t="shared" si="25"/>
        <v>0</v>
      </c>
      <c r="I47" s="23">
        <f t="shared" si="22"/>
        <v>0</v>
      </c>
      <c r="J47" s="22">
        <f>VLOOKUP(D47,Data!$A$5:$V$197,8,FALSE)*5.83</f>
        <v>68.804546915999993</v>
      </c>
      <c r="K47" s="71">
        <f>VLOOKUP(D47,Data!$A$5:$V$197,19,FALSE)</f>
        <v>5430.5317324185244</v>
      </c>
      <c r="L47" s="48">
        <f t="shared" si="23"/>
        <v>519983.73773407773</v>
      </c>
      <c r="M47" s="14">
        <f t="shared" si="1"/>
        <v>95.751901168340922</v>
      </c>
      <c r="N47" s="15">
        <f t="shared" si="2"/>
        <v>200975.46826758148</v>
      </c>
      <c r="O47" s="15">
        <f t="shared" si="2"/>
        <v>19243783.174818497</v>
      </c>
      <c r="P47" s="22">
        <f t="shared" si="3"/>
        <v>95.751901168340908</v>
      </c>
      <c r="Q47" s="31">
        <f t="shared" si="24"/>
        <v>202294.52249637153</v>
      </c>
      <c r="R47" s="31">
        <f t="shared" si="24"/>
        <v>20363975.982682951</v>
      </c>
      <c r="S47" s="32">
        <f t="shared" si="10"/>
        <v>100.66498949840924</v>
      </c>
      <c r="T47" s="31">
        <f t="shared" si="11"/>
        <v>204569.46826758148</v>
      </c>
      <c r="U47" s="7">
        <v>10000</v>
      </c>
      <c r="V47" s="37">
        <f t="shared" si="12"/>
        <v>63.501784682631033</v>
      </c>
    </row>
    <row r="48" spans="1:22">
      <c r="A48" s="47">
        <v>3594</v>
      </c>
      <c r="B48" s="47">
        <v>25000</v>
      </c>
      <c r="C48" s="47">
        <v>210000</v>
      </c>
      <c r="D48" s="13">
        <v>42887</v>
      </c>
      <c r="E48" s="16">
        <f t="shared" si="4"/>
        <v>200975.46826758148</v>
      </c>
      <c r="F48" s="16">
        <f t="shared" si="4"/>
        <v>19243783.174818497</v>
      </c>
      <c r="G48" s="14">
        <f t="shared" si="4"/>
        <v>95.751901168340908</v>
      </c>
      <c r="H48" s="46">
        <f t="shared" si="25"/>
        <v>0</v>
      </c>
      <c r="I48" s="23">
        <f t="shared" si="22"/>
        <v>0</v>
      </c>
      <c r="J48" s="22">
        <f>VLOOKUP(D48,Data!$A$5:$V$197,8,FALSE)*5.83</f>
        <v>69.316946915999992</v>
      </c>
      <c r="K48" s="71">
        <f>VLOOKUP(D48,Data!$A$5:$V$197,19,FALSE)</f>
        <v>1143.0531732418526</v>
      </c>
      <c r="L48" s="48">
        <f t="shared" si="23"/>
        <v>109449.51447441232</v>
      </c>
      <c r="M48" s="14">
        <f t="shared" ref="M48:M54" si="26">IF(K48=0,0,L48/K48)</f>
        <v>95.751901168340908</v>
      </c>
      <c r="N48" s="15">
        <f t="shared" si="2"/>
        <v>199832.41509433964</v>
      </c>
      <c r="O48" s="15">
        <f t="shared" si="2"/>
        <v>19134333.660344087</v>
      </c>
      <c r="P48" s="22">
        <f t="shared" si="3"/>
        <v>95.751901168340922</v>
      </c>
      <c r="Q48" s="31">
        <f t="shared" si="24"/>
        <v>203687.01596516691</v>
      </c>
      <c r="R48" s="31">
        <f t="shared" si="24"/>
        <v>20323837.772134036</v>
      </c>
      <c r="S48" s="32">
        <f t="shared" si="10"/>
        <v>99.779741363630521</v>
      </c>
      <c r="T48" s="31">
        <f t="shared" si="11"/>
        <v>203426.41509433964</v>
      </c>
      <c r="U48" s="7">
        <v>12000</v>
      </c>
      <c r="V48" s="37">
        <f t="shared" si="12"/>
        <v>62.475984038622599</v>
      </c>
    </row>
    <row r="49" spans="1:22">
      <c r="A49" s="47">
        <v>3594</v>
      </c>
      <c r="B49" s="47">
        <v>25000</v>
      </c>
      <c r="C49" s="47">
        <v>210000</v>
      </c>
      <c r="D49" s="13">
        <v>42917</v>
      </c>
      <c r="E49" s="16">
        <f t="shared" ref="E49:G54" si="27">N48</f>
        <v>199832.41509433964</v>
      </c>
      <c r="F49" s="16">
        <f t="shared" si="27"/>
        <v>19134333.660344087</v>
      </c>
      <c r="G49" s="14">
        <f t="shared" si="27"/>
        <v>95.751901168340922</v>
      </c>
      <c r="H49" s="46">
        <f t="shared" si="25"/>
        <v>0</v>
      </c>
      <c r="I49" s="23">
        <f t="shared" si="22"/>
        <v>0</v>
      </c>
      <c r="J49" s="22">
        <f>VLOOKUP(D49,Data!$A$5:$V$197,8,FALSE)*5.83</f>
        <v>69.993146916000001</v>
      </c>
      <c r="K49" s="71">
        <f>VLOOKUP(D49,Data!$A$5:$V$197,19,FALSE)</f>
        <v>5251.9725557461416</v>
      </c>
      <c r="L49" s="48">
        <f t="shared" si="23"/>
        <v>502886.35709664342</v>
      </c>
      <c r="M49" s="14">
        <f t="shared" si="26"/>
        <v>95.751901168340922</v>
      </c>
      <c r="N49" s="15">
        <f t="shared" si="2"/>
        <v>194580.44253859349</v>
      </c>
      <c r="O49" s="15">
        <f t="shared" si="2"/>
        <v>18631447.303247444</v>
      </c>
      <c r="P49" s="22">
        <f t="shared" si="3"/>
        <v>95.751901168340922</v>
      </c>
      <c r="Q49" s="31">
        <f t="shared" ref="Q49:R54" si="28">AVERAGE(N37:N49)</f>
        <v>203568.66367594668</v>
      </c>
      <c r="R49" s="31">
        <f t="shared" si="28"/>
        <v>20179810.391236633</v>
      </c>
      <c r="S49" s="32">
        <f t="shared" si="10"/>
        <v>99.130239531169281</v>
      </c>
      <c r="T49" s="31">
        <f t="shared" si="11"/>
        <v>198174.44253859349</v>
      </c>
      <c r="U49" s="7">
        <v>12000</v>
      </c>
      <c r="V49" s="37">
        <f t="shared" si="12"/>
        <v>60.76189377891432</v>
      </c>
    </row>
    <row r="50" spans="1:22">
      <c r="A50" s="47">
        <v>3594</v>
      </c>
      <c r="B50" s="47">
        <v>25000</v>
      </c>
      <c r="C50" s="47">
        <v>210000</v>
      </c>
      <c r="D50" s="13">
        <v>42948</v>
      </c>
      <c r="E50" s="16">
        <f t="shared" si="27"/>
        <v>194580.44253859349</v>
      </c>
      <c r="F50" s="16">
        <f t="shared" si="27"/>
        <v>18631447.303247444</v>
      </c>
      <c r="G50" s="14">
        <f t="shared" si="27"/>
        <v>95.751901168340922</v>
      </c>
      <c r="H50" s="46">
        <f t="shared" si="25"/>
        <v>30203.087478559173</v>
      </c>
      <c r="I50" s="23">
        <f t="shared" si="22"/>
        <v>2134813.0258588237</v>
      </c>
      <c r="J50" s="22">
        <f>VLOOKUP(D50,Data!$A$5:$V$197,8,FALSE)*5.83</f>
        <v>70.681946916000001</v>
      </c>
      <c r="K50" s="71">
        <f>VLOOKUP(D50,Data!$A$5:$V$197,19,FALSE)</f>
        <v>18377.530017152658</v>
      </c>
      <c r="L50" s="48">
        <f t="shared" si="23"/>
        <v>1697778.1802476163</v>
      </c>
      <c r="M50" s="14">
        <f t="shared" si="26"/>
        <v>92.38337135964386</v>
      </c>
      <c r="N50" s="15">
        <f t="shared" si="2"/>
        <v>206406</v>
      </c>
      <c r="O50" s="15">
        <f t="shared" si="2"/>
        <v>19068482.148858652</v>
      </c>
      <c r="P50" s="22">
        <f t="shared" si="3"/>
        <v>92.38337135964386</v>
      </c>
      <c r="Q50" s="31">
        <f t="shared" si="28"/>
        <v>202821.50811452698</v>
      </c>
      <c r="R50" s="31">
        <f t="shared" si="28"/>
        <v>19974209.464746244</v>
      </c>
      <c r="S50" s="32">
        <f t="shared" si="10"/>
        <v>98.481712568015382</v>
      </c>
      <c r="T50" s="31">
        <f t="shared" si="11"/>
        <v>210000</v>
      </c>
      <c r="U50" s="7">
        <v>12000</v>
      </c>
      <c r="V50" s="37">
        <f t="shared" si="12"/>
        <v>64.621409921671017</v>
      </c>
    </row>
    <row r="51" spans="1:22">
      <c r="A51" s="47">
        <v>3594</v>
      </c>
      <c r="B51" s="47">
        <v>25000</v>
      </c>
      <c r="C51" s="47">
        <v>210000</v>
      </c>
      <c r="D51" s="13">
        <v>42979</v>
      </c>
      <c r="E51" s="16">
        <f t="shared" si="27"/>
        <v>206406</v>
      </c>
      <c r="F51" s="16">
        <f t="shared" si="27"/>
        <v>19068482.148858652</v>
      </c>
      <c r="G51" s="14">
        <f t="shared" si="27"/>
        <v>92.38337135964386</v>
      </c>
      <c r="H51" s="46">
        <f t="shared" si="25"/>
        <v>0</v>
      </c>
      <c r="I51" s="23">
        <f t="shared" si="22"/>
        <v>0</v>
      </c>
      <c r="J51" s="22">
        <f>VLOOKUP(D51,Data!$A$5:$V$197,8,FALSE)*5.83</f>
        <v>71.395946916</v>
      </c>
      <c r="K51" s="71">
        <f>VLOOKUP(D51,Data!$A$5:$V$197,19,FALSE)</f>
        <v>4417.6672384219564</v>
      </c>
      <c r="L51" s="48">
        <f t="shared" si="23"/>
        <v>408118.99303046794</v>
      </c>
      <c r="M51" s="14">
        <f t="shared" si="26"/>
        <v>92.38337135964386</v>
      </c>
      <c r="N51" s="15">
        <f t="shared" si="2"/>
        <v>201988.33276157803</v>
      </c>
      <c r="O51" s="15">
        <f t="shared" si="2"/>
        <v>18660363.155828185</v>
      </c>
      <c r="P51" s="22">
        <f t="shared" si="3"/>
        <v>92.383371359643874</v>
      </c>
      <c r="Q51" s="31">
        <f t="shared" si="28"/>
        <v>201813.90922285258</v>
      </c>
      <c r="R51" s="31">
        <f t="shared" si="28"/>
        <v>19745200.015914116</v>
      </c>
      <c r="S51" s="32">
        <f t="shared" si="10"/>
        <v>97.838647950228847</v>
      </c>
      <c r="T51" s="31">
        <f t="shared" si="11"/>
        <v>205582.33276157803</v>
      </c>
      <c r="U51" s="7">
        <v>12000</v>
      </c>
      <c r="V51" s="37">
        <f t="shared" si="12"/>
        <v>63.179612520097265</v>
      </c>
    </row>
    <row r="52" spans="1:22">
      <c r="A52" s="47">
        <v>3594</v>
      </c>
      <c r="B52" s="47">
        <v>25000</v>
      </c>
      <c r="C52" s="47">
        <v>210000</v>
      </c>
      <c r="D52" s="13">
        <v>43009</v>
      </c>
      <c r="E52" s="16">
        <f t="shared" si="27"/>
        <v>201988.33276157803</v>
      </c>
      <c r="F52" s="16">
        <f t="shared" si="27"/>
        <v>18660363.155828185</v>
      </c>
      <c r="G52" s="14">
        <f t="shared" si="27"/>
        <v>92.383371359643874</v>
      </c>
      <c r="H52" s="46">
        <f t="shared" si="25"/>
        <v>0</v>
      </c>
      <c r="I52" s="23">
        <f t="shared" si="22"/>
        <v>0</v>
      </c>
      <c r="J52" s="22">
        <f>VLOOKUP(D52,Data!$A$5:$V$197,8,FALSE)*5.83</f>
        <v>72.109946915999984</v>
      </c>
      <c r="K52" s="71">
        <f>VLOOKUP(D52,Data!$A$5:$V$197,19,FALSE)</f>
        <v>205.83190394511149</v>
      </c>
      <c r="L52" s="48">
        <f t="shared" si="23"/>
        <v>19015.445219823781</v>
      </c>
      <c r="M52" s="14">
        <f t="shared" si="26"/>
        <v>92.383371359643874</v>
      </c>
      <c r="N52" s="15">
        <f t="shared" si="2"/>
        <v>201782.50085763293</v>
      </c>
      <c r="O52" s="15">
        <f t="shared" si="2"/>
        <v>18641347.710608363</v>
      </c>
      <c r="P52" s="22">
        <f t="shared" si="3"/>
        <v>92.383371359643888</v>
      </c>
      <c r="Q52" s="31">
        <f t="shared" si="28"/>
        <v>200790.47710779787</v>
      </c>
      <c r="R52" s="31">
        <f t="shared" si="28"/>
        <v>19514727.840526607</v>
      </c>
      <c r="S52" s="32">
        <f t="shared" si="10"/>
        <v>97.189508793535992</v>
      </c>
      <c r="T52" s="31">
        <f t="shared" si="11"/>
        <v>205376.50085763293</v>
      </c>
      <c r="U52" s="7">
        <v>12000</v>
      </c>
      <c r="V52" s="37">
        <f t="shared" si="12"/>
        <v>63.112435005754875</v>
      </c>
    </row>
    <row r="53" spans="1:22">
      <c r="A53" s="47">
        <v>3594</v>
      </c>
      <c r="B53" s="47">
        <v>25000</v>
      </c>
      <c r="C53" s="47">
        <v>210000</v>
      </c>
      <c r="D53" s="13">
        <v>43040</v>
      </c>
      <c r="E53" s="16">
        <f t="shared" si="27"/>
        <v>201782.50085763293</v>
      </c>
      <c r="F53" s="16">
        <f t="shared" si="27"/>
        <v>18641347.710608363</v>
      </c>
      <c r="G53" s="14">
        <f t="shared" si="27"/>
        <v>92.383371359643888</v>
      </c>
      <c r="H53" s="46">
        <f t="shared" si="25"/>
        <v>69624.871355060051</v>
      </c>
      <c r="I53" s="23">
        <f t="shared" si="22"/>
        <v>5061585.201803484</v>
      </c>
      <c r="J53" s="22">
        <f>VLOOKUP(D53,Data!$A$5:$V$197,8,FALSE)*5.83</f>
        <v>72.697946915999992</v>
      </c>
      <c r="K53" s="71">
        <f>VLOOKUP(D53,Data!$A$5:$V$197,19,FALSE)</f>
        <v>65001.372212692972</v>
      </c>
      <c r="L53" s="48">
        <f t="shared" si="23"/>
        <v>5676791.8727158206</v>
      </c>
      <c r="M53" s="14">
        <f t="shared" si="26"/>
        <v>87.333415887600296</v>
      </c>
      <c r="N53" s="15">
        <f t="shared" si="2"/>
        <v>206406</v>
      </c>
      <c r="O53" s="15">
        <f t="shared" si="2"/>
        <v>18026141.039696027</v>
      </c>
      <c r="P53" s="22">
        <f t="shared" si="3"/>
        <v>87.333415887600296</v>
      </c>
      <c r="Q53" s="31">
        <f t="shared" si="28"/>
        <v>200122.69877292521</v>
      </c>
      <c r="R53" s="31">
        <f t="shared" si="28"/>
        <v>19236932.075068928</v>
      </c>
      <c r="S53" s="32">
        <f t="shared" si="10"/>
        <v>96.125687855612256</v>
      </c>
      <c r="T53" s="31">
        <f t="shared" si="11"/>
        <v>210000</v>
      </c>
      <c r="U53" s="7">
        <v>12000</v>
      </c>
      <c r="V53" s="37">
        <f t="shared" si="12"/>
        <v>64.621409921671017</v>
      </c>
    </row>
    <row r="54" spans="1:22">
      <c r="A54" s="47">
        <v>3594</v>
      </c>
      <c r="B54" s="47">
        <v>25000</v>
      </c>
      <c r="C54" s="47">
        <v>210000</v>
      </c>
      <c r="D54" s="13">
        <v>43070</v>
      </c>
      <c r="E54" s="16">
        <f t="shared" si="27"/>
        <v>206406</v>
      </c>
      <c r="F54" s="16">
        <f t="shared" si="27"/>
        <v>18026141.039696027</v>
      </c>
      <c r="G54" s="14">
        <f t="shared" si="27"/>
        <v>87.333415887600296</v>
      </c>
      <c r="H54" s="46">
        <f t="shared" si="25"/>
        <v>0</v>
      </c>
      <c r="I54" s="23">
        <f t="shared" si="22"/>
        <v>0</v>
      </c>
      <c r="J54" s="22">
        <f>VLOOKUP(D54,Data!$A$5:$V$197,8,FALSE)*5.83</f>
        <v>73.201946915999983</v>
      </c>
      <c r="K54" s="71">
        <f>VLOOKUP(D54,Data!$A$5:$V$197,19,FALSE)</f>
        <v>51.457975986277873</v>
      </c>
      <c r="L54" s="48">
        <f t="shared" si="23"/>
        <v>4494.0008175437542</v>
      </c>
      <c r="M54" s="14">
        <f t="shared" si="26"/>
        <v>87.333415887600296</v>
      </c>
      <c r="N54" s="15">
        <f t="shared" si="2"/>
        <v>206354.54202401373</v>
      </c>
      <c r="O54" s="15">
        <f t="shared" si="2"/>
        <v>18021647.038878482</v>
      </c>
      <c r="P54" s="22">
        <f t="shared" si="3"/>
        <v>87.333415887600282</v>
      </c>
      <c r="Q54" s="31">
        <f t="shared" si="28"/>
        <v>199450.96213220741</v>
      </c>
      <c r="R54" s="31">
        <f t="shared" si="28"/>
        <v>18958790.617240664</v>
      </c>
      <c r="S54" s="32">
        <f t="shared" si="10"/>
        <v>95.054896775447503</v>
      </c>
      <c r="T54" s="31">
        <f t="shared" si="11"/>
        <v>209948.54202401373</v>
      </c>
      <c r="U54" s="7">
        <v>10000</v>
      </c>
      <c r="V54" s="37">
        <f t="shared" si="12"/>
        <v>65.257357057445731</v>
      </c>
    </row>
    <row r="55" spans="1:22">
      <c r="A55" s="47">
        <v>3594</v>
      </c>
      <c r="B55" s="47">
        <v>25000</v>
      </c>
      <c r="C55" s="47">
        <v>210000</v>
      </c>
      <c r="D55" s="13">
        <v>43101</v>
      </c>
      <c r="E55" s="16">
        <f t="shared" ref="E55:E66" si="29">N54</f>
        <v>206354.54202401373</v>
      </c>
      <c r="F55" s="16">
        <f t="shared" ref="F55:F66" si="30">O54</f>
        <v>18021647.038878482</v>
      </c>
      <c r="G55" s="14">
        <f t="shared" ref="G55:G66" si="31">P54</f>
        <v>87.333415887600282</v>
      </c>
      <c r="H55" s="46">
        <f t="shared" si="25"/>
        <v>0</v>
      </c>
      <c r="I55" s="23">
        <f t="shared" ref="I55:I66" si="32">H55*J55</f>
        <v>0</v>
      </c>
      <c r="J55" s="22">
        <f>VLOOKUP(D55,Data!$A$5:$V$197,8,FALSE)*5.83</f>
        <v>73.726946916000003</v>
      </c>
      <c r="K55" s="71">
        <f>VLOOKUP(D55,Data!$A$5:$V$197,19,FALSE)</f>
        <v>0</v>
      </c>
      <c r="L55" s="48">
        <f t="shared" si="23"/>
        <v>0</v>
      </c>
      <c r="M55" s="14">
        <f t="shared" ref="M55:M66" si="33">IF(K55=0,0,L55/K55)</f>
        <v>0</v>
      </c>
      <c r="N55" s="15">
        <f t="shared" ref="N55:N66" si="34">+E55+H55-K55</f>
        <v>206354.54202401373</v>
      </c>
      <c r="O55" s="15">
        <f t="shared" ref="O55:O66" si="35">+F55+I55-L55</f>
        <v>18021647.038878482</v>
      </c>
      <c r="P55" s="22">
        <f t="shared" ref="P55:P66" si="36">IF(N55=0,0,O55/N55)</f>
        <v>87.333415887600282</v>
      </c>
      <c r="Q55" s="31">
        <f t="shared" ref="Q55:Q66" si="37">AVERAGE(N43:N55)</f>
        <v>200156.78189734789</v>
      </c>
      <c r="R55" s="31">
        <f t="shared" ref="R55:R66" si="38">AVERAGE(O43:O55)</f>
        <v>18819229.552609716</v>
      </c>
      <c r="S55" s="32">
        <f t="shared" ref="S55:S66" si="39">IF(Q55=0,0,R55/Q55)</f>
        <v>94.022442678266671</v>
      </c>
      <c r="T55" s="31">
        <f t="shared" si="11"/>
        <v>209948.54202401373</v>
      </c>
      <c r="U55" s="7">
        <v>10000</v>
      </c>
      <c r="V55" s="37">
        <f t="shared" si="12"/>
        <v>65.257357057445731</v>
      </c>
    </row>
    <row r="56" spans="1:22">
      <c r="A56" s="47">
        <v>3594</v>
      </c>
      <c r="B56" s="47">
        <v>25000</v>
      </c>
      <c r="C56" s="47">
        <v>210000</v>
      </c>
      <c r="D56" s="13">
        <v>43132</v>
      </c>
      <c r="E56" s="16">
        <f t="shared" si="29"/>
        <v>206354.54202401373</v>
      </c>
      <c r="F56" s="16">
        <f t="shared" si="30"/>
        <v>18021647.038878482</v>
      </c>
      <c r="G56" s="14">
        <f t="shared" si="31"/>
        <v>87.333415887600282</v>
      </c>
      <c r="H56" s="46">
        <f t="shared" si="25"/>
        <v>0</v>
      </c>
      <c r="I56" s="23">
        <f t="shared" si="32"/>
        <v>0</v>
      </c>
      <c r="J56" s="22">
        <f>VLOOKUP(D56,Data!$A$5:$V$197,8,FALSE)*5.83</f>
        <v>73.999946915999985</v>
      </c>
      <c r="K56" s="71">
        <f>VLOOKUP(D56,Data!$A$5:$V$197,19,FALSE)</f>
        <v>2965.8662092624354</v>
      </c>
      <c r="L56" s="48">
        <f t="shared" si="23"/>
        <v>259019.2271204968</v>
      </c>
      <c r="M56" s="14">
        <f t="shared" si="33"/>
        <v>87.333415887600282</v>
      </c>
      <c r="N56" s="15">
        <f t="shared" si="34"/>
        <v>203388.6758147513</v>
      </c>
      <c r="O56" s="15">
        <f t="shared" si="35"/>
        <v>17762627.811757986</v>
      </c>
      <c r="P56" s="22">
        <f t="shared" si="36"/>
        <v>87.333415887600282</v>
      </c>
      <c r="Q56" s="31">
        <f t="shared" si="37"/>
        <v>200634.45810792982</v>
      </c>
      <c r="R56" s="31">
        <f t="shared" si="38"/>
        <v>18659743.932046417</v>
      </c>
      <c r="S56" s="32">
        <f t="shared" si="39"/>
        <v>93.003684950311708</v>
      </c>
      <c r="T56" s="31">
        <f t="shared" si="11"/>
        <v>206982.6758147513</v>
      </c>
      <c r="U56" s="7">
        <v>10000</v>
      </c>
      <c r="V56" s="37">
        <f t="shared" si="12"/>
        <v>64.289385057033712</v>
      </c>
    </row>
    <row r="57" spans="1:22">
      <c r="A57" s="47">
        <v>3594</v>
      </c>
      <c r="B57" s="47">
        <v>25000</v>
      </c>
      <c r="C57" s="47">
        <v>210000</v>
      </c>
      <c r="D57" s="13">
        <v>43160</v>
      </c>
      <c r="E57" s="16">
        <f t="shared" si="29"/>
        <v>203388.6758147513</v>
      </c>
      <c r="F57" s="16">
        <f t="shared" si="30"/>
        <v>17762627.811757986</v>
      </c>
      <c r="G57" s="14">
        <f t="shared" si="31"/>
        <v>87.333415887600282</v>
      </c>
      <c r="H57" s="46">
        <f t="shared" si="25"/>
        <v>0</v>
      </c>
      <c r="I57" s="23">
        <f t="shared" si="32"/>
        <v>0</v>
      </c>
      <c r="J57" s="22">
        <f>VLOOKUP(D57,Data!$A$5:$V$197,8,FALSE)*5.83</f>
        <v>73.978946915999984</v>
      </c>
      <c r="K57" s="71">
        <f>VLOOKUP(D57,Data!$A$5:$V$197,19,FALSE)</f>
        <v>102.91595197255575</v>
      </c>
      <c r="L57" s="48">
        <f t="shared" si="23"/>
        <v>8988.0016350875067</v>
      </c>
      <c r="M57" s="14">
        <f t="shared" si="33"/>
        <v>87.333415887600268</v>
      </c>
      <c r="N57" s="15">
        <f t="shared" si="34"/>
        <v>203285.75986277874</v>
      </c>
      <c r="O57" s="15">
        <f t="shared" si="35"/>
        <v>17753639.8101229</v>
      </c>
      <c r="P57" s="22">
        <f t="shared" si="36"/>
        <v>87.333415887600296</v>
      </c>
      <c r="Q57" s="31">
        <f t="shared" si="37"/>
        <v>201511.76487663281</v>
      </c>
      <c r="R57" s="31">
        <f t="shared" si="38"/>
        <v>18540565.645051222</v>
      </c>
      <c r="S57" s="32">
        <f t="shared" si="39"/>
        <v>92.007360743438042</v>
      </c>
      <c r="T57" s="31">
        <f t="shared" si="11"/>
        <v>206879.75986277874</v>
      </c>
      <c r="U57" s="7">
        <v>10000</v>
      </c>
      <c r="V57" s="37">
        <f t="shared" si="12"/>
        <v>64.25579629986251</v>
      </c>
    </row>
    <row r="58" spans="1:22">
      <c r="A58" s="47">
        <v>3594</v>
      </c>
      <c r="B58" s="47">
        <v>25000</v>
      </c>
      <c r="C58" s="47">
        <v>210000</v>
      </c>
      <c r="D58" s="13">
        <v>43191</v>
      </c>
      <c r="E58" s="16">
        <f t="shared" si="29"/>
        <v>203285.75986277874</v>
      </c>
      <c r="F58" s="16">
        <f t="shared" si="30"/>
        <v>17753639.8101229</v>
      </c>
      <c r="G58" s="14">
        <f t="shared" si="31"/>
        <v>87.333415887600296</v>
      </c>
      <c r="H58" s="46">
        <f t="shared" si="25"/>
        <v>0</v>
      </c>
      <c r="I58" s="23">
        <f t="shared" si="32"/>
        <v>0</v>
      </c>
      <c r="J58" s="22">
        <f>VLOOKUP(D58,Data!$A$5:$V$197,8,FALSE)*5.83</f>
        <v>73.810946915999992</v>
      </c>
      <c r="K58" s="71">
        <f>VLOOKUP(D58,Data!$A$5:$V$197,19,FALSE)</f>
        <v>3326.072041166381</v>
      </c>
      <c r="L58" s="48">
        <f t="shared" si="23"/>
        <v>290477.23284330318</v>
      </c>
      <c r="M58" s="14">
        <f t="shared" si="33"/>
        <v>87.333415887600296</v>
      </c>
      <c r="N58" s="15">
        <f t="shared" si="34"/>
        <v>199959.68782161234</v>
      </c>
      <c r="O58" s="15">
        <f t="shared" si="35"/>
        <v>17463162.577279598</v>
      </c>
      <c r="P58" s="22">
        <f t="shared" si="36"/>
        <v>87.33341588760031</v>
      </c>
      <c r="Q58" s="31">
        <f t="shared" si="37"/>
        <v>202901.56669745347</v>
      </c>
      <c r="R58" s="31">
        <f t="shared" si="38"/>
        <v>18476337.644836251</v>
      </c>
      <c r="S58" s="32">
        <f t="shared" si="39"/>
        <v>91.060596256441514</v>
      </c>
      <c r="T58" s="31">
        <f t="shared" si="11"/>
        <v>203553.68782161234</v>
      </c>
      <c r="U58" s="7">
        <v>10000</v>
      </c>
      <c r="V58" s="37">
        <f t="shared" si="12"/>
        <v>63.170263649351284</v>
      </c>
    </row>
    <row r="59" spans="1:22">
      <c r="A59" s="47">
        <v>3594</v>
      </c>
      <c r="B59" s="47">
        <v>25000</v>
      </c>
      <c r="C59" s="47">
        <v>210000</v>
      </c>
      <c r="D59" s="13">
        <v>43221</v>
      </c>
      <c r="E59" s="16">
        <f t="shared" si="29"/>
        <v>199959.68782161234</v>
      </c>
      <c r="F59" s="16">
        <f t="shared" si="30"/>
        <v>17463162.577279598</v>
      </c>
      <c r="G59" s="14">
        <f t="shared" si="31"/>
        <v>87.33341588760031</v>
      </c>
      <c r="H59" s="46">
        <f t="shared" si="25"/>
        <v>0</v>
      </c>
      <c r="I59" s="23">
        <f t="shared" si="32"/>
        <v>0</v>
      </c>
      <c r="J59" s="22">
        <f>VLOOKUP(D59,Data!$A$5:$V$197,8,FALSE)*5.83</f>
        <v>74.188946915999992</v>
      </c>
      <c r="K59" s="71">
        <f>VLOOKUP(D59,Data!$A$5:$V$197,19,FALSE)</f>
        <v>2800.514579759863</v>
      </c>
      <c r="L59" s="48">
        <f t="shared" si="23"/>
        <v>244578.50449345633</v>
      </c>
      <c r="M59" s="14">
        <f t="shared" si="33"/>
        <v>87.33341588760031</v>
      </c>
      <c r="N59" s="15">
        <f t="shared" si="34"/>
        <v>197159.17324185249</v>
      </c>
      <c r="O59" s="15">
        <f t="shared" si="35"/>
        <v>17218584.072786141</v>
      </c>
      <c r="P59" s="22">
        <f t="shared" si="36"/>
        <v>87.33341588760031</v>
      </c>
      <c r="Q59" s="31">
        <f t="shared" si="37"/>
        <v>202190.27233144216</v>
      </c>
      <c r="R59" s="31">
        <f t="shared" si="38"/>
        <v>18280554.349469602</v>
      </c>
      <c r="S59" s="32">
        <f t="shared" si="39"/>
        <v>90.412630334178715</v>
      </c>
      <c r="T59" s="31">
        <f t="shared" si="11"/>
        <v>200753.17324185249</v>
      </c>
      <c r="U59" s="7">
        <v>10000</v>
      </c>
      <c r="V59" s="37">
        <f t="shared" si="12"/>
        <v>62.256257585460993</v>
      </c>
    </row>
    <row r="60" spans="1:22">
      <c r="A60" s="47">
        <v>3594</v>
      </c>
      <c r="B60" s="47">
        <v>25000</v>
      </c>
      <c r="C60" s="47">
        <v>210000</v>
      </c>
      <c r="D60" s="13">
        <v>43252</v>
      </c>
      <c r="E60" s="16">
        <f t="shared" si="29"/>
        <v>197159.17324185249</v>
      </c>
      <c r="F60" s="16">
        <f t="shared" si="30"/>
        <v>17218584.072786141</v>
      </c>
      <c r="G60" s="14">
        <f t="shared" si="31"/>
        <v>87.33341588760031</v>
      </c>
      <c r="H60" s="46">
        <f t="shared" si="25"/>
        <v>0</v>
      </c>
      <c r="I60" s="23">
        <f t="shared" si="32"/>
        <v>0</v>
      </c>
      <c r="J60" s="22">
        <f>VLOOKUP(D60,Data!$A$5:$V$197,8,FALSE)*5.83</f>
        <v>74.629946915999994</v>
      </c>
      <c r="K60" s="71">
        <f>VLOOKUP(D60,Data!$A$5:$V$197,19,FALSE)</f>
        <v>2131.5608919382503</v>
      </c>
      <c r="L60" s="48">
        <f t="shared" si="23"/>
        <v>186156.49386538749</v>
      </c>
      <c r="M60" s="14">
        <f t="shared" si="33"/>
        <v>87.33341588760031</v>
      </c>
      <c r="N60" s="15">
        <f t="shared" si="34"/>
        <v>195027.61234991424</v>
      </c>
      <c r="O60" s="15">
        <f t="shared" si="35"/>
        <v>17032427.578920756</v>
      </c>
      <c r="P60" s="22">
        <f t="shared" si="36"/>
        <v>87.33341588760031</v>
      </c>
      <c r="Q60" s="31">
        <f t="shared" si="37"/>
        <v>201732.74495316006</v>
      </c>
      <c r="R60" s="31">
        <f t="shared" si="38"/>
        <v>18110450.072862085</v>
      </c>
      <c r="S60" s="32">
        <f t="shared" si="39"/>
        <v>89.774469073263816</v>
      </c>
      <c r="T60" s="31">
        <f t="shared" si="11"/>
        <v>198621.61234991424</v>
      </c>
      <c r="U60" s="7">
        <v>12000</v>
      </c>
      <c r="V60" s="37">
        <f t="shared" si="12"/>
        <v>60.907836928823187</v>
      </c>
    </row>
    <row r="61" spans="1:22">
      <c r="A61" s="47">
        <v>3594</v>
      </c>
      <c r="B61" s="47">
        <v>25000</v>
      </c>
      <c r="C61" s="47">
        <v>210000</v>
      </c>
      <c r="D61" s="13">
        <v>43282</v>
      </c>
      <c r="E61" s="16">
        <f t="shared" si="29"/>
        <v>195027.61234991424</v>
      </c>
      <c r="F61" s="16">
        <f t="shared" si="30"/>
        <v>17032427.578920756</v>
      </c>
      <c r="G61" s="14">
        <f t="shared" si="31"/>
        <v>87.33341588760031</v>
      </c>
      <c r="H61" s="46">
        <f t="shared" si="25"/>
        <v>0</v>
      </c>
      <c r="I61" s="23">
        <f t="shared" si="32"/>
        <v>0</v>
      </c>
      <c r="J61" s="22">
        <f>VLOOKUP(D61,Data!$A$5:$V$197,8,FALSE)*5.83</f>
        <v>75.175946915999987</v>
      </c>
      <c r="K61" s="71">
        <f>VLOOKUP(D61,Data!$A$5:$V$197,19,FALSE)</f>
        <v>5357.1183533447684</v>
      </c>
      <c r="L61" s="48">
        <f t="shared" si="23"/>
        <v>467855.44511175522</v>
      </c>
      <c r="M61" s="14">
        <f t="shared" si="33"/>
        <v>87.33341588760031</v>
      </c>
      <c r="N61" s="15">
        <f t="shared" si="34"/>
        <v>189670.49399656948</v>
      </c>
      <c r="O61" s="15">
        <f t="shared" si="35"/>
        <v>16564572.133809</v>
      </c>
      <c r="P61" s="22">
        <f t="shared" si="36"/>
        <v>87.33341588760031</v>
      </c>
      <c r="Q61" s="31">
        <f t="shared" si="37"/>
        <v>200951.05871487004</v>
      </c>
      <c r="R61" s="31">
        <f t="shared" si="38"/>
        <v>17912776.109282464</v>
      </c>
      <c r="S61" s="32">
        <f t="shared" si="39"/>
        <v>89.139993707119231</v>
      </c>
      <c r="T61" s="31">
        <f t="shared" si="11"/>
        <v>193264.49399656948</v>
      </c>
      <c r="U61" s="7">
        <v>12000</v>
      </c>
      <c r="V61" s="37">
        <f t="shared" si="12"/>
        <v>59.159430155538345</v>
      </c>
    </row>
    <row r="62" spans="1:22">
      <c r="A62" s="47">
        <v>3594</v>
      </c>
      <c r="B62" s="47">
        <v>25000</v>
      </c>
      <c r="C62" s="47">
        <v>210000</v>
      </c>
      <c r="D62" s="13">
        <v>43313</v>
      </c>
      <c r="E62" s="16">
        <f t="shared" si="29"/>
        <v>189670.49399656948</v>
      </c>
      <c r="F62" s="16">
        <f t="shared" si="30"/>
        <v>16564572.133809</v>
      </c>
      <c r="G62" s="14">
        <f t="shared" si="31"/>
        <v>87.33341588760031</v>
      </c>
      <c r="H62" s="46">
        <f t="shared" si="25"/>
        <v>31172.38421955402</v>
      </c>
      <c r="I62" s="23">
        <f t="shared" si="32"/>
        <v>2359779.0030496144</v>
      </c>
      <c r="J62" s="22">
        <f>VLOOKUP(D62,Data!$A$5:$V$197,8,FALSE)*5.83</f>
        <v>75.700946915999978</v>
      </c>
      <c r="K62" s="71">
        <f>VLOOKUP(D62,Data!$A$5:$V$197,19,FALSE)</f>
        <v>14436.878216123499</v>
      </c>
      <c r="L62" s="48">
        <f t="shared" si="23"/>
        <v>1237117.3337752644</v>
      </c>
      <c r="M62" s="14">
        <f t="shared" si="33"/>
        <v>85.691471193101705</v>
      </c>
      <c r="N62" s="15">
        <f t="shared" si="34"/>
        <v>206406</v>
      </c>
      <c r="O62" s="15">
        <f t="shared" si="35"/>
        <v>17687233.803083353</v>
      </c>
      <c r="P62" s="22">
        <f t="shared" si="36"/>
        <v>85.691471193101719</v>
      </c>
      <c r="Q62" s="31">
        <f t="shared" si="37"/>
        <v>201860.71698113208</v>
      </c>
      <c r="R62" s="31">
        <f t="shared" si="38"/>
        <v>17840144.301577535</v>
      </c>
      <c r="S62" s="32">
        <f t="shared" si="39"/>
        <v>88.378484770987185</v>
      </c>
      <c r="T62" s="31">
        <f t="shared" si="11"/>
        <v>210000</v>
      </c>
      <c r="U62" s="7">
        <v>12000</v>
      </c>
      <c r="V62" s="37">
        <f t="shared" si="12"/>
        <v>64.621409921671017</v>
      </c>
    </row>
    <row r="63" spans="1:22">
      <c r="A63" s="47">
        <v>3594</v>
      </c>
      <c r="B63" s="47">
        <v>25000</v>
      </c>
      <c r="C63" s="47">
        <v>210000</v>
      </c>
      <c r="D63" s="13">
        <v>43344</v>
      </c>
      <c r="E63" s="16">
        <f t="shared" si="29"/>
        <v>206406</v>
      </c>
      <c r="F63" s="16">
        <f t="shared" si="30"/>
        <v>17687233.803083353</v>
      </c>
      <c r="G63" s="14">
        <f t="shared" si="31"/>
        <v>85.691471193101719</v>
      </c>
      <c r="H63" s="46">
        <f t="shared" si="25"/>
        <v>0</v>
      </c>
      <c r="I63" s="23">
        <f t="shared" si="32"/>
        <v>0</v>
      </c>
      <c r="J63" s="22">
        <f>VLOOKUP(D63,Data!$A$5:$V$197,8,FALSE)*5.83</f>
        <v>76.246946915999985</v>
      </c>
      <c r="K63" s="71">
        <f>VLOOKUP(D63,Data!$A$5:$V$197,19,FALSE)</f>
        <v>8609.2624356775286</v>
      </c>
      <c r="L63" s="48">
        <f t="shared" si="23"/>
        <v>737740.36400071369</v>
      </c>
      <c r="M63" s="14">
        <f t="shared" si="33"/>
        <v>85.691471193101719</v>
      </c>
      <c r="N63" s="15">
        <f t="shared" si="34"/>
        <v>197796.73756432248</v>
      </c>
      <c r="O63" s="15">
        <f t="shared" si="35"/>
        <v>16949493.439082637</v>
      </c>
      <c r="P63" s="22">
        <f t="shared" si="36"/>
        <v>85.691471193101705</v>
      </c>
      <c r="Q63" s="31">
        <f t="shared" si="37"/>
        <v>201198.46602454147</v>
      </c>
      <c r="R63" s="31">
        <f t="shared" si="38"/>
        <v>17677145.170056302</v>
      </c>
      <c r="S63" s="32">
        <f t="shared" si="39"/>
        <v>87.8592442543777</v>
      </c>
      <c r="T63" s="31">
        <f t="shared" si="11"/>
        <v>201390.73756432248</v>
      </c>
      <c r="U63" s="7">
        <v>12000</v>
      </c>
      <c r="V63" s="37">
        <f t="shared" si="12"/>
        <v>61.811598421776267</v>
      </c>
    </row>
    <row r="64" spans="1:22">
      <c r="A64" s="47">
        <v>3594</v>
      </c>
      <c r="B64" s="47">
        <v>25000</v>
      </c>
      <c r="C64" s="47">
        <v>210000</v>
      </c>
      <c r="D64" s="13">
        <v>43374</v>
      </c>
      <c r="E64" s="16">
        <f t="shared" si="29"/>
        <v>197796.73756432248</v>
      </c>
      <c r="F64" s="16">
        <f t="shared" si="30"/>
        <v>16949493.439082637</v>
      </c>
      <c r="G64" s="14">
        <f t="shared" si="31"/>
        <v>85.691471193101705</v>
      </c>
      <c r="H64" s="46">
        <f t="shared" si="25"/>
        <v>0</v>
      </c>
      <c r="I64" s="23">
        <f t="shared" si="32"/>
        <v>0</v>
      </c>
      <c r="J64" s="22">
        <f>VLOOKUP(D64,Data!$A$5:$V$197,8,FALSE)*5.83</f>
        <v>76.771946915999976</v>
      </c>
      <c r="K64" s="71">
        <f>VLOOKUP(D64,Data!$A$5:$V$197,19,FALSE)</f>
        <v>11452.144082332761</v>
      </c>
      <c r="L64" s="48">
        <f t="shared" si="23"/>
        <v>981351.07473046798</v>
      </c>
      <c r="M64" s="14">
        <f t="shared" si="33"/>
        <v>85.691471193101705</v>
      </c>
      <c r="N64" s="15">
        <f t="shared" si="34"/>
        <v>186344.59348198972</v>
      </c>
      <c r="O64" s="15">
        <f t="shared" si="35"/>
        <v>15968142.36435217</v>
      </c>
      <c r="P64" s="22">
        <f t="shared" si="36"/>
        <v>85.691471193101705</v>
      </c>
      <c r="Q64" s="31">
        <f t="shared" si="37"/>
        <v>199995.10146457315</v>
      </c>
      <c r="R64" s="31">
        <f t="shared" si="38"/>
        <v>17470051.263019685</v>
      </c>
      <c r="S64" s="32">
        <f t="shared" si="39"/>
        <v>87.352395809125881</v>
      </c>
      <c r="T64" s="31">
        <f t="shared" si="11"/>
        <v>189938.59348198972</v>
      </c>
      <c r="U64" s="7">
        <v>12000</v>
      </c>
      <c r="V64" s="37">
        <f t="shared" si="12"/>
        <v>58.073953486289071</v>
      </c>
    </row>
    <row r="65" spans="1:22">
      <c r="A65" s="47">
        <v>3594</v>
      </c>
      <c r="B65" s="47">
        <v>25000</v>
      </c>
      <c r="C65" s="47">
        <v>210000</v>
      </c>
      <c r="D65" s="13">
        <v>43405</v>
      </c>
      <c r="E65" s="16">
        <f t="shared" si="29"/>
        <v>186344.59348198972</v>
      </c>
      <c r="F65" s="16">
        <f t="shared" si="30"/>
        <v>15968142.36435217</v>
      </c>
      <c r="G65" s="14">
        <f t="shared" si="31"/>
        <v>85.691471193101705</v>
      </c>
      <c r="H65" s="46">
        <f t="shared" si="25"/>
        <v>0</v>
      </c>
      <c r="I65" s="23">
        <f t="shared" si="32"/>
        <v>0</v>
      </c>
      <c r="J65" s="22">
        <f>VLOOKUP(D65,Data!$A$5:$V$197,8,FALSE)*5.83</f>
        <v>77.170946916000005</v>
      </c>
      <c r="K65" s="71">
        <f>VLOOKUP(D65,Data!$A$5:$V$197,19,FALSE)</f>
        <v>411.66380789022298</v>
      </c>
      <c r="L65" s="48">
        <f t="shared" si="23"/>
        <v>35276.077335067595</v>
      </c>
      <c r="M65" s="14">
        <f t="shared" si="33"/>
        <v>85.691471193101705</v>
      </c>
      <c r="N65" s="15">
        <f t="shared" si="34"/>
        <v>185932.92967409949</v>
      </c>
      <c r="O65" s="15">
        <f t="shared" si="35"/>
        <v>15932866.287017103</v>
      </c>
      <c r="P65" s="22">
        <f t="shared" si="36"/>
        <v>85.691471193101719</v>
      </c>
      <c r="Q65" s="31">
        <f t="shared" si="37"/>
        <v>198775.90368122442</v>
      </c>
      <c r="R65" s="31">
        <f t="shared" si="38"/>
        <v>17261706.538128052</v>
      </c>
      <c r="S65" s="32">
        <f t="shared" si="39"/>
        <v>86.840035529711571</v>
      </c>
      <c r="T65" s="31">
        <f t="shared" si="11"/>
        <v>189526.92967409949</v>
      </c>
      <c r="U65" s="7">
        <v>12000</v>
      </c>
      <c r="V65" s="37">
        <f t="shared" si="12"/>
        <v>57.939598457604269</v>
      </c>
    </row>
    <row r="66" spans="1:22">
      <c r="A66" s="47">
        <v>3594</v>
      </c>
      <c r="B66" s="47">
        <v>25000</v>
      </c>
      <c r="C66" s="47">
        <v>210000</v>
      </c>
      <c r="D66" s="13">
        <v>43435</v>
      </c>
      <c r="E66" s="16">
        <f t="shared" si="29"/>
        <v>185932.92967409949</v>
      </c>
      <c r="F66" s="16">
        <f t="shared" si="30"/>
        <v>15932866.287017103</v>
      </c>
      <c r="G66" s="14">
        <f t="shared" si="31"/>
        <v>85.691471193101719</v>
      </c>
      <c r="H66" s="46">
        <f t="shared" si="25"/>
        <v>0</v>
      </c>
      <c r="I66" s="23">
        <f t="shared" si="32"/>
        <v>0</v>
      </c>
      <c r="J66" s="22">
        <f>VLOOKUP(D66,Data!$A$5:$V$197,8,FALSE)*5.83</f>
        <v>77.50694691599999</v>
      </c>
      <c r="K66" s="71">
        <f>VLOOKUP(D66,Data!$A$5:$V$197,19,FALSE)</f>
        <v>4160.2058319039452</v>
      </c>
      <c r="L66" s="48">
        <f t="shared" si="23"/>
        <v>356494.15820197068</v>
      </c>
      <c r="M66" s="14">
        <f t="shared" si="33"/>
        <v>85.691471193101719</v>
      </c>
      <c r="N66" s="15">
        <f t="shared" si="34"/>
        <v>181772.72384219556</v>
      </c>
      <c r="O66" s="15">
        <f t="shared" si="35"/>
        <v>15576372.128815133</v>
      </c>
      <c r="P66" s="22">
        <f t="shared" si="36"/>
        <v>85.691471193101705</v>
      </c>
      <c r="Q66" s="31">
        <f t="shared" si="37"/>
        <v>196881.03628447026</v>
      </c>
      <c r="R66" s="31">
        <f t="shared" si="38"/>
        <v>17073262.775752597</v>
      </c>
      <c r="S66" s="32">
        <f t="shared" si="39"/>
        <v>86.718675896665403</v>
      </c>
      <c r="T66" s="31">
        <f t="shared" si="11"/>
        <v>185366.72384219556</v>
      </c>
      <c r="U66" s="7">
        <v>10000</v>
      </c>
      <c r="V66" s="37">
        <f t="shared" si="12"/>
        <v>57.234570444580797</v>
      </c>
    </row>
    <row r="67" spans="1:22">
      <c r="A67" s="47">
        <v>3594</v>
      </c>
      <c r="B67" s="47">
        <v>25000</v>
      </c>
      <c r="C67" s="47">
        <v>210000</v>
      </c>
      <c r="D67" s="13">
        <v>43466</v>
      </c>
      <c r="E67" s="16">
        <f t="shared" ref="E67:E90" si="40">N66</f>
        <v>181772.72384219556</v>
      </c>
      <c r="F67" s="16">
        <f t="shared" ref="F67:F90" si="41">O66</f>
        <v>15576372.128815133</v>
      </c>
      <c r="G67" s="14">
        <f t="shared" ref="G67:G90" si="42">P66</f>
        <v>85.691471193101705</v>
      </c>
      <c r="H67" s="46">
        <f t="shared" si="25"/>
        <v>26649.399656946811</v>
      </c>
      <c r="I67" s="74">
        <f t="shared" ref="I67:I90" si="43">H67*J67</f>
        <v>2218515.1777546029</v>
      </c>
      <c r="J67" s="22">
        <f>VLOOKUP(D67,Data!$A$5:$V$197,8,FALSE)*5.83</f>
        <v>83.248223461435202</v>
      </c>
      <c r="K67" s="74">
        <f>VLOOKUP(D67,Data!$A$5:$V$197,19,FALSE)</f>
        <v>2016.1234991423671</v>
      </c>
      <c r="L67" s="74">
        <f t="shared" ref="L67:L90" si="44">IF(E67+H67&gt;0,((F67+I67)/(E67+H67)*K67),0)</f>
        <v>172134.75163308709</v>
      </c>
      <c r="M67" s="14">
        <f t="shared" ref="M67:M90" si="45">IF(K67=0,0,L67/K67)</f>
        <v>85.379071126501415</v>
      </c>
      <c r="N67" s="46">
        <f t="shared" ref="N67:N90" si="46">+E67+H67-K67</f>
        <v>206406</v>
      </c>
      <c r="O67" s="46">
        <f t="shared" ref="O67:O90" si="47">+F67+I67-L67</f>
        <v>17622752.554936651</v>
      </c>
      <c r="P67" s="22">
        <f t="shared" ref="P67:P90" si="48">IF(N67=0,0,O67/N67)</f>
        <v>85.379071126501415</v>
      </c>
      <c r="Q67" s="55">
        <f t="shared" ref="Q67:Q90" si="49">AVERAGE(N55:N67)</f>
        <v>196884.99459031536</v>
      </c>
      <c r="R67" s="55">
        <f t="shared" ref="R67:R90" si="50">AVERAGE(O55:O67)</f>
        <v>17042578.584680147</v>
      </c>
      <c r="S67" s="32">
        <f t="shared" ref="S67:S90" si="51">IF(Q67=0,0,R67/Q67)</f>
        <v>86.561084150383806</v>
      </c>
      <c r="T67" s="55">
        <f t="shared" ref="T67:T90" si="52">N67+A67</f>
        <v>210000</v>
      </c>
      <c r="U67" s="45">
        <v>10001</v>
      </c>
      <c r="V67" s="37">
        <f t="shared" ref="V67:V90" si="53">(T67-U67)/3064</f>
        <v>65.273825065274153</v>
      </c>
    </row>
    <row r="68" spans="1:22">
      <c r="A68" s="47">
        <v>3594</v>
      </c>
      <c r="B68" s="47">
        <v>25000</v>
      </c>
      <c r="C68" s="47">
        <v>210000</v>
      </c>
      <c r="D68" s="13">
        <v>43497</v>
      </c>
      <c r="E68" s="16">
        <f t="shared" si="40"/>
        <v>206406</v>
      </c>
      <c r="F68" s="16">
        <f t="shared" si="41"/>
        <v>17622752.554936651</v>
      </c>
      <c r="G68" s="14">
        <f t="shared" si="42"/>
        <v>85.379071126501415</v>
      </c>
      <c r="H68" s="46">
        <f t="shared" si="25"/>
        <v>0</v>
      </c>
      <c r="I68" s="74">
        <f t="shared" si="43"/>
        <v>0</v>
      </c>
      <c r="J68" s="22">
        <f>VLOOKUP(D68,Data!$A$5:$V$197,8,FALSE)*5.83</f>
        <v>85.835650543006707</v>
      </c>
      <c r="K68" s="74">
        <f>VLOOKUP(D68,Data!$A$5:$V$197,19,FALSE)</f>
        <v>0</v>
      </c>
      <c r="L68" s="74">
        <f t="shared" si="44"/>
        <v>0</v>
      </c>
      <c r="M68" s="14">
        <f t="shared" si="45"/>
        <v>0</v>
      </c>
      <c r="N68" s="46">
        <f t="shared" si="46"/>
        <v>206406</v>
      </c>
      <c r="O68" s="46">
        <f t="shared" si="47"/>
        <v>17622752.554936651</v>
      </c>
      <c r="P68" s="22">
        <f t="shared" si="48"/>
        <v>85.379071126501415</v>
      </c>
      <c r="Q68" s="55">
        <f t="shared" si="49"/>
        <v>196888.95289616048</v>
      </c>
      <c r="R68" s="55">
        <f t="shared" si="50"/>
        <v>17011894.393607698</v>
      </c>
      <c r="S68" s="32">
        <f t="shared" si="51"/>
        <v>86.403498740631704</v>
      </c>
      <c r="T68" s="55">
        <f t="shared" si="52"/>
        <v>210000</v>
      </c>
      <c r="U68" s="45">
        <v>10002</v>
      </c>
      <c r="V68" s="37">
        <f t="shared" si="53"/>
        <v>65.273498694516974</v>
      </c>
    </row>
    <row r="69" spans="1:22">
      <c r="A69" s="47">
        <v>3594</v>
      </c>
      <c r="B69" s="47">
        <v>25000</v>
      </c>
      <c r="C69" s="47">
        <v>210000</v>
      </c>
      <c r="D69" s="13">
        <v>43525</v>
      </c>
      <c r="E69" s="16">
        <f t="shared" si="40"/>
        <v>206406</v>
      </c>
      <c r="F69" s="16">
        <f t="shared" si="41"/>
        <v>17622752.554936651</v>
      </c>
      <c r="G69" s="14">
        <f t="shared" si="42"/>
        <v>85.379071126501415</v>
      </c>
      <c r="H69" s="46">
        <f t="shared" si="25"/>
        <v>0</v>
      </c>
      <c r="I69" s="74">
        <f t="shared" si="43"/>
        <v>0</v>
      </c>
      <c r="J69" s="22">
        <f>VLOOKUP(D69,Data!$A$5:$V$197,8,FALSE)*5.83</f>
        <v>89.886073263527052</v>
      </c>
      <c r="K69" s="74">
        <f>VLOOKUP(D69,Data!$A$5:$V$197,19,FALSE)</f>
        <v>0</v>
      </c>
      <c r="L69" s="74">
        <f t="shared" si="44"/>
        <v>0</v>
      </c>
      <c r="M69" s="14">
        <f t="shared" si="45"/>
        <v>0</v>
      </c>
      <c r="N69" s="46">
        <f t="shared" si="46"/>
        <v>206406</v>
      </c>
      <c r="O69" s="46">
        <f t="shared" si="47"/>
        <v>17622752.554936651</v>
      </c>
      <c r="P69" s="22">
        <f t="shared" si="48"/>
        <v>85.379071126501415</v>
      </c>
      <c r="Q69" s="55">
        <f t="shared" si="49"/>
        <v>197121.0547565642</v>
      </c>
      <c r="R69" s="55">
        <f t="shared" si="50"/>
        <v>17001134.758467596</v>
      </c>
      <c r="S69" s="32">
        <f t="shared" si="51"/>
        <v>86.247178311130924</v>
      </c>
      <c r="T69" s="55">
        <f t="shared" si="52"/>
        <v>210000</v>
      </c>
      <c r="U69" s="45">
        <v>10003</v>
      </c>
      <c r="V69" s="37">
        <f t="shared" si="53"/>
        <v>65.273172323759795</v>
      </c>
    </row>
    <row r="70" spans="1:22">
      <c r="A70" s="47">
        <v>3594</v>
      </c>
      <c r="B70" s="47">
        <v>25000</v>
      </c>
      <c r="C70" s="47">
        <v>210000</v>
      </c>
      <c r="D70" s="13">
        <v>43556</v>
      </c>
      <c r="E70" s="16">
        <f t="shared" si="40"/>
        <v>206406</v>
      </c>
      <c r="F70" s="16">
        <f t="shared" si="41"/>
        <v>17622752.554936651</v>
      </c>
      <c r="G70" s="14">
        <f t="shared" si="42"/>
        <v>85.379071126501415</v>
      </c>
      <c r="H70" s="46">
        <f t="shared" si="25"/>
        <v>0</v>
      </c>
      <c r="I70" s="74">
        <f t="shared" si="43"/>
        <v>0</v>
      </c>
      <c r="J70" s="22">
        <f>VLOOKUP(D70,Data!$A$5:$V$197,8,FALSE)*5.83</f>
        <v>92.219245272171108</v>
      </c>
      <c r="K70" s="74">
        <f>VLOOKUP(D70,Data!$A$5:$V$197,19,FALSE)</f>
        <v>14039.279588336194</v>
      </c>
      <c r="L70" s="74">
        <f t="shared" si="44"/>
        <v>1198660.6505373954</v>
      </c>
      <c r="M70" s="14">
        <f t="shared" si="45"/>
        <v>85.379071126501415</v>
      </c>
      <c r="N70" s="46">
        <f t="shared" si="46"/>
        <v>192366.72041166382</v>
      </c>
      <c r="O70" s="46">
        <f t="shared" si="47"/>
        <v>16424091.904399255</v>
      </c>
      <c r="P70" s="22">
        <f t="shared" si="48"/>
        <v>85.379071126501415</v>
      </c>
      <c r="Q70" s="55">
        <f t="shared" si="49"/>
        <v>196281.12864493998</v>
      </c>
      <c r="R70" s="55">
        <f t="shared" si="50"/>
        <v>16898861.842642698</v>
      </c>
      <c r="S70" s="32">
        <f t="shared" si="51"/>
        <v>86.095193966464606</v>
      </c>
      <c r="T70" s="55">
        <f t="shared" si="52"/>
        <v>195960.72041166382</v>
      </c>
      <c r="U70" s="45">
        <v>10004</v>
      </c>
      <c r="V70" s="37">
        <f t="shared" si="53"/>
        <v>60.690835643493415</v>
      </c>
    </row>
    <row r="71" spans="1:22">
      <c r="A71" s="47">
        <v>3594</v>
      </c>
      <c r="B71" s="47">
        <v>25000</v>
      </c>
      <c r="C71" s="47">
        <v>210000</v>
      </c>
      <c r="D71" s="13">
        <v>43586</v>
      </c>
      <c r="E71" s="16">
        <f t="shared" si="40"/>
        <v>192366.72041166382</v>
      </c>
      <c r="F71" s="16">
        <f t="shared" si="41"/>
        <v>16424091.904399255</v>
      </c>
      <c r="G71" s="14">
        <f t="shared" si="42"/>
        <v>85.379071126501415</v>
      </c>
      <c r="H71" s="46">
        <f t="shared" si="25"/>
        <v>29410.634648370484</v>
      </c>
      <c r="I71" s="74">
        <f t="shared" si="43"/>
        <v>2685111.1963421153</v>
      </c>
      <c r="J71" s="22">
        <f>VLOOKUP(D71,Data!$A$5:$V$197,8,FALSE)*5.83</f>
        <v>91.297288495978975</v>
      </c>
      <c r="K71" s="74">
        <f>VLOOKUP(D71,Data!$A$5:$V$197,19,FALSE)</f>
        <v>15371.355060034304</v>
      </c>
      <c r="L71" s="74">
        <f t="shared" si="44"/>
        <v>1324455.987385598</v>
      </c>
      <c r="M71" s="14">
        <f t="shared" si="45"/>
        <v>86.163905668225595</v>
      </c>
      <c r="N71" s="46">
        <f t="shared" si="46"/>
        <v>206406</v>
      </c>
      <c r="O71" s="46">
        <f t="shared" si="47"/>
        <v>17784747.113355774</v>
      </c>
      <c r="P71" s="22">
        <f t="shared" si="48"/>
        <v>86.16390566822561</v>
      </c>
      <c r="Q71" s="55">
        <f t="shared" si="49"/>
        <v>196776.99881250827</v>
      </c>
      <c r="R71" s="55">
        <f t="shared" si="50"/>
        <v>16923599.114648558</v>
      </c>
      <c r="S71" s="32">
        <f t="shared" si="51"/>
        <v>86.003949733848657</v>
      </c>
      <c r="T71" s="55">
        <f t="shared" si="52"/>
        <v>210000</v>
      </c>
      <c r="U71" s="45">
        <v>10005</v>
      </c>
      <c r="V71" s="37">
        <f t="shared" si="53"/>
        <v>65.272519582245437</v>
      </c>
    </row>
    <row r="72" spans="1:22">
      <c r="A72" s="47">
        <v>3594</v>
      </c>
      <c r="B72" s="47">
        <v>25000</v>
      </c>
      <c r="C72" s="47">
        <v>210000</v>
      </c>
      <c r="D72" s="13">
        <v>43617</v>
      </c>
      <c r="E72" s="16">
        <f t="shared" si="40"/>
        <v>206406</v>
      </c>
      <c r="F72" s="16">
        <f t="shared" si="41"/>
        <v>17784747.113355774</v>
      </c>
      <c r="G72" s="14">
        <f t="shared" si="42"/>
        <v>86.16390566822561</v>
      </c>
      <c r="H72" s="46">
        <f t="shared" si="25"/>
        <v>0</v>
      </c>
      <c r="I72" s="74">
        <f t="shared" si="43"/>
        <v>0</v>
      </c>
      <c r="J72" s="22">
        <f>VLOOKUP(D72,Data!$A$5:$V$197,8,FALSE)*5.83</f>
        <v>92.048148646942678</v>
      </c>
      <c r="K72" s="74">
        <f>VLOOKUP(D72,Data!$A$5:$V$197,19,FALSE)</f>
        <v>5354.7169811320755</v>
      </c>
      <c r="L72" s="74">
        <f t="shared" si="44"/>
        <v>461383.32884230994</v>
      </c>
      <c r="M72" s="14">
        <f t="shared" si="45"/>
        <v>86.16390566822561</v>
      </c>
      <c r="N72" s="46">
        <f t="shared" si="46"/>
        <v>201051.28301886792</v>
      </c>
      <c r="O72" s="46">
        <f t="shared" si="47"/>
        <v>17323363.784513466</v>
      </c>
      <c r="P72" s="22">
        <f t="shared" si="48"/>
        <v>86.16390566822561</v>
      </c>
      <c r="Q72" s="55">
        <f t="shared" si="49"/>
        <v>197076.39187227868</v>
      </c>
      <c r="R72" s="55">
        <f t="shared" si="50"/>
        <v>16931659.092473738</v>
      </c>
      <c r="S72" s="32">
        <f t="shared" si="51"/>
        <v>85.914192621543492</v>
      </c>
      <c r="T72" s="55">
        <f t="shared" si="52"/>
        <v>204645.28301886792</v>
      </c>
      <c r="U72" s="45">
        <v>10006</v>
      </c>
      <c r="V72" s="37">
        <f t="shared" si="53"/>
        <v>63.524570175870728</v>
      </c>
    </row>
    <row r="73" spans="1:22">
      <c r="A73" s="47">
        <v>3594</v>
      </c>
      <c r="B73" s="47">
        <v>25000</v>
      </c>
      <c r="C73" s="47">
        <v>210000</v>
      </c>
      <c r="D73" s="13">
        <v>43647</v>
      </c>
      <c r="E73" s="16">
        <f t="shared" si="40"/>
        <v>201051.28301886792</v>
      </c>
      <c r="F73" s="16">
        <f t="shared" si="41"/>
        <v>17323363.784513466</v>
      </c>
      <c r="G73" s="14">
        <f t="shared" si="42"/>
        <v>86.16390566822561</v>
      </c>
      <c r="H73" s="46">
        <f t="shared" si="25"/>
        <v>0</v>
      </c>
      <c r="I73" s="74">
        <f t="shared" si="43"/>
        <v>0</v>
      </c>
      <c r="J73" s="22">
        <f>VLOOKUP(D73,Data!$A$5:$V$197,8,FALSE)*5.83</f>
        <v>93.402980770097884</v>
      </c>
      <c r="K73" s="74">
        <f>VLOOKUP(D73,Data!$A$5:$V$197,19,FALSE)</f>
        <v>3367.5814751286453</v>
      </c>
      <c r="L73" s="74">
        <f t="shared" si="44"/>
        <v>290163.97255304863</v>
      </c>
      <c r="M73" s="14">
        <f t="shared" si="45"/>
        <v>86.16390566822561</v>
      </c>
      <c r="N73" s="46">
        <f t="shared" si="46"/>
        <v>197683.70154373927</v>
      </c>
      <c r="O73" s="46">
        <f t="shared" si="47"/>
        <v>17033199.811960418</v>
      </c>
      <c r="P73" s="22">
        <f t="shared" si="48"/>
        <v>86.163905668225624</v>
      </c>
      <c r="Q73" s="55">
        <f t="shared" si="49"/>
        <v>197280.70642564978</v>
      </c>
      <c r="R73" s="55">
        <f t="shared" si="50"/>
        <v>16931718.495015252</v>
      </c>
      <c r="S73" s="32">
        <f t="shared" si="51"/>
        <v>85.825516350715205</v>
      </c>
      <c r="T73" s="55">
        <f t="shared" si="52"/>
        <v>201277.70154373927</v>
      </c>
      <c r="U73" s="45">
        <v>10007</v>
      </c>
      <c r="V73" s="37">
        <f t="shared" si="53"/>
        <v>62.425163689209946</v>
      </c>
    </row>
    <row r="74" spans="1:22">
      <c r="A74" s="47">
        <v>3594</v>
      </c>
      <c r="B74" s="47">
        <v>25000</v>
      </c>
      <c r="C74" s="47">
        <v>210000</v>
      </c>
      <c r="D74" s="13">
        <v>43678</v>
      </c>
      <c r="E74" s="16">
        <f t="shared" si="40"/>
        <v>197683.70154373927</v>
      </c>
      <c r="F74" s="16">
        <f t="shared" si="41"/>
        <v>17033199.811960418</v>
      </c>
      <c r="G74" s="14">
        <f t="shared" si="42"/>
        <v>86.163905668225624</v>
      </c>
      <c r="H74" s="46">
        <f t="shared" si="25"/>
        <v>26650.771869639808</v>
      </c>
      <c r="I74" s="74">
        <f t="shared" si="43"/>
        <v>2465416.050935288</v>
      </c>
      <c r="J74" s="22">
        <f>VLOOKUP(D74,Data!$A$5:$V$197,8,FALSE)*5.83</f>
        <v>92.508241899884936</v>
      </c>
      <c r="K74" s="74">
        <f>VLOOKUP(D74,Data!$A$5:$V$197,19,FALSE)</f>
        <v>17928.473413379077</v>
      </c>
      <c r="L74" s="74">
        <f t="shared" si="44"/>
        <v>1558300.0275283083</v>
      </c>
      <c r="M74" s="14">
        <f t="shared" si="45"/>
        <v>86.91760818661956</v>
      </c>
      <c r="N74" s="46">
        <f t="shared" si="46"/>
        <v>206406</v>
      </c>
      <c r="O74" s="46">
        <f t="shared" si="47"/>
        <v>17940315.835367396</v>
      </c>
      <c r="P74" s="22">
        <f t="shared" si="48"/>
        <v>86.91760818661956</v>
      </c>
      <c r="Q74" s="55">
        <f t="shared" si="49"/>
        <v>198568.05304129835</v>
      </c>
      <c r="R74" s="55">
        <f t="shared" si="50"/>
        <v>17037544.933596667</v>
      </c>
      <c r="S74" s="32">
        <f t="shared" si="51"/>
        <v>85.802044551714388</v>
      </c>
      <c r="T74" s="55">
        <f t="shared" si="52"/>
        <v>210000</v>
      </c>
      <c r="U74" s="45">
        <v>10008</v>
      </c>
      <c r="V74" s="37">
        <f t="shared" si="53"/>
        <v>65.271540469973885</v>
      </c>
    </row>
    <row r="75" spans="1:22">
      <c r="A75" s="47">
        <v>3594</v>
      </c>
      <c r="B75" s="47">
        <v>25000</v>
      </c>
      <c r="C75" s="47">
        <v>210000</v>
      </c>
      <c r="D75" s="13">
        <v>43709</v>
      </c>
      <c r="E75" s="16">
        <f t="shared" si="40"/>
        <v>206406</v>
      </c>
      <c r="F75" s="16">
        <f t="shared" si="41"/>
        <v>17940315.835367396</v>
      </c>
      <c r="G75" s="14">
        <f t="shared" si="42"/>
        <v>86.91760818661956</v>
      </c>
      <c r="H75" s="46">
        <f t="shared" si="25"/>
        <v>0</v>
      </c>
      <c r="I75" s="74">
        <f t="shared" si="43"/>
        <v>0</v>
      </c>
      <c r="J75" s="22">
        <f>VLOOKUP(D75,Data!$A$5:$V$197,8,FALSE)*5.83</f>
        <v>92.085501350432793</v>
      </c>
      <c r="K75" s="74">
        <f>VLOOKUP(D75,Data!$A$5:$V$197,19,FALSE)</f>
        <v>20192.967409948542</v>
      </c>
      <c r="L75" s="74">
        <f t="shared" si="44"/>
        <v>1755124.4294630853</v>
      </c>
      <c r="M75" s="14">
        <f t="shared" si="45"/>
        <v>86.91760818661956</v>
      </c>
      <c r="N75" s="46">
        <f t="shared" si="46"/>
        <v>186213.03259005147</v>
      </c>
      <c r="O75" s="46">
        <f t="shared" si="47"/>
        <v>16185191.405904312</v>
      </c>
      <c r="P75" s="22">
        <f t="shared" si="48"/>
        <v>86.91760818661956</v>
      </c>
      <c r="Q75" s="55">
        <f t="shared" si="49"/>
        <v>197014.7478559177</v>
      </c>
      <c r="R75" s="55">
        <f t="shared" si="50"/>
        <v>16922003.21073674</v>
      </c>
      <c r="S75" s="32">
        <f t="shared" si="51"/>
        <v>85.892063385591143</v>
      </c>
      <c r="T75" s="55">
        <f t="shared" si="52"/>
        <v>189807.03259005147</v>
      </c>
      <c r="U75" s="45">
        <v>10009</v>
      </c>
      <c r="V75" s="37">
        <f t="shared" si="53"/>
        <v>58.680820035917584</v>
      </c>
    </row>
    <row r="76" spans="1:22">
      <c r="A76" s="47">
        <v>3594</v>
      </c>
      <c r="B76" s="47">
        <v>25000</v>
      </c>
      <c r="C76" s="47">
        <v>210000</v>
      </c>
      <c r="D76" s="13">
        <v>43739</v>
      </c>
      <c r="E76" s="16">
        <f t="shared" si="40"/>
        <v>186213.03259005147</v>
      </c>
      <c r="F76" s="16">
        <f t="shared" si="41"/>
        <v>16185191.405904312</v>
      </c>
      <c r="G76" s="14">
        <f t="shared" si="42"/>
        <v>86.91760818661956</v>
      </c>
      <c r="H76" s="46">
        <f t="shared" si="25"/>
        <v>27236.53516295024</v>
      </c>
      <c r="I76" s="74">
        <f t="shared" si="43"/>
        <v>2477260.6662790929</v>
      </c>
      <c r="J76" s="22">
        <f>VLOOKUP(D76,Data!$A$5:$V$197,8,FALSE)*5.83</f>
        <v>90.953590515760666</v>
      </c>
      <c r="K76" s="74">
        <f>VLOOKUP(D76,Data!$A$5:$V$197,19,FALSE)</f>
        <v>7043.5677530017147</v>
      </c>
      <c r="L76" s="74">
        <f t="shared" si="44"/>
        <v>615837.48794320284</v>
      </c>
      <c r="M76" s="14">
        <f t="shared" si="45"/>
        <v>87.432606533919568</v>
      </c>
      <c r="N76" s="46">
        <f t="shared" si="46"/>
        <v>206405.99999999997</v>
      </c>
      <c r="O76" s="46">
        <f t="shared" si="47"/>
        <v>18046614.584240202</v>
      </c>
      <c r="P76" s="22">
        <f t="shared" si="48"/>
        <v>87.432606533919582</v>
      </c>
      <c r="Q76" s="55">
        <f t="shared" si="49"/>
        <v>197676.9988125083</v>
      </c>
      <c r="R76" s="55">
        <f t="shared" si="50"/>
        <v>17006397.14497963</v>
      </c>
      <c r="S76" s="32">
        <f t="shared" si="51"/>
        <v>86.03123907759128</v>
      </c>
      <c r="T76" s="55">
        <f t="shared" si="52"/>
        <v>209999.99999999997</v>
      </c>
      <c r="U76" s="45">
        <v>10010</v>
      </c>
      <c r="V76" s="37">
        <f t="shared" si="53"/>
        <v>65.270887728459527</v>
      </c>
    </row>
    <row r="77" spans="1:22">
      <c r="A77" s="47">
        <v>3594</v>
      </c>
      <c r="B77" s="47">
        <v>25000</v>
      </c>
      <c r="C77" s="47">
        <v>210000</v>
      </c>
      <c r="D77" s="13">
        <v>43770</v>
      </c>
      <c r="E77" s="16">
        <f t="shared" si="40"/>
        <v>206405.99999999997</v>
      </c>
      <c r="F77" s="16">
        <f t="shared" si="41"/>
        <v>18046614.584240202</v>
      </c>
      <c r="G77" s="14">
        <f t="shared" si="42"/>
        <v>87.432606533919582</v>
      </c>
      <c r="H77" s="46">
        <f t="shared" si="25"/>
        <v>0</v>
      </c>
      <c r="I77" s="74">
        <f t="shared" si="43"/>
        <v>0</v>
      </c>
      <c r="J77" s="22">
        <f>VLOOKUP(D77,Data!$A$5:$V$197,8,FALSE)*5.83</f>
        <v>90.564440845395012</v>
      </c>
      <c r="K77" s="74">
        <f>VLOOKUP(D77,Data!$A$5:$V$197,19,FALSE)</f>
        <v>0</v>
      </c>
      <c r="L77" s="74">
        <f t="shared" si="44"/>
        <v>0</v>
      </c>
      <c r="M77" s="14">
        <f t="shared" si="45"/>
        <v>0</v>
      </c>
      <c r="N77" s="46">
        <f t="shared" si="46"/>
        <v>206405.99999999997</v>
      </c>
      <c r="O77" s="46">
        <f t="shared" si="47"/>
        <v>18046614.584240202</v>
      </c>
      <c r="P77" s="22">
        <f t="shared" si="48"/>
        <v>87.432606533919582</v>
      </c>
      <c r="Q77" s="55">
        <f t="shared" si="49"/>
        <v>199220.18392927825</v>
      </c>
      <c r="R77" s="55">
        <f t="shared" si="50"/>
        <v>17166279.623432554</v>
      </c>
      <c r="S77" s="32">
        <f t="shared" si="51"/>
        <v>86.167371622980042</v>
      </c>
      <c r="T77" s="55">
        <f t="shared" si="52"/>
        <v>209999.99999999997</v>
      </c>
      <c r="U77" s="45">
        <v>10011</v>
      </c>
      <c r="V77" s="37">
        <f t="shared" si="53"/>
        <v>65.270561357702334</v>
      </c>
    </row>
    <row r="78" spans="1:22">
      <c r="A78" s="47">
        <v>3594</v>
      </c>
      <c r="B78" s="47">
        <v>25000</v>
      </c>
      <c r="C78" s="47">
        <v>210000</v>
      </c>
      <c r="D78" s="13">
        <v>43800</v>
      </c>
      <c r="E78" s="16">
        <f t="shared" si="40"/>
        <v>206405.99999999997</v>
      </c>
      <c r="F78" s="16">
        <f t="shared" si="41"/>
        <v>18046614.584240202</v>
      </c>
      <c r="G78" s="14">
        <f t="shared" si="42"/>
        <v>87.432606533919582</v>
      </c>
      <c r="H78" s="46">
        <f t="shared" si="25"/>
        <v>0</v>
      </c>
      <c r="I78" s="74">
        <f t="shared" si="43"/>
        <v>0</v>
      </c>
      <c r="J78" s="22">
        <f>VLOOKUP(D78,Data!$A$5:$V$197,8,FALSE)*5.83</f>
        <v>87.699479636351342</v>
      </c>
      <c r="K78" s="74">
        <f>VLOOKUP(D78,Data!$A$5:$V$197,19,FALSE)</f>
        <v>51.457975986277873</v>
      </c>
      <c r="L78" s="74">
        <f t="shared" si="44"/>
        <v>4499.1049674401156</v>
      </c>
      <c r="M78" s="14">
        <f t="shared" si="45"/>
        <v>87.432606533919582</v>
      </c>
      <c r="N78" s="46">
        <f t="shared" si="46"/>
        <v>206354.5420240137</v>
      </c>
      <c r="O78" s="46">
        <f t="shared" si="47"/>
        <v>18042115.47927276</v>
      </c>
      <c r="P78" s="22">
        <f t="shared" si="48"/>
        <v>87.432606533919568</v>
      </c>
      <c r="Q78" s="55">
        <f t="shared" si="49"/>
        <v>200791.07718696396</v>
      </c>
      <c r="R78" s="55">
        <f t="shared" si="50"/>
        <v>17328529.561298374</v>
      </c>
      <c r="S78" s="32">
        <f t="shared" si="51"/>
        <v>86.301292886452032</v>
      </c>
      <c r="T78" s="55">
        <f t="shared" si="52"/>
        <v>209948.5420240137</v>
      </c>
      <c r="U78" s="45">
        <v>10012</v>
      </c>
      <c r="V78" s="37">
        <f t="shared" si="53"/>
        <v>65.253440608359568</v>
      </c>
    </row>
    <row r="79" spans="1:22">
      <c r="A79" s="47">
        <v>3594</v>
      </c>
      <c r="B79" s="47">
        <v>25000</v>
      </c>
      <c r="C79" s="47">
        <v>210000</v>
      </c>
      <c r="D79" s="13">
        <v>43831</v>
      </c>
      <c r="E79" s="16">
        <f t="shared" si="40"/>
        <v>206354.5420240137</v>
      </c>
      <c r="F79" s="16">
        <f t="shared" si="41"/>
        <v>18042115.47927276</v>
      </c>
      <c r="G79" s="14">
        <f t="shared" si="42"/>
        <v>87.432606533919568</v>
      </c>
      <c r="H79" s="46">
        <f t="shared" si="25"/>
        <v>0</v>
      </c>
      <c r="I79" s="74">
        <f t="shared" si="43"/>
        <v>0</v>
      </c>
      <c r="J79" s="22">
        <f>VLOOKUP(D79,Data!$A$5:$V$197,8,FALSE)*5.83</f>
        <v>86.694828171209409</v>
      </c>
      <c r="K79" s="74">
        <f>VLOOKUP(D79,Data!$A$5:$V$197,19,FALSE)</f>
        <v>988.67924528301887</v>
      </c>
      <c r="L79" s="74">
        <f t="shared" si="44"/>
        <v>86442.803441082739</v>
      </c>
      <c r="M79" s="14">
        <f t="shared" si="45"/>
        <v>87.432606533919568</v>
      </c>
      <c r="N79" s="46">
        <f t="shared" si="46"/>
        <v>205365.86277873069</v>
      </c>
      <c r="O79" s="46">
        <f t="shared" si="47"/>
        <v>17955672.675831679</v>
      </c>
      <c r="P79" s="22">
        <f t="shared" si="48"/>
        <v>87.432606533919568</v>
      </c>
      <c r="Q79" s="55">
        <f t="shared" si="49"/>
        <v>202605.9340282359</v>
      </c>
      <c r="R79" s="55">
        <f t="shared" si="50"/>
        <v>17511552.680299647</v>
      </c>
      <c r="S79" s="32">
        <f t="shared" si="51"/>
        <v>86.431588315963012</v>
      </c>
      <c r="T79" s="55">
        <f t="shared" si="52"/>
        <v>208959.86277873069</v>
      </c>
      <c r="U79" s="45">
        <v>10013</v>
      </c>
      <c r="V79" s="37">
        <f t="shared" si="53"/>
        <v>64.930438243711066</v>
      </c>
    </row>
    <row r="80" spans="1:22">
      <c r="A80" s="47">
        <v>3594</v>
      </c>
      <c r="B80" s="47">
        <v>25000</v>
      </c>
      <c r="C80" s="47">
        <v>210000</v>
      </c>
      <c r="D80" s="13">
        <v>43862</v>
      </c>
      <c r="E80" s="16">
        <f t="shared" si="40"/>
        <v>205365.86277873069</v>
      </c>
      <c r="F80" s="16">
        <f t="shared" si="41"/>
        <v>17955672.675831679</v>
      </c>
      <c r="G80" s="14">
        <f t="shared" si="42"/>
        <v>87.432606533919568</v>
      </c>
      <c r="H80" s="46">
        <f t="shared" si="25"/>
        <v>0</v>
      </c>
      <c r="I80" s="74">
        <f t="shared" si="43"/>
        <v>0</v>
      </c>
      <c r="J80" s="22">
        <f>VLOOKUP(D80,Data!$A$5:$V$197,8,FALSE)*5.83</f>
        <v>89.40389939053739</v>
      </c>
      <c r="K80" s="74">
        <f>VLOOKUP(D80,Data!$A$5:$V$197,19,FALSE)</f>
        <v>0</v>
      </c>
      <c r="L80" s="74">
        <f t="shared" si="44"/>
        <v>0</v>
      </c>
      <c r="M80" s="14">
        <f t="shared" si="45"/>
        <v>0</v>
      </c>
      <c r="N80" s="46">
        <f t="shared" si="46"/>
        <v>205365.86277873069</v>
      </c>
      <c r="O80" s="46">
        <f t="shared" si="47"/>
        <v>17955672.675831679</v>
      </c>
      <c r="P80" s="22">
        <f t="shared" si="48"/>
        <v>87.432606533919568</v>
      </c>
      <c r="Q80" s="55">
        <f t="shared" si="49"/>
        <v>202525.92347275367</v>
      </c>
      <c r="R80" s="55">
        <f t="shared" si="50"/>
        <v>17537161.920368496</v>
      </c>
      <c r="S80" s="32">
        <f t="shared" si="51"/>
        <v>86.592183458073777</v>
      </c>
      <c r="T80" s="55">
        <f t="shared" si="52"/>
        <v>208959.86277873069</v>
      </c>
      <c r="U80" s="45">
        <v>10014</v>
      </c>
      <c r="V80" s="37">
        <f t="shared" si="53"/>
        <v>64.930111872953887</v>
      </c>
    </row>
    <row r="81" spans="1:22">
      <c r="A81" s="47">
        <v>3594</v>
      </c>
      <c r="B81" s="47">
        <v>25000</v>
      </c>
      <c r="C81" s="47">
        <v>210000</v>
      </c>
      <c r="D81" s="13">
        <v>43891</v>
      </c>
      <c r="E81" s="16">
        <f t="shared" si="40"/>
        <v>205365.86277873069</v>
      </c>
      <c r="F81" s="16">
        <f t="shared" si="41"/>
        <v>17955672.675831679</v>
      </c>
      <c r="G81" s="14">
        <f t="shared" si="42"/>
        <v>87.432606533919568</v>
      </c>
      <c r="H81" s="46">
        <f t="shared" si="25"/>
        <v>0</v>
      </c>
      <c r="I81" s="74">
        <f t="shared" si="43"/>
        <v>0</v>
      </c>
      <c r="J81" s="22">
        <f>VLOOKUP(D81,Data!$A$5:$V$197,8,FALSE)*5.83</f>
        <v>93.64474687042437</v>
      </c>
      <c r="K81" s="74">
        <f>VLOOKUP(D81,Data!$A$5:$V$197,19,FALSE)</f>
        <v>5210.4631217838769</v>
      </c>
      <c r="L81" s="74">
        <f t="shared" si="44"/>
        <v>455564.37198642793</v>
      </c>
      <c r="M81" s="14">
        <f t="shared" si="45"/>
        <v>87.432606533919568</v>
      </c>
      <c r="N81" s="46">
        <f t="shared" si="46"/>
        <v>200155.3996569468</v>
      </c>
      <c r="O81" s="46">
        <f t="shared" si="47"/>
        <v>17500108.303845253</v>
      </c>
      <c r="P81" s="22">
        <f t="shared" si="48"/>
        <v>87.432606533919582</v>
      </c>
      <c r="Q81" s="55">
        <f t="shared" si="49"/>
        <v>202045.10806174955</v>
      </c>
      <c r="R81" s="55">
        <f t="shared" si="50"/>
        <v>17527727.747207619</v>
      </c>
      <c r="S81" s="32">
        <f t="shared" si="51"/>
        <v>86.751557191133529</v>
      </c>
      <c r="T81" s="55">
        <f t="shared" si="52"/>
        <v>203749.3996569468</v>
      </c>
      <c r="U81" s="45">
        <v>10015</v>
      </c>
      <c r="V81" s="37">
        <f t="shared" si="53"/>
        <v>63.229242707880807</v>
      </c>
    </row>
    <row r="82" spans="1:22">
      <c r="A82" s="47">
        <v>3594</v>
      </c>
      <c r="B82" s="47">
        <v>25000</v>
      </c>
      <c r="C82" s="47">
        <v>210000</v>
      </c>
      <c r="D82" s="13">
        <v>43922</v>
      </c>
      <c r="E82" s="16">
        <f t="shared" si="40"/>
        <v>200155.3996569468</v>
      </c>
      <c r="F82" s="16">
        <f t="shared" si="41"/>
        <v>17500108.303845253</v>
      </c>
      <c r="G82" s="14">
        <f t="shared" si="42"/>
        <v>87.432606533919582</v>
      </c>
      <c r="H82" s="46">
        <f t="shared" si="25"/>
        <v>0</v>
      </c>
      <c r="I82" s="74">
        <f t="shared" si="43"/>
        <v>0</v>
      </c>
      <c r="J82" s="22">
        <f>VLOOKUP(D82,Data!$A$5:$V$197,8,FALSE)*5.83</f>
        <v>96.087609582721697</v>
      </c>
      <c r="K82" s="74">
        <f>VLOOKUP(D82,Data!$A$5:$V$197,19,FALSE)</f>
        <v>411.66380789022298</v>
      </c>
      <c r="L82" s="74">
        <f t="shared" si="44"/>
        <v>35992.839739520925</v>
      </c>
      <c r="M82" s="14">
        <f t="shared" si="45"/>
        <v>87.432606533919582</v>
      </c>
      <c r="N82" s="46">
        <f t="shared" si="46"/>
        <v>199743.73584905657</v>
      </c>
      <c r="O82" s="46">
        <f t="shared" si="47"/>
        <v>17464115.464105733</v>
      </c>
      <c r="P82" s="22">
        <f t="shared" si="48"/>
        <v>87.432606533919596</v>
      </c>
      <c r="Q82" s="55">
        <f t="shared" si="49"/>
        <v>201532.62620398466</v>
      </c>
      <c r="R82" s="55">
        <f t="shared" si="50"/>
        <v>17515524.894066777</v>
      </c>
      <c r="S82" s="32">
        <f t="shared" si="51"/>
        <v>86.911609420194537</v>
      </c>
      <c r="T82" s="55">
        <f t="shared" si="52"/>
        <v>203337.73584905657</v>
      </c>
      <c r="U82" s="45">
        <v>10016</v>
      </c>
      <c r="V82" s="37">
        <f t="shared" si="53"/>
        <v>63.094561308438827</v>
      </c>
    </row>
    <row r="83" spans="1:22">
      <c r="A83" s="47">
        <v>3594</v>
      </c>
      <c r="B83" s="47">
        <v>25000</v>
      </c>
      <c r="C83" s="47">
        <v>210000</v>
      </c>
      <c r="D83" s="13">
        <v>43952</v>
      </c>
      <c r="E83" s="16">
        <f t="shared" si="40"/>
        <v>199743.73584905657</v>
      </c>
      <c r="F83" s="16">
        <f t="shared" si="41"/>
        <v>17464115.464105733</v>
      </c>
      <c r="G83" s="14">
        <f t="shared" si="42"/>
        <v>87.432606533919596</v>
      </c>
      <c r="H83" s="46">
        <f t="shared" si="25"/>
        <v>0</v>
      </c>
      <c r="I83" s="74">
        <f t="shared" si="43"/>
        <v>0</v>
      </c>
      <c r="J83" s="22">
        <f>VLOOKUP(D83,Data!$A$5:$V$197,8,FALSE)*5.83</f>
        <v>95.122308343650815</v>
      </c>
      <c r="K83" s="74">
        <f>VLOOKUP(D83,Data!$A$5:$V$197,19,FALSE)</f>
        <v>3727.615780445969</v>
      </c>
      <c r="L83" s="74">
        <f t="shared" si="44"/>
        <v>325915.16384136205</v>
      </c>
      <c r="M83" s="14">
        <f t="shared" si="45"/>
        <v>87.432606533919611</v>
      </c>
      <c r="N83" s="46">
        <f t="shared" si="46"/>
        <v>196016.12006861059</v>
      </c>
      <c r="O83" s="46">
        <f t="shared" si="47"/>
        <v>17138200.30026437</v>
      </c>
      <c r="P83" s="22">
        <f t="shared" si="48"/>
        <v>87.432606533919596</v>
      </c>
      <c r="Q83" s="55">
        <f t="shared" si="49"/>
        <v>201813.34925451904</v>
      </c>
      <c r="R83" s="55">
        <f t="shared" si="50"/>
        <v>17570456.309133325</v>
      </c>
      <c r="S83" s="32">
        <f t="shared" si="51"/>
        <v>87.062904282779428</v>
      </c>
      <c r="T83" s="55">
        <f t="shared" si="52"/>
        <v>199610.12006861059</v>
      </c>
      <c r="U83" s="45">
        <v>10017</v>
      </c>
      <c r="V83" s="37">
        <f t="shared" si="53"/>
        <v>61.877650152940795</v>
      </c>
    </row>
    <row r="84" spans="1:22">
      <c r="A84" s="47">
        <v>3594</v>
      </c>
      <c r="B84" s="47">
        <v>25000</v>
      </c>
      <c r="C84" s="47">
        <v>210000</v>
      </c>
      <c r="D84" s="13">
        <v>43983</v>
      </c>
      <c r="E84" s="16">
        <f t="shared" si="40"/>
        <v>196016.12006861059</v>
      </c>
      <c r="F84" s="16">
        <f t="shared" si="41"/>
        <v>17138200.30026437</v>
      </c>
      <c r="G84" s="14">
        <f t="shared" si="42"/>
        <v>87.432606533919596</v>
      </c>
      <c r="H84" s="46">
        <f t="shared" si="25"/>
        <v>0</v>
      </c>
      <c r="I84" s="74">
        <f t="shared" si="43"/>
        <v>0</v>
      </c>
      <c r="J84" s="22">
        <f>VLOOKUP(D84,Data!$A$5:$V$197,8,FALSE)*5.83</f>
        <v>95.908469097398736</v>
      </c>
      <c r="K84" s="74">
        <f>VLOOKUP(D84,Data!$A$5:$V$197,19,FALSE)</f>
        <v>154.3739279588336</v>
      </c>
      <c r="L84" s="74">
        <f t="shared" si="44"/>
        <v>13497.314902320348</v>
      </c>
      <c r="M84" s="14">
        <f t="shared" si="45"/>
        <v>87.432606533919596</v>
      </c>
      <c r="N84" s="46">
        <f t="shared" si="46"/>
        <v>195861.74614065175</v>
      </c>
      <c r="O84" s="46">
        <f t="shared" si="47"/>
        <v>17124702.985362049</v>
      </c>
      <c r="P84" s="22">
        <f t="shared" si="48"/>
        <v>87.432606533919596</v>
      </c>
      <c r="Q84" s="55">
        <f t="shared" si="49"/>
        <v>201002.25280379996</v>
      </c>
      <c r="R84" s="55">
        <f t="shared" si="50"/>
        <v>17519683.683903039</v>
      </c>
      <c r="S84" s="32">
        <f t="shared" si="51"/>
        <v>87.16162848684165</v>
      </c>
      <c r="T84" s="55">
        <f t="shared" si="52"/>
        <v>199455.74614065175</v>
      </c>
      <c r="U84" s="45">
        <v>10018</v>
      </c>
      <c r="V84" s="37">
        <f t="shared" si="53"/>
        <v>61.826940646426813</v>
      </c>
    </row>
    <row r="85" spans="1:22">
      <c r="A85" s="47">
        <v>3594</v>
      </c>
      <c r="B85" s="47">
        <v>25000</v>
      </c>
      <c r="C85" s="47">
        <v>210000</v>
      </c>
      <c r="D85" s="13">
        <v>44013</v>
      </c>
      <c r="E85" s="16">
        <f t="shared" si="40"/>
        <v>195861.74614065175</v>
      </c>
      <c r="F85" s="16">
        <f t="shared" si="41"/>
        <v>17124702.985362049</v>
      </c>
      <c r="G85" s="14">
        <f t="shared" si="42"/>
        <v>87.432606533919596</v>
      </c>
      <c r="H85" s="46">
        <f t="shared" si="25"/>
        <v>0</v>
      </c>
      <c r="I85" s="74">
        <f t="shared" si="43"/>
        <v>0</v>
      </c>
      <c r="J85" s="22">
        <f>VLOOKUP(D85,Data!$A$5:$V$197,8,FALSE)*5.83</f>
        <v>97.326996691085213</v>
      </c>
      <c r="K85" s="74">
        <f>VLOOKUP(D85,Data!$A$5:$V$197,19,FALSE)</f>
        <v>3171.6981132075471</v>
      </c>
      <c r="L85" s="74">
        <f t="shared" si="44"/>
        <v>277309.83317645063</v>
      </c>
      <c r="M85" s="14">
        <f t="shared" si="45"/>
        <v>87.432606533919596</v>
      </c>
      <c r="N85" s="46">
        <f t="shared" si="46"/>
        <v>192690.04802744419</v>
      </c>
      <c r="O85" s="46">
        <f t="shared" si="47"/>
        <v>16847393.1521856</v>
      </c>
      <c r="P85" s="22">
        <f t="shared" si="48"/>
        <v>87.432606533919611</v>
      </c>
      <c r="Q85" s="55">
        <f t="shared" si="49"/>
        <v>200359.08088138275</v>
      </c>
      <c r="R85" s="55">
        <f t="shared" si="50"/>
        <v>17483070.558339354</v>
      </c>
      <c r="S85" s="32">
        <f t="shared" si="51"/>
        <v>87.258688158435604</v>
      </c>
      <c r="T85" s="55">
        <f t="shared" si="52"/>
        <v>196284.04802744419</v>
      </c>
      <c r="U85" s="45">
        <v>10019</v>
      </c>
      <c r="V85" s="37">
        <f t="shared" si="53"/>
        <v>60.791464760915204</v>
      </c>
    </row>
    <row r="86" spans="1:22">
      <c r="A86" s="47">
        <v>3594</v>
      </c>
      <c r="B86" s="47">
        <v>25000</v>
      </c>
      <c r="C86" s="47">
        <v>210000</v>
      </c>
      <c r="D86" s="13">
        <v>44044</v>
      </c>
      <c r="E86" s="16">
        <f t="shared" si="40"/>
        <v>192690.04802744419</v>
      </c>
      <c r="F86" s="16">
        <f t="shared" si="41"/>
        <v>16847393.1521856</v>
      </c>
      <c r="G86" s="14">
        <f t="shared" si="42"/>
        <v>87.432606533919611</v>
      </c>
      <c r="H86" s="46">
        <f t="shared" si="25"/>
        <v>0</v>
      </c>
      <c r="I86" s="74">
        <f t="shared" si="43"/>
        <v>0</v>
      </c>
      <c r="J86" s="22">
        <f>VLOOKUP(D86,Data!$A$5:$V$197,8,FALSE)*5.83</f>
        <v>96.390192968432771</v>
      </c>
      <c r="K86" s="74">
        <f>VLOOKUP(D86,Data!$A$5:$V$197,19,FALSE)</f>
        <v>8484.7341337907383</v>
      </c>
      <c r="L86" s="74">
        <f t="shared" si="44"/>
        <v>741842.42106464284</v>
      </c>
      <c r="M86" s="14">
        <f t="shared" si="45"/>
        <v>87.432606533919611</v>
      </c>
      <c r="N86" s="46">
        <f t="shared" si="46"/>
        <v>184205.31389365345</v>
      </c>
      <c r="O86" s="46">
        <f t="shared" si="47"/>
        <v>16105550.731120957</v>
      </c>
      <c r="P86" s="22">
        <f t="shared" si="48"/>
        <v>87.432606533919611</v>
      </c>
      <c r="Q86" s="55">
        <f t="shared" si="49"/>
        <v>199322.28183137614</v>
      </c>
      <c r="R86" s="55">
        <f t="shared" si="50"/>
        <v>17411712.936736319</v>
      </c>
      <c r="S86" s="32">
        <f t="shared" si="51"/>
        <v>87.354573591859562</v>
      </c>
      <c r="T86" s="55">
        <f t="shared" si="52"/>
        <v>187799.31389365345</v>
      </c>
      <c r="U86" s="45">
        <v>10020</v>
      </c>
      <c r="V86" s="37">
        <f t="shared" si="53"/>
        <v>58.021969286440424</v>
      </c>
    </row>
    <row r="87" spans="1:22">
      <c r="A87" s="47">
        <v>3594</v>
      </c>
      <c r="B87" s="47">
        <v>25000</v>
      </c>
      <c r="C87" s="47">
        <v>210000</v>
      </c>
      <c r="D87" s="13">
        <v>44075</v>
      </c>
      <c r="E87" s="16">
        <f t="shared" si="40"/>
        <v>184205.31389365345</v>
      </c>
      <c r="F87" s="16">
        <f t="shared" si="41"/>
        <v>16105550.731120957</v>
      </c>
      <c r="G87" s="14">
        <f t="shared" si="42"/>
        <v>87.432606533919611</v>
      </c>
      <c r="H87" s="46">
        <f t="shared" si="25"/>
        <v>50212.69296741001</v>
      </c>
      <c r="I87" s="74">
        <f t="shared" si="43"/>
        <v>4817786.2692639017</v>
      </c>
      <c r="J87" s="22">
        <f>VLOOKUP(D87,Data!$A$5:$V$197,8,FALSE)*5.83</f>
        <v>95.947577884158335</v>
      </c>
      <c r="K87" s="74">
        <f>VLOOKUP(D87,Data!$A$5:$V$197,19,FALSE)</f>
        <v>28012.006861063463</v>
      </c>
      <c r="L87" s="74">
        <f t="shared" si="44"/>
        <v>2500254.4278029818</v>
      </c>
      <c r="M87" s="14">
        <f t="shared" si="45"/>
        <v>89.256526324728341</v>
      </c>
      <c r="N87" s="46">
        <f t="shared" si="46"/>
        <v>206406</v>
      </c>
      <c r="O87" s="46">
        <f t="shared" si="47"/>
        <v>18423082.57258188</v>
      </c>
      <c r="P87" s="22">
        <f t="shared" si="48"/>
        <v>89.256526324728355</v>
      </c>
      <c r="Q87" s="55">
        <f t="shared" si="49"/>
        <v>199322.28183137614</v>
      </c>
      <c r="R87" s="55">
        <f t="shared" si="50"/>
        <v>17448848.839598972</v>
      </c>
      <c r="S87" s="32">
        <f t="shared" si="51"/>
        <v>87.540884437397992</v>
      </c>
      <c r="T87" s="55">
        <f t="shared" si="52"/>
        <v>210000</v>
      </c>
      <c r="U87" s="45">
        <v>10021</v>
      </c>
      <c r="V87" s="37">
        <f t="shared" si="53"/>
        <v>65.267297650130544</v>
      </c>
    </row>
    <row r="88" spans="1:22">
      <c r="A88" s="47">
        <v>3594</v>
      </c>
      <c r="B88" s="47">
        <v>25000</v>
      </c>
      <c r="C88" s="47">
        <v>210000</v>
      </c>
      <c r="D88" s="13">
        <v>44105</v>
      </c>
      <c r="E88" s="16">
        <f t="shared" si="40"/>
        <v>206406</v>
      </c>
      <c r="F88" s="16">
        <f t="shared" si="41"/>
        <v>18423082.57258188</v>
      </c>
      <c r="G88" s="14">
        <f t="shared" si="42"/>
        <v>89.256526324728355</v>
      </c>
      <c r="H88" s="46">
        <f t="shared" si="25"/>
        <v>0</v>
      </c>
      <c r="I88" s="74">
        <f t="shared" si="43"/>
        <v>0</v>
      </c>
      <c r="J88" s="22">
        <f>VLOOKUP(D88,Data!$A$5:$V$197,8,FALSE)*5.83</f>
        <v>94.762451900552492</v>
      </c>
      <c r="K88" s="74">
        <f>VLOOKUP(D88,Data!$A$5:$V$197,19,FALSE)</f>
        <v>7486.2778730703258</v>
      </c>
      <c r="L88" s="74">
        <f t="shared" si="44"/>
        <v>668199.15805193293</v>
      </c>
      <c r="M88" s="14">
        <f t="shared" si="45"/>
        <v>89.256526324728355</v>
      </c>
      <c r="N88" s="46">
        <f t="shared" si="46"/>
        <v>198919.72212692967</v>
      </c>
      <c r="O88" s="46">
        <f t="shared" si="47"/>
        <v>17754883.414529946</v>
      </c>
      <c r="P88" s="22">
        <f t="shared" si="48"/>
        <v>89.256526324728341</v>
      </c>
      <c r="Q88" s="55">
        <f t="shared" si="49"/>
        <v>200299.71948805905</v>
      </c>
      <c r="R88" s="55">
        <f t="shared" si="50"/>
        <v>17569594.378724024</v>
      </c>
      <c r="S88" s="32">
        <f t="shared" si="51"/>
        <v>87.716520141065104</v>
      </c>
      <c r="T88" s="55">
        <f t="shared" si="52"/>
        <v>202513.72212692967</v>
      </c>
      <c r="U88" s="45">
        <v>10022</v>
      </c>
      <c r="V88" s="37">
        <f t="shared" si="53"/>
        <v>62.823669101478352</v>
      </c>
    </row>
    <row r="89" spans="1:22">
      <c r="A89" s="47">
        <v>3594</v>
      </c>
      <c r="B89" s="47">
        <v>25000</v>
      </c>
      <c r="C89" s="47">
        <v>210000</v>
      </c>
      <c r="D89" s="13">
        <v>44136</v>
      </c>
      <c r="E89" s="16">
        <f t="shared" si="40"/>
        <v>198919.72212692967</v>
      </c>
      <c r="F89" s="16">
        <f t="shared" si="41"/>
        <v>17754883.414529946</v>
      </c>
      <c r="G89" s="14">
        <f t="shared" si="42"/>
        <v>89.256526324728341</v>
      </c>
      <c r="H89" s="46">
        <f t="shared" si="25"/>
        <v>0</v>
      </c>
      <c r="I89" s="74">
        <f t="shared" si="43"/>
        <v>0</v>
      </c>
      <c r="J89" s="22">
        <f>VLOOKUP(D89,Data!$A$5:$V$197,8,FALSE)*5.83</f>
        <v>94.355006921906664</v>
      </c>
      <c r="K89" s="74">
        <f>VLOOKUP(D89,Data!$A$5:$V$197,19,FALSE)</f>
        <v>0</v>
      </c>
      <c r="L89" s="74">
        <f t="shared" si="44"/>
        <v>0</v>
      </c>
      <c r="M89" s="14">
        <f t="shared" si="45"/>
        <v>0</v>
      </c>
      <c r="N89" s="46">
        <f t="shared" si="46"/>
        <v>198919.72212692967</v>
      </c>
      <c r="O89" s="46">
        <f t="shared" si="47"/>
        <v>17754883.414529946</v>
      </c>
      <c r="P89" s="22">
        <f t="shared" si="48"/>
        <v>89.256526324728341</v>
      </c>
      <c r="Q89" s="55">
        <f t="shared" si="49"/>
        <v>199723.85195936135</v>
      </c>
      <c r="R89" s="55">
        <f t="shared" si="50"/>
        <v>17547153.51951554</v>
      </c>
      <c r="S89" s="32">
        <f t="shared" si="51"/>
        <v>87.857075393708783</v>
      </c>
      <c r="T89" s="55">
        <f t="shared" si="52"/>
        <v>202513.72212692967</v>
      </c>
      <c r="U89" s="45">
        <v>10023</v>
      </c>
      <c r="V89" s="37">
        <f t="shared" si="53"/>
        <v>62.823342730721173</v>
      </c>
    </row>
    <row r="90" spans="1:22">
      <c r="A90" s="47">
        <v>3594</v>
      </c>
      <c r="B90" s="47">
        <v>25000</v>
      </c>
      <c r="C90" s="47">
        <v>210000</v>
      </c>
      <c r="D90" s="13">
        <v>44166</v>
      </c>
      <c r="E90" s="16">
        <f t="shared" si="40"/>
        <v>198919.72212692967</v>
      </c>
      <c r="F90" s="16">
        <f t="shared" si="41"/>
        <v>17754883.414529946</v>
      </c>
      <c r="G90" s="14">
        <f t="shared" si="42"/>
        <v>89.256526324728341</v>
      </c>
      <c r="H90" s="46">
        <f t="shared" si="25"/>
        <v>0</v>
      </c>
      <c r="I90" s="74">
        <f t="shared" si="43"/>
        <v>0</v>
      </c>
      <c r="J90" s="22">
        <f>VLOOKUP(D90,Data!$A$5:$V$197,8,FALSE)*5.83</f>
        <v>91.355353709960923</v>
      </c>
      <c r="K90" s="74">
        <f>VLOOKUP(D90,Data!$A$5:$V$197,19,FALSE)</f>
        <v>5407.3756432247001</v>
      </c>
      <c r="L90" s="74">
        <f t="shared" si="44"/>
        <v>482643.56644718029</v>
      </c>
      <c r="M90" s="14">
        <f t="shared" si="45"/>
        <v>89.256526324728341</v>
      </c>
      <c r="N90" s="46">
        <f t="shared" si="46"/>
        <v>193512.34648370498</v>
      </c>
      <c r="O90" s="46">
        <f t="shared" si="47"/>
        <v>17272239.848082766</v>
      </c>
      <c r="P90" s="22">
        <f t="shared" si="48"/>
        <v>89.256526324728341</v>
      </c>
      <c r="Q90" s="55">
        <f t="shared" si="49"/>
        <v>198732.03245810789</v>
      </c>
      <c r="R90" s="55">
        <f t="shared" si="50"/>
        <v>17487586.232118819</v>
      </c>
      <c r="S90" s="32">
        <f t="shared" si="51"/>
        <v>87.99581031711709</v>
      </c>
      <c r="T90" s="55">
        <f t="shared" si="52"/>
        <v>197106.34648370498</v>
      </c>
      <c r="U90" s="45">
        <v>10024</v>
      </c>
      <c r="V90" s="37">
        <f t="shared" si="53"/>
        <v>61.058207076927211</v>
      </c>
    </row>
  </sheetData>
  <mergeCells count="8">
    <mergeCell ref="T5:V5"/>
    <mergeCell ref="Q7:S18"/>
    <mergeCell ref="T7:V18"/>
    <mergeCell ref="E5:G5"/>
    <mergeCell ref="H5:J5"/>
    <mergeCell ref="K5:M5"/>
    <mergeCell ref="N5:P5"/>
    <mergeCell ref="Q5:S5"/>
  </mergeCells>
  <conditionalFormatting sqref="H34:H37">
    <cfRule type="cellIs" dxfId="6" priority="4" operator="greaterThan">
      <formula>0</formula>
    </cfRule>
  </conditionalFormatting>
  <conditionalFormatting sqref="H38">
    <cfRule type="cellIs" dxfId="5" priority="2" operator="greaterThan">
      <formula>0</formula>
    </cfRule>
  </conditionalFormatting>
  <conditionalFormatting sqref="H39:H90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 tint="0.59999389629810485"/>
  </sheetPr>
  <dimension ref="A1:Y90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5.6640625" style="1" bestFit="1" customWidth="1"/>
    <col min="3" max="3" width="6.5546875" style="1" bestFit="1" customWidth="1"/>
    <col min="4" max="4" width="6.109375" style="1" bestFit="1" customWidth="1"/>
    <col min="5" max="5" width="6.5546875" style="1" bestFit="1" customWidth="1"/>
    <col min="6" max="6" width="8.6640625" style="1" bestFit="1" customWidth="1"/>
    <col min="7" max="7" width="5.6640625" style="1" bestFit="1" customWidth="1"/>
    <col min="8" max="8" width="6.88671875" style="1" bestFit="1" customWidth="1"/>
    <col min="9" max="9" width="9" style="1" bestFit="1" customWidth="1"/>
    <col min="10" max="11" width="6.33203125" style="1" bestFit="1" customWidth="1"/>
    <col min="12" max="12" width="8.44140625" style="1" bestFit="1" customWidth="1"/>
    <col min="13" max="13" width="5.6640625" style="1" bestFit="1" customWidth="1"/>
    <col min="14" max="14" width="7.109375" style="1" bestFit="1" customWidth="1"/>
    <col min="15" max="15" width="9.33203125" style="1" bestFit="1" customWidth="1"/>
    <col min="16" max="16" width="6.33203125" style="1" bestFit="1" customWidth="1"/>
    <col min="17" max="17" width="7.109375" style="1" bestFit="1" customWidth="1"/>
    <col min="18" max="18" width="9.33203125" style="1" bestFit="1" customWidth="1"/>
    <col min="19" max="19" width="6.33203125" style="1" bestFit="1" customWidth="1"/>
    <col min="20" max="20" width="12.6640625" style="1" bestFit="1" customWidth="1"/>
    <col min="21" max="21" width="10.33203125" style="1" bestFit="1" customWidth="1"/>
    <col min="22" max="22" width="8.88671875" style="1" bestFit="1" customWidth="1"/>
    <col min="23" max="16384" width="9.109375" style="1"/>
  </cols>
  <sheetData>
    <row r="1" spans="1:25" s="120" customFormat="1">
      <c r="A1" s="120" t="s">
        <v>71</v>
      </c>
    </row>
    <row r="2" spans="1:25" s="120" customFormat="1">
      <c r="A2" s="120" t="s">
        <v>59</v>
      </c>
    </row>
    <row r="3" spans="1:25" s="44" customFormat="1"/>
    <row r="5" spans="1:25">
      <c r="B5" s="17"/>
      <c r="C5" s="18"/>
      <c r="D5" s="19"/>
      <c r="E5" s="106" t="s">
        <v>0</v>
      </c>
      <c r="F5" s="106"/>
      <c r="G5" s="106"/>
      <c r="H5" s="106" t="s">
        <v>1</v>
      </c>
      <c r="I5" s="106"/>
      <c r="J5" s="106"/>
      <c r="K5" s="106" t="s">
        <v>40</v>
      </c>
      <c r="L5" s="106"/>
      <c r="M5" s="106"/>
      <c r="N5" s="106" t="s">
        <v>2</v>
      </c>
      <c r="O5" s="106"/>
      <c r="P5" s="106"/>
      <c r="Q5" s="106" t="s">
        <v>29</v>
      </c>
      <c r="R5" s="106"/>
      <c r="S5" s="106"/>
      <c r="T5" s="106" t="s">
        <v>39</v>
      </c>
      <c r="U5" s="106"/>
      <c r="V5" s="106"/>
    </row>
    <row r="6" spans="1:25">
      <c r="A6" s="20" t="s">
        <v>49</v>
      </c>
      <c r="B6" s="20" t="s">
        <v>20</v>
      </c>
      <c r="C6" s="12" t="s">
        <v>12</v>
      </c>
      <c r="D6" s="9" t="s">
        <v>26</v>
      </c>
      <c r="E6" s="33" t="s">
        <v>3</v>
      </c>
      <c r="F6" s="33" t="s">
        <v>27</v>
      </c>
      <c r="G6" s="33" t="s">
        <v>28</v>
      </c>
      <c r="H6" s="33" t="s">
        <v>3</v>
      </c>
      <c r="I6" s="33" t="s">
        <v>27</v>
      </c>
      <c r="J6" s="33" t="s">
        <v>28</v>
      </c>
      <c r="K6" s="33" t="s">
        <v>3</v>
      </c>
      <c r="L6" s="33" t="s">
        <v>27</v>
      </c>
      <c r="M6" s="33" t="s">
        <v>28</v>
      </c>
      <c r="N6" s="33" t="s">
        <v>3</v>
      </c>
      <c r="O6" s="33" t="s">
        <v>27</v>
      </c>
      <c r="P6" s="33" t="s">
        <v>28</v>
      </c>
      <c r="Q6" s="70" t="s">
        <v>3</v>
      </c>
      <c r="R6" s="70" t="s">
        <v>27</v>
      </c>
      <c r="S6" s="70" t="s">
        <v>28</v>
      </c>
      <c r="T6" s="72" t="s">
        <v>37</v>
      </c>
      <c r="U6" s="69" t="s">
        <v>38</v>
      </c>
      <c r="V6" s="69" t="s">
        <v>50</v>
      </c>
    </row>
    <row r="7" spans="1:25">
      <c r="A7" s="47">
        <v>8737</v>
      </c>
      <c r="B7" s="21">
        <v>10000</v>
      </c>
      <c r="C7" s="21">
        <v>141000</v>
      </c>
      <c r="D7" s="49">
        <v>41640</v>
      </c>
      <c r="E7" s="50">
        <v>86160</v>
      </c>
      <c r="F7" s="50">
        <v>11705045.18</v>
      </c>
      <c r="G7" s="53">
        <f>F7/E7</f>
        <v>135.85242780872795</v>
      </c>
      <c r="H7" s="51">
        <v>12305</v>
      </c>
      <c r="I7" s="54">
        <v>1711906.39</v>
      </c>
      <c r="J7" s="52">
        <f t="shared" ref="J7:J8" si="0">IF(H7=0,0,I7/H7)</f>
        <v>139.12282730597317</v>
      </c>
      <c r="K7" s="54">
        <v>2566</v>
      </c>
      <c r="L7" s="54">
        <v>349646.04</v>
      </c>
      <c r="M7" s="53">
        <f t="shared" ref="M7:M47" si="1">IF(K7=0,0,L7/K7)</f>
        <v>136.26112236944661</v>
      </c>
      <c r="N7" s="51">
        <f t="shared" ref="N7:O54" si="2">+E7+H7-K7</f>
        <v>95899</v>
      </c>
      <c r="O7" s="51">
        <f t="shared" si="2"/>
        <v>13067305.530000001</v>
      </c>
      <c r="P7" s="52">
        <f t="shared" ref="P7:P54" si="3">IF(N7=0,0,O7/N7)</f>
        <v>136.26112399503646</v>
      </c>
      <c r="Q7" s="107"/>
      <c r="R7" s="107"/>
      <c r="S7" s="107"/>
      <c r="T7" s="107"/>
      <c r="U7" s="107"/>
      <c r="V7" s="107"/>
    </row>
    <row r="8" spans="1:25">
      <c r="A8" s="21">
        <v>8737</v>
      </c>
      <c r="B8" s="21">
        <v>10000</v>
      </c>
      <c r="C8" s="47">
        <v>141000</v>
      </c>
      <c r="D8" s="49">
        <v>41671</v>
      </c>
      <c r="E8" s="50">
        <f t="shared" ref="E8:G48" si="4">N7</f>
        <v>95899</v>
      </c>
      <c r="F8" s="50">
        <f t="shared" si="4"/>
        <v>13067305.530000001</v>
      </c>
      <c r="G8" s="53">
        <f t="shared" si="4"/>
        <v>136.26112399503646</v>
      </c>
      <c r="H8" s="51">
        <v>0</v>
      </c>
      <c r="I8" s="54">
        <v>0</v>
      </c>
      <c r="J8" s="52">
        <f t="shared" si="0"/>
        <v>0</v>
      </c>
      <c r="K8" s="54">
        <v>2671</v>
      </c>
      <c r="L8" s="54">
        <v>363953.46</v>
      </c>
      <c r="M8" s="53">
        <f t="shared" si="1"/>
        <v>136.26112317484089</v>
      </c>
      <c r="N8" s="51">
        <f t="shared" si="2"/>
        <v>93228</v>
      </c>
      <c r="O8" s="51">
        <f t="shared" si="2"/>
        <v>12703352.07</v>
      </c>
      <c r="P8" s="52">
        <f t="shared" si="3"/>
        <v>136.26112401853521</v>
      </c>
      <c r="Q8" s="107"/>
      <c r="R8" s="107"/>
      <c r="S8" s="107"/>
      <c r="T8" s="107"/>
      <c r="U8" s="107"/>
      <c r="V8" s="107"/>
    </row>
    <row r="9" spans="1:25">
      <c r="A9" s="21">
        <v>8737</v>
      </c>
      <c r="B9" s="21">
        <v>10000</v>
      </c>
      <c r="C9" s="47">
        <v>141000</v>
      </c>
      <c r="D9" s="49">
        <v>41699</v>
      </c>
      <c r="E9" s="50">
        <f t="shared" si="4"/>
        <v>93228</v>
      </c>
      <c r="F9" s="50">
        <f t="shared" si="4"/>
        <v>12703352.07</v>
      </c>
      <c r="G9" s="53">
        <f t="shared" si="4"/>
        <v>136.26112401853521</v>
      </c>
      <c r="H9" s="51">
        <v>0</v>
      </c>
      <c r="I9" s="54">
        <v>0</v>
      </c>
      <c r="J9" s="52">
        <f t="shared" ref="J9" si="5">IF(H9=0,0,I9/H9)</f>
        <v>0</v>
      </c>
      <c r="K9" s="54">
        <v>325</v>
      </c>
      <c r="L9" s="54">
        <v>44284.87</v>
      </c>
      <c r="M9" s="53">
        <f t="shared" si="1"/>
        <v>136.26113846153848</v>
      </c>
      <c r="N9" s="51">
        <f t="shared" si="2"/>
        <v>92903</v>
      </c>
      <c r="O9" s="51">
        <f t="shared" si="2"/>
        <v>12659067.200000001</v>
      </c>
      <c r="P9" s="52">
        <f t="shared" si="3"/>
        <v>136.26112396800966</v>
      </c>
      <c r="Q9" s="107"/>
      <c r="R9" s="107"/>
      <c r="S9" s="107"/>
      <c r="T9" s="107"/>
      <c r="U9" s="107"/>
      <c r="V9" s="107"/>
    </row>
    <row r="10" spans="1:25">
      <c r="A10" s="21">
        <v>8737</v>
      </c>
      <c r="B10" s="21">
        <v>10000</v>
      </c>
      <c r="C10" s="47">
        <v>141000</v>
      </c>
      <c r="D10" s="49">
        <v>41730</v>
      </c>
      <c r="E10" s="50">
        <f t="shared" si="4"/>
        <v>92903</v>
      </c>
      <c r="F10" s="50">
        <f t="shared" si="4"/>
        <v>12659067.200000001</v>
      </c>
      <c r="G10" s="53">
        <f t="shared" si="4"/>
        <v>136.26112396800966</v>
      </c>
      <c r="H10" s="51">
        <v>0</v>
      </c>
      <c r="I10" s="54">
        <v>0</v>
      </c>
      <c r="J10" s="52">
        <f t="shared" ref="J10:J17" si="6">IF(H10=0,0,I10/H10)</f>
        <v>0</v>
      </c>
      <c r="K10" s="54">
        <v>1403</v>
      </c>
      <c r="L10" s="54">
        <v>191174.35</v>
      </c>
      <c r="M10" s="53">
        <f t="shared" si="1"/>
        <v>136.26111903064862</v>
      </c>
      <c r="N10" s="51">
        <f t="shared" si="2"/>
        <v>91500</v>
      </c>
      <c r="O10" s="51">
        <f t="shared" si="2"/>
        <v>12467892.850000001</v>
      </c>
      <c r="P10" s="52">
        <f t="shared" si="3"/>
        <v>136.26112404371585</v>
      </c>
      <c r="Q10" s="107"/>
      <c r="R10" s="107"/>
      <c r="S10" s="107"/>
      <c r="T10" s="107"/>
      <c r="U10" s="107"/>
      <c r="V10" s="107"/>
    </row>
    <row r="11" spans="1:25">
      <c r="A11" s="21">
        <v>8737</v>
      </c>
      <c r="B11" s="21">
        <v>10000</v>
      </c>
      <c r="C11" s="47">
        <v>141000</v>
      </c>
      <c r="D11" s="49">
        <v>41760</v>
      </c>
      <c r="E11" s="50">
        <f t="shared" si="4"/>
        <v>91500</v>
      </c>
      <c r="F11" s="50">
        <f t="shared" si="4"/>
        <v>12467892.850000001</v>
      </c>
      <c r="G11" s="53">
        <f t="shared" si="4"/>
        <v>136.26112404371585</v>
      </c>
      <c r="H11" s="51">
        <v>1068</v>
      </c>
      <c r="I11" s="54">
        <v>104971.46</v>
      </c>
      <c r="J11" s="52">
        <f t="shared" si="6"/>
        <v>98.287883895131088</v>
      </c>
      <c r="K11" s="54">
        <v>1330</v>
      </c>
      <c r="L11" s="54">
        <v>180644.61</v>
      </c>
      <c r="M11" s="53">
        <f t="shared" si="1"/>
        <v>135.82301503759396</v>
      </c>
      <c r="N11" s="51">
        <f t="shared" si="2"/>
        <v>91238</v>
      </c>
      <c r="O11" s="51">
        <f t="shared" si="2"/>
        <v>12392219.700000003</v>
      </c>
      <c r="P11" s="52">
        <f t="shared" si="3"/>
        <v>135.82300905324539</v>
      </c>
      <c r="Q11" s="107"/>
      <c r="R11" s="107"/>
      <c r="S11" s="107"/>
      <c r="T11" s="107"/>
      <c r="U11" s="107"/>
      <c r="V11" s="107"/>
      <c r="X11" s="60"/>
      <c r="Y11" s="60"/>
    </row>
    <row r="12" spans="1:25">
      <c r="A12" s="21">
        <v>8737</v>
      </c>
      <c r="B12" s="21">
        <v>10000</v>
      </c>
      <c r="C12" s="47">
        <v>141000</v>
      </c>
      <c r="D12" s="49">
        <v>41791</v>
      </c>
      <c r="E12" s="50">
        <f t="shared" si="4"/>
        <v>91238</v>
      </c>
      <c r="F12" s="50">
        <f t="shared" si="4"/>
        <v>12392219.700000003</v>
      </c>
      <c r="G12" s="53">
        <f t="shared" si="4"/>
        <v>135.82300905324539</v>
      </c>
      <c r="H12" s="51">
        <v>21009</v>
      </c>
      <c r="I12" s="51">
        <v>2092599.86</v>
      </c>
      <c r="J12" s="52">
        <f t="shared" si="6"/>
        <v>99.604924556142606</v>
      </c>
      <c r="K12" s="54">
        <v>2215</v>
      </c>
      <c r="L12" s="54">
        <v>285832.81</v>
      </c>
      <c r="M12" s="53">
        <f t="shared" si="1"/>
        <v>129.04415801354401</v>
      </c>
      <c r="N12" s="51">
        <f t="shared" si="2"/>
        <v>110032</v>
      </c>
      <c r="O12" s="51">
        <f t="shared" si="2"/>
        <v>14198986.750000002</v>
      </c>
      <c r="P12" s="52">
        <f t="shared" si="3"/>
        <v>129.04415760869566</v>
      </c>
      <c r="Q12" s="107"/>
      <c r="R12" s="107"/>
      <c r="S12" s="107"/>
      <c r="T12" s="107"/>
      <c r="U12" s="107"/>
      <c r="V12" s="107"/>
      <c r="Y12" s="61"/>
    </row>
    <row r="13" spans="1:25">
      <c r="A13" s="21">
        <v>8737</v>
      </c>
      <c r="B13" s="21">
        <v>10000</v>
      </c>
      <c r="C13" s="47">
        <v>141000</v>
      </c>
      <c r="D13" s="49">
        <v>41821</v>
      </c>
      <c r="E13" s="50">
        <f t="shared" si="4"/>
        <v>110032</v>
      </c>
      <c r="F13" s="50">
        <f t="shared" si="4"/>
        <v>14198986.750000002</v>
      </c>
      <c r="G13" s="53">
        <f t="shared" si="4"/>
        <v>129.04415760869566</v>
      </c>
      <c r="H13" s="51">
        <v>8819</v>
      </c>
      <c r="I13" s="51">
        <v>891025.62</v>
      </c>
      <c r="J13" s="52">
        <f t="shared" si="6"/>
        <v>101.03476811429867</v>
      </c>
      <c r="K13" s="54">
        <v>1037</v>
      </c>
      <c r="L13" s="54">
        <v>131663.53</v>
      </c>
      <c r="M13" s="53">
        <f t="shared" si="1"/>
        <v>126.96579556412729</v>
      </c>
      <c r="N13" s="51">
        <f t="shared" si="2"/>
        <v>117814</v>
      </c>
      <c r="O13" s="51">
        <f t="shared" si="2"/>
        <v>14958348.840000002</v>
      </c>
      <c r="P13" s="52">
        <f t="shared" si="3"/>
        <v>126.96580066885092</v>
      </c>
      <c r="Q13" s="107"/>
      <c r="R13" s="107"/>
      <c r="S13" s="107"/>
      <c r="T13" s="107"/>
      <c r="U13" s="107"/>
      <c r="V13" s="107"/>
    </row>
    <row r="14" spans="1:25">
      <c r="A14" s="21">
        <v>8737</v>
      </c>
      <c r="B14" s="21">
        <v>10000</v>
      </c>
      <c r="C14" s="47">
        <v>141000</v>
      </c>
      <c r="D14" s="49">
        <v>41852</v>
      </c>
      <c r="E14" s="50">
        <f t="shared" si="4"/>
        <v>117814</v>
      </c>
      <c r="F14" s="50">
        <f t="shared" si="4"/>
        <v>14958348.840000002</v>
      </c>
      <c r="G14" s="53">
        <f t="shared" si="4"/>
        <v>126.96580066885092</v>
      </c>
      <c r="H14" s="51">
        <v>-20915</v>
      </c>
      <c r="I14" s="54">
        <v>-2622648.52</v>
      </c>
      <c r="J14" s="52">
        <f t="shared" si="6"/>
        <v>125.39557829309108</v>
      </c>
      <c r="K14" s="54">
        <v>10</v>
      </c>
      <c r="L14" s="54">
        <v>1273.05</v>
      </c>
      <c r="M14" s="53">
        <f t="shared" si="1"/>
        <v>127.30499999999999</v>
      </c>
      <c r="N14" s="51">
        <f t="shared" si="2"/>
        <v>96889</v>
      </c>
      <c r="O14" s="51">
        <f t="shared" si="2"/>
        <v>12334427.270000001</v>
      </c>
      <c r="P14" s="52">
        <f t="shared" si="3"/>
        <v>127.30472262073096</v>
      </c>
      <c r="Q14" s="107"/>
      <c r="R14" s="107"/>
      <c r="S14" s="107"/>
      <c r="T14" s="107"/>
      <c r="U14" s="107"/>
      <c r="V14" s="107"/>
    </row>
    <row r="15" spans="1:25">
      <c r="A15" s="21">
        <v>8737</v>
      </c>
      <c r="B15" s="21">
        <v>10000</v>
      </c>
      <c r="C15" s="47">
        <v>141000</v>
      </c>
      <c r="D15" s="49">
        <v>41883</v>
      </c>
      <c r="E15" s="50">
        <f t="shared" si="4"/>
        <v>96889</v>
      </c>
      <c r="F15" s="50">
        <f t="shared" si="4"/>
        <v>12334427.270000001</v>
      </c>
      <c r="G15" s="53">
        <f t="shared" si="4"/>
        <v>127.30472262073096</v>
      </c>
      <c r="H15" s="51">
        <v>-26597</v>
      </c>
      <c r="I15" s="54">
        <v>-3400115.73</v>
      </c>
      <c r="J15" s="52">
        <f t="shared" si="6"/>
        <v>127.83831747941497</v>
      </c>
      <c r="K15" s="54">
        <v>5</v>
      </c>
      <c r="L15" s="54">
        <v>635.51</v>
      </c>
      <c r="M15" s="53">
        <f t="shared" si="1"/>
        <v>127.102</v>
      </c>
      <c r="N15" s="51">
        <f t="shared" si="2"/>
        <v>70287</v>
      </c>
      <c r="O15" s="51">
        <f t="shared" si="2"/>
        <v>8933676.0300000012</v>
      </c>
      <c r="P15" s="52">
        <f t="shared" si="3"/>
        <v>127.10282171667593</v>
      </c>
      <c r="Q15" s="107"/>
      <c r="R15" s="107"/>
      <c r="S15" s="107"/>
      <c r="T15" s="107"/>
      <c r="U15" s="107"/>
      <c r="V15" s="107"/>
    </row>
    <row r="16" spans="1:25">
      <c r="A16" s="21">
        <v>8737</v>
      </c>
      <c r="B16" s="21">
        <v>10000</v>
      </c>
      <c r="C16" s="47">
        <v>141000</v>
      </c>
      <c r="D16" s="49">
        <v>41913</v>
      </c>
      <c r="E16" s="50">
        <f t="shared" si="4"/>
        <v>70287</v>
      </c>
      <c r="F16" s="50">
        <f t="shared" si="4"/>
        <v>8933676.0300000012</v>
      </c>
      <c r="G16" s="53">
        <f t="shared" si="4"/>
        <v>127.10282171667593</v>
      </c>
      <c r="H16" s="51">
        <v>-22514</v>
      </c>
      <c r="I16" s="54">
        <v>-2857122.74</v>
      </c>
      <c r="J16" s="52">
        <f t="shared" si="6"/>
        <v>126.90427023185575</v>
      </c>
      <c r="K16" s="54">
        <v>-63</v>
      </c>
      <c r="L16" s="54">
        <v>-8013.37</v>
      </c>
      <c r="M16" s="53">
        <f t="shared" si="1"/>
        <v>127.19634920634921</v>
      </c>
      <c r="N16" s="51">
        <f t="shared" si="2"/>
        <v>47836</v>
      </c>
      <c r="O16" s="51">
        <f t="shared" si="2"/>
        <v>6084566.6600000011</v>
      </c>
      <c r="P16" s="52">
        <f t="shared" si="3"/>
        <v>127.19639309306801</v>
      </c>
      <c r="Q16" s="107"/>
      <c r="R16" s="107"/>
      <c r="S16" s="107"/>
      <c r="T16" s="107"/>
      <c r="U16" s="107"/>
      <c r="V16" s="107"/>
    </row>
    <row r="17" spans="1:22">
      <c r="A17" s="21">
        <v>8737</v>
      </c>
      <c r="B17" s="21">
        <v>10000</v>
      </c>
      <c r="C17" s="47">
        <v>141000</v>
      </c>
      <c r="D17" s="49">
        <v>41944</v>
      </c>
      <c r="E17" s="50">
        <f t="shared" si="4"/>
        <v>47836</v>
      </c>
      <c r="F17" s="50">
        <f t="shared" si="4"/>
        <v>6084566.6600000011</v>
      </c>
      <c r="G17" s="53">
        <f t="shared" si="4"/>
        <v>127.19639309306801</v>
      </c>
      <c r="H17" s="51">
        <v>-22856</v>
      </c>
      <c r="I17" s="54">
        <v>-2907200.76</v>
      </c>
      <c r="J17" s="52">
        <f t="shared" si="6"/>
        <v>127.19639306965347</v>
      </c>
      <c r="K17" s="54">
        <v>-6</v>
      </c>
      <c r="L17" s="54">
        <v>-763.18</v>
      </c>
      <c r="M17" s="53">
        <f t="shared" si="1"/>
        <v>127.19666666666666</v>
      </c>
      <c r="N17" s="51">
        <f t="shared" si="2"/>
        <v>24986</v>
      </c>
      <c r="O17" s="51">
        <f t="shared" si="2"/>
        <v>3178129.0800000015</v>
      </c>
      <c r="P17" s="52">
        <f t="shared" si="3"/>
        <v>127.19639318018096</v>
      </c>
      <c r="Q17" s="107"/>
      <c r="R17" s="107"/>
      <c r="S17" s="107"/>
      <c r="T17" s="107"/>
      <c r="U17" s="107"/>
      <c r="V17" s="107"/>
    </row>
    <row r="18" spans="1:22">
      <c r="A18" s="21">
        <v>8737</v>
      </c>
      <c r="B18" s="21">
        <v>10000</v>
      </c>
      <c r="C18" s="47">
        <v>141000</v>
      </c>
      <c r="D18" s="49">
        <v>41974</v>
      </c>
      <c r="E18" s="50">
        <f t="shared" si="4"/>
        <v>24986</v>
      </c>
      <c r="F18" s="50">
        <f t="shared" si="4"/>
        <v>3178129.0800000015</v>
      </c>
      <c r="G18" s="53">
        <f t="shared" si="4"/>
        <v>127.19639318018096</v>
      </c>
      <c r="H18" s="51">
        <v>-22794</v>
      </c>
      <c r="I18" s="54">
        <v>-2899314.58</v>
      </c>
      <c r="J18" s="52">
        <f t="shared" ref="J18" si="7">IF(H18=0,0,I18/H18)</f>
        <v>127.19639291041503</v>
      </c>
      <c r="K18" s="54">
        <v>-19</v>
      </c>
      <c r="L18" s="54">
        <v>-2416.73</v>
      </c>
      <c r="M18" s="53">
        <f t="shared" ref="M18" si="8">IF(K18=0,0,L18/K18)</f>
        <v>127.19631578947369</v>
      </c>
      <c r="N18" s="51">
        <f t="shared" si="2"/>
        <v>2211</v>
      </c>
      <c r="O18" s="51">
        <f t="shared" si="2"/>
        <v>281231.23000000138</v>
      </c>
      <c r="P18" s="52">
        <f t="shared" si="3"/>
        <v>127.19639529624666</v>
      </c>
      <c r="Q18" s="107"/>
      <c r="R18" s="107"/>
      <c r="S18" s="107"/>
      <c r="T18" s="107"/>
      <c r="U18" s="107"/>
      <c r="V18" s="107"/>
    </row>
    <row r="19" spans="1:22">
      <c r="A19" s="21">
        <v>8737</v>
      </c>
      <c r="B19" s="21">
        <v>10000</v>
      </c>
      <c r="C19" s="47">
        <v>141000</v>
      </c>
      <c r="D19" s="49">
        <v>42005</v>
      </c>
      <c r="E19" s="50">
        <f t="shared" si="4"/>
        <v>2211</v>
      </c>
      <c r="F19" s="50">
        <f t="shared" si="4"/>
        <v>281231.23000000138</v>
      </c>
      <c r="G19" s="53">
        <f t="shared" si="4"/>
        <v>127.19639529624666</v>
      </c>
      <c r="H19" s="51">
        <v>-1685</v>
      </c>
      <c r="I19" s="54">
        <v>-208117.52</v>
      </c>
      <c r="J19" s="52">
        <f t="shared" ref="J19" si="9">IF(H19=0,0,I19/H19)</f>
        <v>123.51188130563797</v>
      </c>
      <c r="K19" s="54">
        <v>86</v>
      </c>
      <c r="L19" s="54">
        <v>11953.95</v>
      </c>
      <c r="M19" s="53">
        <f t="shared" si="1"/>
        <v>138.99941860465117</v>
      </c>
      <c r="N19" s="51">
        <f t="shared" si="2"/>
        <v>440</v>
      </c>
      <c r="O19" s="51">
        <f t="shared" si="2"/>
        <v>61159.760000001392</v>
      </c>
      <c r="P19" s="52">
        <f t="shared" si="3"/>
        <v>138.9994545454577</v>
      </c>
      <c r="Q19" s="54">
        <f t="shared" ref="Q19:R32" si="10">AVERAGE(N7:N19)</f>
        <v>71943.307692307688</v>
      </c>
      <c r="R19" s="54">
        <f t="shared" si="10"/>
        <v>9486181.7669230774</v>
      </c>
      <c r="S19" s="56">
        <f t="shared" ref="S19:S54" si="11">IF(Q19=0,0,R19/Q19)</f>
        <v>131.85634732690164</v>
      </c>
      <c r="T19" s="54">
        <f t="shared" ref="T19:T66" si="12">N19+A19</f>
        <v>9177</v>
      </c>
      <c r="U19" s="58">
        <v>8737</v>
      </c>
      <c r="V19" s="75">
        <f t="shared" ref="V19:V66" si="13">(T19-U19)/1350</f>
        <v>0.32592592592592595</v>
      </c>
    </row>
    <row r="20" spans="1:22">
      <c r="A20" s="21">
        <v>8737</v>
      </c>
      <c r="B20" s="21">
        <v>10000</v>
      </c>
      <c r="C20" s="47">
        <v>141000</v>
      </c>
      <c r="D20" s="49">
        <v>42036</v>
      </c>
      <c r="E20" s="50">
        <f t="shared" si="4"/>
        <v>440</v>
      </c>
      <c r="F20" s="50">
        <f t="shared" si="4"/>
        <v>61159.760000001392</v>
      </c>
      <c r="G20" s="53">
        <f t="shared" si="4"/>
        <v>138.9994545454577</v>
      </c>
      <c r="H20" s="51">
        <v>14319</v>
      </c>
      <c r="I20" s="54">
        <v>1309079.21</v>
      </c>
      <c r="J20" s="52">
        <f t="shared" ref="J20" si="14">IF(H20=0,0,I20/H20)</f>
        <v>91.422530204623229</v>
      </c>
      <c r="K20" s="54">
        <v>29</v>
      </c>
      <c r="L20" s="54">
        <v>2692.39</v>
      </c>
      <c r="M20" s="53">
        <f t="shared" si="1"/>
        <v>92.841034482758616</v>
      </c>
      <c r="N20" s="51">
        <f t="shared" si="2"/>
        <v>14730</v>
      </c>
      <c r="O20" s="51">
        <f t="shared" si="2"/>
        <v>1367546.5800000015</v>
      </c>
      <c r="P20" s="52">
        <f t="shared" si="3"/>
        <v>92.840908350305597</v>
      </c>
      <c r="Q20" s="54">
        <f t="shared" si="10"/>
        <v>65699.538461538468</v>
      </c>
      <c r="R20" s="54">
        <f t="shared" si="10"/>
        <v>8586200.3092307709</v>
      </c>
      <c r="S20" s="56">
        <f t="shared" si="11"/>
        <v>130.68889843506687</v>
      </c>
      <c r="T20" s="54">
        <f t="shared" si="12"/>
        <v>23467</v>
      </c>
      <c r="U20" s="58">
        <v>8737</v>
      </c>
      <c r="V20" s="75">
        <f t="shared" si="13"/>
        <v>10.911111111111111</v>
      </c>
    </row>
    <row r="21" spans="1:22">
      <c r="A21" s="21">
        <v>8737</v>
      </c>
      <c r="B21" s="21">
        <v>10000</v>
      </c>
      <c r="C21" s="47">
        <v>141000</v>
      </c>
      <c r="D21" s="49">
        <v>42064</v>
      </c>
      <c r="E21" s="50">
        <f t="shared" si="4"/>
        <v>14730</v>
      </c>
      <c r="F21" s="50">
        <f t="shared" si="4"/>
        <v>1367546.5800000015</v>
      </c>
      <c r="G21" s="53">
        <f t="shared" si="4"/>
        <v>92.840908350305597</v>
      </c>
      <c r="H21" s="51">
        <v>18082</v>
      </c>
      <c r="I21" s="54">
        <v>1766414.93</v>
      </c>
      <c r="J21" s="52">
        <f t="shared" ref="J21" si="15">IF(H21=0,0,I21/H21)</f>
        <v>97.689134498396186</v>
      </c>
      <c r="K21" s="54">
        <v>35</v>
      </c>
      <c r="L21" s="54">
        <v>3342.94</v>
      </c>
      <c r="M21" s="53">
        <f t="shared" si="1"/>
        <v>95.512571428571434</v>
      </c>
      <c r="N21" s="51">
        <f t="shared" si="2"/>
        <v>32777</v>
      </c>
      <c r="O21" s="51">
        <f t="shared" si="2"/>
        <v>3130618.5700000017</v>
      </c>
      <c r="P21" s="52">
        <f t="shared" si="3"/>
        <v>95.512663453031138</v>
      </c>
      <c r="Q21" s="54">
        <f t="shared" si="10"/>
        <v>61049.461538461539</v>
      </c>
      <c r="R21" s="54">
        <f t="shared" si="10"/>
        <v>7849836.1938461559</v>
      </c>
      <c r="S21" s="56">
        <f t="shared" si="11"/>
        <v>128.58157952631097</v>
      </c>
      <c r="T21" s="54">
        <f t="shared" si="12"/>
        <v>41514</v>
      </c>
      <c r="U21" s="58">
        <v>8737</v>
      </c>
      <c r="V21" s="75">
        <f t="shared" si="13"/>
        <v>24.279259259259259</v>
      </c>
    </row>
    <row r="22" spans="1:22">
      <c r="A22" s="21">
        <v>8737</v>
      </c>
      <c r="B22" s="21">
        <v>10000</v>
      </c>
      <c r="C22" s="47">
        <v>141000</v>
      </c>
      <c r="D22" s="49">
        <v>42095</v>
      </c>
      <c r="E22" s="50">
        <f t="shared" si="4"/>
        <v>32777</v>
      </c>
      <c r="F22" s="50">
        <f t="shared" si="4"/>
        <v>3130618.5700000017</v>
      </c>
      <c r="G22" s="53">
        <f t="shared" si="4"/>
        <v>95.512663453031138</v>
      </c>
      <c r="H22" s="51">
        <v>12456</v>
      </c>
      <c r="I22" s="54">
        <v>1215429.95</v>
      </c>
      <c r="J22" s="52">
        <f t="shared" ref="J22" si="16">IF(H22=0,0,I22/H22)</f>
        <v>97.577870102761722</v>
      </c>
      <c r="K22" s="54">
        <v>-2</v>
      </c>
      <c r="L22" s="54">
        <v>-192.16</v>
      </c>
      <c r="M22" s="53">
        <f t="shared" si="1"/>
        <v>96.08</v>
      </c>
      <c r="N22" s="51">
        <f t="shared" si="2"/>
        <v>45235</v>
      </c>
      <c r="O22" s="51">
        <f t="shared" si="2"/>
        <v>4346240.6800000016</v>
      </c>
      <c r="P22" s="52">
        <f t="shared" si="3"/>
        <v>96.081367967282006</v>
      </c>
      <c r="Q22" s="54">
        <f t="shared" si="10"/>
        <v>57382.692307692305</v>
      </c>
      <c r="R22" s="54">
        <f t="shared" si="10"/>
        <v>7210388.0000000019</v>
      </c>
      <c r="S22" s="56">
        <f t="shared" si="11"/>
        <v>125.65440396796143</v>
      </c>
      <c r="T22" s="54">
        <f t="shared" si="12"/>
        <v>53972</v>
      </c>
      <c r="U22" s="58">
        <v>8737</v>
      </c>
      <c r="V22" s="75">
        <f t="shared" si="13"/>
        <v>33.507407407407406</v>
      </c>
    </row>
    <row r="23" spans="1:22">
      <c r="A23" s="21">
        <v>8737</v>
      </c>
      <c r="B23" s="21">
        <v>10000</v>
      </c>
      <c r="C23" s="47">
        <v>141000</v>
      </c>
      <c r="D23" s="49">
        <v>42125</v>
      </c>
      <c r="E23" s="50">
        <f t="shared" si="4"/>
        <v>45235</v>
      </c>
      <c r="F23" s="50">
        <f t="shared" si="4"/>
        <v>4346240.6800000016</v>
      </c>
      <c r="G23" s="53">
        <f t="shared" si="4"/>
        <v>96.081367967282006</v>
      </c>
      <c r="H23" s="51">
        <v>39871</v>
      </c>
      <c r="I23" s="54">
        <v>3908352.55</v>
      </c>
      <c r="J23" s="52">
        <f t="shared" ref="J23" si="17">IF(H23=0,0,I23/H23)</f>
        <v>98.024944195028965</v>
      </c>
      <c r="K23" s="54">
        <v>1030</v>
      </c>
      <c r="L23" s="54">
        <v>99901.67</v>
      </c>
      <c r="M23" s="53">
        <f t="shared" si="1"/>
        <v>96.991912621359219</v>
      </c>
      <c r="N23" s="51">
        <f t="shared" si="2"/>
        <v>84076</v>
      </c>
      <c r="O23" s="51">
        <f t="shared" si="2"/>
        <v>8154691.5600000015</v>
      </c>
      <c r="P23" s="52">
        <f t="shared" si="3"/>
        <v>96.991906846186794</v>
      </c>
      <c r="Q23" s="54">
        <f t="shared" si="10"/>
        <v>56811.615384615383</v>
      </c>
      <c r="R23" s="54">
        <f t="shared" si="10"/>
        <v>6878603.2853846187</v>
      </c>
      <c r="S23" s="56">
        <f t="shared" si="11"/>
        <v>121.07741064598117</v>
      </c>
      <c r="T23" s="54">
        <f t="shared" si="12"/>
        <v>92813</v>
      </c>
      <c r="U23" s="58">
        <v>8737</v>
      </c>
      <c r="V23" s="75">
        <f t="shared" si="13"/>
        <v>62.278518518518517</v>
      </c>
    </row>
    <row r="24" spans="1:22">
      <c r="A24" s="21">
        <v>8737</v>
      </c>
      <c r="B24" s="21">
        <v>10000</v>
      </c>
      <c r="C24" s="47">
        <v>141000</v>
      </c>
      <c r="D24" s="49">
        <v>42156</v>
      </c>
      <c r="E24" s="50">
        <f t="shared" si="4"/>
        <v>84076</v>
      </c>
      <c r="F24" s="50">
        <f t="shared" si="4"/>
        <v>8154691.5600000015</v>
      </c>
      <c r="G24" s="53">
        <f t="shared" si="4"/>
        <v>96.991906846186794</v>
      </c>
      <c r="H24" s="51">
        <v>42408</v>
      </c>
      <c r="I24" s="54">
        <v>3712832.76</v>
      </c>
      <c r="J24" s="52">
        <f t="shared" ref="J24" si="18">IF(H24=0,0,I24/H24)</f>
        <v>87.550291454442558</v>
      </c>
      <c r="K24" s="54">
        <v>-50</v>
      </c>
      <c r="L24" s="54">
        <v>-4691.3100000000004</v>
      </c>
      <c r="M24" s="53">
        <f t="shared" si="1"/>
        <v>93.826200000000014</v>
      </c>
      <c r="N24" s="51">
        <f t="shared" si="2"/>
        <v>126534</v>
      </c>
      <c r="O24" s="51">
        <f t="shared" si="2"/>
        <v>11872215.630000001</v>
      </c>
      <c r="P24" s="52">
        <f t="shared" si="3"/>
        <v>93.826288823557306</v>
      </c>
      <c r="Q24" s="54">
        <f t="shared" si="10"/>
        <v>59526.692307692305</v>
      </c>
      <c r="R24" s="54">
        <f t="shared" si="10"/>
        <v>6838602.9723076932</v>
      </c>
      <c r="S24" s="56">
        <f t="shared" si="11"/>
        <v>114.88296606435124</v>
      </c>
      <c r="T24" s="54">
        <f t="shared" si="12"/>
        <v>135271</v>
      </c>
      <c r="U24" s="58">
        <v>8737</v>
      </c>
      <c r="V24" s="75">
        <f t="shared" si="13"/>
        <v>93.728888888888889</v>
      </c>
    </row>
    <row r="25" spans="1:22">
      <c r="A25" s="21">
        <v>8737</v>
      </c>
      <c r="B25" s="21">
        <v>10000</v>
      </c>
      <c r="C25" s="47">
        <v>141000</v>
      </c>
      <c r="D25" s="49">
        <v>42186</v>
      </c>
      <c r="E25" s="50">
        <f t="shared" si="4"/>
        <v>126534</v>
      </c>
      <c r="F25" s="50">
        <f t="shared" si="4"/>
        <v>11872215.630000001</v>
      </c>
      <c r="G25" s="53">
        <f t="shared" si="4"/>
        <v>93.826288823557306</v>
      </c>
      <c r="H25" s="51">
        <v>0</v>
      </c>
      <c r="I25" s="54">
        <v>0</v>
      </c>
      <c r="J25" s="52">
        <f t="shared" ref="J25" si="19">IF(H25=0,0,I25/H25)</f>
        <v>0</v>
      </c>
      <c r="K25" s="54">
        <v>67</v>
      </c>
      <c r="L25" s="54">
        <v>6286.36</v>
      </c>
      <c r="M25" s="53">
        <f t="shared" si="1"/>
        <v>93.826268656716408</v>
      </c>
      <c r="N25" s="51">
        <f t="shared" si="2"/>
        <v>126467</v>
      </c>
      <c r="O25" s="51">
        <f t="shared" si="2"/>
        <v>11865929.270000001</v>
      </c>
      <c r="P25" s="52">
        <f t="shared" si="3"/>
        <v>93.826288834241353</v>
      </c>
      <c r="Q25" s="54">
        <f t="shared" si="10"/>
        <v>60790.923076923078</v>
      </c>
      <c r="R25" s="54">
        <f t="shared" si="10"/>
        <v>6659137.0123076923</v>
      </c>
      <c r="S25" s="56">
        <f t="shared" si="11"/>
        <v>109.5416334422396</v>
      </c>
      <c r="T25" s="54">
        <f t="shared" si="12"/>
        <v>135204</v>
      </c>
      <c r="U25" s="58">
        <v>8737</v>
      </c>
      <c r="V25" s="75">
        <f t="shared" si="13"/>
        <v>93.679259259259254</v>
      </c>
    </row>
    <row r="26" spans="1:22">
      <c r="A26" s="21">
        <v>8737</v>
      </c>
      <c r="B26" s="21">
        <v>10000</v>
      </c>
      <c r="C26" s="47">
        <v>141000</v>
      </c>
      <c r="D26" s="49">
        <v>42217</v>
      </c>
      <c r="E26" s="50">
        <f t="shared" si="4"/>
        <v>126467</v>
      </c>
      <c r="F26" s="50">
        <f t="shared" si="4"/>
        <v>11865929.270000001</v>
      </c>
      <c r="G26" s="53">
        <f t="shared" si="4"/>
        <v>93.826288834241353</v>
      </c>
      <c r="H26" s="51">
        <v>0</v>
      </c>
      <c r="I26" s="54">
        <v>21257.8</v>
      </c>
      <c r="J26" s="52">
        <f t="shared" ref="J26:J30" si="20">IF(H26=0,0,I26/H26)</f>
        <v>0</v>
      </c>
      <c r="K26" s="54">
        <v>12</v>
      </c>
      <c r="L26" s="54">
        <v>1127.94</v>
      </c>
      <c r="M26" s="53">
        <f t="shared" si="1"/>
        <v>93.995000000000005</v>
      </c>
      <c r="N26" s="51">
        <f t="shared" si="2"/>
        <v>126455</v>
      </c>
      <c r="O26" s="51">
        <f t="shared" si="2"/>
        <v>11886059.130000003</v>
      </c>
      <c r="P26" s="52">
        <f t="shared" si="3"/>
        <v>93.994378474556186</v>
      </c>
      <c r="Q26" s="54">
        <f t="shared" si="10"/>
        <v>61455.615384615383</v>
      </c>
      <c r="R26" s="54">
        <f t="shared" si="10"/>
        <v>6422807.0346153863</v>
      </c>
      <c r="S26" s="56">
        <f t="shared" si="11"/>
        <v>104.51131266717822</v>
      </c>
      <c r="T26" s="54">
        <f t="shared" si="12"/>
        <v>135192</v>
      </c>
      <c r="U26" s="58">
        <v>8737</v>
      </c>
      <c r="V26" s="75">
        <f t="shared" si="13"/>
        <v>93.670370370370364</v>
      </c>
    </row>
    <row r="27" spans="1:22">
      <c r="A27" s="21">
        <v>8737</v>
      </c>
      <c r="B27" s="21">
        <v>10000</v>
      </c>
      <c r="C27" s="47">
        <v>141000</v>
      </c>
      <c r="D27" s="49">
        <v>42248</v>
      </c>
      <c r="E27" s="50">
        <f t="shared" si="4"/>
        <v>126455</v>
      </c>
      <c r="F27" s="50">
        <f t="shared" si="4"/>
        <v>11886059.130000003</v>
      </c>
      <c r="G27" s="53">
        <f t="shared" si="4"/>
        <v>93.994378474556186</v>
      </c>
      <c r="H27" s="51">
        <v>0</v>
      </c>
      <c r="I27" s="54">
        <v>4776</v>
      </c>
      <c r="J27" s="52">
        <f t="shared" si="20"/>
        <v>0</v>
      </c>
      <c r="K27" s="54">
        <v>40</v>
      </c>
      <c r="L27" s="54">
        <v>3761.28</v>
      </c>
      <c r="M27" s="53">
        <f t="shared" si="1"/>
        <v>94.032000000000011</v>
      </c>
      <c r="N27" s="51">
        <f t="shared" si="2"/>
        <v>126415</v>
      </c>
      <c r="O27" s="51">
        <f t="shared" si="2"/>
        <v>11887073.850000003</v>
      </c>
      <c r="P27" s="52">
        <f t="shared" si="3"/>
        <v>94.032146897124576</v>
      </c>
      <c r="Q27" s="54">
        <f t="shared" si="10"/>
        <v>63726.846153846156</v>
      </c>
      <c r="R27" s="54">
        <f t="shared" si="10"/>
        <v>6388395.2330769254</v>
      </c>
      <c r="S27" s="56">
        <f t="shared" si="11"/>
        <v>100.24653060115955</v>
      </c>
      <c r="T27" s="54">
        <f t="shared" si="12"/>
        <v>135152</v>
      </c>
      <c r="U27" s="58">
        <v>8737</v>
      </c>
      <c r="V27" s="75">
        <f t="shared" si="13"/>
        <v>93.640740740740739</v>
      </c>
    </row>
    <row r="28" spans="1:22">
      <c r="A28" s="21">
        <v>8737</v>
      </c>
      <c r="B28" s="21">
        <v>10000</v>
      </c>
      <c r="C28" s="47">
        <v>141000</v>
      </c>
      <c r="D28" s="49">
        <v>42278</v>
      </c>
      <c r="E28" s="50">
        <f t="shared" si="4"/>
        <v>126415</v>
      </c>
      <c r="F28" s="50">
        <f t="shared" si="4"/>
        <v>11887073.850000003</v>
      </c>
      <c r="G28" s="53">
        <f t="shared" si="4"/>
        <v>94.032146897124576</v>
      </c>
      <c r="H28" s="51">
        <v>0</v>
      </c>
      <c r="I28" s="54">
        <v>0</v>
      </c>
      <c r="J28" s="52">
        <f t="shared" si="20"/>
        <v>0</v>
      </c>
      <c r="K28" s="54">
        <v>-101</v>
      </c>
      <c r="L28" s="54">
        <v>-9497.25</v>
      </c>
      <c r="M28" s="53">
        <f t="shared" si="1"/>
        <v>94.03217821782178</v>
      </c>
      <c r="N28" s="51">
        <f t="shared" si="2"/>
        <v>126516</v>
      </c>
      <c r="O28" s="51">
        <f t="shared" si="2"/>
        <v>11896571.100000003</v>
      </c>
      <c r="P28" s="52">
        <f t="shared" si="3"/>
        <v>94.032146922128447</v>
      </c>
      <c r="Q28" s="54">
        <f t="shared" si="10"/>
        <v>68052.153846153844</v>
      </c>
      <c r="R28" s="54">
        <f t="shared" si="10"/>
        <v>6616310.238461541</v>
      </c>
      <c r="S28" s="56">
        <f t="shared" si="11"/>
        <v>97.224112162843468</v>
      </c>
      <c r="T28" s="54">
        <f t="shared" si="12"/>
        <v>135253</v>
      </c>
      <c r="U28" s="58">
        <v>8737</v>
      </c>
      <c r="V28" s="75">
        <f t="shared" si="13"/>
        <v>93.715555555555554</v>
      </c>
    </row>
    <row r="29" spans="1:22">
      <c r="A29" s="21">
        <v>8737</v>
      </c>
      <c r="B29" s="21">
        <v>10000</v>
      </c>
      <c r="C29" s="47">
        <v>141000</v>
      </c>
      <c r="D29" s="49">
        <v>42309</v>
      </c>
      <c r="E29" s="50">
        <f t="shared" si="4"/>
        <v>126516</v>
      </c>
      <c r="F29" s="50">
        <f t="shared" si="4"/>
        <v>11896571.100000003</v>
      </c>
      <c r="G29" s="53">
        <f t="shared" si="4"/>
        <v>94.032146922128447</v>
      </c>
      <c r="H29" s="51">
        <v>0</v>
      </c>
      <c r="I29" s="54">
        <v>0</v>
      </c>
      <c r="J29" s="52">
        <f t="shared" si="20"/>
        <v>0</v>
      </c>
      <c r="K29" s="54">
        <v>53</v>
      </c>
      <c r="L29" s="54">
        <v>4983.71</v>
      </c>
      <c r="M29" s="53">
        <f t="shared" si="1"/>
        <v>94.032264150943391</v>
      </c>
      <c r="N29" s="51">
        <f t="shared" si="2"/>
        <v>126463</v>
      </c>
      <c r="O29" s="51">
        <f t="shared" si="2"/>
        <v>11891587.390000002</v>
      </c>
      <c r="P29" s="52">
        <f t="shared" si="3"/>
        <v>94.032146872998439</v>
      </c>
      <c r="Q29" s="54">
        <f t="shared" si="10"/>
        <v>74100.38461538461</v>
      </c>
      <c r="R29" s="54">
        <f t="shared" si="10"/>
        <v>7063004.140769233</v>
      </c>
      <c r="S29" s="56">
        <f t="shared" si="11"/>
        <v>95.316700141699712</v>
      </c>
      <c r="T29" s="54">
        <f t="shared" si="12"/>
        <v>135200</v>
      </c>
      <c r="U29" s="58">
        <v>8737</v>
      </c>
      <c r="V29" s="75">
        <f t="shared" si="13"/>
        <v>93.6762962962963</v>
      </c>
    </row>
    <row r="30" spans="1:22">
      <c r="A30" s="21">
        <v>8737</v>
      </c>
      <c r="B30" s="21">
        <v>10000</v>
      </c>
      <c r="C30" s="47">
        <v>141000</v>
      </c>
      <c r="D30" s="49">
        <v>42339</v>
      </c>
      <c r="E30" s="50">
        <f t="shared" si="4"/>
        <v>126463</v>
      </c>
      <c r="F30" s="50">
        <f t="shared" si="4"/>
        <v>11891587.390000002</v>
      </c>
      <c r="G30" s="53">
        <f t="shared" si="4"/>
        <v>94.032146872998439</v>
      </c>
      <c r="H30" s="51">
        <v>0</v>
      </c>
      <c r="I30" s="54">
        <v>0</v>
      </c>
      <c r="J30" s="52">
        <f t="shared" si="20"/>
        <v>0</v>
      </c>
      <c r="K30" s="54">
        <v>-43</v>
      </c>
      <c r="L30" s="54">
        <v>-4043.38</v>
      </c>
      <c r="M30" s="53">
        <f t="shared" si="1"/>
        <v>94.032093023255811</v>
      </c>
      <c r="N30" s="51">
        <f t="shared" si="2"/>
        <v>126506</v>
      </c>
      <c r="O30" s="51">
        <f t="shared" si="2"/>
        <v>11895630.770000003</v>
      </c>
      <c r="P30" s="52">
        <f t="shared" si="3"/>
        <v>94.032146854694659</v>
      </c>
      <c r="Q30" s="54">
        <f t="shared" si="10"/>
        <v>81909.61538461539</v>
      </c>
      <c r="R30" s="54">
        <f t="shared" si="10"/>
        <v>7733581.1938461568</v>
      </c>
      <c r="S30" s="56">
        <f t="shared" si="11"/>
        <v>94.416035987134066</v>
      </c>
      <c r="T30" s="54">
        <f t="shared" si="12"/>
        <v>135243</v>
      </c>
      <c r="U30" s="58">
        <v>8737</v>
      </c>
      <c r="V30" s="75">
        <f t="shared" si="13"/>
        <v>93.708148148148155</v>
      </c>
    </row>
    <row r="31" spans="1:22">
      <c r="A31" s="21">
        <v>8737</v>
      </c>
      <c r="B31" s="21">
        <v>10000</v>
      </c>
      <c r="C31" s="47">
        <v>141000</v>
      </c>
      <c r="D31" s="13">
        <v>42370</v>
      </c>
      <c r="E31" s="16">
        <f t="shared" si="4"/>
        <v>126506</v>
      </c>
      <c r="F31" s="16">
        <f t="shared" si="4"/>
        <v>11895630.770000003</v>
      </c>
      <c r="G31" s="14">
        <f t="shared" si="4"/>
        <v>94.032146854694659</v>
      </c>
      <c r="H31" s="46">
        <f t="shared" ref="H31:H89" si="21">IF(E31+A31-K31&lt;C31-B31,C31-E31+K31-A31,0)</f>
        <v>0</v>
      </c>
      <c r="I31" s="23">
        <f t="shared" ref="I31:I54" si="22">H31*J31</f>
        <v>0</v>
      </c>
      <c r="J31" s="22">
        <f>VLOOKUP(D31,Data!$A$5:$V$197,8,FALSE)*5.83</f>
        <v>56.166746915999994</v>
      </c>
      <c r="K31" s="71">
        <f>VLOOKUP(D31,Data!$A$5:$V$197,20,FALSE)</f>
        <v>0</v>
      </c>
      <c r="L31" s="23">
        <f t="shared" ref="L31:L54" si="23">IF(E31+I31&gt;0,((F31+I31)/(E31+H31)*K31),0)</f>
        <v>0</v>
      </c>
      <c r="M31" s="14">
        <f t="shared" si="1"/>
        <v>0</v>
      </c>
      <c r="N31" s="15">
        <f t="shared" si="2"/>
        <v>126506</v>
      </c>
      <c r="O31" s="15">
        <f t="shared" si="2"/>
        <v>11895630.770000003</v>
      </c>
      <c r="P31" s="22">
        <f t="shared" si="3"/>
        <v>94.032146854694659</v>
      </c>
      <c r="Q31" s="31">
        <f t="shared" si="10"/>
        <v>91470.769230769234</v>
      </c>
      <c r="R31" s="31">
        <f t="shared" si="10"/>
        <v>8626996.543076925</v>
      </c>
      <c r="S31" s="32">
        <f t="shared" si="11"/>
        <v>94.314245038347707</v>
      </c>
      <c r="T31" s="31">
        <f t="shared" si="12"/>
        <v>135243</v>
      </c>
      <c r="U31" s="7">
        <v>8737</v>
      </c>
      <c r="V31" s="37">
        <f t="shared" si="13"/>
        <v>93.708148148148155</v>
      </c>
    </row>
    <row r="32" spans="1:22">
      <c r="A32" s="21">
        <v>8737</v>
      </c>
      <c r="B32" s="21">
        <v>10000</v>
      </c>
      <c r="C32" s="47">
        <v>141000</v>
      </c>
      <c r="D32" s="13">
        <v>42401</v>
      </c>
      <c r="E32" s="16">
        <f t="shared" si="4"/>
        <v>126506</v>
      </c>
      <c r="F32" s="16">
        <f t="shared" si="4"/>
        <v>11895630.770000003</v>
      </c>
      <c r="G32" s="14">
        <f t="shared" si="4"/>
        <v>94.032146854694659</v>
      </c>
      <c r="H32" s="46">
        <f t="shared" si="21"/>
        <v>0</v>
      </c>
      <c r="I32" s="23">
        <f t="shared" si="22"/>
        <v>0</v>
      </c>
      <c r="J32" s="22">
        <f>VLOOKUP(D32,Data!$A$5:$V$197,8,FALSE)*5.83</f>
        <v>57.246146916000001</v>
      </c>
      <c r="K32" s="91">
        <f>VLOOKUP(D32,Data!$A$5:$V$197,20,FALSE)</f>
        <v>0</v>
      </c>
      <c r="L32" s="23">
        <f t="shared" si="23"/>
        <v>0</v>
      </c>
      <c r="M32" s="14">
        <f t="shared" si="1"/>
        <v>0</v>
      </c>
      <c r="N32" s="15">
        <f t="shared" si="2"/>
        <v>126506</v>
      </c>
      <c r="O32" s="15">
        <f t="shared" si="2"/>
        <v>11895630.770000003</v>
      </c>
      <c r="P32" s="22">
        <f t="shared" si="3"/>
        <v>94.032146854694659</v>
      </c>
      <c r="Q32" s="31">
        <f t="shared" si="10"/>
        <v>101168.15384615384</v>
      </c>
      <c r="R32" s="31">
        <f t="shared" si="10"/>
        <v>9537340.4669230804</v>
      </c>
      <c r="S32" s="32">
        <f t="shared" si="11"/>
        <v>94.272160797027979</v>
      </c>
      <c r="T32" s="31">
        <f t="shared" si="12"/>
        <v>135243</v>
      </c>
      <c r="U32" s="7">
        <v>8737</v>
      </c>
      <c r="V32" s="37">
        <f t="shared" si="13"/>
        <v>93.708148148148155</v>
      </c>
    </row>
    <row r="33" spans="1:22">
      <c r="A33" s="21">
        <v>8737</v>
      </c>
      <c r="B33" s="21">
        <v>10000</v>
      </c>
      <c r="C33" s="47">
        <v>141000</v>
      </c>
      <c r="D33" s="13">
        <v>42430</v>
      </c>
      <c r="E33" s="16">
        <f t="shared" si="4"/>
        <v>126506</v>
      </c>
      <c r="F33" s="16">
        <f t="shared" si="4"/>
        <v>11895630.770000003</v>
      </c>
      <c r="G33" s="14">
        <f t="shared" si="4"/>
        <v>94.032146854694659</v>
      </c>
      <c r="H33" s="46">
        <f t="shared" si="21"/>
        <v>13372.780445969125</v>
      </c>
      <c r="I33" s="23">
        <f t="shared" si="22"/>
        <v>778233.59728467418</v>
      </c>
      <c r="J33" s="22">
        <f>VLOOKUP(D33,Data!$A$5:$V$197,8,FALSE)*5.83</f>
        <v>58.195346915999984</v>
      </c>
      <c r="K33" s="91">
        <f>VLOOKUP(D33,Data!$A$5:$V$197,20,FALSE)</f>
        <v>7615.7804459691251</v>
      </c>
      <c r="L33" s="23">
        <f t="shared" si="23"/>
        <v>690035.81612233701</v>
      </c>
      <c r="M33" s="14">
        <f t="shared" si="1"/>
        <v>90.60605423408164</v>
      </c>
      <c r="N33" s="15">
        <f t="shared" si="2"/>
        <v>132263</v>
      </c>
      <c r="O33" s="15">
        <f t="shared" si="2"/>
        <v>11983828.551162342</v>
      </c>
      <c r="P33" s="22">
        <f t="shared" si="3"/>
        <v>90.606054234081654</v>
      </c>
      <c r="Q33" s="31">
        <f t="shared" ref="Q33:R48" si="24">AVERAGE(N21:N33)</f>
        <v>110209.15384615384</v>
      </c>
      <c r="R33" s="31">
        <f t="shared" si="24"/>
        <v>10353977.541627875</v>
      </c>
      <c r="S33" s="32">
        <f t="shared" si="11"/>
        <v>93.948435137080182</v>
      </c>
      <c r="T33" s="31">
        <f t="shared" si="12"/>
        <v>141000</v>
      </c>
      <c r="U33" s="7">
        <v>8737</v>
      </c>
      <c r="V33" s="37">
        <f t="shared" si="13"/>
        <v>97.972592592592591</v>
      </c>
    </row>
    <row r="34" spans="1:22">
      <c r="A34" s="21">
        <v>8737</v>
      </c>
      <c r="B34" s="21">
        <v>10000</v>
      </c>
      <c r="C34" s="47">
        <v>141000</v>
      </c>
      <c r="D34" s="13">
        <v>42461</v>
      </c>
      <c r="E34" s="16">
        <f t="shared" si="4"/>
        <v>132263</v>
      </c>
      <c r="F34" s="16">
        <f t="shared" si="4"/>
        <v>11983828.551162342</v>
      </c>
      <c r="G34" s="14">
        <f t="shared" si="4"/>
        <v>90.606054234081654</v>
      </c>
      <c r="H34" s="46">
        <f t="shared" si="21"/>
        <v>0</v>
      </c>
      <c r="I34" s="23">
        <f t="shared" si="22"/>
        <v>0</v>
      </c>
      <c r="J34" s="22">
        <f>VLOOKUP(D34,Data!$A$5:$V$197,8,FALSE)*5.83</f>
        <v>58.842146916000004</v>
      </c>
      <c r="K34" s="91">
        <f>VLOOKUP(D34,Data!$A$5:$V$197,20,FALSE)</f>
        <v>6998.2847341337911</v>
      </c>
      <c r="L34" s="23">
        <f t="shared" si="23"/>
        <v>634086.96616647195</v>
      </c>
      <c r="M34" s="14">
        <f t="shared" si="1"/>
        <v>90.606054234081654</v>
      </c>
      <c r="N34" s="15">
        <f t="shared" si="2"/>
        <v>125264.71526586621</v>
      </c>
      <c r="O34" s="15">
        <f t="shared" si="2"/>
        <v>11349741.58499587</v>
      </c>
      <c r="P34" s="22">
        <f t="shared" si="3"/>
        <v>90.606054234081654</v>
      </c>
      <c r="Q34" s="31">
        <f t="shared" si="24"/>
        <v>117323.59348198971</v>
      </c>
      <c r="R34" s="31">
        <f t="shared" si="24"/>
        <v>10986217.773550637</v>
      </c>
      <c r="S34" s="32">
        <f t="shared" si="11"/>
        <v>93.640310934024754</v>
      </c>
      <c r="T34" s="31">
        <f t="shared" si="12"/>
        <v>134001.71526586619</v>
      </c>
      <c r="U34" s="7">
        <v>8737</v>
      </c>
      <c r="V34" s="37">
        <f t="shared" si="13"/>
        <v>92.788677974715696</v>
      </c>
    </row>
    <row r="35" spans="1:22">
      <c r="A35" s="21">
        <v>8737</v>
      </c>
      <c r="B35" s="21">
        <v>10000</v>
      </c>
      <c r="C35" s="47">
        <v>141000</v>
      </c>
      <c r="D35" s="13">
        <v>42491</v>
      </c>
      <c r="E35" s="16">
        <f t="shared" si="4"/>
        <v>125264.71526586621</v>
      </c>
      <c r="F35" s="16">
        <f t="shared" si="4"/>
        <v>11349741.58499587</v>
      </c>
      <c r="G35" s="14">
        <f t="shared" si="4"/>
        <v>90.606054234081654</v>
      </c>
      <c r="H35" s="46">
        <f t="shared" si="21"/>
        <v>0</v>
      </c>
      <c r="I35" s="23">
        <f t="shared" si="22"/>
        <v>0</v>
      </c>
      <c r="J35" s="22">
        <f>VLOOKUP(D35,Data!$A$5:$V$197,8,FALSE)*5.83</f>
        <v>59.698946915999983</v>
      </c>
      <c r="K35" s="91">
        <f>VLOOKUP(D35,Data!$A$5:$V$197,20,FALSE)</f>
        <v>2264.1509433962265</v>
      </c>
      <c r="L35" s="23">
        <f t="shared" si="23"/>
        <v>205145.78317150564</v>
      </c>
      <c r="M35" s="14">
        <f t="shared" si="1"/>
        <v>90.606054234081654</v>
      </c>
      <c r="N35" s="15">
        <f t="shared" si="2"/>
        <v>123000.56432246999</v>
      </c>
      <c r="O35" s="15">
        <f t="shared" si="2"/>
        <v>11144595.801824365</v>
      </c>
      <c r="P35" s="22">
        <f t="shared" si="3"/>
        <v>90.606054234081654</v>
      </c>
      <c r="Q35" s="31">
        <f t="shared" si="24"/>
        <v>123305.55996833355</v>
      </c>
      <c r="R35" s="31">
        <f t="shared" si="24"/>
        <v>11509168.167537125</v>
      </c>
      <c r="S35" s="32">
        <f t="shared" si="11"/>
        <v>93.338598604092368</v>
      </c>
      <c r="T35" s="31">
        <f t="shared" si="12"/>
        <v>131737.56432246999</v>
      </c>
      <c r="U35" s="7">
        <v>8737</v>
      </c>
      <c r="V35" s="37">
        <f t="shared" si="13"/>
        <v>91.111529127755546</v>
      </c>
    </row>
    <row r="36" spans="1:22">
      <c r="A36" s="21">
        <v>8737</v>
      </c>
      <c r="B36" s="21">
        <v>10000</v>
      </c>
      <c r="C36" s="47">
        <v>141000</v>
      </c>
      <c r="D36" s="13">
        <v>42522</v>
      </c>
      <c r="E36" s="16">
        <f t="shared" si="4"/>
        <v>123000.56432246999</v>
      </c>
      <c r="F36" s="16">
        <f t="shared" si="4"/>
        <v>11144595.801824365</v>
      </c>
      <c r="G36" s="14">
        <f t="shared" si="4"/>
        <v>90.606054234081654</v>
      </c>
      <c r="H36" s="46">
        <f t="shared" si="21"/>
        <v>14202.401372212687</v>
      </c>
      <c r="I36" s="23">
        <f t="shared" si="22"/>
        <v>863079.17746909044</v>
      </c>
      <c r="J36" s="22">
        <f>VLOOKUP(D36,Data!$A$5:$V$197,8,FALSE)*5.83</f>
        <v>60.769946915999988</v>
      </c>
      <c r="K36" s="91">
        <f>VLOOKUP(D36,Data!$A$5:$V$197,20,FALSE)</f>
        <v>4939.9656946826753</v>
      </c>
      <c r="L36" s="23">
        <f t="shared" si="23"/>
        <v>432333.9672016144</v>
      </c>
      <c r="M36" s="14">
        <f t="shared" si="1"/>
        <v>87.517605166160152</v>
      </c>
      <c r="N36" s="15">
        <f t="shared" si="2"/>
        <v>132263</v>
      </c>
      <c r="O36" s="15">
        <f t="shared" si="2"/>
        <v>11575341.01209184</v>
      </c>
      <c r="P36" s="22">
        <f t="shared" si="3"/>
        <v>87.517605166160152</v>
      </c>
      <c r="Q36" s="31">
        <f t="shared" si="24"/>
        <v>127012.25227602586</v>
      </c>
      <c r="R36" s="31">
        <f t="shared" si="24"/>
        <v>11772295.048467267</v>
      </c>
      <c r="S36" s="32">
        <f t="shared" si="11"/>
        <v>92.686294727562611</v>
      </c>
      <c r="T36" s="31">
        <f t="shared" si="12"/>
        <v>141000</v>
      </c>
      <c r="U36" s="7">
        <v>8737</v>
      </c>
      <c r="V36" s="37">
        <f t="shared" si="13"/>
        <v>97.972592592592591</v>
      </c>
    </row>
    <row r="37" spans="1:22">
      <c r="A37" s="21">
        <v>8737</v>
      </c>
      <c r="B37" s="21">
        <v>10000</v>
      </c>
      <c r="C37" s="47">
        <v>141000</v>
      </c>
      <c r="D37" s="13">
        <v>42552</v>
      </c>
      <c r="E37" s="16">
        <f t="shared" si="4"/>
        <v>132263</v>
      </c>
      <c r="F37" s="16">
        <f t="shared" si="4"/>
        <v>11575341.01209184</v>
      </c>
      <c r="G37" s="14">
        <f t="shared" si="4"/>
        <v>87.517605166160152</v>
      </c>
      <c r="H37" s="46">
        <f t="shared" si="21"/>
        <v>0</v>
      </c>
      <c r="I37" s="23">
        <f t="shared" si="22"/>
        <v>0</v>
      </c>
      <c r="J37" s="22">
        <f>VLOOKUP(D37,Data!$A$5:$V$197,8,FALSE)*5.83</f>
        <v>61.874546915999986</v>
      </c>
      <c r="K37" s="91">
        <f>VLOOKUP(D37,Data!$A$5:$V$197,20,FALSE)</f>
        <v>3293.3104631217839</v>
      </c>
      <c r="L37" s="23">
        <f t="shared" si="23"/>
        <v>288222.64480107633</v>
      </c>
      <c r="M37" s="14">
        <f t="shared" si="1"/>
        <v>87.517605166160152</v>
      </c>
      <c r="N37" s="15">
        <f t="shared" si="2"/>
        <v>128969.68953687821</v>
      </c>
      <c r="O37" s="15">
        <f t="shared" si="2"/>
        <v>11287118.367290763</v>
      </c>
      <c r="P37" s="22">
        <f t="shared" si="3"/>
        <v>87.517605166160152</v>
      </c>
      <c r="Q37" s="31">
        <f t="shared" si="24"/>
        <v>127199.61300963187</v>
      </c>
      <c r="R37" s="31">
        <f t="shared" si="24"/>
        <v>11727287.5667204</v>
      </c>
      <c r="S37" s="32">
        <f t="shared" si="11"/>
        <v>92.195937465881926</v>
      </c>
      <c r="T37" s="31">
        <f t="shared" si="12"/>
        <v>137706.6895368782</v>
      </c>
      <c r="U37" s="7">
        <v>8737</v>
      </c>
      <c r="V37" s="37">
        <f t="shared" si="13"/>
        <v>95.533103360650514</v>
      </c>
    </row>
    <row r="38" spans="1:22">
      <c r="A38" s="21">
        <v>8737</v>
      </c>
      <c r="B38" s="21">
        <v>10000</v>
      </c>
      <c r="C38" s="47">
        <v>141000</v>
      </c>
      <c r="D38" s="13">
        <v>42583</v>
      </c>
      <c r="E38" s="16">
        <f t="shared" si="4"/>
        <v>128969.68953687821</v>
      </c>
      <c r="F38" s="16">
        <f t="shared" si="4"/>
        <v>11287118.367290763</v>
      </c>
      <c r="G38" s="14">
        <f t="shared" si="4"/>
        <v>87.517605166160152</v>
      </c>
      <c r="H38" s="46">
        <f t="shared" si="21"/>
        <v>0</v>
      </c>
      <c r="I38" s="23">
        <f t="shared" si="22"/>
        <v>0</v>
      </c>
      <c r="J38" s="22">
        <f>VLOOKUP(D38,Data!$A$5:$V$197,8,FALSE)*5.83</f>
        <v>62.874146915999994</v>
      </c>
      <c r="K38" s="91">
        <f>VLOOKUP(D38,Data!$A$5:$V$197,20,FALSE)</f>
        <v>4939.9656946826753</v>
      </c>
      <c r="L38" s="23">
        <f t="shared" si="23"/>
        <v>432333.9672016144</v>
      </c>
      <c r="M38" s="14">
        <f t="shared" si="1"/>
        <v>87.517605166160152</v>
      </c>
      <c r="N38" s="15">
        <f t="shared" si="2"/>
        <v>124029.72384219554</v>
      </c>
      <c r="O38" s="15">
        <f t="shared" si="2"/>
        <v>10854784.400089148</v>
      </c>
      <c r="P38" s="22">
        <f t="shared" si="3"/>
        <v>87.517605166160138</v>
      </c>
      <c r="Q38" s="31">
        <f t="shared" si="24"/>
        <v>127012.13022826229</v>
      </c>
      <c r="R38" s="31">
        <f t="shared" si="24"/>
        <v>11649507.192111872</v>
      </c>
      <c r="S38" s="32">
        <f t="shared" si="11"/>
        <v>91.719642613471137</v>
      </c>
      <c r="T38" s="31">
        <f t="shared" si="12"/>
        <v>132766.72384219553</v>
      </c>
      <c r="U38" s="7">
        <v>8737</v>
      </c>
      <c r="V38" s="37">
        <f t="shared" si="13"/>
        <v>91.873869512737429</v>
      </c>
    </row>
    <row r="39" spans="1:22">
      <c r="A39" s="21">
        <v>8737</v>
      </c>
      <c r="B39" s="21">
        <v>10000</v>
      </c>
      <c r="C39" s="47">
        <v>141000</v>
      </c>
      <c r="D39" s="13">
        <v>42614</v>
      </c>
      <c r="E39" s="16">
        <f t="shared" si="4"/>
        <v>124029.72384219554</v>
      </c>
      <c r="F39" s="16">
        <f t="shared" si="4"/>
        <v>10854784.400089148</v>
      </c>
      <c r="G39" s="14">
        <f t="shared" si="4"/>
        <v>87.517605166160138</v>
      </c>
      <c r="H39" s="46">
        <f t="shared" si="21"/>
        <v>13790.73756432247</v>
      </c>
      <c r="I39" s="23">
        <f t="shared" si="22"/>
        <v>879997.26450195513</v>
      </c>
      <c r="J39" s="22">
        <f>VLOOKUP(D39,Data!$A$5:$V$197,8,FALSE)*5.83</f>
        <v>63.810746915999978</v>
      </c>
      <c r="K39" s="91">
        <f>VLOOKUP(D39,Data!$A$5:$V$197,20,FALSE)</f>
        <v>5557.4614065180103</v>
      </c>
      <c r="L39" s="23">
        <f t="shared" si="23"/>
        <v>473192.40952560009</v>
      </c>
      <c r="M39" s="14">
        <f t="shared" si="1"/>
        <v>85.145424306612611</v>
      </c>
      <c r="N39" s="15">
        <f t="shared" si="2"/>
        <v>132263</v>
      </c>
      <c r="O39" s="15">
        <f t="shared" si="2"/>
        <v>11261589.255065504</v>
      </c>
      <c r="P39" s="22">
        <f t="shared" si="3"/>
        <v>85.145424306612611</v>
      </c>
      <c r="Q39" s="31">
        <f t="shared" si="24"/>
        <v>127458.89945903151</v>
      </c>
      <c r="R39" s="31">
        <f t="shared" si="24"/>
        <v>11601471.047886143</v>
      </c>
      <c r="S39" s="32">
        <f t="shared" si="11"/>
        <v>91.021271147999727</v>
      </c>
      <c r="T39" s="31">
        <f t="shared" si="12"/>
        <v>141000</v>
      </c>
      <c r="U39" s="7">
        <v>8737</v>
      </c>
      <c r="V39" s="37">
        <f t="shared" si="13"/>
        <v>97.972592592592591</v>
      </c>
    </row>
    <row r="40" spans="1:22">
      <c r="A40" s="21">
        <v>8737</v>
      </c>
      <c r="B40" s="21">
        <v>10000</v>
      </c>
      <c r="C40" s="47">
        <v>141000</v>
      </c>
      <c r="D40" s="13">
        <v>42644</v>
      </c>
      <c r="E40" s="16">
        <f t="shared" si="4"/>
        <v>132263</v>
      </c>
      <c r="F40" s="16">
        <f t="shared" si="4"/>
        <v>11261589.255065504</v>
      </c>
      <c r="G40" s="14">
        <f t="shared" si="4"/>
        <v>85.145424306612611</v>
      </c>
      <c r="H40" s="46">
        <f t="shared" si="21"/>
        <v>0</v>
      </c>
      <c r="I40" s="23">
        <f t="shared" si="22"/>
        <v>0</v>
      </c>
      <c r="J40" s="22">
        <f>VLOOKUP(D40,Data!$A$5:$V$197,8,FALSE)*5.83</f>
        <v>64.785146915999988</v>
      </c>
      <c r="K40" s="91">
        <f>VLOOKUP(D40,Data!$A$5:$V$197,20,FALSE)</f>
        <v>5557.4614065180103</v>
      </c>
      <c r="L40" s="23">
        <f t="shared" si="23"/>
        <v>473192.40952560009</v>
      </c>
      <c r="M40" s="14">
        <f t="shared" si="1"/>
        <v>85.145424306612611</v>
      </c>
      <c r="N40" s="15">
        <f t="shared" si="2"/>
        <v>126705.53859348199</v>
      </c>
      <c r="O40" s="15">
        <f t="shared" si="2"/>
        <v>10788396.845539905</v>
      </c>
      <c r="P40" s="22">
        <f t="shared" si="3"/>
        <v>85.145424306612625</v>
      </c>
      <c r="Q40" s="31">
        <f t="shared" si="24"/>
        <v>127481.24858160705</v>
      </c>
      <c r="R40" s="31">
        <f t="shared" si="24"/>
        <v>11516957.432158442</v>
      </c>
      <c r="S40" s="32">
        <f t="shared" si="11"/>
        <v>90.342364546154158</v>
      </c>
      <c r="T40" s="31">
        <f t="shared" si="12"/>
        <v>135442.53859348199</v>
      </c>
      <c r="U40" s="7">
        <v>8737</v>
      </c>
      <c r="V40" s="37">
        <f t="shared" si="13"/>
        <v>93.855954513690364</v>
      </c>
    </row>
    <row r="41" spans="1:22">
      <c r="A41" s="21">
        <v>8737</v>
      </c>
      <c r="B41" s="21">
        <v>10000</v>
      </c>
      <c r="C41" s="47">
        <v>141000</v>
      </c>
      <c r="D41" s="13">
        <v>42675</v>
      </c>
      <c r="E41" s="16">
        <f t="shared" si="4"/>
        <v>126705.53859348199</v>
      </c>
      <c r="F41" s="16">
        <f t="shared" si="4"/>
        <v>10788396.845539905</v>
      </c>
      <c r="G41" s="14">
        <f t="shared" si="4"/>
        <v>85.145424306612625</v>
      </c>
      <c r="H41" s="46">
        <f t="shared" si="21"/>
        <v>17701.543739279587</v>
      </c>
      <c r="I41" s="23">
        <f t="shared" si="22"/>
        <v>1162335.5268835675</v>
      </c>
      <c r="J41" s="22">
        <f>VLOOKUP(D41,Data!$A$5:$V$197,8,FALSE)*5.83</f>
        <v>65.662946915999996</v>
      </c>
      <c r="K41" s="91">
        <f>VLOOKUP(D41,Data!$A$5:$V$197,20,FALSE)</f>
        <v>12144.082332761578</v>
      </c>
      <c r="L41" s="23">
        <f t="shared" si="23"/>
        <v>1005010.8036466021</v>
      </c>
      <c r="M41" s="14">
        <f t="shared" si="1"/>
        <v>82.757245554515393</v>
      </c>
      <c r="N41" s="15">
        <f t="shared" si="2"/>
        <v>132263</v>
      </c>
      <c r="O41" s="15">
        <f t="shared" si="2"/>
        <v>10945721.56877687</v>
      </c>
      <c r="P41" s="22">
        <f t="shared" si="3"/>
        <v>82.757245554515393</v>
      </c>
      <c r="Q41" s="31">
        <f t="shared" si="24"/>
        <v>127923.32550468399</v>
      </c>
      <c r="R41" s="31">
        <f t="shared" si="24"/>
        <v>11443815.160525892</v>
      </c>
      <c r="S41" s="32">
        <f t="shared" si="11"/>
        <v>89.458393263133786</v>
      </c>
      <c r="T41" s="31">
        <f t="shared" si="12"/>
        <v>141000</v>
      </c>
      <c r="U41" s="7">
        <v>8737</v>
      </c>
      <c r="V41" s="37">
        <f t="shared" si="13"/>
        <v>97.972592592592591</v>
      </c>
    </row>
    <row r="42" spans="1:22">
      <c r="A42" s="21">
        <v>8737</v>
      </c>
      <c r="B42" s="21">
        <v>10000</v>
      </c>
      <c r="C42" s="47">
        <v>141000</v>
      </c>
      <c r="D42" s="13">
        <v>42705</v>
      </c>
      <c r="E42" s="16">
        <f t="shared" si="4"/>
        <v>132263</v>
      </c>
      <c r="F42" s="16">
        <f t="shared" si="4"/>
        <v>10945721.56877687</v>
      </c>
      <c r="G42" s="14">
        <f t="shared" si="4"/>
        <v>82.757245554515393</v>
      </c>
      <c r="H42" s="46">
        <f t="shared" si="21"/>
        <v>11732.418524871355</v>
      </c>
      <c r="I42" s="23">
        <f t="shared" si="22"/>
        <v>780043.30172459665</v>
      </c>
      <c r="J42" s="22">
        <f>VLOOKUP(D42,Data!$A$5:$V$197,8,FALSE)*5.83</f>
        <v>66.486146915999981</v>
      </c>
      <c r="K42" s="91">
        <f>VLOOKUP(D42,Data!$A$5:$V$197,20,FALSE)</f>
        <v>11732.418524871355</v>
      </c>
      <c r="L42" s="23">
        <f t="shared" si="23"/>
        <v>955388.59773649916</v>
      </c>
      <c r="M42" s="14">
        <f t="shared" si="1"/>
        <v>81.431513520523254</v>
      </c>
      <c r="N42" s="15">
        <f t="shared" si="2"/>
        <v>132263</v>
      </c>
      <c r="O42" s="15">
        <f t="shared" si="2"/>
        <v>10770376.272764968</v>
      </c>
      <c r="P42" s="22">
        <f t="shared" si="3"/>
        <v>81.431513520523254</v>
      </c>
      <c r="Q42" s="31">
        <f t="shared" si="24"/>
        <v>128369.47935083785</v>
      </c>
      <c r="R42" s="31">
        <f t="shared" si="24"/>
        <v>11357568.151507815</v>
      </c>
      <c r="S42" s="32">
        <f t="shared" si="11"/>
        <v>88.475611250764857</v>
      </c>
      <c r="T42" s="31">
        <f t="shared" si="12"/>
        <v>141000</v>
      </c>
      <c r="U42" s="7">
        <v>8737</v>
      </c>
      <c r="V42" s="37">
        <f t="shared" si="13"/>
        <v>97.972592592592591</v>
      </c>
    </row>
    <row r="43" spans="1:22">
      <c r="A43" s="21">
        <v>8737</v>
      </c>
      <c r="B43" s="21">
        <v>10000</v>
      </c>
      <c r="C43" s="47">
        <v>141000</v>
      </c>
      <c r="D43" s="13">
        <v>42736</v>
      </c>
      <c r="E43" s="16">
        <f t="shared" si="4"/>
        <v>132263</v>
      </c>
      <c r="F43" s="16">
        <f t="shared" si="4"/>
        <v>10770376.272764968</v>
      </c>
      <c r="G43" s="14">
        <f t="shared" si="4"/>
        <v>81.431513520523254</v>
      </c>
      <c r="H43" s="46">
        <f t="shared" si="21"/>
        <v>0</v>
      </c>
      <c r="I43" s="23">
        <f t="shared" si="22"/>
        <v>0</v>
      </c>
      <c r="J43" s="22">
        <f>VLOOKUP(D43,Data!$A$5:$V$197,8,FALSE)*5.83</f>
        <v>67.317746916000004</v>
      </c>
      <c r="K43" s="91">
        <f>VLOOKUP(D43,Data!$A$5:$V$197,20,FALSE)</f>
        <v>0</v>
      </c>
      <c r="L43" s="23">
        <f t="shared" si="23"/>
        <v>0</v>
      </c>
      <c r="M43" s="14">
        <f t="shared" si="1"/>
        <v>0</v>
      </c>
      <c r="N43" s="15">
        <f t="shared" si="2"/>
        <v>132263</v>
      </c>
      <c r="O43" s="15">
        <f t="shared" si="2"/>
        <v>10770376.272764968</v>
      </c>
      <c r="P43" s="22">
        <f t="shared" si="3"/>
        <v>81.431513520523254</v>
      </c>
      <c r="Q43" s="31">
        <f t="shared" si="24"/>
        <v>128812.32550468399</v>
      </c>
      <c r="R43" s="31">
        <f t="shared" si="24"/>
        <v>11271010.113258967</v>
      </c>
      <c r="S43" s="32">
        <f t="shared" si="11"/>
        <v>87.499469240225153</v>
      </c>
      <c r="T43" s="31">
        <f t="shared" si="12"/>
        <v>141000</v>
      </c>
      <c r="U43" s="7">
        <v>8737</v>
      </c>
      <c r="V43" s="37">
        <f t="shared" si="13"/>
        <v>97.972592592592591</v>
      </c>
    </row>
    <row r="44" spans="1:22">
      <c r="A44" s="21">
        <v>8737</v>
      </c>
      <c r="B44" s="21">
        <v>10000</v>
      </c>
      <c r="C44" s="47">
        <v>141000</v>
      </c>
      <c r="D44" s="13">
        <v>42767</v>
      </c>
      <c r="E44" s="16">
        <f t="shared" si="4"/>
        <v>132263</v>
      </c>
      <c r="F44" s="16">
        <f t="shared" si="4"/>
        <v>10770376.272764968</v>
      </c>
      <c r="G44" s="14">
        <f t="shared" si="4"/>
        <v>81.431513520523254</v>
      </c>
      <c r="H44" s="46">
        <f t="shared" si="21"/>
        <v>0</v>
      </c>
      <c r="I44" s="23">
        <f t="shared" si="22"/>
        <v>0</v>
      </c>
      <c r="J44" s="22">
        <f>VLOOKUP(D44,Data!$A$5:$V$197,8,FALSE)*5.83</f>
        <v>67.989746916000001</v>
      </c>
      <c r="K44" s="91">
        <f>VLOOKUP(D44,Data!$A$5:$V$197,20,FALSE)</f>
        <v>0</v>
      </c>
      <c r="L44" s="23">
        <f t="shared" si="23"/>
        <v>0</v>
      </c>
      <c r="M44" s="14">
        <f t="shared" si="1"/>
        <v>0</v>
      </c>
      <c r="N44" s="15">
        <f t="shared" si="2"/>
        <v>132263</v>
      </c>
      <c r="O44" s="15">
        <f t="shared" si="2"/>
        <v>10770376.272764968</v>
      </c>
      <c r="P44" s="22">
        <f t="shared" si="3"/>
        <v>81.431513520523254</v>
      </c>
      <c r="Q44" s="31">
        <f t="shared" si="24"/>
        <v>129255.17165853015</v>
      </c>
      <c r="R44" s="31">
        <f t="shared" si="24"/>
        <v>11184452.075010117</v>
      </c>
      <c r="S44" s="32">
        <f t="shared" si="11"/>
        <v>86.530016025645068</v>
      </c>
      <c r="T44" s="31">
        <f t="shared" si="12"/>
        <v>141000</v>
      </c>
      <c r="U44" s="7">
        <v>8737</v>
      </c>
      <c r="V44" s="37">
        <f t="shared" si="13"/>
        <v>97.972592592592591</v>
      </c>
    </row>
    <row r="45" spans="1:22">
      <c r="A45" s="21">
        <v>8737</v>
      </c>
      <c r="B45" s="21">
        <v>10000</v>
      </c>
      <c r="C45" s="47">
        <v>141000</v>
      </c>
      <c r="D45" s="13">
        <v>42795</v>
      </c>
      <c r="E45" s="16">
        <f t="shared" si="4"/>
        <v>132263</v>
      </c>
      <c r="F45" s="16">
        <f t="shared" si="4"/>
        <v>10770376.272764968</v>
      </c>
      <c r="G45" s="14">
        <f t="shared" si="4"/>
        <v>81.431513520523254</v>
      </c>
      <c r="H45" s="46">
        <f t="shared" si="21"/>
        <v>0</v>
      </c>
      <c r="I45" s="23">
        <f t="shared" si="22"/>
        <v>0</v>
      </c>
      <c r="J45" s="22">
        <f>VLOOKUP(D45,Data!$A$5:$V$197,8,FALSE)*5.83</f>
        <v>68.388746915999988</v>
      </c>
      <c r="K45" s="91">
        <f>VLOOKUP(D45,Data!$A$5:$V$197,20,FALSE)</f>
        <v>9674.0994854202399</v>
      </c>
      <c r="L45" s="23">
        <f t="shared" si="23"/>
        <v>787776.5630458853</v>
      </c>
      <c r="M45" s="14">
        <f t="shared" si="1"/>
        <v>81.431513520523254</v>
      </c>
      <c r="N45" s="15">
        <f t="shared" si="2"/>
        <v>122588.90051457976</v>
      </c>
      <c r="O45" s="15">
        <f t="shared" si="2"/>
        <v>9982599.7097190823</v>
      </c>
      <c r="P45" s="22">
        <f t="shared" si="3"/>
        <v>81.431513520523254</v>
      </c>
      <c r="Q45" s="31">
        <f t="shared" si="24"/>
        <v>128953.85631349783</v>
      </c>
      <c r="R45" s="31">
        <f t="shared" si="24"/>
        <v>11037295.839603892</v>
      </c>
      <c r="S45" s="32">
        <f t="shared" si="11"/>
        <v>85.591049039830835</v>
      </c>
      <c r="T45" s="31">
        <f t="shared" si="12"/>
        <v>131325.90051457976</v>
      </c>
      <c r="U45" s="7">
        <v>8737</v>
      </c>
      <c r="V45" s="37">
        <f t="shared" si="13"/>
        <v>90.806592973762776</v>
      </c>
    </row>
    <row r="46" spans="1:22">
      <c r="A46" s="21">
        <v>8737</v>
      </c>
      <c r="B46" s="21">
        <v>10000</v>
      </c>
      <c r="C46" s="47">
        <v>141000</v>
      </c>
      <c r="D46" s="13">
        <v>42826</v>
      </c>
      <c r="E46" s="16">
        <f t="shared" si="4"/>
        <v>122588.90051457976</v>
      </c>
      <c r="F46" s="16">
        <f t="shared" si="4"/>
        <v>9982599.7097190823</v>
      </c>
      <c r="G46" s="14">
        <f t="shared" si="4"/>
        <v>81.431513520523254</v>
      </c>
      <c r="H46" s="46">
        <f t="shared" si="21"/>
        <v>15025.728987993141</v>
      </c>
      <c r="I46" s="23">
        <f t="shared" si="22"/>
        <v>1028095.6414822643</v>
      </c>
      <c r="J46" s="22">
        <f>VLOOKUP(D46,Data!$A$5:$V$197,8,FALSE)*5.83</f>
        <v>68.422346915999995</v>
      </c>
      <c r="K46" s="91">
        <f>VLOOKUP(D46,Data!$A$5:$V$197,20,FALSE)</f>
        <v>5351.6295025728987</v>
      </c>
      <c r="L46" s="23">
        <f t="shared" si="23"/>
        <v>428189.66485121916</v>
      </c>
      <c r="M46" s="14">
        <f t="shared" si="1"/>
        <v>80.011081605211785</v>
      </c>
      <c r="N46" s="15">
        <f t="shared" si="2"/>
        <v>132263</v>
      </c>
      <c r="O46" s="15">
        <f t="shared" si="2"/>
        <v>10582505.686350128</v>
      </c>
      <c r="P46" s="22">
        <f t="shared" si="3"/>
        <v>80.0110816052118</v>
      </c>
      <c r="Q46" s="31">
        <f t="shared" si="24"/>
        <v>128953.85631349783</v>
      </c>
      <c r="R46" s="31">
        <f t="shared" si="24"/>
        <v>10929501.773079874</v>
      </c>
      <c r="S46" s="32">
        <f t="shared" si="11"/>
        <v>84.755137112839208</v>
      </c>
      <c r="T46" s="31">
        <f t="shared" si="12"/>
        <v>141000</v>
      </c>
      <c r="U46" s="7">
        <v>8737</v>
      </c>
      <c r="V46" s="37">
        <f t="shared" si="13"/>
        <v>97.972592592592591</v>
      </c>
    </row>
    <row r="47" spans="1:22">
      <c r="A47" s="21">
        <v>8737</v>
      </c>
      <c r="B47" s="21">
        <v>10000</v>
      </c>
      <c r="C47" s="47">
        <v>141000</v>
      </c>
      <c r="D47" s="13">
        <v>42856</v>
      </c>
      <c r="E47" s="16">
        <f t="shared" si="4"/>
        <v>132263</v>
      </c>
      <c r="F47" s="16">
        <f t="shared" si="4"/>
        <v>10582505.686350128</v>
      </c>
      <c r="G47" s="14">
        <f t="shared" si="4"/>
        <v>80.0110816052118</v>
      </c>
      <c r="H47" s="46">
        <f t="shared" si="21"/>
        <v>0</v>
      </c>
      <c r="I47" s="23">
        <f t="shared" si="22"/>
        <v>0</v>
      </c>
      <c r="J47" s="22">
        <f>VLOOKUP(D47,Data!$A$5:$V$197,8,FALSE)*5.83</f>
        <v>68.804546915999993</v>
      </c>
      <c r="K47" s="91">
        <f>VLOOKUP(D47,Data!$A$5:$V$197,20,FALSE)</f>
        <v>1029.1595197255574</v>
      </c>
      <c r="L47" s="23">
        <f t="shared" si="23"/>
        <v>82344.166317542156</v>
      </c>
      <c r="M47" s="14">
        <f t="shared" si="1"/>
        <v>80.0110816052118</v>
      </c>
      <c r="N47" s="15">
        <f t="shared" si="2"/>
        <v>131233.84048027443</v>
      </c>
      <c r="O47" s="15">
        <f t="shared" si="2"/>
        <v>10500161.520032585</v>
      </c>
      <c r="P47" s="22">
        <f t="shared" si="3"/>
        <v>80.0110816052118</v>
      </c>
      <c r="Q47" s="31">
        <f t="shared" si="24"/>
        <v>129413.01979152922</v>
      </c>
      <c r="R47" s="31">
        <f t="shared" si="24"/>
        <v>10864149.460390389</v>
      </c>
      <c r="S47" s="32">
        <f t="shared" si="11"/>
        <v>83.949431656037333</v>
      </c>
      <c r="T47" s="31">
        <f t="shared" si="12"/>
        <v>139970.84048027443</v>
      </c>
      <c r="U47" s="7">
        <v>8737</v>
      </c>
      <c r="V47" s="37">
        <f t="shared" si="13"/>
        <v>97.210252207610694</v>
      </c>
    </row>
    <row r="48" spans="1:22">
      <c r="A48" s="21">
        <v>8737</v>
      </c>
      <c r="B48" s="21">
        <v>10000</v>
      </c>
      <c r="C48" s="47">
        <v>141000</v>
      </c>
      <c r="D48" s="13">
        <v>42887</v>
      </c>
      <c r="E48" s="16">
        <f t="shared" si="4"/>
        <v>131233.84048027443</v>
      </c>
      <c r="F48" s="16">
        <f t="shared" si="4"/>
        <v>10500161.520032585</v>
      </c>
      <c r="G48" s="14">
        <f t="shared" si="4"/>
        <v>80.0110816052118</v>
      </c>
      <c r="H48" s="46">
        <f t="shared" si="21"/>
        <v>0</v>
      </c>
      <c r="I48" s="23">
        <f t="shared" si="22"/>
        <v>0</v>
      </c>
      <c r="J48" s="22">
        <f>VLOOKUP(D48,Data!$A$5:$V$197,8,FALSE)*5.83</f>
        <v>69.316946915999992</v>
      </c>
      <c r="K48" s="91">
        <f>VLOOKUP(D48,Data!$A$5:$V$197,20,FALSE)</f>
        <v>2264.1509433962265</v>
      </c>
      <c r="L48" s="23">
        <f t="shared" si="23"/>
        <v>181157.16589859276</v>
      </c>
      <c r="M48" s="14">
        <f t="shared" ref="M48:M54" si="25">IF(K48=0,0,L48/K48)</f>
        <v>80.0110816052118</v>
      </c>
      <c r="N48" s="15">
        <f t="shared" si="2"/>
        <v>128969.68953687821</v>
      </c>
      <c r="O48" s="15">
        <f t="shared" si="2"/>
        <v>10319004.354133992</v>
      </c>
      <c r="P48" s="22">
        <f t="shared" si="3"/>
        <v>80.011081605211785</v>
      </c>
      <c r="Q48" s="31">
        <f t="shared" si="24"/>
        <v>129872.18326956064</v>
      </c>
      <c r="R48" s="31">
        <f t="shared" si="24"/>
        <v>10800642.425952669</v>
      </c>
      <c r="S48" s="32">
        <f t="shared" si="11"/>
        <v>83.163631765048777</v>
      </c>
      <c r="T48" s="31">
        <f t="shared" si="12"/>
        <v>137706.6895368782</v>
      </c>
      <c r="U48" s="7">
        <v>8737</v>
      </c>
      <c r="V48" s="37">
        <f t="shared" si="13"/>
        <v>95.533103360650514</v>
      </c>
    </row>
    <row r="49" spans="1:22">
      <c r="A49" s="21">
        <v>8737</v>
      </c>
      <c r="B49" s="21">
        <v>10000</v>
      </c>
      <c r="C49" s="47">
        <v>141000</v>
      </c>
      <c r="D49" s="13">
        <v>42917</v>
      </c>
      <c r="E49" s="16">
        <f t="shared" ref="E49:G54" si="26">N48</f>
        <v>128969.68953687821</v>
      </c>
      <c r="F49" s="16">
        <f t="shared" si="26"/>
        <v>10319004.354133992</v>
      </c>
      <c r="G49" s="14">
        <f t="shared" si="26"/>
        <v>80.011081605211785</v>
      </c>
      <c r="H49" s="46">
        <f t="shared" si="21"/>
        <v>0</v>
      </c>
      <c r="I49" s="23">
        <f t="shared" si="22"/>
        <v>0</v>
      </c>
      <c r="J49" s="22">
        <f>VLOOKUP(D49,Data!$A$5:$V$197,8,FALSE)*5.83</f>
        <v>69.993146916000001</v>
      </c>
      <c r="K49" s="91">
        <f>VLOOKUP(D49,Data!$A$5:$V$197,20,FALSE)</f>
        <v>3704.9742710120067</v>
      </c>
      <c r="L49" s="23">
        <f t="shared" si="23"/>
        <v>296438.99874315172</v>
      </c>
      <c r="M49" s="14">
        <f t="shared" si="25"/>
        <v>80.011081605211785</v>
      </c>
      <c r="N49" s="15">
        <f t="shared" si="2"/>
        <v>125264.71526586621</v>
      </c>
      <c r="O49" s="15">
        <f t="shared" si="2"/>
        <v>10022565.355390839</v>
      </c>
      <c r="P49" s="22">
        <f t="shared" si="3"/>
        <v>80.011081605211785</v>
      </c>
      <c r="Q49" s="31">
        <f t="shared" ref="Q49:R54" si="27">AVERAGE(N37:N49)</f>
        <v>129333.85367462724</v>
      </c>
      <c r="R49" s="31">
        <f t="shared" si="27"/>
        <v>10681198.144667979</v>
      </c>
      <c r="S49" s="32">
        <f t="shared" si="11"/>
        <v>82.586251327044621</v>
      </c>
      <c r="T49" s="31">
        <f t="shared" si="12"/>
        <v>134001.71526586619</v>
      </c>
      <c r="U49" s="7">
        <v>8737</v>
      </c>
      <c r="V49" s="37">
        <f t="shared" si="13"/>
        <v>92.788677974715696</v>
      </c>
    </row>
    <row r="50" spans="1:22">
      <c r="A50" s="21">
        <v>8737</v>
      </c>
      <c r="B50" s="21">
        <v>10000</v>
      </c>
      <c r="C50" s="47">
        <v>141000</v>
      </c>
      <c r="D50" s="13">
        <v>42948</v>
      </c>
      <c r="E50" s="16">
        <f t="shared" si="26"/>
        <v>125264.71526586621</v>
      </c>
      <c r="F50" s="16">
        <f t="shared" si="26"/>
        <v>10022565.355390839</v>
      </c>
      <c r="G50" s="14">
        <f t="shared" si="26"/>
        <v>80.011081605211785</v>
      </c>
      <c r="H50" s="46">
        <f t="shared" si="21"/>
        <v>0</v>
      </c>
      <c r="I50" s="23">
        <f t="shared" si="22"/>
        <v>0</v>
      </c>
      <c r="J50" s="22">
        <f>VLOOKUP(D50,Data!$A$5:$V$197,8,FALSE)*5.83</f>
        <v>70.681946916000001</v>
      </c>
      <c r="K50" s="91">
        <f>VLOOKUP(D50,Data!$A$5:$V$197,20,FALSE)</f>
        <v>1029.1595197255574</v>
      </c>
      <c r="L50" s="23">
        <f t="shared" si="23"/>
        <v>82344.166317542142</v>
      </c>
      <c r="M50" s="14">
        <f t="shared" si="25"/>
        <v>80.011081605211785</v>
      </c>
      <c r="N50" s="15">
        <f t="shared" si="2"/>
        <v>124235.55574614066</v>
      </c>
      <c r="O50" s="15">
        <f t="shared" si="2"/>
        <v>9940221.1890732963</v>
      </c>
      <c r="P50" s="22">
        <f t="shared" si="3"/>
        <v>80.011081605211771</v>
      </c>
      <c r="Q50" s="31">
        <f t="shared" si="27"/>
        <v>128969.68953687821</v>
      </c>
      <c r="R50" s="31">
        <f t="shared" si="27"/>
        <v>10577590.669420481</v>
      </c>
      <c r="S50" s="32">
        <f t="shared" si="11"/>
        <v>82.01609779324059</v>
      </c>
      <c r="T50" s="31">
        <f t="shared" si="12"/>
        <v>132972.55574614066</v>
      </c>
      <c r="U50" s="7">
        <v>8737</v>
      </c>
      <c r="V50" s="37">
        <f t="shared" si="13"/>
        <v>92.026337589733814</v>
      </c>
    </row>
    <row r="51" spans="1:22">
      <c r="A51" s="21">
        <v>8737</v>
      </c>
      <c r="B51" s="21">
        <v>10000</v>
      </c>
      <c r="C51" s="47">
        <v>141000</v>
      </c>
      <c r="D51" s="13">
        <v>42979</v>
      </c>
      <c r="E51" s="16">
        <f t="shared" si="26"/>
        <v>124235.55574614066</v>
      </c>
      <c r="F51" s="16">
        <f t="shared" si="26"/>
        <v>9940221.1890732963</v>
      </c>
      <c r="G51" s="14">
        <f t="shared" si="26"/>
        <v>80.011081605211771</v>
      </c>
      <c r="H51" s="46">
        <f t="shared" si="21"/>
        <v>12761.578044596907</v>
      </c>
      <c r="I51" s="23">
        <f t="shared" si="22"/>
        <v>911124.94863643183</v>
      </c>
      <c r="J51" s="22">
        <f>VLOOKUP(D51,Data!$A$5:$V$197,8,FALSE)*5.83</f>
        <v>71.395946916</v>
      </c>
      <c r="K51" s="91">
        <f>VLOOKUP(D51,Data!$A$5:$V$197,20,FALSE)</f>
        <v>4734.1337907375646</v>
      </c>
      <c r="L51" s="23">
        <f t="shared" si="23"/>
        <v>374983.9358244621</v>
      </c>
      <c r="M51" s="14">
        <f t="shared" si="25"/>
        <v>79.20856325567442</v>
      </c>
      <c r="N51" s="15">
        <f t="shared" si="2"/>
        <v>132263</v>
      </c>
      <c r="O51" s="15">
        <f t="shared" si="2"/>
        <v>10476362.201885266</v>
      </c>
      <c r="P51" s="22">
        <f t="shared" si="3"/>
        <v>79.20856325567442</v>
      </c>
      <c r="Q51" s="31">
        <f t="shared" si="27"/>
        <v>129603.01847209393</v>
      </c>
      <c r="R51" s="31">
        <f t="shared" si="27"/>
        <v>10548481.269558642</v>
      </c>
      <c r="S51" s="32">
        <f t="shared" si="11"/>
        <v>81.390706743685428</v>
      </c>
      <c r="T51" s="31">
        <f t="shared" si="12"/>
        <v>141000</v>
      </c>
      <c r="U51" s="7">
        <v>8737</v>
      </c>
      <c r="V51" s="37">
        <f t="shared" si="13"/>
        <v>97.972592592592591</v>
      </c>
    </row>
    <row r="52" spans="1:22">
      <c r="A52" s="21">
        <v>8737</v>
      </c>
      <c r="B52" s="21">
        <v>10000</v>
      </c>
      <c r="C52" s="47">
        <v>141000</v>
      </c>
      <c r="D52" s="13">
        <v>43009</v>
      </c>
      <c r="E52" s="16">
        <f t="shared" si="26"/>
        <v>132263</v>
      </c>
      <c r="F52" s="16">
        <f t="shared" si="26"/>
        <v>10476362.201885266</v>
      </c>
      <c r="G52" s="14">
        <f t="shared" si="26"/>
        <v>79.20856325567442</v>
      </c>
      <c r="H52" s="46">
        <f t="shared" si="21"/>
        <v>0</v>
      </c>
      <c r="I52" s="23">
        <f t="shared" si="22"/>
        <v>0</v>
      </c>
      <c r="J52" s="22">
        <f>VLOOKUP(D52,Data!$A$5:$V$197,8,FALSE)*5.83</f>
        <v>72.109946915999984</v>
      </c>
      <c r="K52" s="91">
        <f>VLOOKUP(D52,Data!$A$5:$V$197,20,FALSE)</f>
        <v>4322.4699828473413</v>
      </c>
      <c r="L52" s="23">
        <f t="shared" si="23"/>
        <v>342376.63705711754</v>
      </c>
      <c r="M52" s="14">
        <f t="shared" si="25"/>
        <v>79.20856325567442</v>
      </c>
      <c r="N52" s="15">
        <f t="shared" si="2"/>
        <v>127940.53001715266</v>
      </c>
      <c r="O52" s="15">
        <f t="shared" si="2"/>
        <v>10133985.564828148</v>
      </c>
      <c r="P52" s="22">
        <f t="shared" si="3"/>
        <v>79.20856325567442</v>
      </c>
      <c r="Q52" s="31">
        <f t="shared" si="27"/>
        <v>129270.52078110568</v>
      </c>
      <c r="R52" s="31">
        <f t="shared" si="27"/>
        <v>10461742.524155769</v>
      </c>
      <c r="S52" s="32">
        <f t="shared" si="11"/>
        <v>80.929066123827894</v>
      </c>
      <c r="T52" s="31">
        <f t="shared" si="12"/>
        <v>136677.53001715266</v>
      </c>
      <c r="U52" s="7">
        <v>8737</v>
      </c>
      <c r="V52" s="37">
        <f t="shared" si="13"/>
        <v>94.770762975668632</v>
      </c>
    </row>
    <row r="53" spans="1:22">
      <c r="A53" s="21">
        <v>8737</v>
      </c>
      <c r="B53" s="21">
        <v>10000</v>
      </c>
      <c r="C53" s="47">
        <v>141000</v>
      </c>
      <c r="D53" s="13">
        <v>43040</v>
      </c>
      <c r="E53" s="16">
        <f t="shared" si="26"/>
        <v>127940.53001715266</v>
      </c>
      <c r="F53" s="16">
        <f t="shared" si="26"/>
        <v>10133985.564828148</v>
      </c>
      <c r="G53" s="14">
        <f t="shared" si="26"/>
        <v>79.20856325567442</v>
      </c>
      <c r="H53" s="46">
        <f t="shared" si="21"/>
        <v>0</v>
      </c>
      <c r="I53" s="23">
        <f t="shared" si="22"/>
        <v>0</v>
      </c>
      <c r="J53" s="22">
        <f>VLOOKUP(D53,Data!$A$5:$V$197,8,FALSE)*5.83</f>
        <v>72.697946915999992</v>
      </c>
      <c r="K53" s="91">
        <f>VLOOKUP(D53,Data!$A$5:$V$197,20,FALSE)</f>
        <v>3704.9742710120067</v>
      </c>
      <c r="L53" s="23">
        <f t="shared" si="23"/>
        <v>293465.68890610075</v>
      </c>
      <c r="M53" s="14">
        <f t="shared" si="25"/>
        <v>79.20856325567442</v>
      </c>
      <c r="N53" s="15">
        <f t="shared" si="2"/>
        <v>124235.55574614066</v>
      </c>
      <c r="O53" s="15">
        <f t="shared" si="2"/>
        <v>9840519.8759220466</v>
      </c>
      <c r="P53" s="22">
        <f t="shared" si="3"/>
        <v>79.208563255674406</v>
      </c>
      <c r="Q53" s="31">
        <f t="shared" si="27"/>
        <v>129080.52210054097</v>
      </c>
      <c r="R53" s="31">
        <f t="shared" si="27"/>
        <v>10388828.911108244</v>
      </c>
      <c r="S53" s="32">
        <f t="shared" si="11"/>
        <v>80.483319574864851</v>
      </c>
      <c r="T53" s="31">
        <f t="shared" si="12"/>
        <v>132972.55574614066</v>
      </c>
      <c r="U53" s="7">
        <v>8737</v>
      </c>
      <c r="V53" s="37">
        <f t="shared" si="13"/>
        <v>92.026337589733814</v>
      </c>
    </row>
    <row r="54" spans="1:22">
      <c r="A54" s="21">
        <v>8737</v>
      </c>
      <c r="B54" s="21">
        <v>10000</v>
      </c>
      <c r="C54" s="47">
        <v>141000</v>
      </c>
      <c r="D54" s="13">
        <v>43070</v>
      </c>
      <c r="E54" s="16">
        <f t="shared" si="26"/>
        <v>124235.55574614066</v>
      </c>
      <c r="F54" s="16">
        <f t="shared" si="26"/>
        <v>9840519.8759220466</v>
      </c>
      <c r="G54" s="14">
        <f t="shared" si="26"/>
        <v>79.208563255674406</v>
      </c>
      <c r="H54" s="46">
        <f t="shared" si="21"/>
        <v>18319.039451114917</v>
      </c>
      <c r="I54" s="23">
        <f t="shared" si="22"/>
        <v>1340989.3534526236</v>
      </c>
      <c r="J54" s="22">
        <f>VLOOKUP(D54,Data!$A$5:$V$197,8,FALSE)*5.83</f>
        <v>73.201946915999983</v>
      </c>
      <c r="K54" s="91">
        <f>VLOOKUP(D54,Data!$A$5:$V$197,20,FALSE)</f>
        <v>10291.595197255574</v>
      </c>
      <c r="L54" s="23">
        <f t="shared" si="23"/>
        <v>807238.56375074352</v>
      </c>
      <c r="M54" s="14">
        <f t="shared" si="25"/>
        <v>78.436680444447248</v>
      </c>
      <c r="N54" s="15">
        <f t="shared" si="2"/>
        <v>132263</v>
      </c>
      <c r="O54" s="15">
        <f t="shared" si="2"/>
        <v>10374270.665623926</v>
      </c>
      <c r="P54" s="22">
        <f t="shared" si="3"/>
        <v>78.436680444447248</v>
      </c>
      <c r="Q54" s="31">
        <f t="shared" si="27"/>
        <v>129080.52210054097</v>
      </c>
      <c r="R54" s="31">
        <f t="shared" si="27"/>
        <v>10344871.149327248</v>
      </c>
      <c r="S54" s="32">
        <f t="shared" si="11"/>
        <v>80.142774300754809</v>
      </c>
      <c r="T54" s="31">
        <f t="shared" si="12"/>
        <v>141000</v>
      </c>
      <c r="U54" s="7">
        <v>8737</v>
      </c>
      <c r="V54" s="37">
        <f t="shared" si="13"/>
        <v>97.972592592592591</v>
      </c>
    </row>
    <row r="55" spans="1:22">
      <c r="A55" s="21">
        <v>8737</v>
      </c>
      <c r="B55" s="21">
        <v>10000</v>
      </c>
      <c r="C55" s="47">
        <v>141000</v>
      </c>
      <c r="D55" s="13">
        <v>43101</v>
      </c>
      <c r="E55" s="16">
        <f t="shared" ref="E55:E66" si="28">N54</f>
        <v>132263</v>
      </c>
      <c r="F55" s="16">
        <f t="shared" ref="F55:F66" si="29">O54</f>
        <v>10374270.665623926</v>
      </c>
      <c r="G55" s="14">
        <f t="shared" ref="G55:G66" si="30">P54</f>
        <v>78.436680444447248</v>
      </c>
      <c r="H55" s="46">
        <f t="shared" si="21"/>
        <v>0</v>
      </c>
      <c r="I55" s="23">
        <f t="shared" ref="I55:I66" si="31">H55*J55</f>
        <v>0</v>
      </c>
      <c r="J55" s="22">
        <f>VLOOKUP(D55,Data!$A$5:$V$197,8,FALSE)*5.83</f>
        <v>73.726946916000003</v>
      </c>
      <c r="K55" s="91">
        <f>VLOOKUP(D55,Data!$A$5:$V$197,20,FALSE)</f>
        <v>0</v>
      </c>
      <c r="L55" s="23">
        <f t="shared" ref="L55:L66" si="32">IF(E55+I55&gt;0,((F55+I55)/(E55+H55)*K55),0)</f>
        <v>0</v>
      </c>
      <c r="M55" s="14">
        <f t="shared" ref="M55:M66" si="33">IF(K55=0,0,L55/K55)</f>
        <v>0</v>
      </c>
      <c r="N55" s="15">
        <f t="shared" ref="N55:N66" si="34">+E55+H55-K55</f>
        <v>132263</v>
      </c>
      <c r="O55" s="15">
        <f t="shared" ref="O55:O66" si="35">+F55+I55-L55</f>
        <v>10374270.665623926</v>
      </c>
      <c r="P55" s="22">
        <f t="shared" ref="P55:P66" si="36">IF(N55=0,0,O55/N55)</f>
        <v>78.436680444447248</v>
      </c>
      <c r="Q55" s="31">
        <f t="shared" ref="Q55:Q66" si="37">AVERAGE(N43:N55)</f>
        <v>129080.52210054097</v>
      </c>
      <c r="R55" s="31">
        <f t="shared" ref="R55:R66" si="38">AVERAGE(O43:O55)</f>
        <v>10314401.487239476</v>
      </c>
      <c r="S55" s="32">
        <f t="shared" ref="S55:S66" si="39">IF(Q55=0,0,R55/Q55)</f>
        <v>79.906722713792377</v>
      </c>
      <c r="T55" s="31">
        <f t="shared" si="12"/>
        <v>141000</v>
      </c>
      <c r="U55" s="7">
        <v>8737</v>
      </c>
      <c r="V55" s="37">
        <f t="shared" si="13"/>
        <v>97.972592592592591</v>
      </c>
    </row>
    <row r="56" spans="1:22">
      <c r="A56" s="21">
        <v>8737</v>
      </c>
      <c r="B56" s="21">
        <v>10000</v>
      </c>
      <c r="C56" s="47">
        <v>141000</v>
      </c>
      <c r="D56" s="13">
        <v>43132</v>
      </c>
      <c r="E56" s="16">
        <f t="shared" si="28"/>
        <v>132263</v>
      </c>
      <c r="F56" s="16">
        <f t="shared" si="29"/>
        <v>10374270.665623926</v>
      </c>
      <c r="G56" s="14">
        <f t="shared" si="30"/>
        <v>78.436680444447248</v>
      </c>
      <c r="H56" s="46">
        <f t="shared" si="21"/>
        <v>0</v>
      </c>
      <c r="I56" s="23">
        <f t="shared" si="31"/>
        <v>0</v>
      </c>
      <c r="J56" s="22">
        <f>VLOOKUP(D56,Data!$A$5:$V$197,8,FALSE)*5.83</f>
        <v>73.999946915999985</v>
      </c>
      <c r="K56" s="91">
        <f>VLOOKUP(D56,Data!$A$5:$V$197,20,FALSE)</f>
        <v>2.5728987993138936</v>
      </c>
      <c r="L56" s="23">
        <f t="shared" si="32"/>
        <v>201.80964093768588</v>
      </c>
      <c r="M56" s="14">
        <f t="shared" si="33"/>
        <v>78.436680444447248</v>
      </c>
      <c r="N56" s="15">
        <f t="shared" si="34"/>
        <v>132260.42710120068</v>
      </c>
      <c r="O56" s="15">
        <f t="shared" si="35"/>
        <v>10374068.855982987</v>
      </c>
      <c r="P56" s="22">
        <f t="shared" si="36"/>
        <v>78.436680444447248</v>
      </c>
      <c r="Q56" s="31">
        <f t="shared" si="37"/>
        <v>129080.32418524871</v>
      </c>
      <c r="R56" s="31">
        <f t="shared" si="38"/>
        <v>10283916.30133317</v>
      </c>
      <c r="S56" s="32">
        <f t="shared" si="39"/>
        <v>79.670673018873742</v>
      </c>
      <c r="T56" s="31">
        <f t="shared" si="12"/>
        <v>140997.42710120068</v>
      </c>
      <c r="U56" s="7">
        <v>8737</v>
      </c>
      <c r="V56" s="37">
        <f t="shared" si="13"/>
        <v>97.970686741630132</v>
      </c>
    </row>
    <row r="57" spans="1:22">
      <c r="A57" s="21">
        <v>8737</v>
      </c>
      <c r="B57" s="21">
        <v>10000</v>
      </c>
      <c r="C57" s="47">
        <v>141000</v>
      </c>
      <c r="D57" s="13">
        <v>43160</v>
      </c>
      <c r="E57" s="16">
        <f t="shared" si="28"/>
        <v>132260.42710120068</v>
      </c>
      <c r="F57" s="16">
        <f t="shared" si="29"/>
        <v>10374068.855982987</v>
      </c>
      <c r="G57" s="14">
        <f t="shared" si="30"/>
        <v>78.436680444447248</v>
      </c>
      <c r="H57" s="46">
        <f t="shared" si="21"/>
        <v>0</v>
      </c>
      <c r="I57" s="23">
        <f t="shared" si="31"/>
        <v>0</v>
      </c>
      <c r="J57" s="22">
        <f>VLOOKUP(D57,Data!$A$5:$V$197,8,FALSE)*5.83</f>
        <v>73.978946915999984</v>
      </c>
      <c r="K57" s="91">
        <f>VLOOKUP(D57,Data!$A$5:$V$197,20,FALSE)</f>
        <v>9262.4356775300166</v>
      </c>
      <c r="L57" s="23">
        <f t="shared" si="32"/>
        <v>726514.70737566915</v>
      </c>
      <c r="M57" s="14">
        <f t="shared" si="33"/>
        <v>78.436680444447248</v>
      </c>
      <c r="N57" s="15">
        <f t="shared" si="34"/>
        <v>122997.99142367067</v>
      </c>
      <c r="O57" s="15">
        <f t="shared" si="35"/>
        <v>9647554.1486073174</v>
      </c>
      <c r="P57" s="22">
        <f t="shared" si="36"/>
        <v>78.436680444447234</v>
      </c>
      <c r="Q57" s="31">
        <f t="shared" si="37"/>
        <v>128367.63121783876</v>
      </c>
      <c r="R57" s="31">
        <f t="shared" si="38"/>
        <v>10197545.368705658</v>
      </c>
      <c r="S57" s="32">
        <f t="shared" si="39"/>
        <v>79.440161604295028</v>
      </c>
      <c r="T57" s="31">
        <f t="shared" si="12"/>
        <v>131734.99142367067</v>
      </c>
      <c r="U57" s="7">
        <v>8737</v>
      </c>
      <c r="V57" s="37">
        <f t="shared" si="13"/>
        <v>91.109623276793087</v>
      </c>
    </row>
    <row r="58" spans="1:22">
      <c r="A58" s="21">
        <v>8737</v>
      </c>
      <c r="B58" s="21">
        <v>10000</v>
      </c>
      <c r="C58" s="47">
        <v>141000</v>
      </c>
      <c r="D58" s="13">
        <v>43191</v>
      </c>
      <c r="E58" s="16">
        <f t="shared" si="28"/>
        <v>122997.99142367067</v>
      </c>
      <c r="F58" s="16">
        <f t="shared" si="29"/>
        <v>9647554.1486073174</v>
      </c>
      <c r="G58" s="14">
        <f t="shared" si="30"/>
        <v>78.436680444447234</v>
      </c>
      <c r="H58" s="46">
        <f t="shared" si="21"/>
        <v>13999.142367066896</v>
      </c>
      <c r="I58" s="23">
        <f t="shared" si="31"/>
        <v>1033289.9541251011</v>
      </c>
      <c r="J58" s="22">
        <f>VLOOKUP(D58,Data!$A$5:$V$197,8,FALSE)*5.83</f>
        <v>73.810946915999992</v>
      </c>
      <c r="K58" s="91">
        <f>VLOOKUP(D58,Data!$A$5:$V$197,20,FALSE)</f>
        <v>4734.1337907375646</v>
      </c>
      <c r="L58" s="23">
        <f t="shared" si="32"/>
        <v>369091.99179000832</v>
      </c>
      <c r="M58" s="14">
        <f t="shared" si="33"/>
        <v>77.963996816512619</v>
      </c>
      <c r="N58" s="15">
        <f t="shared" si="34"/>
        <v>132263</v>
      </c>
      <c r="O58" s="15">
        <f t="shared" si="35"/>
        <v>10311752.11094241</v>
      </c>
      <c r="P58" s="22">
        <f t="shared" si="36"/>
        <v>77.963996816512633</v>
      </c>
      <c r="Q58" s="31">
        <f t="shared" si="37"/>
        <v>129111.79271671725</v>
      </c>
      <c r="R58" s="31">
        <f t="shared" si="38"/>
        <v>10222864.784184374</v>
      </c>
      <c r="S58" s="32">
        <f t="shared" si="39"/>
        <v>79.178397023843118</v>
      </c>
      <c r="T58" s="31">
        <f t="shared" si="12"/>
        <v>141000</v>
      </c>
      <c r="U58" s="7">
        <v>8737</v>
      </c>
      <c r="V58" s="37">
        <f t="shared" si="13"/>
        <v>97.972592592592591</v>
      </c>
    </row>
    <row r="59" spans="1:22">
      <c r="A59" s="21">
        <v>8737</v>
      </c>
      <c r="B59" s="21">
        <v>10000</v>
      </c>
      <c r="C59" s="47">
        <v>141000</v>
      </c>
      <c r="D59" s="13">
        <v>43221</v>
      </c>
      <c r="E59" s="16">
        <f t="shared" si="28"/>
        <v>132263</v>
      </c>
      <c r="F59" s="16">
        <f t="shared" si="29"/>
        <v>10311752.11094241</v>
      </c>
      <c r="G59" s="14">
        <f t="shared" si="30"/>
        <v>77.963996816512633</v>
      </c>
      <c r="H59" s="46">
        <f t="shared" si="21"/>
        <v>0</v>
      </c>
      <c r="I59" s="23">
        <f t="shared" si="31"/>
        <v>0</v>
      </c>
      <c r="J59" s="22">
        <f>VLOOKUP(D59,Data!$A$5:$V$197,8,FALSE)*5.83</f>
        <v>74.188946915999992</v>
      </c>
      <c r="K59" s="91">
        <f>VLOOKUP(D59,Data!$A$5:$V$197,20,FALSE)</f>
        <v>3293.3104631217839</v>
      </c>
      <c r="L59" s="23">
        <f t="shared" si="32"/>
        <v>256759.6464626145</v>
      </c>
      <c r="M59" s="14">
        <f t="shared" si="33"/>
        <v>77.963996816512633</v>
      </c>
      <c r="N59" s="15">
        <f t="shared" si="34"/>
        <v>128969.68953687821</v>
      </c>
      <c r="O59" s="15">
        <f t="shared" si="35"/>
        <v>10054992.464479797</v>
      </c>
      <c r="P59" s="22">
        <f t="shared" si="36"/>
        <v>77.963996816512633</v>
      </c>
      <c r="Q59" s="31">
        <f t="shared" si="37"/>
        <v>128858.46114263094</v>
      </c>
      <c r="R59" s="31">
        <f t="shared" si="38"/>
        <v>10182286.844040504</v>
      </c>
      <c r="S59" s="32">
        <f t="shared" si="39"/>
        <v>79.019156008466737</v>
      </c>
      <c r="T59" s="31">
        <f t="shared" si="12"/>
        <v>137706.6895368782</v>
      </c>
      <c r="U59" s="7">
        <v>8737</v>
      </c>
      <c r="V59" s="37">
        <f t="shared" si="13"/>
        <v>95.533103360650514</v>
      </c>
    </row>
    <row r="60" spans="1:22">
      <c r="A60" s="21">
        <v>8737</v>
      </c>
      <c r="B60" s="21">
        <v>10000</v>
      </c>
      <c r="C60" s="47">
        <v>141000</v>
      </c>
      <c r="D60" s="13">
        <v>43252</v>
      </c>
      <c r="E60" s="16">
        <f t="shared" si="28"/>
        <v>128969.68953687821</v>
      </c>
      <c r="F60" s="16">
        <f t="shared" si="29"/>
        <v>10054992.464479797</v>
      </c>
      <c r="G60" s="14">
        <f t="shared" si="30"/>
        <v>77.963996816512633</v>
      </c>
      <c r="H60" s="46">
        <f t="shared" si="21"/>
        <v>0</v>
      </c>
      <c r="I60" s="23">
        <f t="shared" si="31"/>
        <v>0</v>
      </c>
      <c r="J60" s="22">
        <f>VLOOKUP(D60,Data!$A$5:$V$197,8,FALSE)*5.83</f>
        <v>74.629946915999994</v>
      </c>
      <c r="K60" s="91">
        <f>VLOOKUP(D60,Data!$A$5:$V$197,20,FALSE)</f>
        <v>0</v>
      </c>
      <c r="L60" s="23">
        <f t="shared" si="32"/>
        <v>0</v>
      </c>
      <c r="M60" s="14">
        <f t="shared" si="33"/>
        <v>0</v>
      </c>
      <c r="N60" s="15">
        <f t="shared" si="34"/>
        <v>128969.68953687821</v>
      </c>
      <c r="O60" s="15">
        <f t="shared" si="35"/>
        <v>10054992.464479797</v>
      </c>
      <c r="P60" s="22">
        <f t="shared" si="36"/>
        <v>77.963996816512633</v>
      </c>
      <c r="Q60" s="31">
        <f t="shared" si="37"/>
        <v>128684.2956854466</v>
      </c>
      <c r="R60" s="31">
        <f t="shared" si="38"/>
        <v>10148043.070536442</v>
      </c>
      <c r="S60" s="32">
        <f t="shared" si="39"/>
        <v>78.859996213851318</v>
      </c>
      <c r="T60" s="31">
        <f t="shared" si="12"/>
        <v>137706.6895368782</v>
      </c>
      <c r="U60" s="7">
        <v>8737</v>
      </c>
      <c r="V60" s="37">
        <f t="shared" si="13"/>
        <v>95.533103360650514</v>
      </c>
    </row>
    <row r="61" spans="1:22">
      <c r="A61" s="21">
        <v>8737</v>
      </c>
      <c r="B61" s="21">
        <v>10000</v>
      </c>
      <c r="C61" s="47">
        <v>141000</v>
      </c>
      <c r="D61" s="13">
        <v>43282</v>
      </c>
      <c r="E61" s="16">
        <f t="shared" si="28"/>
        <v>128969.68953687821</v>
      </c>
      <c r="F61" s="16">
        <f t="shared" si="29"/>
        <v>10054992.464479797</v>
      </c>
      <c r="G61" s="14">
        <f t="shared" si="30"/>
        <v>77.963996816512633</v>
      </c>
      <c r="H61" s="46">
        <f t="shared" si="21"/>
        <v>0</v>
      </c>
      <c r="I61" s="23">
        <f t="shared" si="31"/>
        <v>0</v>
      </c>
      <c r="J61" s="22">
        <f>VLOOKUP(D61,Data!$A$5:$V$197,8,FALSE)*5.83</f>
        <v>75.175946915999987</v>
      </c>
      <c r="K61" s="91">
        <f>VLOOKUP(D61,Data!$A$5:$V$197,20,FALSE)</f>
        <v>823.32761578044597</v>
      </c>
      <c r="L61" s="23">
        <f t="shared" si="32"/>
        <v>64189.911615653626</v>
      </c>
      <c r="M61" s="14">
        <f t="shared" si="33"/>
        <v>77.963996816512633</v>
      </c>
      <c r="N61" s="15">
        <f t="shared" si="34"/>
        <v>128146.36192109776</v>
      </c>
      <c r="O61" s="15">
        <f t="shared" si="35"/>
        <v>9990802.5528641436</v>
      </c>
      <c r="P61" s="22">
        <f t="shared" si="36"/>
        <v>77.963996816512648</v>
      </c>
      <c r="Q61" s="31">
        <f t="shared" si="37"/>
        <v>128620.96279192505</v>
      </c>
      <c r="R61" s="31">
        <f t="shared" si="38"/>
        <v>10122796.77813107</v>
      </c>
      <c r="S61" s="32">
        <f t="shared" si="39"/>
        <v>78.702542403660104</v>
      </c>
      <c r="T61" s="31">
        <f t="shared" si="12"/>
        <v>136883.36192109776</v>
      </c>
      <c r="U61" s="7">
        <v>8737</v>
      </c>
      <c r="V61" s="37">
        <f t="shared" si="13"/>
        <v>94.923231052665017</v>
      </c>
    </row>
    <row r="62" spans="1:22">
      <c r="A62" s="21">
        <v>8737</v>
      </c>
      <c r="B62" s="21">
        <v>10000</v>
      </c>
      <c r="C62" s="47">
        <v>141000</v>
      </c>
      <c r="D62" s="13">
        <v>43313</v>
      </c>
      <c r="E62" s="16">
        <f t="shared" si="28"/>
        <v>128146.36192109776</v>
      </c>
      <c r="F62" s="16">
        <f t="shared" si="29"/>
        <v>9990802.5528641436</v>
      </c>
      <c r="G62" s="14">
        <f t="shared" si="30"/>
        <v>77.963996816512648</v>
      </c>
      <c r="H62" s="46">
        <f t="shared" si="21"/>
        <v>0</v>
      </c>
      <c r="I62" s="23">
        <f t="shared" si="31"/>
        <v>0</v>
      </c>
      <c r="J62" s="22">
        <f>VLOOKUP(D62,Data!$A$5:$V$197,8,FALSE)*5.83</f>
        <v>75.700946915999978</v>
      </c>
      <c r="K62" s="91">
        <f>VLOOKUP(D62,Data!$A$5:$V$197,20,FALSE)</f>
        <v>823.32761578044597</v>
      </c>
      <c r="L62" s="23">
        <f t="shared" si="32"/>
        <v>64189.91161565364</v>
      </c>
      <c r="M62" s="14">
        <f t="shared" si="33"/>
        <v>77.963996816512648</v>
      </c>
      <c r="N62" s="15">
        <f t="shared" si="34"/>
        <v>127323.03430531731</v>
      </c>
      <c r="O62" s="15">
        <f t="shared" si="35"/>
        <v>9926612.6412484907</v>
      </c>
      <c r="P62" s="22">
        <f t="shared" si="36"/>
        <v>77.963996816512662</v>
      </c>
      <c r="Q62" s="31">
        <f t="shared" si="37"/>
        <v>128779.29502572898</v>
      </c>
      <c r="R62" s="31">
        <f t="shared" si="38"/>
        <v>10115415.800120121</v>
      </c>
      <c r="S62" s="32">
        <f t="shared" si="39"/>
        <v>78.548463851267002</v>
      </c>
      <c r="T62" s="31">
        <f t="shared" si="12"/>
        <v>136060.03430531733</v>
      </c>
      <c r="U62" s="7">
        <v>8737</v>
      </c>
      <c r="V62" s="37">
        <f t="shared" si="13"/>
        <v>94.313358744679505</v>
      </c>
    </row>
    <row r="63" spans="1:22">
      <c r="A63" s="21">
        <v>8737</v>
      </c>
      <c r="B63" s="21">
        <v>10000</v>
      </c>
      <c r="C63" s="47">
        <v>141000</v>
      </c>
      <c r="D63" s="13">
        <v>43344</v>
      </c>
      <c r="E63" s="16">
        <f t="shared" si="28"/>
        <v>127323.03430531731</v>
      </c>
      <c r="F63" s="16">
        <f t="shared" si="29"/>
        <v>9926612.6412484907</v>
      </c>
      <c r="G63" s="14">
        <f t="shared" si="30"/>
        <v>77.963996816512662</v>
      </c>
      <c r="H63" s="46">
        <f t="shared" si="21"/>
        <v>0</v>
      </c>
      <c r="I63" s="23">
        <f t="shared" si="31"/>
        <v>0</v>
      </c>
      <c r="J63" s="22">
        <f>VLOOKUP(D63,Data!$A$5:$V$197,8,FALSE)*5.83</f>
        <v>76.246946915999985</v>
      </c>
      <c r="K63" s="91">
        <f>VLOOKUP(D63,Data!$A$5:$V$197,20,FALSE)</f>
        <v>2469.9828473413377</v>
      </c>
      <c r="L63" s="23">
        <f t="shared" si="32"/>
        <v>192569.73484696093</v>
      </c>
      <c r="M63" s="14">
        <f t="shared" si="33"/>
        <v>77.963996816512662</v>
      </c>
      <c r="N63" s="15">
        <f t="shared" si="34"/>
        <v>124853.05145797598</v>
      </c>
      <c r="O63" s="15">
        <f t="shared" si="35"/>
        <v>9734042.9064015299</v>
      </c>
      <c r="P63" s="22">
        <f t="shared" si="36"/>
        <v>77.963996816512662</v>
      </c>
      <c r="Q63" s="31">
        <f t="shared" si="37"/>
        <v>128826.79469587017</v>
      </c>
      <c r="R63" s="31">
        <f t="shared" si="38"/>
        <v>10099555.932222294</v>
      </c>
      <c r="S63" s="32">
        <f t="shared" si="39"/>
        <v>78.396392272779707</v>
      </c>
      <c r="T63" s="31">
        <f t="shared" si="12"/>
        <v>133590.05145797599</v>
      </c>
      <c r="U63" s="7">
        <v>8737</v>
      </c>
      <c r="V63" s="37">
        <f t="shared" si="13"/>
        <v>92.483741820722955</v>
      </c>
    </row>
    <row r="64" spans="1:22">
      <c r="A64" s="21">
        <v>8737</v>
      </c>
      <c r="B64" s="21">
        <v>10000</v>
      </c>
      <c r="C64" s="47">
        <v>141000</v>
      </c>
      <c r="D64" s="13">
        <v>43374</v>
      </c>
      <c r="E64" s="16">
        <f t="shared" si="28"/>
        <v>124853.05145797598</v>
      </c>
      <c r="F64" s="16">
        <f t="shared" si="29"/>
        <v>9734042.9064015299</v>
      </c>
      <c r="G64" s="14">
        <f t="shared" si="30"/>
        <v>77.963996816512662</v>
      </c>
      <c r="H64" s="46">
        <f t="shared" si="21"/>
        <v>10497.427101200694</v>
      </c>
      <c r="I64" s="23">
        <f t="shared" si="31"/>
        <v>805907.91616795922</v>
      </c>
      <c r="J64" s="22">
        <f>VLOOKUP(D64,Data!$A$5:$V$197,8,FALSE)*5.83</f>
        <v>76.771946915999976</v>
      </c>
      <c r="K64" s="91">
        <f>VLOOKUP(D64,Data!$A$5:$V$197,20,FALSE)</f>
        <v>3087.4785591766722</v>
      </c>
      <c r="L64" s="23">
        <f t="shared" si="32"/>
        <v>240426.72420424561</v>
      </c>
      <c r="M64" s="14">
        <f t="shared" si="33"/>
        <v>77.871544561708447</v>
      </c>
      <c r="N64" s="15">
        <f t="shared" si="34"/>
        <v>132263</v>
      </c>
      <c r="O64" s="15">
        <f t="shared" si="35"/>
        <v>10299524.098365244</v>
      </c>
      <c r="P64" s="22">
        <f t="shared" si="36"/>
        <v>77.871544561708447</v>
      </c>
      <c r="Q64" s="31">
        <f t="shared" si="37"/>
        <v>128826.79469587018</v>
      </c>
      <c r="R64" s="31">
        <f t="shared" si="38"/>
        <v>10085953.00118229</v>
      </c>
      <c r="S64" s="32">
        <f t="shared" si="39"/>
        <v>78.29080142056516</v>
      </c>
      <c r="T64" s="31">
        <f t="shared" si="12"/>
        <v>141000</v>
      </c>
      <c r="U64" s="7">
        <v>8737</v>
      </c>
      <c r="V64" s="37">
        <f t="shared" si="13"/>
        <v>97.972592592592591</v>
      </c>
    </row>
    <row r="65" spans="1:22">
      <c r="A65" s="21">
        <v>8737</v>
      </c>
      <c r="B65" s="21">
        <v>10000</v>
      </c>
      <c r="C65" s="47">
        <v>141000</v>
      </c>
      <c r="D65" s="13">
        <v>43405</v>
      </c>
      <c r="E65" s="16">
        <f t="shared" si="28"/>
        <v>132263</v>
      </c>
      <c r="F65" s="16">
        <f t="shared" si="29"/>
        <v>10299524.098365244</v>
      </c>
      <c r="G65" s="14">
        <f t="shared" si="30"/>
        <v>77.871544561708447</v>
      </c>
      <c r="H65" s="46">
        <f t="shared" si="21"/>
        <v>10291.595197255574</v>
      </c>
      <c r="I65" s="23">
        <f t="shared" si="31"/>
        <v>794212.14664837054</v>
      </c>
      <c r="J65" s="22">
        <f>VLOOKUP(D65,Data!$A$5:$V$197,8,FALSE)*5.83</f>
        <v>77.170946916000005</v>
      </c>
      <c r="K65" s="91">
        <f>VLOOKUP(D65,Data!$A$5:$V$197,20,FALSE)</f>
        <v>10291.595197255574</v>
      </c>
      <c r="L65" s="23">
        <f t="shared" si="32"/>
        <v>800901.87552930031</v>
      </c>
      <c r="M65" s="14">
        <f t="shared" si="33"/>
        <v>77.820965572263688</v>
      </c>
      <c r="N65" s="15">
        <f t="shared" si="34"/>
        <v>132263</v>
      </c>
      <c r="O65" s="15">
        <f t="shared" si="35"/>
        <v>10292834.369484313</v>
      </c>
      <c r="P65" s="22">
        <f t="shared" si="36"/>
        <v>77.820965572263688</v>
      </c>
      <c r="Q65" s="31">
        <f t="shared" si="37"/>
        <v>129159.29238685843</v>
      </c>
      <c r="R65" s="31">
        <f t="shared" si="38"/>
        <v>10098172.140001995</v>
      </c>
      <c r="S65" s="32">
        <f t="shared" si="39"/>
        <v>78.183860823237637</v>
      </c>
      <c r="T65" s="31">
        <f t="shared" si="12"/>
        <v>141000</v>
      </c>
      <c r="U65" s="7">
        <v>8737</v>
      </c>
      <c r="V65" s="37">
        <f t="shared" si="13"/>
        <v>97.972592592592591</v>
      </c>
    </row>
    <row r="66" spans="1:22">
      <c r="A66" s="21">
        <v>8737</v>
      </c>
      <c r="B66" s="21">
        <v>10000</v>
      </c>
      <c r="C66" s="47">
        <v>141000</v>
      </c>
      <c r="D66" s="13">
        <v>43435</v>
      </c>
      <c r="E66" s="16">
        <f t="shared" si="28"/>
        <v>132263</v>
      </c>
      <c r="F66" s="16">
        <f t="shared" si="29"/>
        <v>10292834.369484313</v>
      </c>
      <c r="G66" s="14">
        <f t="shared" si="30"/>
        <v>77.820965572263688</v>
      </c>
      <c r="H66" s="46">
        <f t="shared" si="21"/>
        <v>0</v>
      </c>
      <c r="I66" s="23">
        <f t="shared" si="31"/>
        <v>0</v>
      </c>
      <c r="J66" s="22">
        <f>VLOOKUP(D66,Data!$A$5:$V$197,8,FALSE)*5.83</f>
        <v>77.50694691599999</v>
      </c>
      <c r="K66" s="91">
        <f>VLOOKUP(D66,Data!$A$5:$V$197,20,FALSE)</f>
        <v>9674.0994854202399</v>
      </c>
      <c r="L66" s="23">
        <f t="shared" si="32"/>
        <v>752847.76299754239</v>
      </c>
      <c r="M66" s="14">
        <f t="shared" si="33"/>
        <v>77.820965572263688</v>
      </c>
      <c r="N66" s="15">
        <f t="shared" si="34"/>
        <v>122588.90051457976</v>
      </c>
      <c r="O66" s="15">
        <f t="shared" si="35"/>
        <v>9539986.6064867713</v>
      </c>
      <c r="P66" s="22">
        <f t="shared" si="36"/>
        <v>77.820965572263702</v>
      </c>
      <c r="Q66" s="31">
        <f t="shared" si="37"/>
        <v>129032.62659981528</v>
      </c>
      <c r="R66" s="31">
        <f t="shared" si="38"/>
        <v>10075054.196199281</v>
      </c>
      <c r="S66" s="32">
        <f t="shared" si="39"/>
        <v>78.081447008331338</v>
      </c>
      <c r="T66" s="31">
        <f t="shared" si="12"/>
        <v>131325.90051457976</v>
      </c>
      <c r="U66" s="7">
        <v>8737</v>
      </c>
      <c r="V66" s="37">
        <f t="shared" si="13"/>
        <v>90.806592973762776</v>
      </c>
    </row>
    <row r="67" spans="1:22">
      <c r="A67" s="47">
        <v>8737</v>
      </c>
      <c r="B67" s="47">
        <v>10000</v>
      </c>
      <c r="C67" s="47">
        <v>141000</v>
      </c>
      <c r="D67" s="13">
        <v>43466</v>
      </c>
      <c r="E67" s="16">
        <f t="shared" ref="E67:E90" si="40">N66</f>
        <v>122588.90051457976</v>
      </c>
      <c r="F67" s="16">
        <f t="shared" ref="F67:F90" si="41">O66</f>
        <v>9539986.6064867713</v>
      </c>
      <c r="G67" s="14">
        <f t="shared" ref="G67:G90" si="42">P66</f>
        <v>77.820965572263702</v>
      </c>
      <c r="H67" s="46">
        <f t="shared" si="21"/>
        <v>0</v>
      </c>
      <c r="I67" s="74">
        <f t="shared" ref="I67:I90" si="43">H67*J67</f>
        <v>0</v>
      </c>
      <c r="J67" s="22">
        <f>VLOOKUP(D67,Data!$A$5:$V$197,8,FALSE)*5.83</f>
        <v>83.248223461435202</v>
      </c>
      <c r="K67" s="91">
        <f>VLOOKUP(D67,Data!$A$5:$V$197,20,FALSE)</f>
        <v>0</v>
      </c>
      <c r="L67" s="74">
        <f t="shared" ref="L67:L90" si="44">IF(E67+I67&gt;0,((F67+I67)/(E67+H67)*K67),0)</f>
        <v>0</v>
      </c>
      <c r="M67" s="14">
        <f t="shared" ref="M67:M90" si="45">IF(K67=0,0,L67/K67)</f>
        <v>0</v>
      </c>
      <c r="N67" s="46">
        <f t="shared" ref="N67:N90" si="46">+E67+H67-K67</f>
        <v>122588.90051457976</v>
      </c>
      <c r="O67" s="46">
        <f t="shared" ref="O67:O90" si="47">+F67+I67-L67</f>
        <v>9539986.6064867713</v>
      </c>
      <c r="P67" s="22">
        <f t="shared" ref="P67:P90" si="48">IF(N67=0,0,O67/N67)</f>
        <v>77.820965572263702</v>
      </c>
      <c r="Q67" s="55">
        <f t="shared" ref="Q67:Q90" si="49">AVERAGE(N55:N67)</f>
        <v>128288.46510093681</v>
      </c>
      <c r="R67" s="55">
        <f t="shared" ref="R67:R90" si="50">AVERAGE(O55:O67)</f>
        <v>10010878.499342578</v>
      </c>
      <c r="S67" s="32">
        <f t="shared" ref="S67:S90" si="51">IF(Q67=0,0,R67/Q67)</f>
        <v>78.034127943350654</v>
      </c>
      <c r="T67" s="55">
        <f t="shared" ref="T67:T90" si="52">N67+A67</f>
        <v>131325.90051457976</v>
      </c>
      <c r="U67" s="45">
        <v>8738</v>
      </c>
      <c r="V67" s="37">
        <f t="shared" ref="V67:V90" si="53">(T67-U67)/1350</f>
        <v>90.805852233022037</v>
      </c>
    </row>
    <row r="68" spans="1:22">
      <c r="A68" s="47">
        <v>8737</v>
      </c>
      <c r="B68" s="47">
        <v>10000</v>
      </c>
      <c r="C68" s="47">
        <v>141000</v>
      </c>
      <c r="D68" s="13">
        <v>43497</v>
      </c>
      <c r="E68" s="16">
        <f t="shared" si="40"/>
        <v>122588.90051457976</v>
      </c>
      <c r="F68" s="16">
        <f t="shared" si="41"/>
        <v>9539986.6064867713</v>
      </c>
      <c r="G68" s="14">
        <f t="shared" si="42"/>
        <v>77.820965572263702</v>
      </c>
      <c r="H68" s="46">
        <f t="shared" si="21"/>
        <v>0</v>
      </c>
      <c r="I68" s="74">
        <f t="shared" si="43"/>
        <v>0</v>
      </c>
      <c r="J68" s="22">
        <f>VLOOKUP(D68,Data!$A$5:$V$197,8,FALSE)*5.83</f>
        <v>85.835650543006707</v>
      </c>
      <c r="K68" s="91">
        <f>VLOOKUP(D68,Data!$A$5:$V$197,20,FALSE)</f>
        <v>0</v>
      </c>
      <c r="L68" s="74">
        <f t="shared" si="44"/>
        <v>0</v>
      </c>
      <c r="M68" s="14">
        <f t="shared" si="45"/>
        <v>0</v>
      </c>
      <c r="N68" s="46">
        <f t="shared" si="46"/>
        <v>122588.90051457976</v>
      </c>
      <c r="O68" s="46">
        <f t="shared" si="47"/>
        <v>9539986.6064867713</v>
      </c>
      <c r="P68" s="22">
        <f t="shared" si="48"/>
        <v>77.820965572263702</v>
      </c>
      <c r="Q68" s="55">
        <f t="shared" si="49"/>
        <v>127544.30360205834</v>
      </c>
      <c r="R68" s="55">
        <f t="shared" si="50"/>
        <v>9946702.8024858721</v>
      </c>
      <c r="S68" s="32">
        <f t="shared" si="51"/>
        <v>77.98625670904012</v>
      </c>
      <c r="T68" s="55">
        <f t="shared" si="52"/>
        <v>131325.90051457976</v>
      </c>
      <c r="U68" s="45">
        <v>8739</v>
      </c>
      <c r="V68" s="37">
        <f t="shared" si="53"/>
        <v>90.805111492281299</v>
      </c>
    </row>
    <row r="69" spans="1:22">
      <c r="A69" s="47">
        <v>8737</v>
      </c>
      <c r="B69" s="47">
        <v>10000</v>
      </c>
      <c r="C69" s="47">
        <v>141000</v>
      </c>
      <c r="D69" s="13">
        <v>43525</v>
      </c>
      <c r="E69" s="16">
        <f t="shared" si="40"/>
        <v>122588.90051457976</v>
      </c>
      <c r="F69" s="16">
        <f t="shared" si="41"/>
        <v>9539986.6064867713</v>
      </c>
      <c r="G69" s="14">
        <f t="shared" si="42"/>
        <v>77.820965572263702</v>
      </c>
      <c r="H69" s="46">
        <f t="shared" si="21"/>
        <v>15437.392795883366</v>
      </c>
      <c r="I69" s="74">
        <f t="shared" si="43"/>
        <v>1387606.6198486169</v>
      </c>
      <c r="J69" s="22">
        <f>VLOOKUP(D69,Data!$A$5:$V$197,8,FALSE)*5.83</f>
        <v>89.886073263527052</v>
      </c>
      <c r="K69" s="91">
        <f>VLOOKUP(D69,Data!$A$5:$V$197,20,FALSE)</f>
        <v>5763.293310463122</v>
      </c>
      <c r="L69" s="74">
        <f t="shared" si="44"/>
        <v>456282.08532081707</v>
      </c>
      <c r="M69" s="14">
        <f t="shared" si="45"/>
        <v>79.170373732748914</v>
      </c>
      <c r="N69" s="46">
        <f t="shared" si="46"/>
        <v>132263.00000000003</v>
      </c>
      <c r="O69" s="46">
        <f t="shared" si="47"/>
        <v>10471311.14101457</v>
      </c>
      <c r="P69" s="22">
        <f t="shared" si="48"/>
        <v>79.170373732748899</v>
      </c>
      <c r="Q69" s="55">
        <f t="shared" si="49"/>
        <v>127544.50151735058</v>
      </c>
      <c r="R69" s="55">
        <f t="shared" si="50"/>
        <v>9954182.9782575332</v>
      </c>
      <c r="S69" s="32">
        <f t="shared" si="51"/>
        <v>78.044783270436881</v>
      </c>
      <c r="T69" s="55">
        <f t="shared" si="52"/>
        <v>141000.00000000003</v>
      </c>
      <c r="U69" s="45">
        <v>8740</v>
      </c>
      <c r="V69" s="37">
        <f t="shared" si="53"/>
        <v>97.970370370370389</v>
      </c>
    </row>
    <row r="70" spans="1:22">
      <c r="A70" s="47">
        <v>8737</v>
      </c>
      <c r="B70" s="47">
        <v>10000</v>
      </c>
      <c r="C70" s="47">
        <v>141000</v>
      </c>
      <c r="D70" s="13">
        <v>43556</v>
      </c>
      <c r="E70" s="16">
        <f t="shared" si="40"/>
        <v>132263.00000000003</v>
      </c>
      <c r="F70" s="16">
        <f t="shared" si="41"/>
        <v>10471311.14101457</v>
      </c>
      <c r="G70" s="14">
        <f t="shared" si="42"/>
        <v>79.170373732748899</v>
      </c>
      <c r="H70" s="46">
        <f t="shared" si="21"/>
        <v>0</v>
      </c>
      <c r="I70" s="74">
        <f t="shared" si="43"/>
        <v>0</v>
      </c>
      <c r="J70" s="22">
        <f>VLOOKUP(D70,Data!$A$5:$V$197,8,FALSE)*5.83</f>
        <v>92.219245272171108</v>
      </c>
      <c r="K70" s="91">
        <f>VLOOKUP(D70,Data!$A$5:$V$197,20,FALSE)</f>
        <v>4734.1337907375646</v>
      </c>
      <c r="L70" s="74">
        <f t="shared" si="44"/>
        <v>374803.14151352824</v>
      </c>
      <c r="M70" s="14">
        <f t="shared" si="45"/>
        <v>79.170373732748899</v>
      </c>
      <c r="N70" s="46">
        <f t="shared" si="46"/>
        <v>127528.86620926246</v>
      </c>
      <c r="O70" s="46">
        <f t="shared" si="47"/>
        <v>10096507.999501042</v>
      </c>
      <c r="P70" s="22">
        <f t="shared" si="48"/>
        <v>79.170373732748899</v>
      </c>
      <c r="Q70" s="55">
        <f t="shared" si="49"/>
        <v>127893.0303470115</v>
      </c>
      <c r="R70" s="55">
        <f t="shared" si="50"/>
        <v>9988717.8898647428</v>
      </c>
      <c r="S70" s="32">
        <f t="shared" si="51"/>
        <v>78.102128495684283</v>
      </c>
      <c r="T70" s="55">
        <f t="shared" si="52"/>
        <v>136265.86620926246</v>
      </c>
      <c r="U70" s="45">
        <v>8741</v>
      </c>
      <c r="V70" s="37">
        <f t="shared" si="53"/>
        <v>94.462863858712936</v>
      </c>
    </row>
    <row r="71" spans="1:22">
      <c r="A71" s="47">
        <v>8737</v>
      </c>
      <c r="B71" s="47">
        <v>10000</v>
      </c>
      <c r="C71" s="47">
        <v>141000</v>
      </c>
      <c r="D71" s="13">
        <v>43586</v>
      </c>
      <c r="E71" s="16">
        <f t="shared" si="40"/>
        <v>127528.86620926246</v>
      </c>
      <c r="F71" s="16">
        <f t="shared" si="41"/>
        <v>10096507.999501042</v>
      </c>
      <c r="G71" s="14">
        <f t="shared" si="42"/>
        <v>79.170373732748899</v>
      </c>
      <c r="H71" s="46">
        <f t="shared" si="21"/>
        <v>0</v>
      </c>
      <c r="I71" s="74">
        <f t="shared" si="43"/>
        <v>0</v>
      </c>
      <c r="J71" s="22">
        <f>VLOOKUP(D71,Data!$A$5:$V$197,8,FALSE)*5.83</f>
        <v>91.297288495978975</v>
      </c>
      <c r="K71" s="91">
        <f>VLOOKUP(D71,Data!$A$5:$V$197,20,FALSE)</f>
        <v>3499.1423670668955</v>
      </c>
      <c r="L71" s="74">
        <f t="shared" si="44"/>
        <v>277028.40894478175</v>
      </c>
      <c r="M71" s="14">
        <f t="shared" si="45"/>
        <v>79.170373732748899</v>
      </c>
      <c r="N71" s="46">
        <f t="shared" si="46"/>
        <v>124029.72384219556</v>
      </c>
      <c r="O71" s="46">
        <f t="shared" si="47"/>
        <v>9819479.5905562602</v>
      </c>
      <c r="P71" s="22">
        <f t="shared" si="48"/>
        <v>79.170373732748914</v>
      </c>
      <c r="Q71" s="55">
        <f t="shared" si="49"/>
        <v>127259.70141179574</v>
      </c>
      <c r="R71" s="55">
        <f t="shared" si="50"/>
        <v>9950850.7729119621</v>
      </c>
      <c r="S71" s="32">
        <f t="shared" si="51"/>
        <v>78.193258844072801</v>
      </c>
      <c r="T71" s="55">
        <f t="shared" si="52"/>
        <v>132766.72384219556</v>
      </c>
      <c r="U71" s="45">
        <v>8742</v>
      </c>
      <c r="V71" s="37">
        <f t="shared" si="53"/>
        <v>91.87016580903375</v>
      </c>
    </row>
    <row r="72" spans="1:22">
      <c r="A72" s="47">
        <v>8737</v>
      </c>
      <c r="B72" s="47">
        <v>10000</v>
      </c>
      <c r="C72" s="47">
        <v>141000</v>
      </c>
      <c r="D72" s="13">
        <v>43617</v>
      </c>
      <c r="E72" s="16">
        <f t="shared" si="40"/>
        <v>124029.72384219556</v>
      </c>
      <c r="F72" s="16">
        <f t="shared" si="41"/>
        <v>9819479.5905562602</v>
      </c>
      <c r="G72" s="14">
        <f t="shared" si="42"/>
        <v>79.170373732748914</v>
      </c>
      <c r="H72" s="46">
        <f t="shared" si="21"/>
        <v>10085.763293310447</v>
      </c>
      <c r="I72" s="74">
        <f t="shared" si="43"/>
        <v>928375.83884051815</v>
      </c>
      <c r="J72" s="22">
        <f>VLOOKUP(D72,Data!$A$5:$V$197,8,FALSE)*5.83</f>
        <v>92.048148646942678</v>
      </c>
      <c r="K72" s="91">
        <f>VLOOKUP(D72,Data!$A$5:$V$197,20,FALSE)</f>
        <v>1852.4871355060034</v>
      </c>
      <c r="L72" s="74">
        <f t="shared" si="44"/>
        <v>148456.11302980385</v>
      </c>
      <c r="M72" s="14">
        <f t="shared" si="45"/>
        <v>80.138809163310782</v>
      </c>
      <c r="N72" s="46">
        <f t="shared" si="46"/>
        <v>132263</v>
      </c>
      <c r="O72" s="46">
        <f t="shared" si="47"/>
        <v>10599399.316366974</v>
      </c>
      <c r="P72" s="22">
        <f t="shared" si="48"/>
        <v>80.138809163310782</v>
      </c>
      <c r="Q72" s="55">
        <f t="shared" si="49"/>
        <v>127513.03298588205</v>
      </c>
      <c r="R72" s="55">
        <f t="shared" si="50"/>
        <v>9992728.2230571304</v>
      </c>
      <c r="S72" s="32">
        <f t="shared" si="51"/>
        <v>78.366328437686064</v>
      </c>
      <c r="T72" s="55">
        <f t="shared" si="52"/>
        <v>141000</v>
      </c>
      <c r="U72" s="45">
        <v>8743</v>
      </c>
      <c r="V72" s="37">
        <f t="shared" si="53"/>
        <v>97.968148148148146</v>
      </c>
    </row>
    <row r="73" spans="1:22">
      <c r="A73" s="47">
        <v>8737</v>
      </c>
      <c r="B73" s="47">
        <v>10000</v>
      </c>
      <c r="C73" s="47">
        <v>141000</v>
      </c>
      <c r="D73" s="13">
        <v>43647</v>
      </c>
      <c r="E73" s="16">
        <f t="shared" si="40"/>
        <v>132263</v>
      </c>
      <c r="F73" s="16">
        <f t="shared" si="41"/>
        <v>10599399.316366974</v>
      </c>
      <c r="G73" s="14">
        <f t="shared" si="42"/>
        <v>80.138809163310782</v>
      </c>
      <c r="H73" s="46">
        <f t="shared" si="21"/>
        <v>0</v>
      </c>
      <c r="I73" s="74">
        <f t="shared" si="43"/>
        <v>0</v>
      </c>
      <c r="J73" s="22">
        <f>VLOOKUP(D73,Data!$A$5:$V$197,8,FALSE)*5.83</f>
        <v>93.402980770097884</v>
      </c>
      <c r="K73" s="91">
        <f>VLOOKUP(D73,Data!$A$5:$V$197,20,FALSE)</f>
        <v>4322.4699828473413</v>
      </c>
      <c r="L73" s="74">
        <f t="shared" si="44"/>
        <v>346397.59706954233</v>
      </c>
      <c r="M73" s="14">
        <f t="shared" si="45"/>
        <v>80.138809163310782</v>
      </c>
      <c r="N73" s="46">
        <f t="shared" si="46"/>
        <v>127940.53001715266</v>
      </c>
      <c r="O73" s="46">
        <f t="shared" si="47"/>
        <v>10253001.719297431</v>
      </c>
      <c r="P73" s="22">
        <f t="shared" si="48"/>
        <v>80.138809163310782</v>
      </c>
      <c r="Q73" s="55">
        <f t="shared" si="49"/>
        <v>127433.86686898007</v>
      </c>
      <c r="R73" s="55">
        <f t="shared" si="50"/>
        <v>10007959.704196949</v>
      </c>
      <c r="S73" s="32">
        <f t="shared" si="51"/>
        <v>78.534536776526906</v>
      </c>
      <c r="T73" s="55">
        <f t="shared" si="52"/>
        <v>136677.53001715266</v>
      </c>
      <c r="U73" s="45">
        <v>8744</v>
      </c>
      <c r="V73" s="37">
        <f t="shared" si="53"/>
        <v>94.765577790483448</v>
      </c>
    </row>
    <row r="74" spans="1:22">
      <c r="A74" s="47">
        <v>8737</v>
      </c>
      <c r="B74" s="47">
        <v>10000</v>
      </c>
      <c r="C74" s="47">
        <v>141000</v>
      </c>
      <c r="D74" s="13">
        <v>43678</v>
      </c>
      <c r="E74" s="16">
        <f t="shared" si="40"/>
        <v>127940.53001715266</v>
      </c>
      <c r="F74" s="16">
        <f t="shared" si="41"/>
        <v>10253001.719297431</v>
      </c>
      <c r="G74" s="14">
        <f t="shared" si="42"/>
        <v>80.138809163310782</v>
      </c>
      <c r="H74" s="46">
        <f t="shared" si="21"/>
        <v>0</v>
      </c>
      <c r="I74" s="74">
        <f t="shared" si="43"/>
        <v>0</v>
      </c>
      <c r="J74" s="22">
        <f>VLOOKUP(D74,Data!$A$5:$V$197,8,FALSE)*5.83</f>
        <v>92.508241899884936</v>
      </c>
      <c r="K74" s="91">
        <f>VLOOKUP(D74,Data!$A$5:$V$197,20,FALSE)</f>
        <v>3704.9742710120067</v>
      </c>
      <c r="L74" s="74">
        <f t="shared" si="44"/>
        <v>296912.2260596077</v>
      </c>
      <c r="M74" s="14">
        <f t="shared" si="45"/>
        <v>80.138809163310782</v>
      </c>
      <c r="N74" s="46">
        <f t="shared" si="46"/>
        <v>124235.55574614066</v>
      </c>
      <c r="O74" s="46">
        <f t="shared" si="47"/>
        <v>9956089.4932378232</v>
      </c>
      <c r="P74" s="22">
        <f t="shared" si="48"/>
        <v>80.138809163310768</v>
      </c>
      <c r="Q74" s="55">
        <f t="shared" si="49"/>
        <v>127133.03562475259</v>
      </c>
      <c r="R74" s="55">
        <f t="shared" si="50"/>
        <v>10005289.468841076</v>
      </c>
      <c r="S74" s="32">
        <f t="shared" si="51"/>
        <v>78.699367317656197</v>
      </c>
      <c r="T74" s="55">
        <f t="shared" si="52"/>
        <v>132972.55574614066</v>
      </c>
      <c r="U74" s="45">
        <v>8745</v>
      </c>
      <c r="V74" s="37">
        <f t="shared" si="53"/>
        <v>92.020411663807892</v>
      </c>
    </row>
    <row r="75" spans="1:22">
      <c r="A75" s="47">
        <v>8737</v>
      </c>
      <c r="B75" s="47">
        <v>10000</v>
      </c>
      <c r="C75" s="47">
        <v>141000</v>
      </c>
      <c r="D75" s="13">
        <v>43709</v>
      </c>
      <c r="E75" s="16">
        <f t="shared" si="40"/>
        <v>124235.55574614066</v>
      </c>
      <c r="F75" s="16">
        <f t="shared" si="41"/>
        <v>9956089.4932378232</v>
      </c>
      <c r="G75" s="14">
        <f t="shared" si="42"/>
        <v>80.138809163310768</v>
      </c>
      <c r="H75" s="46">
        <f t="shared" si="21"/>
        <v>0</v>
      </c>
      <c r="I75" s="74">
        <f t="shared" si="43"/>
        <v>0</v>
      </c>
      <c r="J75" s="22">
        <f>VLOOKUP(D75,Data!$A$5:$V$197,8,FALSE)*5.83</f>
        <v>92.085501350432793</v>
      </c>
      <c r="K75" s="91">
        <f>VLOOKUP(D75,Data!$A$5:$V$197,20,FALSE)</f>
        <v>1234.9914236706688</v>
      </c>
      <c r="L75" s="74">
        <f t="shared" si="44"/>
        <v>98970.742019869213</v>
      </c>
      <c r="M75" s="14">
        <f t="shared" si="45"/>
        <v>80.138809163310768</v>
      </c>
      <c r="N75" s="46">
        <f t="shared" si="46"/>
        <v>123000.56432246999</v>
      </c>
      <c r="O75" s="46">
        <f t="shared" si="47"/>
        <v>9857118.7512179539</v>
      </c>
      <c r="P75" s="22">
        <f t="shared" si="48"/>
        <v>80.138809163310768</v>
      </c>
      <c r="Q75" s="55">
        <f t="shared" si="49"/>
        <v>126800.53793376434</v>
      </c>
      <c r="R75" s="55">
        <f t="shared" si="50"/>
        <v>9999943.7849925756</v>
      </c>
      <c r="S75" s="32">
        <f t="shared" si="51"/>
        <v>78.863575407039335</v>
      </c>
      <c r="T75" s="55">
        <f t="shared" si="52"/>
        <v>131737.56432246999</v>
      </c>
      <c r="U75" s="45">
        <v>8746</v>
      </c>
      <c r="V75" s="37">
        <f t="shared" si="53"/>
        <v>91.104862461088885</v>
      </c>
    </row>
    <row r="76" spans="1:22">
      <c r="A76" s="47">
        <v>8737</v>
      </c>
      <c r="B76" s="47">
        <v>10000</v>
      </c>
      <c r="C76" s="47">
        <v>141000</v>
      </c>
      <c r="D76" s="13">
        <v>43739</v>
      </c>
      <c r="E76" s="16">
        <f t="shared" si="40"/>
        <v>123000.56432246999</v>
      </c>
      <c r="F76" s="16">
        <f t="shared" si="41"/>
        <v>9857118.7512179539</v>
      </c>
      <c r="G76" s="14">
        <f t="shared" si="42"/>
        <v>80.138809163310768</v>
      </c>
      <c r="H76" s="46">
        <f t="shared" si="21"/>
        <v>12109.777015437387</v>
      </c>
      <c r="I76" s="74">
        <f t="shared" si="43"/>
        <v>1101427.6998992623</v>
      </c>
      <c r="J76" s="22">
        <f>VLOOKUP(D76,Data!$A$5:$V$197,8,FALSE)*5.83</f>
        <v>90.953590515760666</v>
      </c>
      <c r="K76" s="91">
        <f>VLOOKUP(D76,Data!$A$5:$V$197,20,FALSE)</f>
        <v>2847.3413379073754</v>
      </c>
      <c r="L76" s="74">
        <f t="shared" si="44"/>
        <v>230942.51709132342</v>
      </c>
      <c r="M76" s="14">
        <f t="shared" si="45"/>
        <v>81.108124978458775</v>
      </c>
      <c r="N76" s="46">
        <f t="shared" si="46"/>
        <v>132263</v>
      </c>
      <c r="O76" s="46">
        <f t="shared" si="47"/>
        <v>10727603.934025893</v>
      </c>
      <c r="P76" s="22">
        <f t="shared" si="48"/>
        <v>81.108124978458775</v>
      </c>
      <c r="Q76" s="55">
        <f t="shared" si="49"/>
        <v>127370.5339754585</v>
      </c>
      <c r="R76" s="55">
        <f t="shared" si="50"/>
        <v>10076371.556348296</v>
      </c>
      <c r="S76" s="32">
        <f t="shared" si="51"/>
        <v>79.110695714675984</v>
      </c>
      <c r="T76" s="55">
        <f t="shared" si="52"/>
        <v>141000</v>
      </c>
      <c r="U76" s="45">
        <v>8747</v>
      </c>
      <c r="V76" s="37">
        <f t="shared" si="53"/>
        <v>97.965185185185192</v>
      </c>
    </row>
    <row r="77" spans="1:22">
      <c r="A77" s="47">
        <v>8737</v>
      </c>
      <c r="B77" s="47">
        <v>10000</v>
      </c>
      <c r="C77" s="47">
        <v>141000</v>
      </c>
      <c r="D77" s="13">
        <v>43770</v>
      </c>
      <c r="E77" s="16">
        <f t="shared" si="40"/>
        <v>132263</v>
      </c>
      <c r="F77" s="16">
        <f t="shared" si="41"/>
        <v>10727603.934025893</v>
      </c>
      <c r="G77" s="14">
        <f t="shared" si="42"/>
        <v>81.108124978458775</v>
      </c>
      <c r="H77" s="46">
        <f t="shared" si="21"/>
        <v>11526.586620926246</v>
      </c>
      <c r="I77" s="74">
        <f t="shared" si="43"/>
        <v>1043898.8721801966</v>
      </c>
      <c r="J77" s="22">
        <f>VLOOKUP(D77,Data!$A$5:$V$197,8,FALSE)*5.83</f>
        <v>90.564440845395012</v>
      </c>
      <c r="K77" s="91">
        <f>VLOOKUP(D77,Data!$A$5:$V$197,20,FALSE)</f>
        <v>11526.586620926244</v>
      </c>
      <c r="L77" s="74">
        <f t="shared" si="44"/>
        <v>943637.50493225269</v>
      </c>
      <c r="M77" s="14">
        <f t="shared" si="45"/>
        <v>81.866170442783229</v>
      </c>
      <c r="N77" s="46">
        <f t="shared" si="46"/>
        <v>132263</v>
      </c>
      <c r="O77" s="46">
        <f t="shared" si="47"/>
        <v>10827865.301273838</v>
      </c>
      <c r="P77" s="22">
        <f t="shared" si="48"/>
        <v>81.866170442783229</v>
      </c>
      <c r="Q77" s="55">
        <f t="shared" si="49"/>
        <v>127370.53397545853</v>
      </c>
      <c r="R77" s="55">
        <f t="shared" si="50"/>
        <v>10117013.187341264</v>
      </c>
      <c r="S77" s="32">
        <f t="shared" si="51"/>
        <v>79.429777606888166</v>
      </c>
      <c r="T77" s="55">
        <f t="shared" si="52"/>
        <v>141000</v>
      </c>
      <c r="U77" s="45">
        <v>8748</v>
      </c>
      <c r="V77" s="37">
        <f t="shared" si="53"/>
        <v>97.964444444444439</v>
      </c>
    </row>
    <row r="78" spans="1:22">
      <c r="A78" s="47">
        <v>8737</v>
      </c>
      <c r="B78" s="47">
        <v>10000</v>
      </c>
      <c r="C78" s="47">
        <v>141000</v>
      </c>
      <c r="D78" s="13">
        <v>43800</v>
      </c>
      <c r="E78" s="16">
        <f t="shared" si="40"/>
        <v>132263</v>
      </c>
      <c r="F78" s="16">
        <f t="shared" si="41"/>
        <v>10827865.301273838</v>
      </c>
      <c r="G78" s="14">
        <f t="shared" si="42"/>
        <v>81.866170442783229</v>
      </c>
      <c r="H78" s="46">
        <f t="shared" si="21"/>
        <v>0</v>
      </c>
      <c r="I78" s="74">
        <f t="shared" si="43"/>
        <v>0</v>
      </c>
      <c r="J78" s="22">
        <f>VLOOKUP(D78,Data!$A$5:$V$197,8,FALSE)*5.83</f>
        <v>87.699479636351342</v>
      </c>
      <c r="K78" s="91">
        <f>VLOOKUP(D78,Data!$A$5:$V$197,20,FALSE)</f>
        <v>9879.9313893653507</v>
      </c>
      <c r="L78" s="74">
        <f t="shared" si="44"/>
        <v>808832.14708478795</v>
      </c>
      <c r="M78" s="14">
        <f t="shared" si="45"/>
        <v>81.866170442783229</v>
      </c>
      <c r="N78" s="46">
        <f t="shared" si="46"/>
        <v>122383.06861063465</v>
      </c>
      <c r="O78" s="46">
        <f t="shared" si="47"/>
        <v>10019033.15418905</v>
      </c>
      <c r="P78" s="22">
        <f t="shared" si="48"/>
        <v>81.866170442783229</v>
      </c>
      <c r="Q78" s="55">
        <f t="shared" si="49"/>
        <v>126610.53925319963</v>
      </c>
      <c r="R78" s="55">
        <f t="shared" si="50"/>
        <v>10095951.555395475</v>
      </c>
      <c r="S78" s="32">
        <f t="shared" si="51"/>
        <v>79.740214479343479</v>
      </c>
      <c r="T78" s="55">
        <f t="shared" si="52"/>
        <v>131120.06861063465</v>
      </c>
      <c r="U78" s="45">
        <v>8749</v>
      </c>
      <c r="V78" s="37">
        <f t="shared" si="53"/>
        <v>90.645236007877529</v>
      </c>
    </row>
    <row r="79" spans="1:22">
      <c r="A79" s="47">
        <v>8737</v>
      </c>
      <c r="B79" s="47">
        <v>10000</v>
      </c>
      <c r="C79" s="47">
        <v>141000</v>
      </c>
      <c r="D79" s="13">
        <v>43831</v>
      </c>
      <c r="E79" s="16">
        <f t="shared" si="40"/>
        <v>122383.06861063465</v>
      </c>
      <c r="F79" s="16">
        <f t="shared" si="41"/>
        <v>10019033.15418905</v>
      </c>
      <c r="G79" s="14">
        <f t="shared" si="42"/>
        <v>81.866170442783229</v>
      </c>
      <c r="H79" s="46">
        <f t="shared" si="21"/>
        <v>10158.319039451108</v>
      </c>
      <c r="I79" s="74">
        <f t="shared" si="43"/>
        <v>880673.72363353882</v>
      </c>
      <c r="J79" s="22">
        <f>VLOOKUP(D79,Data!$A$5:$V$197,8,FALSE)*5.83</f>
        <v>86.694828171209409</v>
      </c>
      <c r="K79" s="91">
        <f>VLOOKUP(D79,Data!$A$5:$V$197,20,FALSE)</f>
        <v>278.38765008576331</v>
      </c>
      <c r="L79" s="74">
        <f t="shared" si="44"/>
        <v>22893.556783571967</v>
      </c>
      <c r="M79" s="14">
        <f t="shared" si="45"/>
        <v>82.236251416034847</v>
      </c>
      <c r="N79" s="46">
        <f t="shared" si="46"/>
        <v>132263</v>
      </c>
      <c r="O79" s="46">
        <f t="shared" si="47"/>
        <v>10876813.321039017</v>
      </c>
      <c r="P79" s="22">
        <f t="shared" si="48"/>
        <v>82.236251416034847</v>
      </c>
      <c r="Q79" s="55">
        <f t="shared" si="49"/>
        <v>127354.70075207812</v>
      </c>
      <c r="R79" s="55">
        <f t="shared" si="50"/>
        <v>10198784.3795918</v>
      </c>
      <c r="S79" s="32">
        <f t="shared" si="51"/>
        <v>80.08172701411165</v>
      </c>
      <c r="T79" s="55">
        <f t="shared" si="52"/>
        <v>141000</v>
      </c>
      <c r="U79" s="45">
        <v>8750</v>
      </c>
      <c r="V79" s="37">
        <f t="shared" si="53"/>
        <v>97.962962962962962</v>
      </c>
    </row>
    <row r="80" spans="1:22">
      <c r="A80" s="47">
        <v>8737</v>
      </c>
      <c r="B80" s="47">
        <v>10000</v>
      </c>
      <c r="C80" s="47">
        <v>141000</v>
      </c>
      <c r="D80" s="13">
        <v>43862</v>
      </c>
      <c r="E80" s="16">
        <f t="shared" si="40"/>
        <v>132263</v>
      </c>
      <c r="F80" s="16">
        <f t="shared" si="41"/>
        <v>10876813.321039017</v>
      </c>
      <c r="G80" s="14">
        <f t="shared" si="42"/>
        <v>82.236251416034847</v>
      </c>
      <c r="H80" s="46">
        <f t="shared" si="21"/>
        <v>0</v>
      </c>
      <c r="I80" s="74">
        <f t="shared" si="43"/>
        <v>0</v>
      </c>
      <c r="J80" s="22">
        <f>VLOOKUP(D80,Data!$A$5:$V$197,8,FALSE)*5.83</f>
        <v>89.40389939053739</v>
      </c>
      <c r="K80" s="91">
        <f>VLOOKUP(D80,Data!$A$5:$V$197,20,FALSE)</f>
        <v>0</v>
      </c>
      <c r="L80" s="74">
        <f t="shared" si="44"/>
        <v>0</v>
      </c>
      <c r="M80" s="14">
        <f t="shared" si="45"/>
        <v>0</v>
      </c>
      <c r="N80" s="46">
        <f t="shared" si="46"/>
        <v>132263</v>
      </c>
      <c r="O80" s="46">
        <f t="shared" si="47"/>
        <v>10876813.321039017</v>
      </c>
      <c r="P80" s="22">
        <f t="shared" si="48"/>
        <v>82.236251416034847</v>
      </c>
      <c r="Q80" s="55">
        <f t="shared" si="49"/>
        <v>128098.8622509566</v>
      </c>
      <c r="R80" s="55">
        <f t="shared" si="50"/>
        <v>10301617.203788128</v>
      </c>
      <c r="S80" s="32">
        <f t="shared" si="51"/>
        <v>80.419271668520992</v>
      </c>
      <c r="T80" s="55">
        <f t="shared" si="52"/>
        <v>141000</v>
      </c>
      <c r="U80" s="45">
        <v>8751</v>
      </c>
      <c r="V80" s="37">
        <f t="shared" si="53"/>
        <v>97.962222222222223</v>
      </c>
    </row>
    <row r="81" spans="1:22">
      <c r="A81" s="47">
        <v>8737</v>
      </c>
      <c r="B81" s="47">
        <v>10000</v>
      </c>
      <c r="C81" s="47">
        <v>141000</v>
      </c>
      <c r="D81" s="13">
        <v>43891</v>
      </c>
      <c r="E81" s="16">
        <f t="shared" si="40"/>
        <v>132263</v>
      </c>
      <c r="F81" s="16">
        <f t="shared" si="41"/>
        <v>10876813.321039017</v>
      </c>
      <c r="G81" s="14">
        <f t="shared" si="42"/>
        <v>82.236251416034847</v>
      </c>
      <c r="H81" s="46">
        <f t="shared" si="21"/>
        <v>10497.427101200687</v>
      </c>
      <c r="I81" s="74">
        <f t="shared" si="43"/>
        <v>983028.90368267102</v>
      </c>
      <c r="J81" s="22">
        <f>VLOOKUP(D81,Data!$A$5:$V$197,8,FALSE)*5.83</f>
        <v>93.64474687042437</v>
      </c>
      <c r="K81" s="91">
        <f>VLOOKUP(D81,Data!$A$5:$V$197,20,FALSE)</f>
        <v>10497.427101200687</v>
      </c>
      <c r="L81" s="74">
        <f t="shared" si="44"/>
        <v>872075.20819129446</v>
      </c>
      <c r="M81" s="14">
        <f t="shared" si="45"/>
        <v>83.075138296654359</v>
      </c>
      <c r="N81" s="46">
        <f t="shared" si="46"/>
        <v>132263</v>
      </c>
      <c r="O81" s="46">
        <f t="shared" si="47"/>
        <v>10987767.016530395</v>
      </c>
      <c r="P81" s="22">
        <f t="shared" si="48"/>
        <v>83.075138296654359</v>
      </c>
      <c r="Q81" s="55">
        <f t="shared" si="49"/>
        <v>128843.02374983508</v>
      </c>
      <c r="R81" s="55">
        <f t="shared" si="50"/>
        <v>10412984.927637637</v>
      </c>
      <c r="S81" s="32">
        <f t="shared" si="51"/>
        <v>80.819159816178754</v>
      </c>
      <c r="T81" s="55">
        <f t="shared" si="52"/>
        <v>141000</v>
      </c>
      <c r="U81" s="45">
        <v>8752</v>
      </c>
      <c r="V81" s="37">
        <f t="shared" si="53"/>
        <v>97.961481481481485</v>
      </c>
    </row>
    <row r="82" spans="1:22">
      <c r="A82" s="47">
        <v>8737</v>
      </c>
      <c r="B82" s="47">
        <v>10000</v>
      </c>
      <c r="C82" s="47">
        <v>141000</v>
      </c>
      <c r="D82" s="13">
        <v>43922</v>
      </c>
      <c r="E82" s="16">
        <f t="shared" si="40"/>
        <v>132263</v>
      </c>
      <c r="F82" s="16">
        <f t="shared" si="41"/>
        <v>10987767.016530395</v>
      </c>
      <c r="G82" s="14">
        <f t="shared" si="42"/>
        <v>83.075138296654359</v>
      </c>
      <c r="H82" s="46">
        <f t="shared" si="21"/>
        <v>0</v>
      </c>
      <c r="I82" s="74">
        <f t="shared" si="43"/>
        <v>0</v>
      </c>
      <c r="J82" s="22">
        <f>VLOOKUP(D82,Data!$A$5:$V$197,8,FALSE)*5.83</f>
        <v>96.087609582721697</v>
      </c>
      <c r="K82" s="91">
        <f>VLOOKUP(D82,Data!$A$5:$V$197,20,FALSE)</f>
        <v>5351.6295025728987</v>
      </c>
      <c r="L82" s="74">
        <f t="shared" si="44"/>
        <v>444587.36103869911</v>
      </c>
      <c r="M82" s="14">
        <f t="shared" si="45"/>
        <v>83.075138296654359</v>
      </c>
      <c r="N82" s="46">
        <f t="shared" si="46"/>
        <v>126911.37049742709</v>
      </c>
      <c r="O82" s="46">
        <f t="shared" si="47"/>
        <v>10543179.655491695</v>
      </c>
      <c r="P82" s="22">
        <f t="shared" si="48"/>
        <v>83.075138296654345</v>
      </c>
      <c r="Q82" s="55">
        <f t="shared" si="49"/>
        <v>128431.35994194486</v>
      </c>
      <c r="R82" s="55">
        <f t="shared" si="50"/>
        <v>10418513.274905108</v>
      </c>
      <c r="S82" s="32">
        <f t="shared" si="51"/>
        <v>81.121256363045703</v>
      </c>
      <c r="T82" s="55">
        <f t="shared" si="52"/>
        <v>135648.37049742709</v>
      </c>
      <c r="U82" s="45">
        <v>8753</v>
      </c>
      <c r="V82" s="37">
        <f t="shared" si="53"/>
        <v>93.99657073883489</v>
      </c>
    </row>
    <row r="83" spans="1:22">
      <c r="A83" s="47">
        <v>8737</v>
      </c>
      <c r="B83" s="47">
        <v>10000</v>
      </c>
      <c r="C83" s="47">
        <v>141000</v>
      </c>
      <c r="D83" s="13">
        <v>43952</v>
      </c>
      <c r="E83" s="16">
        <f t="shared" si="40"/>
        <v>126911.37049742709</v>
      </c>
      <c r="F83" s="16">
        <f t="shared" si="41"/>
        <v>10543179.655491695</v>
      </c>
      <c r="G83" s="14">
        <f t="shared" si="42"/>
        <v>83.075138296654345</v>
      </c>
      <c r="H83" s="46">
        <f t="shared" si="21"/>
        <v>11114.922813036028</v>
      </c>
      <c r="I83" s="74">
        <f t="shared" si="43"/>
        <v>1057277.1150374918</v>
      </c>
      <c r="J83" s="22">
        <f>VLOOKUP(D83,Data!$A$5:$V$197,8,FALSE)*5.83</f>
        <v>95.122308343650815</v>
      </c>
      <c r="K83" s="91">
        <f>VLOOKUP(D83,Data!$A$5:$V$197,20,FALSE)</f>
        <v>5763.293310463122</v>
      </c>
      <c r="L83" s="74">
        <f t="shared" si="44"/>
        <v>484377.52909531613</v>
      </c>
      <c r="M83" s="14">
        <f t="shared" si="45"/>
        <v>84.045267697193239</v>
      </c>
      <c r="N83" s="46">
        <f t="shared" si="46"/>
        <v>132263.00000000003</v>
      </c>
      <c r="O83" s="46">
        <f t="shared" si="47"/>
        <v>11116079.24143387</v>
      </c>
      <c r="P83" s="22">
        <f t="shared" si="48"/>
        <v>84.045267697193225</v>
      </c>
      <c r="Q83" s="55">
        <f t="shared" si="49"/>
        <v>128795.52407969389</v>
      </c>
      <c r="R83" s="55">
        <f t="shared" si="50"/>
        <v>10496941.831976863</v>
      </c>
      <c r="S83" s="32">
        <f t="shared" si="51"/>
        <v>81.500827819775353</v>
      </c>
      <c r="T83" s="55">
        <f t="shared" si="52"/>
        <v>141000.00000000003</v>
      </c>
      <c r="U83" s="45">
        <v>8754</v>
      </c>
      <c r="V83" s="37">
        <f t="shared" si="53"/>
        <v>97.960000000000022</v>
      </c>
    </row>
    <row r="84" spans="1:22">
      <c r="A84" s="47">
        <v>8737</v>
      </c>
      <c r="B84" s="47">
        <v>10000</v>
      </c>
      <c r="C84" s="47">
        <v>141000</v>
      </c>
      <c r="D84" s="13">
        <v>43983</v>
      </c>
      <c r="E84" s="16">
        <f t="shared" si="40"/>
        <v>132263.00000000003</v>
      </c>
      <c r="F84" s="16">
        <f t="shared" si="41"/>
        <v>11116079.24143387</v>
      </c>
      <c r="G84" s="14">
        <f t="shared" si="42"/>
        <v>84.045267697193225</v>
      </c>
      <c r="H84" s="46">
        <f t="shared" si="21"/>
        <v>0</v>
      </c>
      <c r="I84" s="74">
        <f t="shared" si="43"/>
        <v>0</v>
      </c>
      <c r="J84" s="22">
        <f>VLOOKUP(D84,Data!$A$5:$V$197,8,FALSE)*5.83</f>
        <v>95.908469097398736</v>
      </c>
      <c r="K84" s="91">
        <f>VLOOKUP(D84,Data!$A$5:$V$197,20,FALSE)</f>
        <v>411.66380789022298</v>
      </c>
      <c r="L84" s="74">
        <f t="shared" si="44"/>
        <v>34598.394935379714</v>
      </c>
      <c r="M84" s="14">
        <f t="shared" si="45"/>
        <v>84.045267697193225</v>
      </c>
      <c r="N84" s="46">
        <f t="shared" si="46"/>
        <v>131851.3361921098</v>
      </c>
      <c r="O84" s="46">
        <f t="shared" si="47"/>
        <v>11081480.846498491</v>
      </c>
      <c r="P84" s="22">
        <f t="shared" si="48"/>
        <v>84.045267697193239</v>
      </c>
      <c r="Q84" s="55">
        <f t="shared" si="49"/>
        <v>129397.18656814884</v>
      </c>
      <c r="R84" s="55">
        <f t="shared" si="50"/>
        <v>10594018.851664726</v>
      </c>
      <c r="S84" s="32">
        <f t="shared" si="51"/>
        <v>81.87209577454945</v>
      </c>
      <c r="T84" s="55">
        <f t="shared" si="52"/>
        <v>140588.3361921098</v>
      </c>
      <c r="U84" s="45">
        <v>8755</v>
      </c>
      <c r="V84" s="37">
        <f t="shared" si="53"/>
        <v>97.654323105266513</v>
      </c>
    </row>
    <row r="85" spans="1:22">
      <c r="A85" s="47">
        <v>8737</v>
      </c>
      <c r="B85" s="47">
        <v>10000</v>
      </c>
      <c r="C85" s="47">
        <v>141000</v>
      </c>
      <c r="D85" s="13">
        <v>44013</v>
      </c>
      <c r="E85" s="16">
        <f t="shared" si="40"/>
        <v>131851.3361921098</v>
      </c>
      <c r="F85" s="16">
        <f t="shared" si="41"/>
        <v>11081480.846498491</v>
      </c>
      <c r="G85" s="14">
        <f t="shared" si="42"/>
        <v>84.045267697193239</v>
      </c>
      <c r="H85" s="46">
        <f t="shared" si="21"/>
        <v>0</v>
      </c>
      <c r="I85" s="74">
        <f t="shared" si="43"/>
        <v>0</v>
      </c>
      <c r="J85" s="22">
        <f>VLOOKUP(D85,Data!$A$5:$V$197,8,FALSE)*5.83</f>
        <v>97.326996691085213</v>
      </c>
      <c r="K85" s="91">
        <f>VLOOKUP(D85,Data!$A$5:$V$197,20,FALSE)</f>
        <v>1029.1595197255574</v>
      </c>
      <c r="L85" s="74">
        <f t="shared" si="44"/>
        <v>86495.987338449297</v>
      </c>
      <c r="M85" s="14">
        <f t="shared" si="45"/>
        <v>84.045267697193239</v>
      </c>
      <c r="N85" s="46">
        <f t="shared" si="46"/>
        <v>130822.17667238424</v>
      </c>
      <c r="O85" s="46">
        <f t="shared" si="47"/>
        <v>10994984.859160041</v>
      </c>
      <c r="P85" s="22">
        <f t="shared" si="48"/>
        <v>84.045267697193225</v>
      </c>
      <c r="Q85" s="55">
        <f t="shared" si="49"/>
        <v>129286.35400448609</v>
      </c>
      <c r="R85" s="55">
        <f t="shared" si="50"/>
        <v>10624448.508802654</v>
      </c>
      <c r="S85" s="32">
        <f t="shared" si="51"/>
        <v>82.177648140916702</v>
      </c>
      <c r="T85" s="55">
        <f t="shared" si="52"/>
        <v>139559.17667238426</v>
      </c>
      <c r="U85" s="45">
        <v>8756</v>
      </c>
      <c r="V85" s="37">
        <f t="shared" si="53"/>
        <v>96.891241979543892</v>
      </c>
    </row>
    <row r="86" spans="1:22">
      <c r="A86" s="47">
        <v>8737</v>
      </c>
      <c r="B86" s="47">
        <v>10000</v>
      </c>
      <c r="C86" s="47">
        <v>141000</v>
      </c>
      <c r="D86" s="13">
        <v>44044</v>
      </c>
      <c r="E86" s="16">
        <f t="shared" si="40"/>
        <v>130822.17667238424</v>
      </c>
      <c r="F86" s="16">
        <f t="shared" si="41"/>
        <v>10994984.859160041</v>
      </c>
      <c r="G86" s="14">
        <f t="shared" si="42"/>
        <v>84.045267697193225</v>
      </c>
      <c r="H86" s="46">
        <f t="shared" si="21"/>
        <v>0</v>
      </c>
      <c r="I86" s="74">
        <f t="shared" si="43"/>
        <v>0</v>
      </c>
      <c r="J86" s="22">
        <f>VLOOKUP(D86,Data!$A$5:$V$197,8,FALSE)*5.83</f>
        <v>96.390192968432771</v>
      </c>
      <c r="K86" s="91">
        <f>VLOOKUP(D86,Data!$A$5:$V$197,20,FALSE)</f>
        <v>2058.3190394511148</v>
      </c>
      <c r="L86" s="74">
        <f t="shared" si="44"/>
        <v>172991.97467689856</v>
      </c>
      <c r="M86" s="14">
        <f t="shared" si="45"/>
        <v>84.045267697193225</v>
      </c>
      <c r="N86" s="46">
        <f t="shared" si="46"/>
        <v>128763.85763293313</v>
      </c>
      <c r="O86" s="46">
        <f t="shared" si="47"/>
        <v>10821992.884483144</v>
      </c>
      <c r="P86" s="22">
        <f t="shared" si="48"/>
        <v>84.045267697193239</v>
      </c>
      <c r="Q86" s="55">
        <f t="shared" si="49"/>
        <v>129349.68689800767</v>
      </c>
      <c r="R86" s="55">
        <f t="shared" si="50"/>
        <v>10668217.059970787</v>
      </c>
      <c r="S86" s="32">
        <f t="shared" si="51"/>
        <v>82.475785723259492</v>
      </c>
      <c r="T86" s="55">
        <f t="shared" si="52"/>
        <v>137500.85763293313</v>
      </c>
      <c r="U86" s="45">
        <v>8757</v>
      </c>
      <c r="V86" s="37">
        <f t="shared" si="53"/>
        <v>95.36582046883936</v>
      </c>
    </row>
    <row r="87" spans="1:22">
      <c r="A87" s="47">
        <v>8737</v>
      </c>
      <c r="B87" s="47">
        <v>10000</v>
      </c>
      <c r="C87" s="47">
        <v>141000</v>
      </c>
      <c r="D87" s="13">
        <v>44075</v>
      </c>
      <c r="E87" s="16">
        <f t="shared" si="40"/>
        <v>128763.85763293313</v>
      </c>
      <c r="F87" s="16">
        <f t="shared" si="41"/>
        <v>10821992.884483144</v>
      </c>
      <c r="G87" s="14">
        <f t="shared" si="42"/>
        <v>84.045267697193239</v>
      </c>
      <c r="H87" s="46">
        <f t="shared" si="21"/>
        <v>0</v>
      </c>
      <c r="I87" s="74">
        <f t="shared" si="43"/>
        <v>0</v>
      </c>
      <c r="J87" s="22">
        <f>VLOOKUP(D87,Data!$A$5:$V$197,8,FALSE)*5.83</f>
        <v>95.947577884158335</v>
      </c>
      <c r="K87" s="91">
        <f>VLOOKUP(D87,Data!$A$5:$V$197,20,FALSE)</f>
        <v>0</v>
      </c>
      <c r="L87" s="74">
        <f t="shared" si="44"/>
        <v>0</v>
      </c>
      <c r="M87" s="14">
        <f t="shared" si="45"/>
        <v>0</v>
      </c>
      <c r="N87" s="46">
        <f t="shared" si="46"/>
        <v>128763.85763293313</v>
      </c>
      <c r="O87" s="46">
        <f t="shared" si="47"/>
        <v>10821992.884483144</v>
      </c>
      <c r="P87" s="22">
        <f t="shared" si="48"/>
        <v>84.045267697193239</v>
      </c>
      <c r="Q87" s="55">
        <f t="shared" si="49"/>
        <v>129698.01781237632</v>
      </c>
      <c r="R87" s="55">
        <f t="shared" si="50"/>
        <v>10734825.013143502</v>
      </c>
      <c r="S87" s="32">
        <f t="shared" si="51"/>
        <v>82.767841746607957</v>
      </c>
      <c r="T87" s="55">
        <f t="shared" si="52"/>
        <v>137500.85763293313</v>
      </c>
      <c r="U87" s="45">
        <v>8758</v>
      </c>
      <c r="V87" s="37">
        <f t="shared" si="53"/>
        <v>95.365079728098607</v>
      </c>
    </row>
    <row r="88" spans="1:22">
      <c r="A88" s="47">
        <v>8737</v>
      </c>
      <c r="B88" s="47">
        <v>10000</v>
      </c>
      <c r="C88" s="47">
        <v>141000</v>
      </c>
      <c r="D88" s="13">
        <v>44105</v>
      </c>
      <c r="E88" s="16">
        <f t="shared" si="40"/>
        <v>128763.85763293313</v>
      </c>
      <c r="F88" s="16">
        <f t="shared" si="41"/>
        <v>10821992.884483144</v>
      </c>
      <c r="G88" s="14">
        <f t="shared" si="42"/>
        <v>84.045267697193239</v>
      </c>
      <c r="H88" s="46">
        <f t="shared" si="21"/>
        <v>0</v>
      </c>
      <c r="I88" s="74">
        <f t="shared" si="43"/>
        <v>0</v>
      </c>
      <c r="J88" s="22">
        <f>VLOOKUP(D88,Data!$A$5:$V$197,8,FALSE)*5.83</f>
        <v>94.762451900552492</v>
      </c>
      <c r="K88" s="91">
        <f>VLOOKUP(D88,Data!$A$5:$V$197,20,FALSE)</f>
        <v>0</v>
      </c>
      <c r="L88" s="74">
        <f t="shared" si="44"/>
        <v>0</v>
      </c>
      <c r="M88" s="14">
        <f t="shared" si="45"/>
        <v>0</v>
      </c>
      <c r="N88" s="46">
        <f t="shared" si="46"/>
        <v>128763.85763293313</v>
      </c>
      <c r="O88" s="46">
        <f t="shared" si="47"/>
        <v>10821992.884483144</v>
      </c>
      <c r="P88" s="22">
        <f t="shared" si="48"/>
        <v>84.045267697193239</v>
      </c>
      <c r="Q88" s="55">
        <f t="shared" si="49"/>
        <v>130141.34806702731</v>
      </c>
      <c r="R88" s="55">
        <f t="shared" si="50"/>
        <v>10809046.100317748</v>
      </c>
      <c r="S88" s="32">
        <f t="shared" si="51"/>
        <v>83.056202051562536</v>
      </c>
      <c r="T88" s="55">
        <f t="shared" si="52"/>
        <v>137500.85763293313</v>
      </c>
      <c r="U88" s="45">
        <v>8759</v>
      </c>
      <c r="V88" s="37">
        <f t="shared" si="53"/>
        <v>95.364338987357868</v>
      </c>
    </row>
    <row r="89" spans="1:22">
      <c r="A89" s="47">
        <v>8737</v>
      </c>
      <c r="B89" s="47">
        <v>10000</v>
      </c>
      <c r="C89" s="47">
        <v>141000</v>
      </c>
      <c r="D89" s="13">
        <v>44136</v>
      </c>
      <c r="E89" s="16">
        <f t="shared" si="40"/>
        <v>128763.85763293313</v>
      </c>
      <c r="F89" s="16">
        <f t="shared" si="41"/>
        <v>10821992.884483144</v>
      </c>
      <c r="G89" s="14">
        <f t="shared" si="42"/>
        <v>84.045267697193239</v>
      </c>
      <c r="H89" s="46">
        <f t="shared" si="21"/>
        <v>13584.905660377335</v>
      </c>
      <c r="I89" s="74">
        <f t="shared" si="43"/>
        <v>1281803.8676183524</v>
      </c>
      <c r="J89" s="22">
        <f>VLOOKUP(D89,Data!$A$5:$V$197,8,FALSE)*5.83</f>
        <v>94.355006921906664</v>
      </c>
      <c r="K89" s="91">
        <f>VLOOKUP(D89,Data!$A$5:$V$197,20,FALSE)</f>
        <v>10085.763293310463</v>
      </c>
      <c r="L89" s="74">
        <f t="shared" si="44"/>
        <v>857584.0503826316</v>
      </c>
      <c r="M89" s="14">
        <f t="shared" si="45"/>
        <v>85.029166900182688</v>
      </c>
      <c r="N89" s="46">
        <f t="shared" si="46"/>
        <v>132263</v>
      </c>
      <c r="O89" s="46">
        <f t="shared" si="47"/>
        <v>11246212.701718865</v>
      </c>
      <c r="P89" s="22">
        <f t="shared" si="48"/>
        <v>85.029166900182702</v>
      </c>
      <c r="Q89" s="55">
        <f t="shared" si="49"/>
        <v>130141.34806702731</v>
      </c>
      <c r="R89" s="55">
        <f t="shared" si="50"/>
        <v>10848939.082447976</v>
      </c>
      <c r="S89" s="32">
        <f t="shared" si="51"/>
        <v>83.362737850697499</v>
      </c>
      <c r="T89" s="55">
        <f t="shared" si="52"/>
        <v>141000</v>
      </c>
      <c r="U89" s="45">
        <v>8760</v>
      </c>
      <c r="V89" s="37">
        <f t="shared" si="53"/>
        <v>97.955555555555549</v>
      </c>
    </row>
    <row r="90" spans="1:22">
      <c r="A90" s="47">
        <v>8737</v>
      </c>
      <c r="B90" s="47">
        <v>10000</v>
      </c>
      <c r="C90" s="47">
        <v>141000</v>
      </c>
      <c r="D90" s="13">
        <v>44166</v>
      </c>
      <c r="E90" s="16">
        <f t="shared" si="40"/>
        <v>132263</v>
      </c>
      <c r="F90" s="16">
        <f t="shared" si="41"/>
        <v>11246212.701718865</v>
      </c>
      <c r="G90" s="14">
        <f t="shared" si="42"/>
        <v>85.029166900182702</v>
      </c>
      <c r="H90" s="46">
        <f t="shared" ref="H90" si="54">IF(E90+A90-K90&lt;C90-B90,C90-E90+K90-A90,0)</f>
        <v>0</v>
      </c>
      <c r="I90" s="74">
        <f t="shared" si="43"/>
        <v>0</v>
      </c>
      <c r="J90" s="22">
        <f>VLOOKUP(D90,Data!$A$5:$V$197,8,FALSE)*5.83</f>
        <v>91.355353709960923</v>
      </c>
      <c r="K90" s="91">
        <f>VLOOKUP(D90,Data!$A$5:$V$197,20,FALSE)</f>
        <v>9262.4356775300166</v>
      </c>
      <c r="L90" s="74">
        <f t="shared" si="44"/>
        <v>787577.18912690668</v>
      </c>
      <c r="M90" s="14">
        <f t="shared" si="45"/>
        <v>85.029166900182702</v>
      </c>
      <c r="N90" s="46">
        <f t="shared" si="46"/>
        <v>123000.56432246999</v>
      </c>
      <c r="O90" s="46">
        <f t="shared" si="47"/>
        <v>10458635.512591958</v>
      </c>
      <c r="P90" s="22">
        <f t="shared" si="48"/>
        <v>85.029166900182702</v>
      </c>
      <c r="Q90" s="55">
        <f t="shared" si="49"/>
        <v>129428.85301490963</v>
      </c>
      <c r="R90" s="55">
        <f t="shared" si="50"/>
        <v>10820536.791010909</v>
      </c>
      <c r="S90" s="32">
        <f t="shared" si="51"/>
        <v>83.602199501562694</v>
      </c>
      <c r="T90" s="55">
        <f t="shared" si="52"/>
        <v>131737.56432246999</v>
      </c>
      <c r="U90" s="45">
        <v>8761</v>
      </c>
      <c r="V90" s="37">
        <f t="shared" si="53"/>
        <v>91.093751349977765</v>
      </c>
    </row>
  </sheetData>
  <mergeCells count="8">
    <mergeCell ref="T5:V5"/>
    <mergeCell ref="Q7:S18"/>
    <mergeCell ref="T7:V18"/>
    <mergeCell ref="E5:G5"/>
    <mergeCell ref="H5:J5"/>
    <mergeCell ref="K5:M5"/>
    <mergeCell ref="N5:P5"/>
    <mergeCell ref="Q5:S5"/>
  </mergeCells>
  <conditionalFormatting sqref="H31:H90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5" tint="0.59999389629810485"/>
  </sheetPr>
  <dimension ref="A1:V90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5.6640625" style="1" bestFit="1" customWidth="1"/>
    <col min="3" max="3" width="6.5546875" style="1" bestFit="1" customWidth="1"/>
    <col min="4" max="4" width="6.109375" style="1" bestFit="1" customWidth="1"/>
    <col min="5" max="5" width="6.5546875" style="1" bestFit="1" customWidth="1"/>
    <col min="6" max="6" width="8.6640625" style="1" bestFit="1" customWidth="1"/>
    <col min="7" max="7" width="5.6640625" style="1" bestFit="1" customWidth="1"/>
    <col min="8" max="8" width="6.33203125" style="1" bestFit="1" customWidth="1"/>
    <col min="9" max="9" width="8.44140625" style="1" bestFit="1" customWidth="1"/>
    <col min="10" max="11" width="6.33203125" style="1" bestFit="1" customWidth="1"/>
    <col min="12" max="12" width="8.44140625" style="1" bestFit="1" customWidth="1"/>
    <col min="13" max="13" width="5.6640625" style="1" bestFit="1" customWidth="1"/>
    <col min="14" max="14" width="7.109375" style="1" bestFit="1" customWidth="1"/>
    <col min="15" max="15" width="11.44140625" style="1" bestFit="1" customWidth="1"/>
    <col min="16" max="16" width="6.33203125" style="1" bestFit="1" customWidth="1"/>
    <col min="17" max="17" width="7.109375" style="1" bestFit="1" customWidth="1"/>
    <col min="18" max="18" width="9.33203125" style="1" bestFit="1" customWidth="1"/>
    <col min="19" max="19" width="6.33203125" style="1" bestFit="1" customWidth="1"/>
    <col min="20" max="20" width="12.6640625" style="1" bestFit="1" customWidth="1"/>
    <col min="21" max="21" width="10.33203125" style="1" bestFit="1" customWidth="1"/>
    <col min="22" max="22" width="9.88671875" style="1" bestFit="1" customWidth="1"/>
    <col min="23" max="16384" width="9.109375" style="1"/>
  </cols>
  <sheetData>
    <row r="1" spans="1:22" s="120" customFormat="1">
      <c r="A1" s="120" t="s">
        <v>72</v>
      </c>
    </row>
    <row r="2" spans="1:22" s="120" customFormat="1">
      <c r="A2" s="120" t="s">
        <v>59</v>
      </c>
    </row>
    <row r="3" spans="1:22" s="44" customFormat="1"/>
    <row r="5" spans="1:22">
      <c r="B5" s="17"/>
      <c r="C5" s="18"/>
      <c r="D5" s="19"/>
      <c r="E5" s="106" t="s">
        <v>0</v>
      </c>
      <c r="F5" s="106"/>
      <c r="G5" s="106"/>
      <c r="H5" s="106" t="s">
        <v>1</v>
      </c>
      <c r="I5" s="106"/>
      <c r="J5" s="106"/>
      <c r="K5" s="106" t="s">
        <v>40</v>
      </c>
      <c r="L5" s="106"/>
      <c r="M5" s="106"/>
      <c r="N5" s="106" t="s">
        <v>2</v>
      </c>
      <c r="O5" s="106"/>
      <c r="P5" s="106"/>
      <c r="Q5" s="106" t="s">
        <v>29</v>
      </c>
      <c r="R5" s="106"/>
      <c r="S5" s="106"/>
      <c r="T5" s="106" t="s">
        <v>39</v>
      </c>
      <c r="U5" s="106"/>
      <c r="V5" s="106"/>
    </row>
    <row r="6" spans="1:22">
      <c r="A6" s="20" t="s">
        <v>49</v>
      </c>
      <c r="B6" s="20" t="s">
        <v>20</v>
      </c>
      <c r="C6" s="12" t="s">
        <v>12</v>
      </c>
      <c r="D6" s="9" t="s">
        <v>26</v>
      </c>
      <c r="E6" s="33" t="s">
        <v>3</v>
      </c>
      <c r="F6" s="33" t="s">
        <v>27</v>
      </c>
      <c r="G6" s="33" t="s">
        <v>28</v>
      </c>
      <c r="H6" s="33" t="s">
        <v>3</v>
      </c>
      <c r="I6" s="33" t="s">
        <v>27</v>
      </c>
      <c r="J6" s="33" t="s">
        <v>28</v>
      </c>
      <c r="K6" s="33" t="s">
        <v>3</v>
      </c>
      <c r="L6" s="33" t="s">
        <v>27</v>
      </c>
      <c r="M6" s="33" t="s">
        <v>28</v>
      </c>
      <c r="N6" s="33" t="s">
        <v>3</v>
      </c>
      <c r="O6" s="33" t="s">
        <v>27</v>
      </c>
      <c r="P6" s="33" t="s">
        <v>28</v>
      </c>
      <c r="Q6" s="70" t="s">
        <v>3</v>
      </c>
      <c r="R6" s="70" t="s">
        <v>27</v>
      </c>
      <c r="S6" s="70" t="s">
        <v>28</v>
      </c>
      <c r="T6" s="72" t="s">
        <v>37</v>
      </c>
      <c r="U6" s="69" t="s">
        <v>38</v>
      </c>
      <c r="V6" s="69" t="s">
        <v>50</v>
      </c>
    </row>
    <row r="7" spans="1:22">
      <c r="A7" s="21">
        <v>8630</v>
      </c>
      <c r="B7" s="21">
        <v>10000</v>
      </c>
      <c r="C7" s="21">
        <v>141000</v>
      </c>
      <c r="D7" s="49">
        <v>41640</v>
      </c>
      <c r="E7" s="50">
        <v>131534</v>
      </c>
      <c r="F7" s="50">
        <v>18042873.98</v>
      </c>
      <c r="G7" s="53">
        <f>F7/E7</f>
        <v>137.17270044247115</v>
      </c>
      <c r="H7" s="51">
        <v>0</v>
      </c>
      <c r="I7" s="54">
        <v>-393.22</v>
      </c>
      <c r="J7" s="52">
        <f t="shared" ref="J7:J9" si="0">IF(H7=0,0,I7/H7)</f>
        <v>0</v>
      </c>
      <c r="K7" s="54">
        <v>294</v>
      </c>
      <c r="L7" s="54">
        <v>40327.9</v>
      </c>
      <c r="M7" s="53">
        <f t="shared" ref="M7:M47" si="1">IF(K7=0,0,L7/K7)</f>
        <v>137.16972789115647</v>
      </c>
      <c r="N7" s="51">
        <f t="shared" ref="N7:O54" si="2">+E7+H7-K7</f>
        <v>131240</v>
      </c>
      <c r="O7" s="51">
        <f t="shared" si="2"/>
        <v>18002152.860000003</v>
      </c>
      <c r="P7" s="52">
        <f t="shared" ref="P7:P54" si="3">IF(N7=0,0,O7/N7)</f>
        <v>137.16971091130756</v>
      </c>
      <c r="Q7" s="107"/>
      <c r="R7" s="107"/>
      <c r="S7" s="107"/>
      <c r="T7" s="107"/>
      <c r="U7" s="107"/>
      <c r="V7" s="107"/>
    </row>
    <row r="8" spans="1:22">
      <c r="A8" s="21">
        <v>8630</v>
      </c>
      <c r="B8" s="21">
        <v>10000</v>
      </c>
      <c r="C8" s="47">
        <v>141000</v>
      </c>
      <c r="D8" s="49">
        <v>41671</v>
      </c>
      <c r="E8" s="50">
        <f t="shared" ref="E8:G48" si="4">N7</f>
        <v>131240</v>
      </c>
      <c r="F8" s="50">
        <f t="shared" si="4"/>
        <v>18002152.860000003</v>
      </c>
      <c r="G8" s="53">
        <f t="shared" si="4"/>
        <v>137.16971091130756</v>
      </c>
      <c r="H8" s="51">
        <v>0</v>
      </c>
      <c r="I8" s="54">
        <v>1667.8</v>
      </c>
      <c r="J8" s="52">
        <f t="shared" si="0"/>
        <v>0</v>
      </c>
      <c r="K8" s="54">
        <v>77</v>
      </c>
      <c r="L8" s="54">
        <v>10563.05</v>
      </c>
      <c r="M8" s="53">
        <f t="shared" si="1"/>
        <v>137.18246753246751</v>
      </c>
      <c r="N8" s="51">
        <f t="shared" si="2"/>
        <v>131163</v>
      </c>
      <c r="O8" s="51">
        <f t="shared" si="2"/>
        <v>17993257.610000003</v>
      </c>
      <c r="P8" s="52">
        <f t="shared" si="3"/>
        <v>137.18241889862236</v>
      </c>
      <c r="Q8" s="107"/>
      <c r="R8" s="107"/>
      <c r="S8" s="107"/>
      <c r="T8" s="107"/>
      <c r="U8" s="107"/>
      <c r="V8" s="107"/>
    </row>
    <row r="9" spans="1:22">
      <c r="A9" s="21">
        <v>8630</v>
      </c>
      <c r="B9" s="21">
        <v>10000</v>
      </c>
      <c r="C9" s="47">
        <v>141000</v>
      </c>
      <c r="D9" s="49">
        <v>41699</v>
      </c>
      <c r="E9" s="50">
        <f t="shared" si="4"/>
        <v>131163</v>
      </c>
      <c r="F9" s="50">
        <f t="shared" si="4"/>
        <v>17993257.610000003</v>
      </c>
      <c r="G9" s="53">
        <f t="shared" si="4"/>
        <v>137.18241889862236</v>
      </c>
      <c r="H9" s="51">
        <v>0</v>
      </c>
      <c r="I9" s="54">
        <v>0</v>
      </c>
      <c r="J9" s="52">
        <f t="shared" si="0"/>
        <v>0</v>
      </c>
      <c r="K9" s="54">
        <v>76</v>
      </c>
      <c r="L9" s="54">
        <v>10425.86</v>
      </c>
      <c r="M9" s="53">
        <f t="shared" si="1"/>
        <v>137.18236842105264</v>
      </c>
      <c r="N9" s="51">
        <f t="shared" si="2"/>
        <v>131087</v>
      </c>
      <c r="O9" s="51">
        <f t="shared" si="2"/>
        <v>17982831.750000004</v>
      </c>
      <c r="P9" s="52">
        <f t="shared" si="3"/>
        <v>137.18241892788762</v>
      </c>
      <c r="Q9" s="107"/>
      <c r="R9" s="107"/>
      <c r="S9" s="107"/>
      <c r="T9" s="107"/>
      <c r="U9" s="107"/>
      <c r="V9" s="107"/>
    </row>
    <row r="10" spans="1:22">
      <c r="A10" s="21">
        <v>8630</v>
      </c>
      <c r="B10" s="21">
        <v>10000</v>
      </c>
      <c r="C10" s="47">
        <v>141000</v>
      </c>
      <c r="D10" s="49">
        <v>41730</v>
      </c>
      <c r="E10" s="50">
        <f t="shared" si="4"/>
        <v>131087</v>
      </c>
      <c r="F10" s="50">
        <f t="shared" si="4"/>
        <v>17982831.750000004</v>
      </c>
      <c r="G10" s="53">
        <f t="shared" si="4"/>
        <v>137.18241892788762</v>
      </c>
      <c r="H10" s="51">
        <v>0</v>
      </c>
      <c r="I10" s="54">
        <v>0</v>
      </c>
      <c r="J10" s="52">
        <f t="shared" ref="J10" si="5">IF(H10=0,0,I10/H10)</f>
        <v>0</v>
      </c>
      <c r="K10" s="54">
        <v>28561</v>
      </c>
      <c r="L10" s="54">
        <v>3918067.07</v>
      </c>
      <c r="M10" s="53">
        <f t="shared" si="1"/>
        <v>137.18241903294702</v>
      </c>
      <c r="N10" s="51">
        <f t="shared" si="2"/>
        <v>102526</v>
      </c>
      <c r="O10" s="51">
        <f t="shared" si="2"/>
        <v>14064764.680000003</v>
      </c>
      <c r="P10" s="52">
        <f t="shared" si="3"/>
        <v>137.18241889862088</v>
      </c>
      <c r="Q10" s="107"/>
      <c r="R10" s="107"/>
      <c r="S10" s="107"/>
      <c r="T10" s="107"/>
      <c r="U10" s="107"/>
      <c r="V10" s="107"/>
    </row>
    <row r="11" spans="1:22">
      <c r="A11" s="21">
        <v>8630</v>
      </c>
      <c r="B11" s="21">
        <v>10000</v>
      </c>
      <c r="C11" s="47">
        <v>141000</v>
      </c>
      <c r="D11" s="49">
        <v>41760</v>
      </c>
      <c r="E11" s="50">
        <f t="shared" si="4"/>
        <v>102526</v>
      </c>
      <c r="F11" s="50">
        <f t="shared" si="4"/>
        <v>14064764.680000003</v>
      </c>
      <c r="G11" s="53">
        <f t="shared" si="4"/>
        <v>137.18241889862088</v>
      </c>
      <c r="H11" s="51">
        <v>0</v>
      </c>
      <c r="I11" s="54">
        <v>0</v>
      </c>
      <c r="J11" s="52">
        <f t="shared" ref="J11:J15" si="6">IF(H11=0,0,I11/H11)</f>
        <v>0</v>
      </c>
      <c r="K11" s="54">
        <v>44914</v>
      </c>
      <c r="L11" s="54">
        <v>6161411.1600000001</v>
      </c>
      <c r="M11" s="53">
        <f t="shared" si="1"/>
        <v>137.18241884490359</v>
      </c>
      <c r="N11" s="51">
        <f t="shared" si="2"/>
        <v>57612</v>
      </c>
      <c r="O11" s="51">
        <f t="shared" si="2"/>
        <v>7903353.5200000033</v>
      </c>
      <c r="P11" s="52">
        <f t="shared" si="3"/>
        <v>137.18241894049856</v>
      </c>
      <c r="Q11" s="107"/>
      <c r="R11" s="107"/>
      <c r="S11" s="107"/>
      <c r="T11" s="107"/>
      <c r="U11" s="107"/>
      <c r="V11" s="107"/>
    </row>
    <row r="12" spans="1:22">
      <c r="A12" s="21">
        <v>8630</v>
      </c>
      <c r="B12" s="21">
        <v>10000</v>
      </c>
      <c r="C12" s="47">
        <v>141000</v>
      </c>
      <c r="D12" s="49">
        <v>41791</v>
      </c>
      <c r="E12" s="50">
        <f t="shared" si="4"/>
        <v>57612</v>
      </c>
      <c r="F12" s="50">
        <f t="shared" si="4"/>
        <v>7903353.5200000033</v>
      </c>
      <c r="G12" s="53">
        <f t="shared" si="4"/>
        <v>137.18241894049856</v>
      </c>
      <c r="H12" s="51">
        <v>0</v>
      </c>
      <c r="I12" s="54">
        <v>-106294.44</v>
      </c>
      <c r="J12" s="52">
        <f t="shared" si="6"/>
        <v>0</v>
      </c>
      <c r="K12" s="54">
        <v>5297</v>
      </c>
      <c r="L12" s="54">
        <v>716882.28</v>
      </c>
      <c r="M12" s="53">
        <f t="shared" si="1"/>
        <v>135.33741363035682</v>
      </c>
      <c r="N12" s="51">
        <f t="shared" si="2"/>
        <v>52315</v>
      </c>
      <c r="O12" s="51">
        <f t="shared" si="2"/>
        <v>7080176.8000000026</v>
      </c>
      <c r="P12" s="52">
        <f t="shared" si="3"/>
        <v>135.33741374366821</v>
      </c>
      <c r="Q12" s="107"/>
      <c r="R12" s="107"/>
      <c r="S12" s="107"/>
      <c r="T12" s="107"/>
      <c r="U12" s="107"/>
      <c r="V12" s="107"/>
    </row>
    <row r="13" spans="1:22">
      <c r="A13" s="21">
        <v>8630</v>
      </c>
      <c r="B13" s="21">
        <v>10000</v>
      </c>
      <c r="C13" s="47">
        <v>141000</v>
      </c>
      <c r="D13" s="49">
        <v>41821</v>
      </c>
      <c r="E13" s="50">
        <f t="shared" si="4"/>
        <v>52315</v>
      </c>
      <c r="F13" s="50">
        <f t="shared" si="4"/>
        <v>7080176.8000000026</v>
      </c>
      <c r="G13" s="53">
        <f t="shared" si="4"/>
        <v>135.33741374366821</v>
      </c>
      <c r="H13" s="51">
        <v>70174</v>
      </c>
      <c r="I13" s="54">
        <v>9277501.7699999996</v>
      </c>
      <c r="J13" s="52">
        <f t="shared" si="6"/>
        <v>132.2071104682646</v>
      </c>
      <c r="K13" s="54">
        <v>-49</v>
      </c>
      <c r="L13" s="54">
        <v>-6543.66</v>
      </c>
      <c r="M13" s="53">
        <f t="shared" si="1"/>
        <v>133.54408163265305</v>
      </c>
      <c r="N13" s="51">
        <f t="shared" si="2"/>
        <v>122538</v>
      </c>
      <c r="O13" s="51">
        <f t="shared" si="2"/>
        <v>16364222.230000002</v>
      </c>
      <c r="P13" s="52">
        <f t="shared" si="3"/>
        <v>133.54406167882618</v>
      </c>
      <c r="Q13" s="107"/>
      <c r="R13" s="107"/>
      <c r="S13" s="107"/>
      <c r="T13" s="107"/>
      <c r="U13" s="107"/>
      <c r="V13" s="107"/>
    </row>
    <row r="14" spans="1:22">
      <c r="A14" s="21">
        <v>8630</v>
      </c>
      <c r="B14" s="21">
        <v>10000</v>
      </c>
      <c r="C14" s="47">
        <v>141000</v>
      </c>
      <c r="D14" s="49">
        <v>41852</v>
      </c>
      <c r="E14" s="50">
        <f t="shared" si="4"/>
        <v>122538</v>
      </c>
      <c r="F14" s="50">
        <f t="shared" si="4"/>
        <v>16364222.230000002</v>
      </c>
      <c r="G14" s="53">
        <f t="shared" si="4"/>
        <v>133.54406167882618</v>
      </c>
      <c r="H14" s="51">
        <v>0</v>
      </c>
      <c r="I14" s="54">
        <v>23006.06</v>
      </c>
      <c r="J14" s="52">
        <f t="shared" si="6"/>
        <v>0</v>
      </c>
      <c r="K14" s="54">
        <v>62</v>
      </c>
      <c r="L14" s="54">
        <v>8291.3700000000008</v>
      </c>
      <c r="M14" s="53">
        <f t="shared" si="1"/>
        <v>133.7317741935484</v>
      </c>
      <c r="N14" s="51">
        <f t="shared" si="2"/>
        <v>122476</v>
      </c>
      <c r="O14" s="51">
        <f t="shared" si="2"/>
        <v>16378936.920000004</v>
      </c>
      <c r="P14" s="52">
        <f t="shared" si="3"/>
        <v>133.73180802769525</v>
      </c>
      <c r="Q14" s="107"/>
      <c r="R14" s="107"/>
      <c r="S14" s="107"/>
      <c r="T14" s="107"/>
      <c r="U14" s="107"/>
      <c r="V14" s="107"/>
    </row>
    <row r="15" spans="1:22">
      <c r="A15" s="21">
        <v>8630</v>
      </c>
      <c r="B15" s="21">
        <v>10000</v>
      </c>
      <c r="C15" s="47">
        <v>141000</v>
      </c>
      <c r="D15" s="49">
        <v>41883</v>
      </c>
      <c r="E15" s="50">
        <f t="shared" si="4"/>
        <v>122476</v>
      </c>
      <c r="F15" s="50">
        <f t="shared" si="4"/>
        <v>16378936.920000004</v>
      </c>
      <c r="G15" s="53">
        <f t="shared" si="4"/>
        <v>133.73180802769525</v>
      </c>
      <c r="H15" s="51">
        <v>0</v>
      </c>
      <c r="I15" s="54">
        <v>9463.2000000000007</v>
      </c>
      <c r="J15" s="52">
        <f t="shared" si="6"/>
        <v>0</v>
      </c>
      <c r="K15" s="54">
        <v>29</v>
      </c>
      <c r="L15" s="54">
        <v>3880.47</v>
      </c>
      <c r="M15" s="53">
        <f t="shared" si="1"/>
        <v>133.80931034482757</v>
      </c>
      <c r="N15" s="51">
        <f t="shared" si="2"/>
        <v>122447</v>
      </c>
      <c r="O15" s="51">
        <f t="shared" si="2"/>
        <v>16384519.650000002</v>
      </c>
      <c r="P15" s="52">
        <f t="shared" si="3"/>
        <v>133.80907372169185</v>
      </c>
      <c r="Q15" s="107"/>
      <c r="R15" s="107"/>
      <c r="S15" s="107"/>
      <c r="T15" s="107"/>
      <c r="U15" s="107"/>
      <c r="V15" s="107"/>
    </row>
    <row r="16" spans="1:22">
      <c r="A16" s="21">
        <v>8630</v>
      </c>
      <c r="B16" s="21">
        <v>10000</v>
      </c>
      <c r="C16" s="47">
        <v>141000</v>
      </c>
      <c r="D16" s="49">
        <v>41913</v>
      </c>
      <c r="E16" s="50">
        <f t="shared" si="4"/>
        <v>122447</v>
      </c>
      <c r="F16" s="50">
        <f t="shared" si="4"/>
        <v>16384519.650000002</v>
      </c>
      <c r="G16" s="53">
        <f t="shared" si="4"/>
        <v>133.80907372169185</v>
      </c>
      <c r="H16" s="51">
        <v>0</v>
      </c>
      <c r="I16" s="54">
        <v>0</v>
      </c>
      <c r="J16" s="52">
        <f t="shared" ref="J16" si="7">IF(H16=0,0,I16/H16)</f>
        <v>0</v>
      </c>
      <c r="K16" s="54">
        <v>0</v>
      </c>
      <c r="L16" s="54">
        <f t="shared" ref="L16:L79" si="8">IF(E16+H16&gt;0,((F16+I16)/(E16+H16)*K16),0)</f>
        <v>0</v>
      </c>
      <c r="M16" s="53">
        <f t="shared" si="1"/>
        <v>0</v>
      </c>
      <c r="N16" s="51">
        <f t="shared" si="2"/>
        <v>122447</v>
      </c>
      <c r="O16" s="51">
        <f t="shared" si="2"/>
        <v>16384519.650000002</v>
      </c>
      <c r="P16" s="52">
        <f t="shared" si="3"/>
        <v>133.80907372169185</v>
      </c>
      <c r="Q16" s="107"/>
      <c r="R16" s="107"/>
      <c r="S16" s="107"/>
      <c r="T16" s="107"/>
      <c r="U16" s="107"/>
      <c r="V16" s="107"/>
    </row>
    <row r="17" spans="1:22">
      <c r="A17" s="21">
        <v>8630</v>
      </c>
      <c r="B17" s="21">
        <v>10000</v>
      </c>
      <c r="C17" s="47">
        <v>141000</v>
      </c>
      <c r="D17" s="49">
        <v>41944</v>
      </c>
      <c r="E17" s="50">
        <f t="shared" si="4"/>
        <v>122447</v>
      </c>
      <c r="F17" s="50">
        <f t="shared" si="4"/>
        <v>16384519.650000002</v>
      </c>
      <c r="G17" s="53">
        <f t="shared" si="4"/>
        <v>133.80907372169185</v>
      </c>
      <c r="H17" s="51">
        <v>0</v>
      </c>
      <c r="I17" s="54">
        <v>0</v>
      </c>
      <c r="J17" s="52">
        <f t="shared" ref="J17" si="9">IF(H17=0,0,I17/H17)</f>
        <v>0</v>
      </c>
      <c r="K17" s="54">
        <v>16</v>
      </c>
      <c r="L17" s="54">
        <v>2140.94</v>
      </c>
      <c r="M17" s="53">
        <f t="shared" si="1"/>
        <v>133.80875</v>
      </c>
      <c r="N17" s="51">
        <f t="shared" si="2"/>
        <v>122431</v>
      </c>
      <c r="O17" s="51">
        <f t="shared" si="2"/>
        <v>16382378.710000003</v>
      </c>
      <c r="P17" s="52">
        <f t="shared" si="3"/>
        <v>133.8090737639977</v>
      </c>
      <c r="Q17" s="107"/>
      <c r="R17" s="107"/>
      <c r="S17" s="107"/>
      <c r="T17" s="107"/>
      <c r="U17" s="107"/>
      <c r="V17" s="107"/>
    </row>
    <row r="18" spans="1:22">
      <c r="A18" s="21">
        <v>8630</v>
      </c>
      <c r="B18" s="21">
        <v>10000</v>
      </c>
      <c r="C18" s="47">
        <v>141000</v>
      </c>
      <c r="D18" s="49">
        <v>41974</v>
      </c>
      <c r="E18" s="50">
        <f t="shared" si="4"/>
        <v>122431</v>
      </c>
      <c r="F18" s="50">
        <f t="shared" si="4"/>
        <v>16382378.710000003</v>
      </c>
      <c r="G18" s="53">
        <f t="shared" si="4"/>
        <v>133.8090737639977</v>
      </c>
      <c r="H18" s="51">
        <v>0</v>
      </c>
      <c r="I18" s="54">
        <v>0</v>
      </c>
      <c r="J18" s="52">
        <f t="shared" ref="J18" si="10">IF(H18=0,0,I18/H18)</f>
        <v>0</v>
      </c>
      <c r="K18" s="54">
        <v>32</v>
      </c>
      <c r="L18" s="54">
        <v>4281.8900000000003</v>
      </c>
      <c r="M18" s="53">
        <f t="shared" si="1"/>
        <v>133.80906250000001</v>
      </c>
      <c r="N18" s="51">
        <f t="shared" si="2"/>
        <v>122399</v>
      </c>
      <c r="O18" s="51">
        <f t="shared" si="2"/>
        <v>16378096.820000002</v>
      </c>
      <c r="P18" s="52">
        <f t="shared" si="3"/>
        <v>133.80907376694256</v>
      </c>
      <c r="Q18" s="107"/>
      <c r="R18" s="107"/>
      <c r="S18" s="107"/>
      <c r="T18" s="107"/>
      <c r="U18" s="107"/>
      <c r="V18" s="107"/>
    </row>
    <row r="19" spans="1:22">
      <c r="A19" s="21">
        <v>8630</v>
      </c>
      <c r="B19" s="21">
        <v>10000</v>
      </c>
      <c r="C19" s="47">
        <v>141000</v>
      </c>
      <c r="D19" s="49">
        <v>42005</v>
      </c>
      <c r="E19" s="50">
        <f t="shared" si="4"/>
        <v>122399</v>
      </c>
      <c r="F19" s="50">
        <f t="shared" si="4"/>
        <v>16378096.820000002</v>
      </c>
      <c r="G19" s="53">
        <f t="shared" si="4"/>
        <v>133.80907376694256</v>
      </c>
      <c r="H19" s="51">
        <v>0</v>
      </c>
      <c r="I19" s="54">
        <v>0</v>
      </c>
      <c r="J19" s="52">
        <f t="shared" ref="J19" si="11">IF(H19=0,0,I19/H19)</f>
        <v>0</v>
      </c>
      <c r="K19" s="54">
        <v>362</v>
      </c>
      <c r="L19" s="54">
        <v>48438.89</v>
      </c>
      <c r="M19" s="53">
        <f t="shared" si="1"/>
        <v>133.80908839779005</v>
      </c>
      <c r="N19" s="51">
        <f t="shared" si="2"/>
        <v>122037</v>
      </c>
      <c r="O19" s="51">
        <f t="shared" si="2"/>
        <v>16329657.930000002</v>
      </c>
      <c r="P19" s="52">
        <f t="shared" si="3"/>
        <v>133.80907372354287</v>
      </c>
      <c r="Q19" s="54">
        <f t="shared" ref="Q19:R32" si="12">AVERAGE(N7:N19)</f>
        <v>112516.76923076923</v>
      </c>
      <c r="R19" s="54">
        <f t="shared" si="12"/>
        <v>15202220.702307694</v>
      </c>
      <c r="S19" s="56">
        <f t="shared" ref="S19:S54" si="13">IF(Q19=0,0,R19/Q19)</f>
        <v>135.11071110767764</v>
      </c>
      <c r="T19" s="54">
        <f t="shared" ref="T19:T66" si="14">N19+A19</f>
        <v>130667</v>
      </c>
      <c r="U19" s="58">
        <v>8630</v>
      </c>
      <c r="V19" s="75">
        <f t="shared" ref="V19:V66" si="15">(T19-U19)/1350</f>
        <v>90.397777777777776</v>
      </c>
    </row>
    <row r="20" spans="1:22">
      <c r="A20" s="21">
        <v>8630</v>
      </c>
      <c r="B20" s="21">
        <v>10000</v>
      </c>
      <c r="C20" s="47">
        <v>141000</v>
      </c>
      <c r="D20" s="49">
        <v>42036</v>
      </c>
      <c r="E20" s="50">
        <f t="shared" si="4"/>
        <v>122037</v>
      </c>
      <c r="F20" s="50">
        <f t="shared" si="4"/>
        <v>16329657.930000002</v>
      </c>
      <c r="G20" s="53">
        <f t="shared" si="4"/>
        <v>133.80907372354287</v>
      </c>
      <c r="H20" s="51">
        <v>0</v>
      </c>
      <c r="I20" s="54">
        <v>0</v>
      </c>
      <c r="J20" s="52">
        <f t="shared" ref="J20" si="16">IF(H20=0,0,I20/H20)</f>
        <v>0</v>
      </c>
      <c r="K20" s="54">
        <v>2363</v>
      </c>
      <c r="L20" s="54">
        <v>316190.84000000003</v>
      </c>
      <c r="M20" s="53">
        <f t="shared" si="1"/>
        <v>133.80907321201863</v>
      </c>
      <c r="N20" s="51">
        <f t="shared" si="2"/>
        <v>119674</v>
      </c>
      <c r="O20" s="51">
        <f t="shared" si="2"/>
        <v>16013467.090000002</v>
      </c>
      <c r="P20" s="52">
        <f t="shared" si="3"/>
        <v>133.80907373364309</v>
      </c>
      <c r="Q20" s="54">
        <f t="shared" si="12"/>
        <v>111627.07692307692</v>
      </c>
      <c r="R20" s="54">
        <f t="shared" si="12"/>
        <v>15049244.873846157</v>
      </c>
      <c r="S20" s="56">
        <f t="shared" si="13"/>
        <v>134.81715448140514</v>
      </c>
      <c r="T20" s="54">
        <f t="shared" si="14"/>
        <v>128304</v>
      </c>
      <c r="U20" s="58">
        <v>8630</v>
      </c>
      <c r="V20" s="75">
        <f t="shared" si="15"/>
        <v>88.647407407407414</v>
      </c>
    </row>
    <row r="21" spans="1:22">
      <c r="A21" s="21">
        <v>8630</v>
      </c>
      <c r="B21" s="21">
        <v>10000</v>
      </c>
      <c r="C21" s="47">
        <v>141000</v>
      </c>
      <c r="D21" s="49">
        <v>42064</v>
      </c>
      <c r="E21" s="50">
        <f t="shared" si="4"/>
        <v>119674</v>
      </c>
      <c r="F21" s="50">
        <f t="shared" si="4"/>
        <v>16013467.090000002</v>
      </c>
      <c r="G21" s="53">
        <f t="shared" si="4"/>
        <v>133.80907373364309</v>
      </c>
      <c r="H21" s="51">
        <v>0</v>
      </c>
      <c r="I21" s="54">
        <v>0</v>
      </c>
      <c r="J21" s="52">
        <f t="shared" ref="J21" si="17">IF(H21=0,0,I21/H21)</f>
        <v>0</v>
      </c>
      <c r="K21" s="54">
        <v>254</v>
      </c>
      <c r="L21" s="54">
        <v>33987.51</v>
      </c>
      <c r="M21" s="53">
        <f t="shared" si="1"/>
        <v>133.80909448818898</v>
      </c>
      <c r="N21" s="51">
        <f t="shared" si="2"/>
        <v>119420</v>
      </c>
      <c r="O21" s="51">
        <f t="shared" si="2"/>
        <v>15979479.580000002</v>
      </c>
      <c r="P21" s="52">
        <f t="shared" si="3"/>
        <v>133.80907368949926</v>
      </c>
      <c r="Q21" s="54">
        <f t="shared" si="12"/>
        <v>110723.76923076923</v>
      </c>
      <c r="R21" s="54">
        <f t="shared" si="12"/>
        <v>14894338.871538468</v>
      </c>
      <c r="S21" s="56">
        <f t="shared" si="13"/>
        <v>134.5179899041899</v>
      </c>
      <c r="T21" s="54">
        <f t="shared" si="14"/>
        <v>128050</v>
      </c>
      <c r="U21" s="58">
        <v>8630</v>
      </c>
      <c r="V21" s="75">
        <f t="shared" si="15"/>
        <v>88.459259259259255</v>
      </c>
    </row>
    <row r="22" spans="1:22">
      <c r="A22" s="21">
        <v>8630</v>
      </c>
      <c r="B22" s="21">
        <v>10000</v>
      </c>
      <c r="C22" s="47">
        <v>141000</v>
      </c>
      <c r="D22" s="49">
        <v>42095</v>
      </c>
      <c r="E22" s="50">
        <f t="shared" si="4"/>
        <v>119420</v>
      </c>
      <c r="F22" s="50">
        <f t="shared" si="4"/>
        <v>15979479.580000002</v>
      </c>
      <c r="G22" s="53">
        <f t="shared" si="4"/>
        <v>133.80907368949926</v>
      </c>
      <c r="H22" s="51">
        <v>0</v>
      </c>
      <c r="I22" s="54">
        <v>0</v>
      </c>
      <c r="J22" s="52">
        <f t="shared" ref="J22" si="18">IF(H22=0,0,I22/H22)</f>
        <v>0</v>
      </c>
      <c r="K22" s="54">
        <v>213</v>
      </c>
      <c r="L22" s="54">
        <v>28501.34</v>
      </c>
      <c r="M22" s="53">
        <f t="shared" si="1"/>
        <v>133.80910798122065</v>
      </c>
      <c r="N22" s="51">
        <f t="shared" si="2"/>
        <v>119207</v>
      </c>
      <c r="O22" s="51">
        <f t="shared" si="2"/>
        <v>15950978.240000002</v>
      </c>
      <c r="P22" s="52">
        <f t="shared" si="3"/>
        <v>133.80907362822654</v>
      </c>
      <c r="Q22" s="54">
        <f t="shared" si="12"/>
        <v>109809.92307692308</v>
      </c>
      <c r="R22" s="54">
        <f t="shared" si="12"/>
        <v>14738042.447692312</v>
      </c>
      <c r="S22" s="56">
        <f t="shared" si="13"/>
        <v>134.21412231905626</v>
      </c>
      <c r="T22" s="54">
        <f t="shared" si="14"/>
        <v>127837</v>
      </c>
      <c r="U22" s="58">
        <v>8630</v>
      </c>
      <c r="V22" s="75">
        <f t="shared" si="15"/>
        <v>88.301481481481488</v>
      </c>
    </row>
    <row r="23" spans="1:22">
      <c r="A23" s="21">
        <v>8630</v>
      </c>
      <c r="B23" s="21">
        <v>10000</v>
      </c>
      <c r="C23" s="47">
        <v>141000</v>
      </c>
      <c r="D23" s="49">
        <v>42125</v>
      </c>
      <c r="E23" s="50">
        <f t="shared" si="4"/>
        <v>119207</v>
      </c>
      <c r="F23" s="50">
        <f t="shared" si="4"/>
        <v>15950978.240000002</v>
      </c>
      <c r="G23" s="53">
        <f t="shared" si="4"/>
        <v>133.80907362822654</v>
      </c>
      <c r="H23" s="51">
        <v>0</v>
      </c>
      <c r="I23" s="54">
        <v>0</v>
      </c>
      <c r="J23" s="52">
        <f t="shared" ref="J23" si="19">IF(H23=0,0,I23/H23)</f>
        <v>0</v>
      </c>
      <c r="K23" s="54">
        <v>134</v>
      </c>
      <c r="L23" s="54">
        <v>17930.419999999998</v>
      </c>
      <c r="M23" s="53">
        <f t="shared" si="1"/>
        <v>133.80910447761192</v>
      </c>
      <c r="N23" s="51">
        <f t="shared" si="2"/>
        <v>119073</v>
      </c>
      <c r="O23" s="51">
        <f t="shared" si="2"/>
        <v>15933047.820000002</v>
      </c>
      <c r="P23" s="52">
        <f t="shared" si="3"/>
        <v>133.80907359350988</v>
      </c>
      <c r="Q23" s="54">
        <f t="shared" si="12"/>
        <v>111082.76923076923</v>
      </c>
      <c r="R23" s="54">
        <f t="shared" si="12"/>
        <v>14881756.535384621</v>
      </c>
      <c r="S23" s="56">
        <f t="shared" si="13"/>
        <v>133.9699814691194</v>
      </c>
      <c r="T23" s="54">
        <f t="shared" si="14"/>
        <v>127703</v>
      </c>
      <c r="U23" s="58">
        <v>8630</v>
      </c>
      <c r="V23" s="75">
        <f t="shared" si="15"/>
        <v>88.202222222222218</v>
      </c>
    </row>
    <row r="24" spans="1:22">
      <c r="A24" s="21">
        <v>8630</v>
      </c>
      <c r="B24" s="21">
        <v>10000</v>
      </c>
      <c r="C24" s="47">
        <v>141000</v>
      </c>
      <c r="D24" s="49">
        <v>42156</v>
      </c>
      <c r="E24" s="50">
        <f t="shared" si="4"/>
        <v>119073</v>
      </c>
      <c r="F24" s="50">
        <f t="shared" si="4"/>
        <v>15933047.820000002</v>
      </c>
      <c r="G24" s="53">
        <f t="shared" si="4"/>
        <v>133.80907359350988</v>
      </c>
      <c r="H24" s="51">
        <v>0</v>
      </c>
      <c r="I24" s="54">
        <v>0</v>
      </c>
      <c r="J24" s="52">
        <f t="shared" ref="J24" si="20">IF(H24=0,0,I24/H24)</f>
        <v>0</v>
      </c>
      <c r="K24" s="54">
        <v>36</v>
      </c>
      <c r="L24" s="54">
        <v>4817.13</v>
      </c>
      <c r="M24" s="53">
        <f t="shared" si="1"/>
        <v>133.80916666666667</v>
      </c>
      <c r="N24" s="51">
        <f t="shared" si="2"/>
        <v>119037</v>
      </c>
      <c r="O24" s="51">
        <f t="shared" si="2"/>
        <v>15928230.690000001</v>
      </c>
      <c r="P24" s="52">
        <f t="shared" si="3"/>
        <v>133.80907356536204</v>
      </c>
      <c r="Q24" s="54">
        <f t="shared" si="12"/>
        <v>115807.76923076923</v>
      </c>
      <c r="R24" s="54">
        <f t="shared" si="12"/>
        <v>15499054.779230773</v>
      </c>
      <c r="S24" s="56">
        <f t="shared" si="13"/>
        <v>133.83432633389154</v>
      </c>
      <c r="T24" s="54">
        <f t="shared" si="14"/>
        <v>127667</v>
      </c>
      <c r="U24" s="58">
        <v>8630</v>
      </c>
      <c r="V24" s="75">
        <f t="shared" si="15"/>
        <v>88.175555555555562</v>
      </c>
    </row>
    <row r="25" spans="1:22">
      <c r="A25" s="21">
        <v>8630</v>
      </c>
      <c r="B25" s="21">
        <v>10000</v>
      </c>
      <c r="C25" s="47">
        <v>141000</v>
      </c>
      <c r="D25" s="49">
        <v>42186</v>
      </c>
      <c r="E25" s="50">
        <f t="shared" si="4"/>
        <v>119037</v>
      </c>
      <c r="F25" s="50">
        <f t="shared" si="4"/>
        <v>15928230.690000001</v>
      </c>
      <c r="G25" s="53">
        <f t="shared" si="4"/>
        <v>133.80907356536204</v>
      </c>
      <c r="H25" s="51">
        <v>0</v>
      </c>
      <c r="I25" s="54">
        <v>0</v>
      </c>
      <c r="J25" s="52">
        <f t="shared" ref="J25" si="21">IF(H25=0,0,I25/H25)</f>
        <v>0</v>
      </c>
      <c r="K25" s="54">
        <v>593</v>
      </c>
      <c r="L25" s="54">
        <v>79348.78</v>
      </c>
      <c r="M25" s="53">
        <f t="shared" si="1"/>
        <v>133.80907251264756</v>
      </c>
      <c r="N25" s="51">
        <f t="shared" si="2"/>
        <v>118444</v>
      </c>
      <c r="O25" s="51">
        <f t="shared" si="2"/>
        <v>15848881.910000002</v>
      </c>
      <c r="P25" s="52">
        <f t="shared" si="3"/>
        <v>133.80907357063256</v>
      </c>
      <c r="Q25" s="54">
        <f t="shared" si="12"/>
        <v>120894.61538461539</v>
      </c>
      <c r="R25" s="54">
        <f t="shared" si="12"/>
        <v>16173570.55692308</v>
      </c>
      <c r="S25" s="56">
        <f t="shared" si="13"/>
        <v>133.78238977367448</v>
      </c>
      <c r="T25" s="54">
        <f t="shared" si="14"/>
        <v>127074</v>
      </c>
      <c r="U25" s="58">
        <v>8630</v>
      </c>
      <c r="V25" s="75">
        <f t="shared" si="15"/>
        <v>87.736296296296302</v>
      </c>
    </row>
    <row r="26" spans="1:22">
      <c r="A26" s="21">
        <v>8630</v>
      </c>
      <c r="B26" s="21">
        <v>10000</v>
      </c>
      <c r="C26" s="47">
        <v>141000</v>
      </c>
      <c r="D26" s="49">
        <v>42217</v>
      </c>
      <c r="E26" s="50">
        <f t="shared" si="4"/>
        <v>118444</v>
      </c>
      <c r="F26" s="50">
        <f t="shared" si="4"/>
        <v>15848881.910000002</v>
      </c>
      <c r="G26" s="53">
        <f t="shared" si="4"/>
        <v>133.80907357063256</v>
      </c>
      <c r="H26" s="51">
        <v>2688</v>
      </c>
      <c r="I26" s="54">
        <v>196712.6</v>
      </c>
      <c r="J26" s="52">
        <f t="shared" ref="J26" si="22">IF(H26=0,0,I26/H26)</f>
        <v>73.181770833333331</v>
      </c>
      <c r="K26" s="54">
        <v>200</v>
      </c>
      <c r="L26" s="54">
        <v>26492.75</v>
      </c>
      <c r="M26" s="53">
        <f t="shared" si="1"/>
        <v>132.46375</v>
      </c>
      <c r="N26" s="51">
        <f t="shared" si="2"/>
        <v>120932</v>
      </c>
      <c r="O26" s="51">
        <f t="shared" si="2"/>
        <v>16019101.760000002</v>
      </c>
      <c r="P26" s="52">
        <f t="shared" si="3"/>
        <v>132.46371316111535</v>
      </c>
      <c r="Q26" s="54">
        <f t="shared" si="12"/>
        <v>120771.07692307692</v>
      </c>
      <c r="R26" s="54">
        <f t="shared" si="12"/>
        <v>16147022.828461539</v>
      </c>
      <c r="S26" s="56">
        <f t="shared" si="13"/>
        <v>133.699419098052</v>
      </c>
      <c r="T26" s="54">
        <f t="shared" si="14"/>
        <v>129562</v>
      </c>
      <c r="U26" s="58">
        <v>8630</v>
      </c>
      <c r="V26" s="75">
        <f t="shared" si="15"/>
        <v>89.57925925925926</v>
      </c>
    </row>
    <row r="27" spans="1:22">
      <c r="A27" s="21">
        <v>8630</v>
      </c>
      <c r="B27" s="21">
        <v>10000</v>
      </c>
      <c r="C27" s="47">
        <v>141000</v>
      </c>
      <c r="D27" s="49">
        <v>42248</v>
      </c>
      <c r="E27" s="50">
        <f t="shared" si="4"/>
        <v>120932</v>
      </c>
      <c r="F27" s="50">
        <f t="shared" si="4"/>
        <v>16019101.760000002</v>
      </c>
      <c r="G27" s="53">
        <f t="shared" si="4"/>
        <v>132.46371316111535</v>
      </c>
      <c r="H27" s="51">
        <v>12838</v>
      </c>
      <c r="I27" s="54">
        <v>948255.33</v>
      </c>
      <c r="J27" s="52">
        <f t="shared" ref="J27" si="23">IF(H27=0,0,I27/H27)</f>
        <v>73.863166381056232</v>
      </c>
      <c r="K27" s="54">
        <v>28</v>
      </c>
      <c r="L27" s="54">
        <v>3551.51</v>
      </c>
      <c r="M27" s="53">
        <f t="shared" si="1"/>
        <v>126.83964285714286</v>
      </c>
      <c r="N27" s="51">
        <f t="shared" si="2"/>
        <v>133742</v>
      </c>
      <c r="O27" s="51">
        <f t="shared" si="2"/>
        <v>16963805.579999998</v>
      </c>
      <c r="P27" s="52">
        <f t="shared" si="3"/>
        <v>126.83977793064257</v>
      </c>
      <c r="Q27" s="54">
        <f t="shared" si="12"/>
        <v>121637.69230769231</v>
      </c>
      <c r="R27" s="54">
        <f t="shared" si="12"/>
        <v>16192012.725384615</v>
      </c>
      <c r="S27" s="56">
        <f t="shared" si="13"/>
        <v>133.11673723984848</v>
      </c>
      <c r="T27" s="54">
        <f t="shared" si="14"/>
        <v>142372</v>
      </c>
      <c r="U27" s="58">
        <v>8630</v>
      </c>
      <c r="V27" s="75">
        <f t="shared" si="15"/>
        <v>99.068148148148154</v>
      </c>
    </row>
    <row r="28" spans="1:22">
      <c r="A28" s="21">
        <v>8630</v>
      </c>
      <c r="B28" s="21">
        <v>10000</v>
      </c>
      <c r="C28" s="47">
        <v>141000</v>
      </c>
      <c r="D28" s="49">
        <v>42278</v>
      </c>
      <c r="E28" s="50">
        <f t="shared" si="4"/>
        <v>133742</v>
      </c>
      <c r="F28" s="50">
        <f t="shared" si="4"/>
        <v>16963805.579999998</v>
      </c>
      <c r="G28" s="53">
        <f t="shared" si="4"/>
        <v>126.83977793064257</v>
      </c>
      <c r="H28" s="51">
        <v>0</v>
      </c>
      <c r="I28" s="54">
        <v>31156.799999999999</v>
      </c>
      <c r="J28" s="52">
        <f t="shared" ref="J28" si="24">IF(H28=0,0,I28/H28)</f>
        <v>0</v>
      </c>
      <c r="K28" s="54">
        <v>-30</v>
      </c>
      <c r="L28" s="54">
        <v>-3812.18</v>
      </c>
      <c r="M28" s="53">
        <f t="shared" si="1"/>
        <v>127.07266666666666</v>
      </c>
      <c r="N28" s="51">
        <f t="shared" si="2"/>
        <v>133772</v>
      </c>
      <c r="O28" s="51">
        <f t="shared" si="2"/>
        <v>16998774.559999999</v>
      </c>
      <c r="P28" s="52">
        <f t="shared" si="3"/>
        <v>127.07273988577579</v>
      </c>
      <c r="Q28" s="54">
        <f t="shared" si="12"/>
        <v>122508.84615384616</v>
      </c>
      <c r="R28" s="54">
        <f t="shared" si="12"/>
        <v>16239263.103076926</v>
      </c>
      <c r="S28" s="56">
        <f t="shared" si="13"/>
        <v>132.55584076503112</v>
      </c>
      <c r="T28" s="54">
        <f t="shared" si="14"/>
        <v>142402</v>
      </c>
      <c r="U28" s="58">
        <v>8630</v>
      </c>
      <c r="V28" s="75">
        <f t="shared" si="15"/>
        <v>99.090370370370366</v>
      </c>
    </row>
    <row r="29" spans="1:22">
      <c r="A29" s="21">
        <v>8630</v>
      </c>
      <c r="B29" s="21">
        <v>10000</v>
      </c>
      <c r="C29" s="47">
        <v>141000</v>
      </c>
      <c r="D29" s="49">
        <v>42309</v>
      </c>
      <c r="E29" s="50">
        <f t="shared" si="4"/>
        <v>133772</v>
      </c>
      <c r="F29" s="50">
        <f t="shared" si="4"/>
        <v>16998774.559999999</v>
      </c>
      <c r="G29" s="53">
        <f t="shared" si="4"/>
        <v>127.07273988577579</v>
      </c>
      <c r="H29" s="51">
        <v>0</v>
      </c>
      <c r="I29" s="54">
        <v>0</v>
      </c>
      <c r="J29" s="52">
        <f t="shared" ref="J29" si="25">IF(H29=0,0,I29/H29)</f>
        <v>0</v>
      </c>
      <c r="K29" s="54">
        <v>-1</v>
      </c>
      <c r="L29" s="54">
        <v>-127.08</v>
      </c>
      <c r="M29" s="53">
        <f t="shared" si="1"/>
        <v>127.08</v>
      </c>
      <c r="N29" s="51">
        <f t="shared" si="2"/>
        <v>133773</v>
      </c>
      <c r="O29" s="51">
        <f t="shared" si="2"/>
        <v>16998901.639999997</v>
      </c>
      <c r="P29" s="52">
        <f t="shared" si="3"/>
        <v>127.07273994004767</v>
      </c>
      <c r="Q29" s="54">
        <f t="shared" si="12"/>
        <v>123380.07692307692</v>
      </c>
      <c r="R29" s="54">
        <f t="shared" si="12"/>
        <v>16286523.256153844</v>
      </c>
      <c r="S29" s="56">
        <f t="shared" si="13"/>
        <v>132.00286190701527</v>
      </c>
      <c r="T29" s="54">
        <f t="shared" si="14"/>
        <v>142403</v>
      </c>
      <c r="U29" s="58">
        <v>8630</v>
      </c>
      <c r="V29" s="75">
        <f t="shared" si="15"/>
        <v>99.091111111111104</v>
      </c>
    </row>
    <row r="30" spans="1:22">
      <c r="A30" s="21">
        <v>8630</v>
      </c>
      <c r="B30" s="21">
        <v>10000</v>
      </c>
      <c r="C30" s="47">
        <v>141000</v>
      </c>
      <c r="D30" s="49">
        <v>42339</v>
      </c>
      <c r="E30" s="50">
        <f t="shared" si="4"/>
        <v>133773</v>
      </c>
      <c r="F30" s="50">
        <f t="shared" si="4"/>
        <v>16998901.639999997</v>
      </c>
      <c r="G30" s="53">
        <f t="shared" si="4"/>
        <v>127.07273994004767</v>
      </c>
      <c r="H30" s="51">
        <v>0</v>
      </c>
      <c r="I30" s="54">
        <v>0</v>
      </c>
      <c r="J30" s="52">
        <f t="shared" ref="J30" si="26">IF(H30=0,0,I30/H30)</f>
        <v>0</v>
      </c>
      <c r="K30" s="54">
        <v>26</v>
      </c>
      <c r="L30" s="54">
        <v>3303.89</v>
      </c>
      <c r="M30" s="53">
        <f t="shared" si="1"/>
        <v>127.07269230769231</v>
      </c>
      <c r="N30" s="51">
        <f t="shared" si="2"/>
        <v>133747</v>
      </c>
      <c r="O30" s="51">
        <f t="shared" si="2"/>
        <v>16995597.749999996</v>
      </c>
      <c r="P30" s="52">
        <f t="shared" si="3"/>
        <v>127.07273994930725</v>
      </c>
      <c r="Q30" s="54">
        <f t="shared" si="12"/>
        <v>124250.53846153847</v>
      </c>
      <c r="R30" s="54">
        <f t="shared" si="12"/>
        <v>16333693.951538462</v>
      </c>
      <c r="S30" s="56">
        <f t="shared" si="13"/>
        <v>131.45773172318709</v>
      </c>
      <c r="T30" s="54">
        <f t="shared" si="14"/>
        <v>142377</v>
      </c>
      <c r="U30" s="58">
        <v>8630</v>
      </c>
      <c r="V30" s="75">
        <f t="shared" si="15"/>
        <v>99.071851851851847</v>
      </c>
    </row>
    <row r="31" spans="1:22">
      <c r="A31" s="21">
        <v>8630</v>
      </c>
      <c r="B31" s="21">
        <v>10000</v>
      </c>
      <c r="C31" s="47">
        <v>141000</v>
      </c>
      <c r="D31" s="13">
        <v>42370</v>
      </c>
      <c r="E31" s="16">
        <f t="shared" si="4"/>
        <v>133747</v>
      </c>
      <c r="F31" s="16">
        <f t="shared" si="4"/>
        <v>16995597.749999996</v>
      </c>
      <c r="G31" s="14">
        <f t="shared" si="4"/>
        <v>127.07273994930725</v>
      </c>
      <c r="H31" s="46">
        <f t="shared" ref="H31:H90" si="27">IF(E31+A31-K31&lt;C31-B31,C31-E31+K31-A31,0)</f>
        <v>0</v>
      </c>
      <c r="I31" s="23">
        <f t="shared" ref="I31:I89" si="28">H31*J31</f>
        <v>0</v>
      </c>
      <c r="J31" s="22">
        <f>VLOOKUP(D31,Data!$A$5:$V$197,8,FALSE)*5.83</f>
        <v>56.166746915999994</v>
      </c>
      <c r="K31" s="71">
        <f>VLOOKUP(D31,Data!$A$5:$V$197,21,FALSE)</f>
        <v>90.909090909090907</v>
      </c>
      <c r="L31" s="48">
        <f t="shared" si="8"/>
        <v>11552.067268118841</v>
      </c>
      <c r="M31" s="14">
        <f t="shared" si="1"/>
        <v>127.07273994930725</v>
      </c>
      <c r="N31" s="15">
        <f t="shared" si="2"/>
        <v>133656.09090909091</v>
      </c>
      <c r="O31" s="15">
        <f t="shared" si="2"/>
        <v>16984045.682731878</v>
      </c>
      <c r="P31" s="22">
        <f t="shared" si="3"/>
        <v>127.07273994930725</v>
      </c>
      <c r="Q31" s="31">
        <f t="shared" si="12"/>
        <v>125116.46853146852</v>
      </c>
      <c r="R31" s="31">
        <f t="shared" si="12"/>
        <v>16380305.402517837</v>
      </c>
      <c r="S31" s="32">
        <f t="shared" si="13"/>
        <v>130.92045831199243</v>
      </c>
      <c r="T31" s="31">
        <f t="shared" si="14"/>
        <v>142286.09090909091</v>
      </c>
      <c r="U31" s="7">
        <v>8630</v>
      </c>
      <c r="V31" s="37">
        <f t="shared" si="15"/>
        <v>99.004511784511791</v>
      </c>
    </row>
    <row r="32" spans="1:22">
      <c r="A32" s="21">
        <v>8630</v>
      </c>
      <c r="B32" s="21">
        <v>10000</v>
      </c>
      <c r="C32" s="47">
        <v>141000</v>
      </c>
      <c r="D32" s="13">
        <v>42401</v>
      </c>
      <c r="E32" s="16">
        <f t="shared" si="4"/>
        <v>133656.09090909091</v>
      </c>
      <c r="F32" s="16">
        <f t="shared" si="4"/>
        <v>16984045.682731878</v>
      </c>
      <c r="G32" s="14">
        <f t="shared" si="4"/>
        <v>127.07273994930725</v>
      </c>
      <c r="H32" s="46">
        <f t="shared" si="27"/>
        <v>0</v>
      </c>
      <c r="I32" s="91">
        <f t="shared" si="28"/>
        <v>0</v>
      </c>
      <c r="J32" s="22">
        <f>VLOOKUP(D32,Data!$A$5:$V$197,8,FALSE)*5.83</f>
        <v>57.246146916000001</v>
      </c>
      <c r="K32" s="91">
        <f>VLOOKUP(D32,Data!$A$5:$V$197,21,FALSE)</f>
        <v>0</v>
      </c>
      <c r="L32" s="91">
        <f t="shared" si="8"/>
        <v>0</v>
      </c>
      <c r="M32" s="14">
        <f t="shared" si="1"/>
        <v>0</v>
      </c>
      <c r="N32" s="15">
        <f t="shared" si="2"/>
        <v>133656.09090909091</v>
      </c>
      <c r="O32" s="15">
        <f t="shared" si="2"/>
        <v>16984045.682731878</v>
      </c>
      <c r="P32" s="22">
        <f t="shared" si="3"/>
        <v>127.07273994930725</v>
      </c>
      <c r="Q32" s="31">
        <f t="shared" si="12"/>
        <v>126010.24475524474</v>
      </c>
      <c r="R32" s="31">
        <f t="shared" si="12"/>
        <v>16430642.921958746</v>
      </c>
      <c r="S32" s="32">
        <f t="shared" si="13"/>
        <v>130.39132614870093</v>
      </c>
      <c r="T32" s="31">
        <f t="shared" si="14"/>
        <v>142286.09090909091</v>
      </c>
      <c r="U32" s="7">
        <v>8630</v>
      </c>
      <c r="V32" s="37">
        <f t="shared" si="15"/>
        <v>99.004511784511791</v>
      </c>
    </row>
    <row r="33" spans="1:22">
      <c r="A33" s="21">
        <v>8630</v>
      </c>
      <c r="B33" s="21">
        <v>10000</v>
      </c>
      <c r="C33" s="47">
        <v>141000</v>
      </c>
      <c r="D33" s="13">
        <v>42430</v>
      </c>
      <c r="E33" s="16">
        <f t="shared" si="4"/>
        <v>133656.09090909091</v>
      </c>
      <c r="F33" s="16">
        <f t="shared" si="4"/>
        <v>16984045.682731878</v>
      </c>
      <c r="G33" s="14">
        <f t="shared" si="4"/>
        <v>127.07273994930725</v>
      </c>
      <c r="H33" s="46">
        <f t="shared" si="27"/>
        <v>0</v>
      </c>
      <c r="I33" s="91">
        <f t="shared" si="28"/>
        <v>0</v>
      </c>
      <c r="J33" s="22">
        <f>VLOOKUP(D33,Data!$A$5:$V$197,8,FALSE)*5.83</f>
        <v>58.195346915999984</v>
      </c>
      <c r="K33" s="91">
        <f>VLOOKUP(D33,Data!$A$5:$V$197,21,FALSE)</f>
        <v>4322.4699828473413</v>
      </c>
      <c r="L33" s="91">
        <f t="shared" si="8"/>
        <v>549268.10406904679</v>
      </c>
      <c r="M33" s="14">
        <f t="shared" si="1"/>
        <v>127.07273994930726</v>
      </c>
      <c r="N33" s="15">
        <f t="shared" si="2"/>
        <v>129333.62092624357</v>
      </c>
      <c r="O33" s="15">
        <f t="shared" si="2"/>
        <v>16434777.578662831</v>
      </c>
      <c r="P33" s="22">
        <f t="shared" si="3"/>
        <v>127.07273994930725</v>
      </c>
      <c r="Q33" s="31">
        <f t="shared" ref="Q33:R48" si="29">AVERAGE(N21:N33)</f>
        <v>126753.29251880193</v>
      </c>
      <c r="R33" s="31">
        <f t="shared" si="29"/>
        <v>16463051.42108666</v>
      </c>
      <c r="S33" s="32">
        <f t="shared" si="13"/>
        <v>129.88263337336673</v>
      </c>
      <c r="T33" s="31">
        <f t="shared" si="14"/>
        <v>137963.62092624357</v>
      </c>
      <c r="U33" s="7">
        <v>8630</v>
      </c>
      <c r="V33" s="37">
        <f t="shared" si="15"/>
        <v>95.802682167587832</v>
      </c>
    </row>
    <row r="34" spans="1:22">
      <c r="A34" s="21">
        <v>8630</v>
      </c>
      <c r="B34" s="21">
        <v>10000</v>
      </c>
      <c r="C34" s="47">
        <v>141000</v>
      </c>
      <c r="D34" s="13">
        <v>42461</v>
      </c>
      <c r="E34" s="16">
        <f t="shared" si="4"/>
        <v>129333.62092624357</v>
      </c>
      <c r="F34" s="16">
        <f t="shared" si="4"/>
        <v>16434777.578662831</v>
      </c>
      <c r="G34" s="14">
        <f t="shared" si="4"/>
        <v>127.07273994930725</v>
      </c>
      <c r="H34" s="46">
        <f t="shared" si="27"/>
        <v>0</v>
      </c>
      <c r="I34" s="91">
        <f t="shared" si="28"/>
        <v>0</v>
      </c>
      <c r="J34" s="22">
        <f>VLOOKUP(D34,Data!$A$5:$V$197,8,FALSE)*5.83</f>
        <v>58.842146916000004</v>
      </c>
      <c r="K34" s="91">
        <f>VLOOKUP(D34,Data!$A$5:$V$197,21,FALSE)</f>
        <v>5557.4614065180103</v>
      </c>
      <c r="L34" s="91">
        <f t="shared" si="8"/>
        <v>706201.84808877436</v>
      </c>
      <c r="M34" s="14">
        <f t="shared" si="1"/>
        <v>127.07273994930723</v>
      </c>
      <c r="N34" s="15">
        <f t="shared" si="2"/>
        <v>123776.15951972557</v>
      </c>
      <c r="O34" s="15">
        <f t="shared" si="2"/>
        <v>15728575.730574057</v>
      </c>
      <c r="P34" s="22">
        <f t="shared" si="3"/>
        <v>127.07273994930723</v>
      </c>
      <c r="Q34" s="31">
        <f t="shared" si="29"/>
        <v>127088.38171262697</v>
      </c>
      <c r="R34" s="31">
        <f t="shared" si="29"/>
        <v>16443751.12497697</v>
      </c>
      <c r="S34" s="32">
        <f t="shared" si="13"/>
        <v>129.38831153078715</v>
      </c>
      <c r="T34" s="31">
        <f t="shared" si="14"/>
        <v>132406.15951972557</v>
      </c>
      <c r="U34" s="7">
        <v>8630</v>
      </c>
      <c r="V34" s="37">
        <f t="shared" si="15"/>
        <v>91.686044088685605</v>
      </c>
    </row>
    <row r="35" spans="1:22">
      <c r="A35" s="21">
        <v>8630</v>
      </c>
      <c r="B35" s="21">
        <v>10000</v>
      </c>
      <c r="C35" s="47">
        <v>141000</v>
      </c>
      <c r="D35" s="13">
        <v>42491</v>
      </c>
      <c r="E35" s="16">
        <f t="shared" si="4"/>
        <v>123776.15951972557</v>
      </c>
      <c r="F35" s="16">
        <f t="shared" si="4"/>
        <v>15728575.730574057</v>
      </c>
      <c r="G35" s="14">
        <f t="shared" si="4"/>
        <v>127.07273994930723</v>
      </c>
      <c r="H35" s="46">
        <f t="shared" si="27"/>
        <v>14357.133790737556</v>
      </c>
      <c r="I35" s="91">
        <f t="shared" si="28"/>
        <v>857105.76803915098</v>
      </c>
      <c r="J35" s="22">
        <f>VLOOKUP(D35,Data!$A$5:$V$197,8,FALSE)*5.83</f>
        <v>59.698946915999983</v>
      </c>
      <c r="K35" s="91">
        <f>VLOOKUP(D35,Data!$A$5:$V$197,21,FALSE)</f>
        <v>5763.293310463122</v>
      </c>
      <c r="L35" s="91">
        <f t="shared" si="8"/>
        <v>691999.33585590532</v>
      </c>
      <c r="M35" s="14">
        <f t="shared" si="1"/>
        <v>120.07012285833119</v>
      </c>
      <c r="N35" s="15">
        <f t="shared" si="2"/>
        <v>132370.00000000003</v>
      </c>
      <c r="O35" s="15">
        <f t="shared" si="2"/>
        <v>15893682.162757302</v>
      </c>
      <c r="P35" s="22">
        <f t="shared" si="3"/>
        <v>120.07012285833117</v>
      </c>
      <c r="Q35" s="31">
        <f t="shared" si="29"/>
        <v>128100.92017416543</v>
      </c>
      <c r="R35" s="31">
        <f t="shared" si="29"/>
        <v>16439343.734419843</v>
      </c>
      <c r="S35" s="32">
        <f t="shared" si="13"/>
        <v>128.33119162664082</v>
      </c>
      <c r="T35" s="31">
        <f t="shared" si="14"/>
        <v>141000.00000000003</v>
      </c>
      <c r="U35" s="7">
        <v>8630</v>
      </c>
      <c r="V35" s="37">
        <f t="shared" si="15"/>
        <v>98.051851851851879</v>
      </c>
    </row>
    <row r="36" spans="1:22">
      <c r="A36" s="21">
        <v>8630</v>
      </c>
      <c r="B36" s="21">
        <v>10000</v>
      </c>
      <c r="C36" s="47">
        <v>141000</v>
      </c>
      <c r="D36" s="13">
        <v>42522</v>
      </c>
      <c r="E36" s="16">
        <f t="shared" si="4"/>
        <v>132370.00000000003</v>
      </c>
      <c r="F36" s="16">
        <f t="shared" si="4"/>
        <v>15893682.162757302</v>
      </c>
      <c r="G36" s="14">
        <f t="shared" si="4"/>
        <v>120.07012285833117</v>
      </c>
      <c r="H36" s="46">
        <f t="shared" si="27"/>
        <v>0</v>
      </c>
      <c r="I36" s="91">
        <f t="shared" si="28"/>
        <v>0</v>
      </c>
      <c r="J36" s="22">
        <f>VLOOKUP(D36,Data!$A$5:$V$197,8,FALSE)*5.83</f>
        <v>60.769946915999988</v>
      </c>
      <c r="K36" s="91">
        <f>VLOOKUP(D36,Data!$A$5:$V$197,21,FALSE)</f>
        <v>4734.1337907375646</v>
      </c>
      <c r="L36" s="91">
        <f t="shared" si="8"/>
        <v>568428.02588163642</v>
      </c>
      <c r="M36" s="14">
        <f t="shared" si="1"/>
        <v>120.07012285833116</v>
      </c>
      <c r="N36" s="15">
        <f t="shared" si="2"/>
        <v>127635.86620926246</v>
      </c>
      <c r="O36" s="15">
        <f t="shared" si="2"/>
        <v>15325254.136875665</v>
      </c>
      <c r="P36" s="22">
        <f t="shared" si="3"/>
        <v>120.07012285833119</v>
      </c>
      <c r="Q36" s="31">
        <f t="shared" si="29"/>
        <v>128759.60219026257</v>
      </c>
      <c r="R36" s="31">
        <f t="shared" si="29"/>
        <v>16392590.37417951</v>
      </c>
      <c r="S36" s="32">
        <f t="shared" si="13"/>
        <v>127.31159537101458</v>
      </c>
      <c r="T36" s="31">
        <f t="shared" si="14"/>
        <v>136265.86620926246</v>
      </c>
      <c r="U36" s="7">
        <v>8630</v>
      </c>
      <c r="V36" s="37">
        <f t="shared" si="15"/>
        <v>94.54508608093515</v>
      </c>
    </row>
    <row r="37" spans="1:22">
      <c r="A37" s="21">
        <v>8630</v>
      </c>
      <c r="B37" s="21">
        <v>10000</v>
      </c>
      <c r="C37" s="47">
        <v>141000</v>
      </c>
      <c r="D37" s="13">
        <v>42552</v>
      </c>
      <c r="E37" s="16">
        <f t="shared" si="4"/>
        <v>127635.86620926246</v>
      </c>
      <c r="F37" s="16">
        <f t="shared" si="4"/>
        <v>15325254.136875665</v>
      </c>
      <c r="G37" s="14">
        <f t="shared" si="4"/>
        <v>120.07012285833119</v>
      </c>
      <c r="H37" s="46">
        <f t="shared" si="27"/>
        <v>0</v>
      </c>
      <c r="I37" s="91">
        <f t="shared" si="28"/>
        <v>0</v>
      </c>
      <c r="J37" s="22">
        <f>VLOOKUP(D37,Data!$A$5:$V$197,8,FALSE)*5.83</f>
        <v>61.874546915999986</v>
      </c>
      <c r="K37" s="91">
        <f>VLOOKUP(D37,Data!$A$5:$V$197,21,FALSE)</f>
        <v>4734.1337907375646</v>
      </c>
      <c r="L37" s="91">
        <f t="shared" si="8"/>
        <v>568428.02588163654</v>
      </c>
      <c r="M37" s="14">
        <f t="shared" si="1"/>
        <v>120.07012285833119</v>
      </c>
      <c r="N37" s="15">
        <f t="shared" si="2"/>
        <v>122901.73241852489</v>
      </c>
      <c r="O37" s="15">
        <f t="shared" si="2"/>
        <v>14756826.110994028</v>
      </c>
      <c r="P37" s="22">
        <f t="shared" si="3"/>
        <v>120.07012285833119</v>
      </c>
      <c r="Q37" s="31">
        <f t="shared" si="29"/>
        <v>129056.88929937987</v>
      </c>
      <c r="R37" s="31">
        <f t="shared" si="29"/>
        <v>16302482.32964059</v>
      </c>
      <c r="S37" s="32">
        <f t="shared" si="13"/>
        <v>126.32012454463309</v>
      </c>
      <c r="T37" s="31">
        <f t="shared" si="14"/>
        <v>131531.73241852489</v>
      </c>
      <c r="U37" s="7">
        <v>8630</v>
      </c>
      <c r="V37" s="37">
        <f t="shared" si="15"/>
        <v>91.038320310018435</v>
      </c>
    </row>
    <row r="38" spans="1:22">
      <c r="A38" s="21">
        <v>8630</v>
      </c>
      <c r="B38" s="21">
        <v>10000</v>
      </c>
      <c r="C38" s="47">
        <v>141000</v>
      </c>
      <c r="D38" s="13">
        <v>42583</v>
      </c>
      <c r="E38" s="16">
        <f t="shared" si="4"/>
        <v>122901.73241852489</v>
      </c>
      <c r="F38" s="16">
        <f t="shared" si="4"/>
        <v>14756826.110994028</v>
      </c>
      <c r="G38" s="14">
        <f t="shared" si="4"/>
        <v>120.07012285833119</v>
      </c>
      <c r="H38" s="46">
        <f t="shared" si="27"/>
        <v>14202.401372212677</v>
      </c>
      <c r="I38" s="91">
        <f t="shared" si="28"/>
        <v>892963.87043649971</v>
      </c>
      <c r="J38" s="22">
        <f>VLOOKUP(D38,Data!$A$5:$V$197,8,FALSE)*5.83</f>
        <v>62.874146915999994</v>
      </c>
      <c r="K38" s="91">
        <f>VLOOKUP(D38,Data!$A$5:$V$197,21,FALSE)</f>
        <v>4734.1337907375646</v>
      </c>
      <c r="L38" s="91">
        <f t="shared" si="8"/>
        <v>540379.03541345801</v>
      </c>
      <c r="M38" s="14">
        <f t="shared" si="1"/>
        <v>114.14528175581377</v>
      </c>
      <c r="N38" s="15">
        <f t="shared" si="2"/>
        <v>132370</v>
      </c>
      <c r="O38" s="15">
        <f t="shared" si="2"/>
        <v>15109410.946017068</v>
      </c>
      <c r="P38" s="22">
        <f t="shared" si="3"/>
        <v>114.14528175581377</v>
      </c>
      <c r="Q38" s="31">
        <f t="shared" si="29"/>
        <v>130128.12006861063</v>
      </c>
      <c r="R38" s="31">
        <f t="shared" si="29"/>
        <v>16245599.947795747</v>
      </c>
      <c r="S38" s="32">
        <f t="shared" si="13"/>
        <v>124.84311568652635</v>
      </c>
      <c r="T38" s="31">
        <f t="shared" si="14"/>
        <v>141000</v>
      </c>
      <c r="U38" s="7">
        <v>8630</v>
      </c>
      <c r="V38" s="37">
        <f t="shared" si="15"/>
        <v>98.05185185185185</v>
      </c>
    </row>
    <row r="39" spans="1:22">
      <c r="A39" s="21">
        <v>8630</v>
      </c>
      <c r="B39" s="21">
        <v>10000</v>
      </c>
      <c r="C39" s="47">
        <v>141000</v>
      </c>
      <c r="D39" s="13">
        <v>42614</v>
      </c>
      <c r="E39" s="16">
        <f t="shared" si="4"/>
        <v>132370</v>
      </c>
      <c r="F39" s="16">
        <f t="shared" si="4"/>
        <v>15109410.946017068</v>
      </c>
      <c r="G39" s="14">
        <f t="shared" si="4"/>
        <v>114.14528175581377</v>
      </c>
      <c r="H39" s="46">
        <f t="shared" si="27"/>
        <v>0</v>
      </c>
      <c r="I39" s="91">
        <f t="shared" si="28"/>
        <v>0</v>
      </c>
      <c r="J39" s="22">
        <f>VLOOKUP(D39,Data!$A$5:$V$197,8,FALSE)*5.83</f>
        <v>63.810746915999978</v>
      </c>
      <c r="K39" s="91">
        <f>VLOOKUP(D39,Data!$A$5:$V$197,21,FALSE)</f>
        <v>5145.797598627787</v>
      </c>
      <c r="L39" s="91">
        <f t="shared" si="8"/>
        <v>587368.51675375865</v>
      </c>
      <c r="M39" s="14">
        <f t="shared" si="1"/>
        <v>114.14528175581377</v>
      </c>
      <c r="N39" s="15">
        <f t="shared" si="2"/>
        <v>127224.20240137221</v>
      </c>
      <c r="O39" s="15">
        <f t="shared" si="2"/>
        <v>14522042.429263309</v>
      </c>
      <c r="P39" s="22">
        <f t="shared" si="3"/>
        <v>114.14528175581376</v>
      </c>
      <c r="Q39" s="31">
        <f t="shared" si="29"/>
        <v>130612.13563794697</v>
      </c>
      <c r="R39" s="31">
        <f t="shared" si="29"/>
        <v>16130441.537739079</v>
      </c>
      <c r="S39" s="32">
        <f t="shared" si="13"/>
        <v>123.49879633277105</v>
      </c>
      <c r="T39" s="31">
        <f t="shared" si="14"/>
        <v>135854.2024013722</v>
      </c>
      <c r="U39" s="7">
        <v>8630</v>
      </c>
      <c r="V39" s="37">
        <f t="shared" si="15"/>
        <v>94.240149926942365</v>
      </c>
    </row>
    <row r="40" spans="1:22">
      <c r="A40" s="21">
        <v>8630</v>
      </c>
      <c r="B40" s="21">
        <v>10000</v>
      </c>
      <c r="C40" s="47">
        <v>141000</v>
      </c>
      <c r="D40" s="13">
        <v>42644</v>
      </c>
      <c r="E40" s="16">
        <f t="shared" si="4"/>
        <v>127224.20240137221</v>
      </c>
      <c r="F40" s="16">
        <f t="shared" si="4"/>
        <v>14522042.429263309</v>
      </c>
      <c r="G40" s="14">
        <f t="shared" si="4"/>
        <v>114.14528175581376</v>
      </c>
      <c r="H40" s="46">
        <f t="shared" si="27"/>
        <v>11526.586620926246</v>
      </c>
      <c r="I40" s="91">
        <f t="shared" si="28"/>
        <v>746751.60767670674</v>
      </c>
      <c r="J40" s="22">
        <f>VLOOKUP(D40,Data!$A$5:$V$197,8,FALSE)*5.83</f>
        <v>64.785146915999988</v>
      </c>
      <c r="K40" s="91">
        <f>VLOOKUP(D40,Data!$A$5:$V$197,21,FALSE)</f>
        <v>6380.7890222984561</v>
      </c>
      <c r="L40" s="91">
        <f t="shared" si="8"/>
        <v>702172.24753212475</v>
      </c>
      <c r="M40" s="14">
        <f t="shared" si="1"/>
        <v>110.04473664280343</v>
      </c>
      <c r="N40" s="15">
        <f t="shared" si="2"/>
        <v>132370.00000000003</v>
      </c>
      <c r="O40" s="15">
        <f t="shared" si="2"/>
        <v>14566621.78940789</v>
      </c>
      <c r="P40" s="22">
        <f t="shared" si="3"/>
        <v>110.04473664280341</v>
      </c>
      <c r="Q40" s="31">
        <f t="shared" si="29"/>
        <v>130506.5971764085</v>
      </c>
      <c r="R40" s="31">
        <f t="shared" si="29"/>
        <v>15946042.784616606</v>
      </c>
      <c r="S40" s="32">
        <f t="shared" si="13"/>
        <v>122.18572186861945</v>
      </c>
      <c r="T40" s="31">
        <f t="shared" si="14"/>
        <v>141000.00000000003</v>
      </c>
      <c r="U40" s="7">
        <v>8630</v>
      </c>
      <c r="V40" s="37">
        <f t="shared" si="15"/>
        <v>98.051851851851879</v>
      </c>
    </row>
    <row r="41" spans="1:22">
      <c r="A41" s="21">
        <v>8630</v>
      </c>
      <c r="B41" s="21">
        <v>10000</v>
      </c>
      <c r="C41" s="47">
        <v>141000</v>
      </c>
      <c r="D41" s="13">
        <v>42675</v>
      </c>
      <c r="E41" s="16">
        <f t="shared" si="4"/>
        <v>132370.00000000003</v>
      </c>
      <c r="F41" s="16">
        <f t="shared" si="4"/>
        <v>14566621.78940789</v>
      </c>
      <c r="G41" s="14">
        <f t="shared" si="4"/>
        <v>110.04473664280341</v>
      </c>
      <c r="H41" s="46">
        <f t="shared" si="27"/>
        <v>10085.763293310432</v>
      </c>
      <c r="I41" s="91">
        <f t="shared" si="28"/>
        <v>662260.9397359842</v>
      </c>
      <c r="J41" s="22">
        <f>VLOOKUP(D41,Data!$A$5:$V$197,8,FALSE)*5.83</f>
        <v>65.662946915999996</v>
      </c>
      <c r="K41" s="91">
        <f>VLOOKUP(D41,Data!$A$5:$V$197,21,FALSE)</f>
        <v>10085.763293310463</v>
      </c>
      <c r="L41" s="91">
        <f t="shared" si="8"/>
        <v>1078193.6994116795</v>
      </c>
      <c r="M41" s="14">
        <f t="shared" si="1"/>
        <v>106.90253856411721</v>
      </c>
      <c r="N41" s="15">
        <f t="shared" si="2"/>
        <v>132370</v>
      </c>
      <c r="O41" s="15">
        <f t="shared" si="2"/>
        <v>14150689.029732196</v>
      </c>
      <c r="P41" s="22">
        <f t="shared" si="3"/>
        <v>106.90253856411721</v>
      </c>
      <c r="Q41" s="31">
        <f t="shared" si="29"/>
        <v>130398.75102256236</v>
      </c>
      <c r="R41" s="31">
        <f t="shared" si="29"/>
        <v>15726959.282288313</v>
      </c>
      <c r="S41" s="32">
        <f t="shared" si="13"/>
        <v>120.60667114493407</v>
      </c>
      <c r="T41" s="31">
        <f t="shared" si="14"/>
        <v>141000</v>
      </c>
      <c r="U41" s="7">
        <v>8630</v>
      </c>
      <c r="V41" s="37">
        <f t="shared" si="15"/>
        <v>98.05185185185185</v>
      </c>
    </row>
    <row r="42" spans="1:22">
      <c r="A42" s="21">
        <v>8630</v>
      </c>
      <c r="B42" s="21">
        <v>10000</v>
      </c>
      <c r="C42" s="47">
        <v>141000</v>
      </c>
      <c r="D42" s="13">
        <v>42705</v>
      </c>
      <c r="E42" s="16">
        <f t="shared" si="4"/>
        <v>132370</v>
      </c>
      <c r="F42" s="16">
        <f t="shared" si="4"/>
        <v>14150689.029732196</v>
      </c>
      <c r="G42" s="14">
        <f t="shared" si="4"/>
        <v>106.90253856411721</v>
      </c>
      <c r="H42" s="46">
        <f t="shared" si="27"/>
        <v>0</v>
      </c>
      <c r="I42" s="91">
        <f t="shared" si="28"/>
        <v>0</v>
      </c>
      <c r="J42" s="22">
        <f>VLOOKUP(D42,Data!$A$5:$V$197,8,FALSE)*5.83</f>
        <v>66.486146915999981</v>
      </c>
      <c r="K42" s="91">
        <f>VLOOKUP(D42,Data!$A$5:$V$197,21,FALSE)</f>
        <v>9674.0994854202399</v>
      </c>
      <c r="L42" s="91">
        <f t="shared" si="8"/>
        <v>1034185.7933132437</v>
      </c>
      <c r="M42" s="14">
        <f t="shared" si="1"/>
        <v>106.90253856411721</v>
      </c>
      <c r="N42" s="15">
        <f t="shared" si="2"/>
        <v>122695.90051457976</v>
      </c>
      <c r="O42" s="15">
        <f t="shared" si="2"/>
        <v>13116503.236418951</v>
      </c>
      <c r="P42" s="22">
        <f t="shared" si="3"/>
        <v>106.90253856411721</v>
      </c>
      <c r="Q42" s="31">
        <f t="shared" si="29"/>
        <v>129546.66644676079</v>
      </c>
      <c r="R42" s="31">
        <f t="shared" si="29"/>
        <v>15428313.251243619</v>
      </c>
      <c r="S42" s="32">
        <f t="shared" si="13"/>
        <v>119.09463727948665</v>
      </c>
      <c r="T42" s="31">
        <f t="shared" si="14"/>
        <v>131325.90051457976</v>
      </c>
      <c r="U42" s="7">
        <v>8630</v>
      </c>
      <c r="V42" s="37">
        <f t="shared" si="15"/>
        <v>90.885852233022035</v>
      </c>
    </row>
    <row r="43" spans="1:22">
      <c r="A43" s="21">
        <v>8630</v>
      </c>
      <c r="B43" s="21">
        <v>10000</v>
      </c>
      <c r="C43" s="47">
        <v>141000</v>
      </c>
      <c r="D43" s="13">
        <v>42736</v>
      </c>
      <c r="E43" s="16">
        <f t="shared" si="4"/>
        <v>122695.90051457976</v>
      </c>
      <c r="F43" s="16">
        <f t="shared" si="4"/>
        <v>13116503.236418951</v>
      </c>
      <c r="G43" s="14">
        <f t="shared" si="4"/>
        <v>106.90253856411721</v>
      </c>
      <c r="H43" s="46">
        <f t="shared" si="27"/>
        <v>0</v>
      </c>
      <c r="I43" s="91">
        <f t="shared" si="28"/>
        <v>0</v>
      </c>
      <c r="J43" s="22">
        <f>VLOOKUP(D43,Data!$A$5:$V$197,8,FALSE)*5.83</f>
        <v>67.317746916000004</v>
      </c>
      <c r="K43" s="91">
        <f>VLOOKUP(D43,Data!$A$5:$V$197,21,FALSE)</f>
        <v>40.823327615780443</v>
      </c>
      <c r="L43" s="91">
        <f t="shared" si="8"/>
        <v>4364.1173547615599</v>
      </c>
      <c r="M43" s="14">
        <f t="shared" si="1"/>
        <v>106.90253856411721</v>
      </c>
      <c r="N43" s="15">
        <f t="shared" si="2"/>
        <v>122655.07718696397</v>
      </c>
      <c r="O43" s="15">
        <f t="shared" si="2"/>
        <v>13112139.119064189</v>
      </c>
      <c r="P43" s="22">
        <f t="shared" si="3"/>
        <v>106.90253856411721</v>
      </c>
      <c r="Q43" s="31">
        <f t="shared" si="29"/>
        <v>128693.4416149888</v>
      </c>
      <c r="R43" s="31">
        <f t="shared" si="29"/>
        <v>15129585.664248556</v>
      </c>
      <c r="S43" s="32">
        <f t="shared" si="13"/>
        <v>117.56298902559172</v>
      </c>
      <c r="T43" s="31">
        <f t="shared" si="14"/>
        <v>131285.07718696399</v>
      </c>
      <c r="U43" s="7">
        <v>8630</v>
      </c>
      <c r="V43" s="37">
        <f t="shared" si="15"/>
        <v>90.855612731084435</v>
      </c>
    </row>
    <row r="44" spans="1:22">
      <c r="A44" s="21">
        <v>8630</v>
      </c>
      <c r="B44" s="21">
        <v>10000</v>
      </c>
      <c r="C44" s="47">
        <v>141000</v>
      </c>
      <c r="D44" s="13">
        <v>42767</v>
      </c>
      <c r="E44" s="16">
        <f t="shared" si="4"/>
        <v>122655.07718696397</v>
      </c>
      <c r="F44" s="16">
        <f t="shared" si="4"/>
        <v>13112139.119064189</v>
      </c>
      <c r="G44" s="14">
        <f t="shared" si="4"/>
        <v>106.90253856411721</v>
      </c>
      <c r="H44" s="46">
        <f t="shared" si="27"/>
        <v>0</v>
      </c>
      <c r="I44" s="91">
        <f t="shared" si="28"/>
        <v>0</v>
      </c>
      <c r="J44" s="22">
        <f>VLOOKUP(D44,Data!$A$5:$V$197,8,FALSE)*5.83</f>
        <v>67.989746916000001</v>
      </c>
      <c r="K44" s="91">
        <f>VLOOKUP(D44,Data!$A$5:$V$197,21,FALSE)</f>
        <v>45.96912521440823</v>
      </c>
      <c r="L44" s="91">
        <f t="shared" si="8"/>
        <v>4914.216180992009</v>
      </c>
      <c r="M44" s="14">
        <f t="shared" si="1"/>
        <v>106.90253856411722</v>
      </c>
      <c r="N44" s="15">
        <f t="shared" si="2"/>
        <v>122609.10806174956</v>
      </c>
      <c r="O44" s="15">
        <f t="shared" si="2"/>
        <v>13107224.902883198</v>
      </c>
      <c r="P44" s="22">
        <f t="shared" si="3"/>
        <v>106.90253856411722</v>
      </c>
      <c r="Q44" s="31">
        <f t="shared" si="29"/>
        <v>127843.67370365484</v>
      </c>
      <c r="R44" s="31">
        <f t="shared" si="29"/>
        <v>14831368.681183275</v>
      </c>
      <c r="S44" s="32">
        <f t="shared" si="13"/>
        <v>116.0117528815919</v>
      </c>
      <c r="T44" s="31">
        <f t="shared" si="14"/>
        <v>131239.10806174955</v>
      </c>
      <c r="U44" s="7">
        <v>8630</v>
      </c>
      <c r="V44" s="37">
        <f t="shared" si="15"/>
        <v>90.821561527221888</v>
      </c>
    </row>
    <row r="45" spans="1:22">
      <c r="A45" s="21">
        <v>8630</v>
      </c>
      <c r="B45" s="21">
        <v>10000</v>
      </c>
      <c r="C45" s="47">
        <v>141000</v>
      </c>
      <c r="D45" s="13">
        <v>42795</v>
      </c>
      <c r="E45" s="16">
        <f t="shared" si="4"/>
        <v>122609.10806174956</v>
      </c>
      <c r="F45" s="16">
        <f t="shared" si="4"/>
        <v>13107224.902883198</v>
      </c>
      <c r="G45" s="14">
        <f t="shared" si="4"/>
        <v>106.90253856411722</v>
      </c>
      <c r="H45" s="46">
        <f t="shared" si="27"/>
        <v>16237.221269296751</v>
      </c>
      <c r="I45" s="91">
        <f t="shared" si="28"/>
        <v>1110443.2160050275</v>
      </c>
      <c r="J45" s="22">
        <f>VLOOKUP(D45,Data!$A$5:$V$197,8,FALSE)*5.83</f>
        <v>68.388746915999988</v>
      </c>
      <c r="K45" s="91">
        <f>VLOOKUP(D45,Data!$A$5:$V$197,21,FALSE)</f>
        <v>6476.3293310463123</v>
      </c>
      <c r="L45" s="91">
        <f t="shared" si="8"/>
        <v>663166.9810866866</v>
      </c>
      <c r="M45" s="14">
        <f t="shared" si="1"/>
        <v>102.39858833422632</v>
      </c>
      <c r="N45" s="15">
        <f t="shared" si="2"/>
        <v>132370</v>
      </c>
      <c r="O45" s="15">
        <f t="shared" si="2"/>
        <v>13554501.137801539</v>
      </c>
      <c r="P45" s="22">
        <f t="shared" si="3"/>
        <v>102.39858833422633</v>
      </c>
      <c r="Q45" s="31">
        <f t="shared" si="29"/>
        <v>127744.74363372478</v>
      </c>
      <c r="R45" s="31">
        <f t="shared" si="29"/>
        <v>14567557.562342478</v>
      </c>
      <c r="S45" s="32">
        <f t="shared" si="13"/>
        <v>114.03645385293665</v>
      </c>
      <c r="T45" s="31">
        <f t="shared" si="14"/>
        <v>141000</v>
      </c>
      <c r="U45" s="7">
        <v>8630</v>
      </c>
      <c r="V45" s="37">
        <f t="shared" si="15"/>
        <v>98.05185185185185</v>
      </c>
    </row>
    <row r="46" spans="1:22">
      <c r="A46" s="21">
        <v>8630</v>
      </c>
      <c r="B46" s="21">
        <v>10000</v>
      </c>
      <c r="C46" s="47">
        <v>141000</v>
      </c>
      <c r="D46" s="13">
        <v>42826</v>
      </c>
      <c r="E46" s="16">
        <f t="shared" si="4"/>
        <v>132370</v>
      </c>
      <c r="F46" s="16">
        <f t="shared" si="4"/>
        <v>13554501.137801539</v>
      </c>
      <c r="G46" s="14">
        <f t="shared" si="4"/>
        <v>102.39858833422633</v>
      </c>
      <c r="H46" s="46">
        <f t="shared" si="27"/>
        <v>0</v>
      </c>
      <c r="I46" s="91">
        <f t="shared" si="28"/>
        <v>0</v>
      </c>
      <c r="J46" s="22">
        <f>VLOOKUP(D46,Data!$A$5:$V$197,8,FALSE)*5.83</f>
        <v>68.422346915999995</v>
      </c>
      <c r="K46" s="91">
        <f>VLOOKUP(D46,Data!$A$5:$V$197,21,FALSE)</f>
        <v>8920.9262435677538</v>
      </c>
      <c r="L46" s="91">
        <f t="shared" si="8"/>
        <v>913490.25397509057</v>
      </c>
      <c r="M46" s="14">
        <f t="shared" si="1"/>
        <v>102.39858833422633</v>
      </c>
      <c r="N46" s="15">
        <f t="shared" si="2"/>
        <v>123449.07375643225</v>
      </c>
      <c r="O46" s="15">
        <f t="shared" si="2"/>
        <v>12641010.88382645</v>
      </c>
      <c r="P46" s="22">
        <f t="shared" si="3"/>
        <v>102.39858833422633</v>
      </c>
      <c r="Q46" s="31">
        <f t="shared" si="29"/>
        <v>127292.08615912389</v>
      </c>
      <c r="R46" s="31">
        <f t="shared" si="29"/>
        <v>14275729.355047373</v>
      </c>
      <c r="S46" s="32">
        <f t="shared" si="13"/>
        <v>112.14938638998913</v>
      </c>
      <c r="T46" s="31">
        <f t="shared" si="14"/>
        <v>132079.07375643225</v>
      </c>
      <c r="U46" s="7">
        <v>8630</v>
      </c>
      <c r="V46" s="37">
        <f t="shared" si="15"/>
        <v>91.443758338097965</v>
      </c>
    </row>
    <row r="47" spans="1:22">
      <c r="A47" s="21">
        <v>8630</v>
      </c>
      <c r="B47" s="21">
        <v>10000</v>
      </c>
      <c r="C47" s="47">
        <v>141000</v>
      </c>
      <c r="D47" s="13">
        <v>42856</v>
      </c>
      <c r="E47" s="16">
        <f t="shared" si="4"/>
        <v>123449.07375643225</v>
      </c>
      <c r="F47" s="16">
        <f t="shared" si="4"/>
        <v>12641010.88382645</v>
      </c>
      <c r="G47" s="14">
        <f t="shared" si="4"/>
        <v>102.39858833422633</v>
      </c>
      <c r="H47" s="46">
        <f t="shared" si="27"/>
        <v>17773.927958833618</v>
      </c>
      <c r="I47" s="91">
        <f t="shared" si="28"/>
        <v>1222927.0601251717</v>
      </c>
      <c r="J47" s="22">
        <f>VLOOKUP(D47,Data!$A$5:$V$197,8,FALSE)*5.83</f>
        <v>68.804546915999993</v>
      </c>
      <c r="K47" s="91">
        <f>VLOOKUP(D47,Data!$A$5:$V$197,21,FALSE)</f>
        <v>8853.0017152658656</v>
      </c>
      <c r="L47" s="91">
        <f t="shared" si="8"/>
        <v>869103.93425574386</v>
      </c>
      <c r="M47" s="14">
        <f t="shared" si="1"/>
        <v>98.170537204018117</v>
      </c>
      <c r="N47" s="15">
        <f t="shared" si="2"/>
        <v>132370</v>
      </c>
      <c r="O47" s="15">
        <f t="shared" si="2"/>
        <v>12994834.009695878</v>
      </c>
      <c r="P47" s="22">
        <f t="shared" si="3"/>
        <v>98.170537204018117</v>
      </c>
      <c r="Q47" s="31">
        <f t="shared" si="29"/>
        <v>127953.15081145268</v>
      </c>
      <c r="R47" s="31">
        <f t="shared" si="29"/>
        <v>14065441.530364435</v>
      </c>
      <c r="S47" s="32">
        <f t="shared" si="13"/>
        <v>109.92649607426065</v>
      </c>
      <c r="T47" s="31">
        <f t="shared" si="14"/>
        <v>141000</v>
      </c>
      <c r="U47" s="7">
        <v>8630</v>
      </c>
      <c r="V47" s="37">
        <f t="shared" si="15"/>
        <v>98.05185185185185</v>
      </c>
    </row>
    <row r="48" spans="1:22">
      <c r="A48" s="21">
        <v>8630</v>
      </c>
      <c r="B48" s="21">
        <v>10000</v>
      </c>
      <c r="C48" s="47">
        <v>141000</v>
      </c>
      <c r="D48" s="13">
        <v>42887</v>
      </c>
      <c r="E48" s="16">
        <f t="shared" si="4"/>
        <v>132370</v>
      </c>
      <c r="F48" s="16">
        <f t="shared" si="4"/>
        <v>12994834.009695878</v>
      </c>
      <c r="G48" s="14">
        <f t="shared" si="4"/>
        <v>98.170537204018117</v>
      </c>
      <c r="H48" s="46">
        <f t="shared" si="27"/>
        <v>0</v>
      </c>
      <c r="I48" s="91">
        <f t="shared" si="28"/>
        <v>0</v>
      </c>
      <c r="J48" s="22">
        <f>VLOOKUP(D48,Data!$A$5:$V$197,8,FALSE)*5.83</f>
        <v>69.316946915999992</v>
      </c>
      <c r="K48" s="91">
        <f>VLOOKUP(D48,Data!$A$5:$V$197,21,FALSE)</f>
        <v>845.28301886792451</v>
      </c>
      <c r="L48" s="91">
        <f t="shared" si="8"/>
        <v>82981.888051698334</v>
      </c>
      <c r="M48" s="14">
        <f t="shared" ref="M48:M54" si="30">IF(K48=0,0,L48/K48)</f>
        <v>98.170537204018117</v>
      </c>
      <c r="N48" s="15">
        <f t="shared" si="2"/>
        <v>131524.71698113208</v>
      </c>
      <c r="O48" s="15">
        <f t="shared" si="2"/>
        <v>12911852.12164418</v>
      </c>
      <c r="P48" s="22">
        <f t="shared" si="3"/>
        <v>98.170537204018117</v>
      </c>
      <c r="Q48" s="31">
        <f t="shared" si="29"/>
        <v>127888.12904077054</v>
      </c>
      <c r="R48" s="31">
        <f t="shared" si="29"/>
        <v>13836069.988740351</v>
      </c>
      <c r="S48" s="32">
        <f t="shared" si="13"/>
        <v>108.18885296483955</v>
      </c>
      <c r="T48" s="31">
        <f t="shared" si="14"/>
        <v>140154.71698113208</v>
      </c>
      <c r="U48" s="7">
        <v>8630</v>
      </c>
      <c r="V48" s="37">
        <f t="shared" si="15"/>
        <v>97.425716282320053</v>
      </c>
    </row>
    <row r="49" spans="1:22">
      <c r="A49" s="21">
        <v>8630</v>
      </c>
      <c r="B49" s="21">
        <v>10000</v>
      </c>
      <c r="C49" s="47">
        <v>141000</v>
      </c>
      <c r="D49" s="13">
        <v>42917</v>
      </c>
      <c r="E49" s="16">
        <f t="shared" ref="E49:G54" si="31">N48</f>
        <v>131524.71698113208</v>
      </c>
      <c r="F49" s="16">
        <f t="shared" si="31"/>
        <v>12911852.12164418</v>
      </c>
      <c r="G49" s="14">
        <f t="shared" si="31"/>
        <v>98.170537204018117</v>
      </c>
      <c r="H49" s="46">
        <f t="shared" si="27"/>
        <v>0</v>
      </c>
      <c r="I49" s="91">
        <f t="shared" si="28"/>
        <v>0</v>
      </c>
      <c r="J49" s="22">
        <f>VLOOKUP(D49,Data!$A$5:$V$197,8,FALSE)*5.83</f>
        <v>69.993146916000001</v>
      </c>
      <c r="K49" s="91">
        <f>VLOOKUP(D49,Data!$A$5:$V$197,21,FALSE)</f>
        <v>385.24871355060031</v>
      </c>
      <c r="L49" s="91">
        <f t="shared" si="8"/>
        <v>37820.07316641933</v>
      </c>
      <c r="M49" s="14">
        <f t="shared" si="30"/>
        <v>98.170537204018132</v>
      </c>
      <c r="N49" s="15">
        <f t="shared" si="2"/>
        <v>131139.46826758148</v>
      </c>
      <c r="O49" s="15">
        <f t="shared" si="2"/>
        <v>12874032.048477761</v>
      </c>
      <c r="P49" s="22">
        <f t="shared" si="3"/>
        <v>98.170537204018117</v>
      </c>
      <c r="Q49" s="31">
        <f t="shared" ref="Q49:R54" si="32">AVERAGE(N37:N49)</f>
        <v>128157.63689141047</v>
      </c>
      <c r="R49" s="31">
        <f t="shared" si="32"/>
        <v>13647514.443478974</v>
      </c>
      <c r="S49" s="32">
        <f t="shared" si="13"/>
        <v>106.49006001134899</v>
      </c>
      <c r="T49" s="31">
        <f t="shared" si="14"/>
        <v>139769.46826758148</v>
      </c>
      <c r="U49" s="7">
        <v>8630</v>
      </c>
      <c r="V49" s="37">
        <f t="shared" si="15"/>
        <v>97.14034686487517</v>
      </c>
    </row>
    <row r="50" spans="1:22">
      <c r="A50" s="21">
        <v>8630</v>
      </c>
      <c r="B50" s="21">
        <v>10000</v>
      </c>
      <c r="C50" s="47">
        <v>141000</v>
      </c>
      <c r="D50" s="13">
        <v>42948</v>
      </c>
      <c r="E50" s="16">
        <f t="shared" si="31"/>
        <v>131139.46826758148</v>
      </c>
      <c r="F50" s="16">
        <f t="shared" si="31"/>
        <v>12874032.048477761</v>
      </c>
      <c r="G50" s="14">
        <f t="shared" si="31"/>
        <v>98.170537204018117</v>
      </c>
      <c r="H50" s="46">
        <f t="shared" si="27"/>
        <v>0</v>
      </c>
      <c r="I50" s="91">
        <f t="shared" si="28"/>
        <v>0</v>
      </c>
      <c r="J50" s="22">
        <f>VLOOKUP(D50,Data!$A$5:$V$197,8,FALSE)*5.83</f>
        <v>70.681946916000001</v>
      </c>
      <c r="K50" s="91">
        <f>VLOOKUP(D50,Data!$A$5:$V$197,21,FALSE)</f>
        <v>3121.6123499142368</v>
      </c>
      <c r="L50" s="91">
        <f t="shared" si="8"/>
        <v>306450.36133377801</v>
      </c>
      <c r="M50" s="14">
        <f t="shared" si="30"/>
        <v>98.170537204018117</v>
      </c>
      <c r="N50" s="15">
        <f t="shared" si="2"/>
        <v>128017.85591766724</v>
      </c>
      <c r="O50" s="15">
        <f t="shared" si="2"/>
        <v>12567581.687143983</v>
      </c>
      <c r="P50" s="22">
        <f t="shared" si="3"/>
        <v>98.170537204018117</v>
      </c>
      <c r="Q50" s="31">
        <f t="shared" si="32"/>
        <v>128551.18485288297</v>
      </c>
      <c r="R50" s="31">
        <f t="shared" si="32"/>
        <v>13479111.026259739</v>
      </c>
      <c r="S50" s="32">
        <f t="shared" si="13"/>
        <v>104.85403959275486</v>
      </c>
      <c r="T50" s="31">
        <f t="shared" si="14"/>
        <v>136647.85591766724</v>
      </c>
      <c r="U50" s="7">
        <v>8630</v>
      </c>
      <c r="V50" s="37">
        <f t="shared" si="15"/>
        <v>94.828041420494259</v>
      </c>
    </row>
    <row r="51" spans="1:22">
      <c r="A51" s="21">
        <v>8630</v>
      </c>
      <c r="B51" s="21">
        <v>10000</v>
      </c>
      <c r="C51" s="47">
        <v>141000</v>
      </c>
      <c r="D51" s="13">
        <v>42979</v>
      </c>
      <c r="E51" s="16">
        <f t="shared" si="31"/>
        <v>128017.85591766724</v>
      </c>
      <c r="F51" s="16">
        <f t="shared" si="31"/>
        <v>12567581.687143983</v>
      </c>
      <c r="G51" s="14">
        <f t="shared" si="31"/>
        <v>98.170537204018117</v>
      </c>
      <c r="H51" s="46">
        <f t="shared" si="27"/>
        <v>0</v>
      </c>
      <c r="I51" s="91">
        <f t="shared" si="28"/>
        <v>0</v>
      </c>
      <c r="J51" s="22">
        <f>VLOOKUP(D51,Data!$A$5:$V$197,8,FALSE)*5.83</f>
        <v>71.395946916</v>
      </c>
      <c r="K51" s="91">
        <f>VLOOKUP(D51,Data!$A$5:$V$197,21,FALSE)</f>
        <v>3923.4991423670667</v>
      </c>
      <c r="L51" s="91">
        <f t="shared" si="8"/>
        <v>385172.0185256793</v>
      </c>
      <c r="M51" s="14">
        <f t="shared" si="30"/>
        <v>98.170537204018117</v>
      </c>
      <c r="N51" s="15">
        <f t="shared" si="2"/>
        <v>124094.35677530017</v>
      </c>
      <c r="O51" s="15">
        <f t="shared" si="2"/>
        <v>12182409.668618305</v>
      </c>
      <c r="P51" s="22">
        <f t="shared" si="3"/>
        <v>98.170537204018132</v>
      </c>
      <c r="Q51" s="31">
        <f t="shared" si="32"/>
        <v>127914.59691252143</v>
      </c>
      <c r="R51" s="31">
        <f t="shared" si="32"/>
        <v>13253957.081844449</v>
      </c>
      <c r="S51" s="32">
        <f t="shared" si="13"/>
        <v>103.61567328323443</v>
      </c>
      <c r="T51" s="31">
        <f t="shared" si="14"/>
        <v>132724.35677530017</v>
      </c>
      <c r="U51" s="7">
        <v>8630</v>
      </c>
      <c r="V51" s="37">
        <f t="shared" si="15"/>
        <v>91.92174575948161</v>
      </c>
    </row>
    <row r="52" spans="1:22">
      <c r="A52" s="21">
        <v>8630</v>
      </c>
      <c r="B52" s="21">
        <v>10000</v>
      </c>
      <c r="C52" s="47">
        <v>141000</v>
      </c>
      <c r="D52" s="13">
        <v>43009</v>
      </c>
      <c r="E52" s="16">
        <f t="shared" si="31"/>
        <v>124094.35677530017</v>
      </c>
      <c r="F52" s="16">
        <f t="shared" si="31"/>
        <v>12182409.668618305</v>
      </c>
      <c r="G52" s="14">
        <f t="shared" si="31"/>
        <v>98.170537204018132</v>
      </c>
      <c r="H52" s="46">
        <f t="shared" si="27"/>
        <v>0</v>
      </c>
      <c r="I52" s="91">
        <f t="shared" si="28"/>
        <v>0</v>
      </c>
      <c r="J52" s="22">
        <f>VLOOKUP(D52,Data!$A$5:$V$197,8,FALSE)*5.83</f>
        <v>72.109946915999984</v>
      </c>
      <c r="K52" s="91">
        <f>VLOOKUP(D52,Data!$A$5:$V$197,21,FALSE)</f>
        <v>387.13550600343052</v>
      </c>
      <c r="L52" s="91">
        <f t="shared" si="8"/>
        <v>38005.300595106164</v>
      </c>
      <c r="M52" s="14">
        <f t="shared" si="30"/>
        <v>98.170537204018146</v>
      </c>
      <c r="N52" s="15">
        <f t="shared" si="2"/>
        <v>123707.22126929674</v>
      </c>
      <c r="O52" s="15">
        <f t="shared" si="2"/>
        <v>12144404.368023198</v>
      </c>
      <c r="P52" s="22">
        <f t="shared" si="3"/>
        <v>98.170537204018117</v>
      </c>
      <c r="Q52" s="31">
        <f t="shared" si="32"/>
        <v>127644.0599023618</v>
      </c>
      <c r="R52" s="31">
        <f t="shared" si="32"/>
        <v>13071061.846364439</v>
      </c>
      <c r="S52" s="32">
        <f t="shared" si="13"/>
        <v>102.40242950876701</v>
      </c>
      <c r="T52" s="31">
        <f t="shared" si="14"/>
        <v>132337.22126929674</v>
      </c>
      <c r="U52" s="7">
        <v>8630</v>
      </c>
      <c r="V52" s="37">
        <f t="shared" si="15"/>
        <v>91.634978717997583</v>
      </c>
    </row>
    <row r="53" spans="1:22">
      <c r="A53" s="21">
        <v>8630</v>
      </c>
      <c r="B53" s="21">
        <v>10000</v>
      </c>
      <c r="C53" s="47">
        <v>141000</v>
      </c>
      <c r="D53" s="13">
        <v>43040</v>
      </c>
      <c r="E53" s="16">
        <f t="shared" si="31"/>
        <v>123707.22126929674</v>
      </c>
      <c r="F53" s="16">
        <f t="shared" si="31"/>
        <v>12144404.368023198</v>
      </c>
      <c r="G53" s="14">
        <f t="shared" si="31"/>
        <v>98.170537204018117</v>
      </c>
      <c r="H53" s="46">
        <f t="shared" si="27"/>
        <v>0</v>
      </c>
      <c r="I53" s="91">
        <f t="shared" si="28"/>
        <v>0</v>
      </c>
      <c r="J53" s="22">
        <f>VLOOKUP(D53,Data!$A$5:$V$197,8,FALSE)*5.83</f>
        <v>72.697946915999992</v>
      </c>
      <c r="K53" s="91">
        <f>VLOOKUP(D53,Data!$A$5:$V$197,21,FALSE)</f>
        <v>824.87135506003426</v>
      </c>
      <c r="L53" s="91">
        <f t="shared" si="8"/>
        <v>80978.064050449932</v>
      </c>
      <c r="M53" s="14">
        <f t="shared" si="30"/>
        <v>98.170537204018117</v>
      </c>
      <c r="N53" s="15">
        <f t="shared" si="2"/>
        <v>122882.34991423671</v>
      </c>
      <c r="O53" s="15">
        <f t="shared" si="2"/>
        <v>12063426.303972749</v>
      </c>
      <c r="P53" s="22">
        <f t="shared" si="3"/>
        <v>98.170537204018132</v>
      </c>
      <c r="Q53" s="31">
        <f t="shared" si="32"/>
        <v>126914.24066499538</v>
      </c>
      <c r="R53" s="31">
        <f t="shared" si="32"/>
        <v>12878508.34748481</v>
      </c>
      <c r="S53" s="32">
        <f t="shared" si="13"/>
        <v>101.47409999071029</v>
      </c>
      <c r="T53" s="31">
        <f t="shared" si="14"/>
        <v>131512.34991423669</v>
      </c>
      <c r="U53" s="7">
        <v>8630</v>
      </c>
      <c r="V53" s="37">
        <f t="shared" si="15"/>
        <v>91.023962899434594</v>
      </c>
    </row>
    <row r="54" spans="1:22">
      <c r="A54" s="21">
        <v>8630</v>
      </c>
      <c r="B54" s="21">
        <v>10000</v>
      </c>
      <c r="C54" s="47">
        <v>141000</v>
      </c>
      <c r="D54" s="13">
        <v>43070</v>
      </c>
      <c r="E54" s="16">
        <f t="shared" si="31"/>
        <v>122882.34991423671</v>
      </c>
      <c r="F54" s="16">
        <f t="shared" si="31"/>
        <v>12063426.303972749</v>
      </c>
      <c r="G54" s="14">
        <f t="shared" si="31"/>
        <v>98.170537204018132</v>
      </c>
      <c r="H54" s="46">
        <f t="shared" si="27"/>
        <v>0</v>
      </c>
      <c r="I54" s="91">
        <f t="shared" si="28"/>
        <v>0</v>
      </c>
      <c r="J54" s="22">
        <f>VLOOKUP(D54,Data!$A$5:$V$197,8,FALSE)*5.83</f>
        <v>73.201946915999983</v>
      </c>
      <c r="K54" s="91">
        <f>VLOOKUP(D54,Data!$A$5:$V$197,21,FALSE)</f>
        <v>0</v>
      </c>
      <c r="L54" s="91">
        <f t="shared" si="8"/>
        <v>0</v>
      </c>
      <c r="M54" s="14">
        <f t="shared" si="30"/>
        <v>0</v>
      </c>
      <c r="N54" s="15">
        <f t="shared" si="2"/>
        <v>122882.34991423671</v>
      </c>
      <c r="O54" s="15">
        <f t="shared" si="2"/>
        <v>12063426.303972749</v>
      </c>
      <c r="P54" s="22">
        <f t="shared" si="3"/>
        <v>98.170537204018132</v>
      </c>
      <c r="Q54" s="31">
        <f t="shared" si="32"/>
        <v>126184.42142762896</v>
      </c>
      <c r="R54" s="31">
        <f t="shared" si="32"/>
        <v>12717949.676272549</v>
      </c>
      <c r="S54" s="32">
        <f t="shared" si="13"/>
        <v>100.788588102904</v>
      </c>
      <c r="T54" s="31">
        <f t="shared" si="14"/>
        <v>131512.34991423669</v>
      </c>
      <c r="U54" s="7">
        <v>8630</v>
      </c>
      <c r="V54" s="37">
        <f t="shared" si="15"/>
        <v>91.023962899434594</v>
      </c>
    </row>
    <row r="55" spans="1:22">
      <c r="A55" s="21">
        <v>8630</v>
      </c>
      <c r="B55" s="21">
        <v>10000</v>
      </c>
      <c r="C55" s="47">
        <v>141000</v>
      </c>
      <c r="D55" s="13">
        <v>43101</v>
      </c>
      <c r="E55" s="16">
        <f t="shared" ref="E55:E66" si="33">N54</f>
        <v>122882.34991423671</v>
      </c>
      <c r="F55" s="16">
        <f t="shared" ref="F55:F66" si="34">O54</f>
        <v>12063426.303972749</v>
      </c>
      <c r="G55" s="14">
        <f t="shared" ref="G55:G66" si="35">P54</f>
        <v>98.170537204018132</v>
      </c>
      <c r="H55" s="46">
        <f t="shared" si="27"/>
        <v>0</v>
      </c>
      <c r="I55" s="91">
        <f t="shared" si="28"/>
        <v>0</v>
      </c>
      <c r="J55" s="22">
        <f>VLOOKUP(D55,Data!$A$5:$V$197,8,FALSE)*5.83</f>
        <v>73.726946916000003</v>
      </c>
      <c r="K55" s="91">
        <f>VLOOKUP(D55,Data!$A$5:$V$197,21,FALSE)</f>
        <v>0</v>
      </c>
      <c r="L55" s="91">
        <f t="shared" si="8"/>
        <v>0</v>
      </c>
      <c r="M55" s="14">
        <f t="shared" ref="M55:M66" si="36">IF(K55=0,0,L55/K55)</f>
        <v>0</v>
      </c>
      <c r="N55" s="15">
        <f t="shared" ref="N55:N66" si="37">+E55+H55-K55</f>
        <v>122882.34991423671</v>
      </c>
      <c r="O55" s="15">
        <f t="shared" ref="O55:O66" si="38">+F55+I55-L55</f>
        <v>12063426.303972749</v>
      </c>
      <c r="P55" s="22">
        <f t="shared" ref="P55:P66" si="39">IF(N55=0,0,O55/N55)</f>
        <v>98.170537204018132</v>
      </c>
      <c r="Q55" s="31">
        <f t="shared" ref="Q55:Q66" si="40">AVERAGE(N43:N55)</f>
        <v>126198.76368914104</v>
      </c>
      <c r="R55" s="31">
        <f t="shared" ref="R55:R66" si="41">AVERAGE(O43:O55)</f>
        <v>12636943.758392073</v>
      </c>
      <c r="S55" s="32">
        <f t="shared" ref="S55:S66" si="42">IF(Q55=0,0,R55/Q55)</f>
        <v>100.1352421289959</v>
      </c>
      <c r="T55" s="31">
        <f t="shared" si="14"/>
        <v>131512.34991423669</v>
      </c>
      <c r="U55" s="7">
        <v>8630</v>
      </c>
      <c r="V55" s="37">
        <f t="shared" si="15"/>
        <v>91.023962899434594</v>
      </c>
    </row>
    <row r="56" spans="1:22">
      <c r="A56" s="21">
        <v>8630</v>
      </c>
      <c r="B56" s="21">
        <v>10000</v>
      </c>
      <c r="C56" s="47">
        <v>141000</v>
      </c>
      <c r="D56" s="13">
        <v>43132</v>
      </c>
      <c r="E56" s="16">
        <f t="shared" si="33"/>
        <v>122882.34991423671</v>
      </c>
      <c r="F56" s="16">
        <f t="shared" si="34"/>
        <v>12063426.303972749</v>
      </c>
      <c r="G56" s="14">
        <f t="shared" si="35"/>
        <v>98.170537204018132</v>
      </c>
      <c r="H56" s="46">
        <f t="shared" si="27"/>
        <v>0</v>
      </c>
      <c r="I56" s="91">
        <f t="shared" si="28"/>
        <v>0</v>
      </c>
      <c r="J56" s="22">
        <f>VLOOKUP(D56,Data!$A$5:$V$197,8,FALSE)*5.83</f>
        <v>73.999946915999985</v>
      </c>
      <c r="K56" s="91">
        <f>VLOOKUP(D56,Data!$A$5:$V$197,21,FALSE)</f>
        <v>0</v>
      </c>
      <c r="L56" s="91">
        <f t="shared" si="8"/>
        <v>0</v>
      </c>
      <c r="M56" s="14">
        <f t="shared" si="36"/>
        <v>0</v>
      </c>
      <c r="N56" s="15">
        <f t="shared" si="37"/>
        <v>122882.34991423671</v>
      </c>
      <c r="O56" s="15">
        <f t="shared" si="38"/>
        <v>12063426.303972749</v>
      </c>
      <c r="P56" s="22">
        <f t="shared" si="39"/>
        <v>98.170537204018132</v>
      </c>
      <c r="Q56" s="31">
        <f t="shared" si="40"/>
        <v>126216.24620662356</v>
      </c>
      <c r="R56" s="31">
        <f t="shared" si="41"/>
        <v>12556273.541846577</v>
      </c>
      <c r="S56" s="32">
        <f t="shared" si="42"/>
        <v>99.48222926303167</v>
      </c>
      <c r="T56" s="31">
        <f t="shared" si="14"/>
        <v>131512.34991423669</v>
      </c>
      <c r="U56" s="7">
        <v>8630</v>
      </c>
      <c r="V56" s="37">
        <f t="shared" si="15"/>
        <v>91.023962899434594</v>
      </c>
    </row>
    <row r="57" spans="1:22">
      <c r="A57" s="21">
        <v>8630</v>
      </c>
      <c r="B57" s="21">
        <v>10000</v>
      </c>
      <c r="C57" s="47">
        <v>141000</v>
      </c>
      <c r="D57" s="13">
        <v>43160</v>
      </c>
      <c r="E57" s="16">
        <f t="shared" si="33"/>
        <v>122882.34991423671</v>
      </c>
      <c r="F57" s="16">
        <f t="shared" si="34"/>
        <v>12063426.303972749</v>
      </c>
      <c r="G57" s="14">
        <f t="shared" si="35"/>
        <v>98.170537204018132</v>
      </c>
      <c r="H57" s="46">
        <f t="shared" si="27"/>
        <v>0</v>
      </c>
      <c r="I57" s="91">
        <f t="shared" si="28"/>
        <v>0</v>
      </c>
      <c r="J57" s="22">
        <f>VLOOKUP(D57,Data!$A$5:$V$197,8,FALSE)*5.83</f>
        <v>73.978946915999984</v>
      </c>
      <c r="K57" s="91">
        <f>VLOOKUP(D57,Data!$A$5:$V$197,21,FALSE)</f>
        <v>0</v>
      </c>
      <c r="L57" s="91">
        <f t="shared" si="8"/>
        <v>0</v>
      </c>
      <c r="M57" s="14">
        <f t="shared" si="36"/>
        <v>0</v>
      </c>
      <c r="N57" s="15">
        <f t="shared" si="37"/>
        <v>122882.34991423671</v>
      </c>
      <c r="O57" s="15">
        <f t="shared" si="38"/>
        <v>12063426.303972749</v>
      </c>
      <c r="P57" s="22">
        <f t="shared" si="39"/>
        <v>98.170537204018132</v>
      </c>
      <c r="Q57" s="31">
        <f t="shared" si="40"/>
        <v>126237.26481066103</v>
      </c>
      <c r="R57" s="31">
        <f t="shared" si="41"/>
        <v>12475981.341930389</v>
      </c>
      <c r="S57" s="32">
        <f t="shared" si="42"/>
        <v>98.829623413044388</v>
      </c>
      <c r="T57" s="31">
        <f t="shared" si="14"/>
        <v>131512.34991423669</v>
      </c>
      <c r="U57" s="7">
        <v>8630</v>
      </c>
      <c r="V57" s="37">
        <f t="shared" si="15"/>
        <v>91.023962899434594</v>
      </c>
    </row>
    <row r="58" spans="1:22">
      <c r="A58" s="21">
        <v>8630</v>
      </c>
      <c r="B58" s="21">
        <v>10000</v>
      </c>
      <c r="C58" s="47">
        <v>141000</v>
      </c>
      <c r="D58" s="13">
        <v>43191</v>
      </c>
      <c r="E58" s="16">
        <f t="shared" si="33"/>
        <v>122882.34991423671</v>
      </c>
      <c r="F58" s="16">
        <f t="shared" si="34"/>
        <v>12063426.303972749</v>
      </c>
      <c r="G58" s="14">
        <f t="shared" si="35"/>
        <v>98.170537204018132</v>
      </c>
      <c r="H58" s="46">
        <f t="shared" si="27"/>
        <v>0</v>
      </c>
      <c r="I58" s="91">
        <f t="shared" si="28"/>
        <v>0</v>
      </c>
      <c r="J58" s="22">
        <f>VLOOKUP(D58,Data!$A$5:$V$197,8,FALSE)*5.83</f>
        <v>73.810946915999992</v>
      </c>
      <c r="K58" s="91">
        <f>VLOOKUP(D58,Data!$A$5:$V$197,21,FALSE)</f>
        <v>0</v>
      </c>
      <c r="L58" s="91">
        <f t="shared" si="8"/>
        <v>0</v>
      </c>
      <c r="M58" s="14">
        <f t="shared" si="36"/>
        <v>0</v>
      </c>
      <c r="N58" s="15">
        <f t="shared" si="37"/>
        <v>122882.34991423671</v>
      </c>
      <c r="O58" s="15">
        <f t="shared" si="38"/>
        <v>12063426.303972749</v>
      </c>
      <c r="P58" s="22">
        <f t="shared" si="39"/>
        <v>98.170537204018132</v>
      </c>
      <c r="Q58" s="31">
        <f t="shared" si="40"/>
        <v>125507.44557329462</v>
      </c>
      <c r="R58" s="31">
        <f t="shared" si="41"/>
        <v>12361283.277789712</v>
      </c>
      <c r="S58" s="32">
        <f t="shared" si="42"/>
        <v>98.490437928408738</v>
      </c>
      <c r="T58" s="31">
        <f t="shared" si="14"/>
        <v>131512.34991423669</v>
      </c>
      <c r="U58" s="7">
        <v>8630</v>
      </c>
      <c r="V58" s="37">
        <f t="shared" si="15"/>
        <v>91.023962899434594</v>
      </c>
    </row>
    <row r="59" spans="1:22">
      <c r="A59" s="21">
        <v>8630</v>
      </c>
      <c r="B59" s="21">
        <v>10000</v>
      </c>
      <c r="C59" s="47">
        <v>141000</v>
      </c>
      <c r="D59" s="13">
        <v>43221</v>
      </c>
      <c r="E59" s="16">
        <f t="shared" si="33"/>
        <v>122882.34991423671</v>
      </c>
      <c r="F59" s="16">
        <f t="shared" si="34"/>
        <v>12063426.303972749</v>
      </c>
      <c r="G59" s="14">
        <f t="shared" si="35"/>
        <v>98.170537204018132</v>
      </c>
      <c r="H59" s="46">
        <f t="shared" si="27"/>
        <v>11675.471698113208</v>
      </c>
      <c r="I59" s="91">
        <f t="shared" si="28"/>
        <v>866190.95003058109</v>
      </c>
      <c r="J59" s="22">
        <f>VLOOKUP(D59,Data!$A$5:$V$197,8,FALSE)*5.83</f>
        <v>74.188946915999992</v>
      </c>
      <c r="K59" s="91">
        <f>VLOOKUP(D59,Data!$A$5:$V$197,21,FALSE)</f>
        <v>2187.8216123499142</v>
      </c>
      <c r="L59" s="91">
        <f t="shared" si="8"/>
        <v>210227.06616948196</v>
      </c>
      <c r="M59" s="14">
        <f t="shared" si="36"/>
        <v>96.089674305611908</v>
      </c>
      <c r="N59" s="15">
        <f t="shared" si="37"/>
        <v>132370</v>
      </c>
      <c r="O59" s="15">
        <f t="shared" si="38"/>
        <v>12719390.187833849</v>
      </c>
      <c r="P59" s="22">
        <f t="shared" si="39"/>
        <v>96.089674305611922</v>
      </c>
      <c r="Q59" s="31">
        <f t="shared" si="40"/>
        <v>126193.67066895367</v>
      </c>
      <c r="R59" s="31">
        <f t="shared" si="41"/>
        <v>12367312.45502105</v>
      </c>
      <c r="S59" s="32">
        <f t="shared" si="42"/>
        <v>98.002636657304819</v>
      </c>
      <c r="T59" s="31">
        <f t="shared" si="14"/>
        <v>141000</v>
      </c>
      <c r="U59" s="7">
        <v>8630</v>
      </c>
      <c r="V59" s="37">
        <f t="shared" si="15"/>
        <v>98.05185185185185</v>
      </c>
    </row>
    <row r="60" spans="1:22">
      <c r="A60" s="21">
        <v>8630</v>
      </c>
      <c r="B60" s="21">
        <v>10000</v>
      </c>
      <c r="C60" s="47">
        <v>141000</v>
      </c>
      <c r="D60" s="13">
        <v>43252</v>
      </c>
      <c r="E60" s="16">
        <f t="shared" si="33"/>
        <v>132370</v>
      </c>
      <c r="F60" s="16">
        <f t="shared" si="34"/>
        <v>12719390.187833849</v>
      </c>
      <c r="G60" s="14">
        <f t="shared" si="35"/>
        <v>96.089674305611922</v>
      </c>
      <c r="H60" s="46">
        <f t="shared" si="27"/>
        <v>0</v>
      </c>
      <c r="I60" s="91">
        <f t="shared" si="28"/>
        <v>0</v>
      </c>
      <c r="J60" s="22">
        <f>VLOOKUP(D60,Data!$A$5:$V$197,8,FALSE)*5.83</f>
        <v>74.629946915999994</v>
      </c>
      <c r="K60" s="91">
        <f>VLOOKUP(D60,Data!$A$5:$V$197,21,FALSE)</f>
        <v>38.593481989708401</v>
      </c>
      <c r="L60" s="91">
        <f t="shared" si="8"/>
        <v>3708.4351147105799</v>
      </c>
      <c r="M60" s="14">
        <f t="shared" si="36"/>
        <v>96.089674305611922</v>
      </c>
      <c r="N60" s="15">
        <f t="shared" si="37"/>
        <v>132331.40651801028</v>
      </c>
      <c r="O60" s="15">
        <f t="shared" si="38"/>
        <v>12715681.75271914</v>
      </c>
      <c r="P60" s="22">
        <f t="shared" si="39"/>
        <v>96.089674305611936</v>
      </c>
      <c r="Q60" s="31">
        <f t="shared" si="40"/>
        <v>126190.70193956986</v>
      </c>
      <c r="R60" s="31">
        <f t="shared" si="41"/>
        <v>12345839.204484377</v>
      </c>
      <c r="S60" s="32">
        <f t="shared" si="42"/>
        <v>97.834777164458174</v>
      </c>
      <c r="T60" s="31">
        <f t="shared" si="14"/>
        <v>140961.40651801028</v>
      </c>
      <c r="U60" s="7">
        <v>8630</v>
      </c>
      <c r="V60" s="37">
        <f t="shared" si="15"/>
        <v>98.023264087415015</v>
      </c>
    </row>
    <row r="61" spans="1:22">
      <c r="A61" s="21">
        <v>8630</v>
      </c>
      <c r="B61" s="21">
        <v>10000</v>
      </c>
      <c r="C61" s="47">
        <v>141000</v>
      </c>
      <c r="D61" s="13">
        <v>43282</v>
      </c>
      <c r="E61" s="16">
        <f t="shared" si="33"/>
        <v>132331.40651801028</v>
      </c>
      <c r="F61" s="16">
        <f t="shared" si="34"/>
        <v>12715681.75271914</v>
      </c>
      <c r="G61" s="14">
        <f t="shared" si="35"/>
        <v>96.089674305611936</v>
      </c>
      <c r="H61" s="46">
        <f t="shared" si="27"/>
        <v>0</v>
      </c>
      <c r="I61" s="91">
        <f t="shared" si="28"/>
        <v>0</v>
      </c>
      <c r="J61" s="22">
        <f>VLOOKUP(D61,Data!$A$5:$V$197,8,FALSE)*5.83</f>
        <v>75.175946915999987</v>
      </c>
      <c r="K61" s="91">
        <f>VLOOKUP(D61,Data!$A$5:$V$197,21,FALSE)</f>
        <v>0</v>
      </c>
      <c r="L61" s="91">
        <f t="shared" si="8"/>
        <v>0</v>
      </c>
      <c r="M61" s="14">
        <f t="shared" si="36"/>
        <v>0</v>
      </c>
      <c r="N61" s="15">
        <f t="shared" si="37"/>
        <v>132331.40651801028</v>
      </c>
      <c r="O61" s="15">
        <f t="shared" si="38"/>
        <v>12715681.75271914</v>
      </c>
      <c r="P61" s="22">
        <f t="shared" si="39"/>
        <v>96.089674305611936</v>
      </c>
      <c r="Q61" s="31">
        <f t="shared" si="40"/>
        <v>126252.75498086818</v>
      </c>
      <c r="R61" s="31">
        <f t="shared" si="41"/>
        <v>12330749.176105529</v>
      </c>
      <c r="S61" s="32">
        <f t="shared" si="42"/>
        <v>97.667169147905568</v>
      </c>
      <c r="T61" s="31">
        <f t="shared" si="14"/>
        <v>140961.40651801028</v>
      </c>
      <c r="U61" s="7">
        <v>8630</v>
      </c>
      <c r="V61" s="37">
        <f t="shared" si="15"/>
        <v>98.023264087415015</v>
      </c>
    </row>
    <row r="62" spans="1:22">
      <c r="A62" s="21">
        <v>8630</v>
      </c>
      <c r="B62" s="21">
        <v>10000</v>
      </c>
      <c r="C62" s="47">
        <v>141000</v>
      </c>
      <c r="D62" s="13">
        <v>43313</v>
      </c>
      <c r="E62" s="16">
        <f t="shared" si="33"/>
        <v>132331.40651801028</v>
      </c>
      <c r="F62" s="16">
        <f t="shared" si="34"/>
        <v>12715681.75271914</v>
      </c>
      <c r="G62" s="14">
        <f t="shared" si="35"/>
        <v>96.089674305611936</v>
      </c>
      <c r="H62" s="46">
        <f t="shared" si="27"/>
        <v>0</v>
      </c>
      <c r="I62" s="91">
        <f t="shared" si="28"/>
        <v>0</v>
      </c>
      <c r="J62" s="22">
        <f>VLOOKUP(D62,Data!$A$5:$V$197,8,FALSE)*5.83</f>
        <v>75.700946915999978</v>
      </c>
      <c r="K62" s="91">
        <f>VLOOKUP(D62,Data!$A$5:$V$197,21,FALSE)</f>
        <v>1168.6106346483705</v>
      </c>
      <c r="L62" s="91">
        <f t="shared" si="8"/>
        <v>112291.41527343639</v>
      </c>
      <c r="M62" s="14">
        <f t="shared" si="36"/>
        <v>96.089674305611936</v>
      </c>
      <c r="N62" s="15">
        <f t="shared" si="37"/>
        <v>131162.79588336192</v>
      </c>
      <c r="O62" s="15">
        <f t="shared" si="38"/>
        <v>12603390.337445702</v>
      </c>
      <c r="P62" s="22">
        <f t="shared" si="39"/>
        <v>96.089674305611922</v>
      </c>
      <c r="Q62" s="31">
        <f t="shared" si="40"/>
        <v>126254.54941285129</v>
      </c>
      <c r="R62" s="31">
        <f t="shared" si="41"/>
        <v>12309930.582949217</v>
      </c>
      <c r="S62" s="32">
        <f t="shared" si="42"/>
        <v>97.500887217108115</v>
      </c>
      <c r="T62" s="31">
        <f t="shared" si="14"/>
        <v>139792.79588336192</v>
      </c>
      <c r="U62" s="7">
        <v>8630</v>
      </c>
      <c r="V62" s="37">
        <f t="shared" si="15"/>
        <v>97.157626580268087</v>
      </c>
    </row>
    <row r="63" spans="1:22">
      <c r="A63" s="21">
        <v>8630</v>
      </c>
      <c r="B63" s="21">
        <v>10000</v>
      </c>
      <c r="C63" s="47">
        <v>141000</v>
      </c>
      <c r="D63" s="13">
        <v>43344</v>
      </c>
      <c r="E63" s="16">
        <f t="shared" si="33"/>
        <v>131162.79588336192</v>
      </c>
      <c r="F63" s="16">
        <f t="shared" si="34"/>
        <v>12603390.337445702</v>
      </c>
      <c r="G63" s="14">
        <f t="shared" si="35"/>
        <v>96.089674305611922</v>
      </c>
      <c r="H63" s="46">
        <f t="shared" si="27"/>
        <v>0</v>
      </c>
      <c r="I63" s="91">
        <f t="shared" si="28"/>
        <v>0</v>
      </c>
      <c r="J63" s="22">
        <f>VLOOKUP(D63,Data!$A$5:$V$197,8,FALSE)*5.83</f>
        <v>76.246946915999985</v>
      </c>
      <c r="K63" s="91">
        <f>VLOOKUP(D63,Data!$A$5:$V$197,21,FALSE)</f>
        <v>1767.2384219554031</v>
      </c>
      <c r="L63" s="91">
        <f t="shared" si="8"/>
        <v>169813.36438605827</v>
      </c>
      <c r="M63" s="14">
        <f t="shared" si="36"/>
        <v>96.089674305611936</v>
      </c>
      <c r="N63" s="15">
        <f t="shared" si="37"/>
        <v>129395.55746140651</v>
      </c>
      <c r="O63" s="15">
        <f t="shared" si="38"/>
        <v>12433576.973059645</v>
      </c>
      <c r="P63" s="22">
        <f t="shared" si="39"/>
        <v>96.089674305611922</v>
      </c>
      <c r="Q63" s="31">
        <f t="shared" si="40"/>
        <v>126360.5264546774</v>
      </c>
      <c r="R63" s="31">
        <f t="shared" si="41"/>
        <v>12299622.528019654</v>
      </c>
      <c r="S63" s="32">
        <f t="shared" si="42"/>
        <v>97.337537861804051</v>
      </c>
      <c r="T63" s="31">
        <f t="shared" si="14"/>
        <v>138025.55746140651</v>
      </c>
      <c r="U63" s="7">
        <v>8630</v>
      </c>
      <c r="V63" s="37">
        <f t="shared" si="15"/>
        <v>95.848561082523346</v>
      </c>
    </row>
    <row r="64" spans="1:22">
      <c r="A64" s="21">
        <v>8630</v>
      </c>
      <c r="B64" s="21">
        <v>10000</v>
      </c>
      <c r="C64" s="47">
        <v>141000</v>
      </c>
      <c r="D64" s="13">
        <v>43374</v>
      </c>
      <c r="E64" s="16">
        <f t="shared" si="33"/>
        <v>129395.55746140651</v>
      </c>
      <c r="F64" s="16">
        <f t="shared" si="34"/>
        <v>12433576.973059645</v>
      </c>
      <c r="G64" s="14">
        <f t="shared" si="35"/>
        <v>96.089674305611922</v>
      </c>
      <c r="H64" s="46">
        <f t="shared" si="27"/>
        <v>0</v>
      </c>
      <c r="I64" s="91">
        <f t="shared" si="28"/>
        <v>0</v>
      </c>
      <c r="J64" s="22">
        <f>VLOOKUP(D64,Data!$A$5:$V$197,8,FALSE)*5.83</f>
        <v>76.771946915999976</v>
      </c>
      <c r="K64" s="91">
        <f>VLOOKUP(D64,Data!$A$5:$V$197,21,FALSE)</f>
        <v>0</v>
      </c>
      <c r="L64" s="91">
        <f t="shared" si="8"/>
        <v>0</v>
      </c>
      <c r="M64" s="14">
        <f t="shared" si="36"/>
        <v>0</v>
      </c>
      <c r="N64" s="15">
        <f t="shared" si="37"/>
        <v>129395.55746140651</v>
      </c>
      <c r="O64" s="15">
        <f t="shared" si="38"/>
        <v>12433576.973059645</v>
      </c>
      <c r="P64" s="22">
        <f t="shared" si="39"/>
        <v>96.089674305611922</v>
      </c>
      <c r="Q64" s="31">
        <f t="shared" si="40"/>
        <v>126768.31112283943</v>
      </c>
      <c r="R64" s="31">
        <f t="shared" si="41"/>
        <v>12318943.089899756</v>
      </c>
      <c r="S64" s="32">
        <f t="shared" si="42"/>
        <v>97.176833711720036</v>
      </c>
      <c r="T64" s="31">
        <f t="shared" si="14"/>
        <v>138025.55746140651</v>
      </c>
      <c r="U64" s="7">
        <v>8630</v>
      </c>
      <c r="V64" s="37">
        <f t="shared" si="15"/>
        <v>95.848561082523346</v>
      </c>
    </row>
    <row r="65" spans="1:22">
      <c r="A65" s="21">
        <v>8630</v>
      </c>
      <c r="B65" s="21">
        <v>10000</v>
      </c>
      <c r="C65" s="47">
        <v>141000</v>
      </c>
      <c r="D65" s="13">
        <v>43405</v>
      </c>
      <c r="E65" s="16">
        <f t="shared" si="33"/>
        <v>129395.55746140651</v>
      </c>
      <c r="F65" s="16">
        <f t="shared" si="34"/>
        <v>12433576.973059645</v>
      </c>
      <c r="G65" s="14">
        <f t="shared" si="35"/>
        <v>96.089674305611922</v>
      </c>
      <c r="H65" s="46">
        <f t="shared" si="27"/>
        <v>0</v>
      </c>
      <c r="I65" s="91">
        <f t="shared" si="28"/>
        <v>0</v>
      </c>
      <c r="J65" s="22">
        <f>VLOOKUP(D65,Data!$A$5:$V$197,8,FALSE)*5.83</f>
        <v>77.170946916000005</v>
      </c>
      <c r="K65" s="91">
        <f>VLOOKUP(D65,Data!$A$5:$V$197,21,FALSE)</f>
        <v>343.73927958833616</v>
      </c>
      <c r="L65" s="91">
        <f t="shared" si="8"/>
        <v>33029.795421688897</v>
      </c>
      <c r="M65" s="14">
        <f t="shared" si="36"/>
        <v>96.089674305611922</v>
      </c>
      <c r="N65" s="15">
        <f t="shared" si="37"/>
        <v>129051.81818181818</v>
      </c>
      <c r="O65" s="15">
        <f t="shared" si="38"/>
        <v>12400547.177637955</v>
      </c>
      <c r="P65" s="22">
        <f t="shared" si="39"/>
        <v>96.089674305611922</v>
      </c>
      <c r="Q65" s="31">
        <f t="shared" si="40"/>
        <v>127179.43396226416</v>
      </c>
      <c r="R65" s="31">
        <f t="shared" si="41"/>
        <v>12338646.382947044</v>
      </c>
      <c r="S65" s="32">
        <f t="shared" si="42"/>
        <v>97.017623042795478</v>
      </c>
      <c r="T65" s="31">
        <f t="shared" si="14"/>
        <v>137681.81818181818</v>
      </c>
      <c r="U65" s="7">
        <v>8630</v>
      </c>
      <c r="V65" s="37">
        <f t="shared" si="15"/>
        <v>95.593939393939394</v>
      </c>
    </row>
    <row r="66" spans="1:22">
      <c r="A66" s="21">
        <v>8630</v>
      </c>
      <c r="B66" s="21">
        <v>10000</v>
      </c>
      <c r="C66" s="47">
        <v>141000</v>
      </c>
      <c r="D66" s="13">
        <v>43435</v>
      </c>
      <c r="E66" s="16">
        <f t="shared" si="33"/>
        <v>129051.81818181818</v>
      </c>
      <c r="F66" s="16">
        <f t="shared" si="34"/>
        <v>12400547.177637955</v>
      </c>
      <c r="G66" s="14">
        <f t="shared" si="35"/>
        <v>96.089674305611922</v>
      </c>
      <c r="H66" s="46">
        <f t="shared" si="27"/>
        <v>0</v>
      </c>
      <c r="I66" s="91">
        <f t="shared" si="28"/>
        <v>0</v>
      </c>
      <c r="J66" s="22">
        <f>VLOOKUP(D66,Data!$A$5:$V$197,8,FALSE)*5.83</f>
        <v>77.50694691599999</v>
      </c>
      <c r="K66" s="91">
        <f>VLOOKUP(D66,Data!$A$5:$V$197,21,FALSE)</f>
        <v>629.50257289879926</v>
      </c>
      <c r="L66" s="91">
        <f t="shared" si="8"/>
        <v>60488.697204390344</v>
      </c>
      <c r="M66" s="14">
        <f t="shared" si="36"/>
        <v>96.089674305611922</v>
      </c>
      <c r="N66" s="15">
        <f t="shared" si="37"/>
        <v>128422.31560891938</v>
      </c>
      <c r="O66" s="15">
        <f t="shared" si="38"/>
        <v>12340058.480433565</v>
      </c>
      <c r="P66" s="22">
        <f t="shared" si="39"/>
        <v>96.089674305611922</v>
      </c>
      <c r="Q66" s="31">
        <f t="shared" si="40"/>
        <v>127605.58516954744</v>
      </c>
      <c r="R66" s="31">
        <f t="shared" si="41"/>
        <v>12359925.781136336</v>
      </c>
      <c r="S66" s="32">
        <f t="shared" si="42"/>
        <v>96.860382441049936</v>
      </c>
      <c r="T66" s="31">
        <f t="shared" si="14"/>
        <v>137052.31560891937</v>
      </c>
      <c r="U66" s="7">
        <v>8630</v>
      </c>
      <c r="V66" s="37">
        <f t="shared" si="15"/>
        <v>95.127641191792122</v>
      </c>
    </row>
    <row r="67" spans="1:22">
      <c r="A67" s="47">
        <v>8630</v>
      </c>
      <c r="B67" s="47">
        <v>10000</v>
      </c>
      <c r="C67" s="47">
        <v>141000</v>
      </c>
      <c r="D67" s="13">
        <v>43466</v>
      </c>
      <c r="E67" s="16">
        <f t="shared" ref="E67:E90" si="43">N66</f>
        <v>128422.31560891938</v>
      </c>
      <c r="F67" s="16">
        <f t="shared" ref="F67:F90" si="44">O66</f>
        <v>12340058.480433565</v>
      </c>
      <c r="G67" s="14">
        <f t="shared" ref="G67:G90" si="45">P66</f>
        <v>96.089674305611922</v>
      </c>
      <c r="H67" s="46">
        <f t="shared" si="27"/>
        <v>0</v>
      </c>
      <c r="I67" s="91">
        <f t="shared" si="28"/>
        <v>0</v>
      </c>
      <c r="J67" s="22">
        <f>VLOOKUP(D67,Data!$A$5:$V$197,8,FALSE)*5.83</f>
        <v>83.248223461435202</v>
      </c>
      <c r="K67" s="91">
        <f>VLOOKUP(D67,Data!$A$5:$V$197,21,FALSE)</f>
        <v>0</v>
      </c>
      <c r="L67" s="91">
        <f t="shared" si="8"/>
        <v>0</v>
      </c>
      <c r="M67" s="14">
        <f t="shared" ref="M67:M90" si="46">IF(K67=0,0,L67/K67)</f>
        <v>0</v>
      </c>
      <c r="N67" s="46">
        <f t="shared" ref="N67:N90" si="47">+E67+H67-K67</f>
        <v>128422.31560891938</v>
      </c>
      <c r="O67" s="46">
        <f t="shared" ref="O67:O90" si="48">+F67+I67-L67</f>
        <v>12340058.480433565</v>
      </c>
      <c r="P67" s="22">
        <f t="shared" ref="P67:P90" si="49">IF(N67=0,0,O67/N67)</f>
        <v>96.089674305611922</v>
      </c>
      <c r="Q67" s="55">
        <f t="shared" ref="Q67:Q90" si="50">AVERAGE(N55:N67)</f>
        <v>128031.73637683071</v>
      </c>
      <c r="R67" s="55">
        <f t="shared" ref="R67:R90" si="51">AVERAGE(O55:O67)</f>
        <v>12381205.179325629</v>
      </c>
      <c r="S67" s="32">
        <f t="shared" ref="S67:S90" si="52">IF(Q67=0,0,R67/Q67)</f>
        <v>96.704188584028273</v>
      </c>
      <c r="T67" s="55">
        <f t="shared" ref="T67:T90" si="53">N67+A67</f>
        <v>137052.31560891937</v>
      </c>
      <c r="U67" s="45">
        <v>8631</v>
      </c>
      <c r="V67" s="37">
        <f t="shared" ref="V67:V90" si="54">(T67-U67)/1350</f>
        <v>95.126900451051384</v>
      </c>
    </row>
    <row r="68" spans="1:22">
      <c r="A68" s="47">
        <v>8630</v>
      </c>
      <c r="B68" s="47">
        <v>10000</v>
      </c>
      <c r="C68" s="47">
        <v>141000</v>
      </c>
      <c r="D68" s="13">
        <v>43497</v>
      </c>
      <c r="E68" s="16">
        <f t="shared" si="43"/>
        <v>128422.31560891938</v>
      </c>
      <c r="F68" s="16">
        <f t="shared" si="44"/>
        <v>12340058.480433565</v>
      </c>
      <c r="G68" s="14">
        <f t="shared" si="45"/>
        <v>96.089674305611922</v>
      </c>
      <c r="H68" s="46">
        <f t="shared" si="27"/>
        <v>0</v>
      </c>
      <c r="I68" s="91">
        <f t="shared" si="28"/>
        <v>0</v>
      </c>
      <c r="J68" s="22">
        <f>VLOOKUP(D68,Data!$A$5:$V$197,8,FALSE)*5.83</f>
        <v>85.835650543006707</v>
      </c>
      <c r="K68" s="91">
        <f>VLOOKUP(D68,Data!$A$5:$V$197,21,FALSE)</f>
        <v>0</v>
      </c>
      <c r="L68" s="91">
        <f t="shared" si="8"/>
        <v>0</v>
      </c>
      <c r="M68" s="14">
        <f t="shared" si="46"/>
        <v>0</v>
      </c>
      <c r="N68" s="46">
        <f t="shared" si="47"/>
        <v>128422.31560891938</v>
      </c>
      <c r="O68" s="46">
        <f t="shared" si="48"/>
        <v>12340058.480433565</v>
      </c>
      <c r="P68" s="22">
        <f t="shared" si="49"/>
        <v>96.089674305611922</v>
      </c>
      <c r="Q68" s="55">
        <f t="shared" si="50"/>
        <v>128457.887584114</v>
      </c>
      <c r="R68" s="55">
        <f t="shared" si="51"/>
        <v>12402484.57751492</v>
      </c>
      <c r="S68" s="32">
        <f t="shared" si="52"/>
        <v>96.549031054195055</v>
      </c>
      <c r="T68" s="55">
        <f t="shared" si="53"/>
        <v>137052.31560891937</v>
      </c>
      <c r="U68" s="45">
        <v>8632</v>
      </c>
      <c r="V68" s="37">
        <f t="shared" si="54"/>
        <v>95.126159710310645</v>
      </c>
    </row>
    <row r="69" spans="1:22">
      <c r="A69" s="47">
        <v>8630</v>
      </c>
      <c r="B69" s="47">
        <v>10000</v>
      </c>
      <c r="C69" s="47">
        <v>141000</v>
      </c>
      <c r="D69" s="13">
        <v>43525</v>
      </c>
      <c r="E69" s="16">
        <f t="shared" si="43"/>
        <v>128422.31560891938</v>
      </c>
      <c r="F69" s="16">
        <f t="shared" si="44"/>
        <v>12340058.480433565</v>
      </c>
      <c r="G69" s="14">
        <f t="shared" si="45"/>
        <v>96.089674305611922</v>
      </c>
      <c r="H69" s="46">
        <f t="shared" si="27"/>
        <v>0</v>
      </c>
      <c r="I69" s="91">
        <f t="shared" si="28"/>
        <v>0</v>
      </c>
      <c r="J69" s="22">
        <f>VLOOKUP(D69,Data!$A$5:$V$197,8,FALSE)*5.83</f>
        <v>89.886073263527052</v>
      </c>
      <c r="K69" s="91">
        <f>VLOOKUP(D69,Data!$A$5:$V$197,21,FALSE)</f>
        <v>170.15437392795883</v>
      </c>
      <c r="L69" s="91">
        <f t="shared" si="8"/>
        <v>16350.078372412869</v>
      </c>
      <c r="M69" s="14">
        <f t="shared" si="46"/>
        <v>96.089674305611922</v>
      </c>
      <c r="N69" s="46">
        <f t="shared" si="47"/>
        <v>128252.16123499142</v>
      </c>
      <c r="O69" s="46">
        <f t="shared" si="48"/>
        <v>12323708.402061151</v>
      </c>
      <c r="P69" s="22">
        <f t="shared" si="49"/>
        <v>96.089674305611908</v>
      </c>
      <c r="Q69" s="55">
        <f t="shared" si="50"/>
        <v>128870.94999340283</v>
      </c>
      <c r="R69" s="55">
        <f t="shared" si="51"/>
        <v>12422506.277367879</v>
      </c>
      <c r="S69" s="32">
        <f t="shared" si="52"/>
        <v>96.394930572047556</v>
      </c>
      <c r="T69" s="55">
        <f t="shared" si="53"/>
        <v>136882.16123499142</v>
      </c>
      <c r="U69" s="45">
        <v>8633</v>
      </c>
      <c r="V69" s="37">
        <f t="shared" si="54"/>
        <v>94.999378692586234</v>
      </c>
    </row>
    <row r="70" spans="1:22">
      <c r="A70" s="47">
        <v>8630</v>
      </c>
      <c r="B70" s="47">
        <v>10000</v>
      </c>
      <c r="C70" s="47">
        <v>141000</v>
      </c>
      <c r="D70" s="13">
        <v>43556</v>
      </c>
      <c r="E70" s="16">
        <f t="shared" si="43"/>
        <v>128252.16123499142</v>
      </c>
      <c r="F70" s="16">
        <f t="shared" si="44"/>
        <v>12323708.402061151</v>
      </c>
      <c r="G70" s="14">
        <f t="shared" si="45"/>
        <v>96.089674305611908</v>
      </c>
      <c r="H70" s="46">
        <f t="shared" si="27"/>
        <v>0</v>
      </c>
      <c r="I70" s="91">
        <f t="shared" si="28"/>
        <v>0</v>
      </c>
      <c r="J70" s="22">
        <f>VLOOKUP(D70,Data!$A$5:$V$197,8,FALSE)*5.83</f>
        <v>92.219245272171108</v>
      </c>
      <c r="K70" s="91">
        <f>VLOOKUP(D70,Data!$A$5:$V$197,21,FALSE)</f>
        <v>11.320754716981131</v>
      </c>
      <c r="L70" s="91">
        <f t="shared" si="8"/>
        <v>1087.8076336484366</v>
      </c>
      <c r="M70" s="14">
        <f t="shared" si="46"/>
        <v>96.089674305611908</v>
      </c>
      <c r="N70" s="46">
        <f t="shared" si="47"/>
        <v>128240.84048027443</v>
      </c>
      <c r="O70" s="46">
        <f t="shared" si="48"/>
        <v>12322620.594427504</v>
      </c>
      <c r="P70" s="22">
        <f t="shared" si="49"/>
        <v>96.089674305611922</v>
      </c>
      <c r="Q70" s="55">
        <f t="shared" si="50"/>
        <v>129283.14157540574</v>
      </c>
      <c r="R70" s="55">
        <f t="shared" si="51"/>
        <v>12442444.299710551</v>
      </c>
      <c r="S70" s="32">
        <f t="shared" si="52"/>
        <v>96.241815816746424</v>
      </c>
      <c r="T70" s="55">
        <f t="shared" si="53"/>
        <v>136870.84048027443</v>
      </c>
      <c r="U70" s="45">
        <v>8634</v>
      </c>
      <c r="V70" s="37">
        <f t="shared" si="54"/>
        <v>94.990252207610695</v>
      </c>
    </row>
    <row r="71" spans="1:22">
      <c r="A71" s="47">
        <v>8630</v>
      </c>
      <c r="B71" s="47">
        <v>10000</v>
      </c>
      <c r="C71" s="47">
        <v>141000</v>
      </c>
      <c r="D71" s="13">
        <v>43586</v>
      </c>
      <c r="E71" s="16">
        <f t="shared" si="43"/>
        <v>128240.84048027443</v>
      </c>
      <c r="F71" s="16">
        <f t="shared" si="44"/>
        <v>12322620.594427504</v>
      </c>
      <c r="G71" s="14">
        <f t="shared" si="45"/>
        <v>96.089674305611922</v>
      </c>
      <c r="H71" s="46">
        <f t="shared" si="27"/>
        <v>0</v>
      </c>
      <c r="I71" s="91">
        <f t="shared" si="28"/>
        <v>0</v>
      </c>
      <c r="J71" s="22">
        <f>VLOOKUP(D71,Data!$A$5:$V$197,8,FALSE)*5.83</f>
        <v>91.297288495978975</v>
      </c>
      <c r="K71" s="91">
        <f>VLOOKUP(D71,Data!$A$5:$V$197,21,FALSE)</f>
        <v>1272.8987993138937</v>
      </c>
      <c r="L71" s="91">
        <f t="shared" si="8"/>
        <v>122312.43105007653</v>
      </c>
      <c r="M71" s="14">
        <f t="shared" si="46"/>
        <v>96.089674305611922</v>
      </c>
      <c r="N71" s="46">
        <f t="shared" si="47"/>
        <v>126967.94168096055</v>
      </c>
      <c r="O71" s="46">
        <f t="shared" si="48"/>
        <v>12200308.163377427</v>
      </c>
      <c r="P71" s="22">
        <f t="shared" si="49"/>
        <v>96.089674305611908</v>
      </c>
      <c r="Q71" s="55">
        <f t="shared" si="50"/>
        <v>129597.41786515372</v>
      </c>
      <c r="R71" s="55">
        <f t="shared" si="51"/>
        <v>12452973.673510913</v>
      </c>
      <c r="S71" s="32">
        <f t="shared" si="52"/>
        <v>96.089674305611922</v>
      </c>
      <c r="T71" s="55">
        <f t="shared" si="53"/>
        <v>135597.94168096053</v>
      </c>
      <c r="U71" s="45">
        <v>8635</v>
      </c>
      <c r="V71" s="37">
        <f t="shared" si="54"/>
        <v>94.046623467378168</v>
      </c>
    </row>
    <row r="72" spans="1:22">
      <c r="A72" s="47">
        <v>8630</v>
      </c>
      <c r="B72" s="47">
        <v>10000</v>
      </c>
      <c r="C72" s="47">
        <v>141000</v>
      </c>
      <c r="D72" s="13">
        <v>43617</v>
      </c>
      <c r="E72" s="16">
        <f t="shared" si="43"/>
        <v>126967.94168096055</v>
      </c>
      <c r="F72" s="16">
        <f t="shared" si="44"/>
        <v>12200308.163377427</v>
      </c>
      <c r="G72" s="14">
        <f t="shared" si="45"/>
        <v>96.089674305611908</v>
      </c>
      <c r="H72" s="46">
        <f t="shared" si="27"/>
        <v>12684.734133790742</v>
      </c>
      <c r="I72" s="91">
        <f t="shared" si="28"/>
        <v>1167606.2930941179</v>
      </c>
      <c r="J72" s="22">
        <f>VLOOKUP(D72,Data!$A$5:$V$197,8,FALSE)*5.83</f>
        <v>92.048148646942678</v>
      </c>
      <c r="K72" s="91">
        <f>VLOOKUP(D72,Data!$A$5:$V$197,21,FALSE)</f>
        <v>7282.6758147512865</v>
      </c>
      <c r="L72" s="91">
        <f t="shared" si="8"/>
        <v>697116.51952125377</v>
      </c>
      <c r="M72" s="14">
        <f t="shared" si="46"/>
        <v>95.722580168847088</v>
      </c>
      <c r="N72" s="46">
        <f t="shared" si="47"/>
        <v>132370.00000000003</v>
      </c>
      <c r="O72" s="46">
        <f t="shared" si="48"/>
        <v>12670797.936950291</v>
      </c>
      <c r="P72" s="22">
        <f t="shared" si="49"/>
        <v>95.722580168847074</v>
      </c>
      <c r="Q72" s="55">
        <f t="shared" si="50"/>
        <v>129597.41786515371</v>
      </c>
      <c r="R72" s="55">
        <f t="shared" si="51"/>
        <v>12449235.808058333</v>
      </c>
      <c r="S72" s="32">
        <f t="shared" si="52"/>
        <v>96.060832176546754</v>
      </c>
      <c r="T72" s="55">
        <f t="shared" si="53"/>
        <v>141000.00000000003</v>
      </c>
      <c r="U72" s="45">
        <v>8636</v>
      </c>
      <c r="V72" s="37">
        <f t="shared" si="54"/>
        <v>98.047407407407434</v>
      </c>
    </row>
    <row r="73" spans="1:22">
      <c r="A73" s="47">
        <v>8630</v>
      </c>
      <c r="B73" s="47">
        <v>10000</v>
      </c>
      <c r="C73" s="47">
        <v>141000</v>
      </c>
      <c r="D73" s="13">
        <v>43647</v>
      </c>
      <c r="E73" s="16">
        <f t="shared" si="43"/>
        <v>132370.00000000003</v>
      </c>
      <c r="F73" s="16">
        <f t="shared" si="44"/>
        <v>12670797.936950291</v>
      </c>
      <c r="G73" s="14">
        <f t="shared" si="45"/>
        <v>95.722580168847074</v>
      </c>
      <c r="H73" s="46">
        <f t="shared" si="27"/>
        <v>10436.020583190366</v>
      </c>
      <c r="I73" s="91">
        <f t="shared" si="28"/>
        <v>974755.4298480755</v>
      </c>
      <c r="J73" s="22">
        <f>VLOOKUP(D73,Data!$A$5:$V$197,8,FALSE)*5.83</f>
        <v>93.402980770097884</v>
      </c>
      <c r="K73" s="91">
        <f>VLOOKUP(D73,Data!$A$5:$V$197,21,FALSE)</f>
        <v>10436.020583190395</v>
      </c>
      <c r="L73" s="91">
        <f t="shared" si="8"/>
        <v>997193.78233058308</v>
      </c>
      <c r="M73" s="14">
        <f t="shared" si="46"/>
        <v>95.553067798351449</v>
      </c>
      <c r="N73" s="46">
        <f t="shared" si="47"/>
        <v>132370</v>
      </c>
      <c r="O73" s="46">
        <f t="shared" si="48"/>
        <v>12648359.584467782</v>
      </c>
      <c r="P73" s="22">
        <f t="shared" si="49"/>
        <v>95.553067798351449</v>
      </c>
      <c r="Q73" s="55">
        <f t="shared" si="50"/>
        <v>129600.38659453754</v>
      </c>
      <c r="R73" s="55">
        <f t="shared" si="51"/>
        <v>12444057.179731302</v>
      </c>
      <c r="S73" s="32">
        <f t="shared" si="52"/>
        <v>96.018673298122707</v>
      </c>
      <c r="T73" s="55">
        <f t="shared" si="53"/>
        <v>141000</v>
      </c>
      <c r="U73" s="45">
        <v>8637</v>
      </c>
      <c r="V73" s="37">
        <f t="shared" si="54"/>
        <v>98.046666666666667</v>
      </c>
    </row>
    <row r="74" spans="1:22">
      <c r="A74" s="47">
        <v>8630</v>
      </c>
      <c r="B74" s="47">
        <v>10000</v>
      </c>
      <c r="C74" s="47">
        <v>141000</v>
      </c>
      <c r="D74" s="13">
        <v>43678</v>
      </c>
      <c r="E74" s="16">
        <f t="shared" si="43"/>
        <v>132370</v>
      </c>
      <c r="F74" s="16">
        <f t="shared" si="44"/>
        <v>12648359.584467782</v>
      </c>
      <c r="G74" s="14">
        <f t="shared" si="45"/>
        <v>95.553067798351449</v>
      </c>
      <c r="H74" s="46">
        <f t="shared" si="27"/>
        <v>0</v>
      </c>
      <c r="I74" s="91">
        <f t="shared" si="28"/>
        <v>0</v>
      </c>
      <c r="J74" s="22">
        <f>VLOOKUP(D74,Data!$A$5:$V$197,8,FALSE)*5.83</f>
        <v>92.508241899884936</v>
      </c>
      <c r="K74" s="91">
        <f>VLOOKUP(D74,Data!$A$5:$V$197,21,FALSE)</f>
        <v>6919.2109777015439</v>
      </c>
      <c r="L74" s="91">
        <f t="shared" si="8"/>
        <v>661151.83566341328</v>
      </c>
      <c r="M74" s="14">
        <f t="shared" si="46"/>
        <v>95.553067798351449</v>
      </c>
      <c r="N74" s="46">
        <f t="shared" si="47"/>
        <v>125450.78902229846</v>
      </c>
      <c r="O74" s="46">
        <f t="shared" si="48"/>
        <v>11987207.748804368</v>
      </c>
      <c r="P74" s="22">
        <f t="shared" si="49"/>
        <v>95.553067798351449</v>
      </c>
      <c r="Q74" s="55">
        <f t="shared" si="50"/>
        <v>129071.10832563664</v>
      </c>
      <c r="R74" s="55">
        <f t="shared" si="51"/>
        <v>12388020.717891704</v>
      </c>
      <c r="S74" s="32">
        <f t="shared" si="52"/>
        <v>95.978262514316256</v>
      </c>
      <c r="T74" s="55">
        <f t="shared" si="53"/>
        <v>134080.78902229847</v>
      </c>
      <c r="U74" s="45">
        <v>8638</v>
      </c>
      <c r="V74" s="37">
        <f t="shared" si="54"/>
        <v>92.920584460961834</v>
      </c>
    </row>
    <row r="75" spans="1:22">
      <c r="A75" s="47">
        <v>8630</v>
      </c>
      <c r="B75" s="47">
        <v>10000</v>
      </c>
      <c r="C75" s="47">
        <v>141000</v>
      </c>
      <c r="D75" s="13">
        <v>43709</v>
      </c>
      <c r="E75" s="16">
        <f t="shared" si="43"/>
        <v>125450.78902229846</v>
      </c>
      <c r="F75" s="16">
        <f t="shared" si="44"/>
        <v>11987207.748804368</v>
      </c>
      <c r="G75" s="14">
        <f t="shared" si="45"/>
        <v>95.553067798351449</v>
      </c>
      <c r="H75" s="46">
        <f t="shared" si="27"/>
        <v>12219.725557461406</v>
      </c>
      <c r="I75" s="91">
        <f t="shared" si="28"/>
        <v>1125259.5543235305</v>
      </c>
      <c r="J75" s="22">
        <f>VLOOKUP(D75,Data!$A$5:$V$197,8,FALSE)*5.83</f>
        <v>92.085501350432793</v>
      </c>
      <c r="K75" s="91">
        <f>VLOOKUP(D75,Data!$A$5:$V$197,21,FALSE)</f>
        <v>5300.5145797598625</v>
      </c>
      <c r="L75" s="91">
        <f t="shared" si="8"/>
        <v>504849.01817220438</v>
      </c>
      <c r="M75" s="14">
        <f t="shared" si="46"/>
        <v>95.245284316353363</v>
      </c>
      <c r="N75" s="46">
        <f t="shared" si="47"/>
        <v>132370</v>
      </c>
      <c r="O75" s="46">
        <f t="shared" si="48"/>
        <v>12607618.284955693</v>
      </c>
      <c r="P75" s="22">
        <f t="shared" si="49"/>
        <v>95.245284316353349</v>
      </c>
      <c r="Q75" s="55">
        <f t="shared" si="50"/>
        <v>129163.97018076263</v>
      </c>
      <c r="R75" s="55">
        <f t="shared" si="51"/>
        <v>12388345.944623241</v>
      </c>
      <c r="S75" s="32">
        <f t="shared" si="52"/>
        <v>95.911777311319682</v>
      </c>
      <c r="T75" s="55">
        <f t="shared" si="53"/>
        <v>141000</v>
      </c>
      <c r="U75" s="45">
        <v>8639</v>
      </c>
      <c r="V75" s="37">
        <f t="shared" si="54"/>
        <v>98.04518518518519</v>
      </c>
    </row>
    <row r="76" spans="1:22">
      <c r="A76" s="47">
        <v>8630</v>
      </c>
      <c r="B76" s="47">
        <v>10000</v>
      </c>
      <c r="C76" s="47">
        <v>141000</v>
      </c>
      <c r="D76" s="13">
        <v>43739</v>
      </c>
      <c r="E76" s="16">
        <f t="shared" si="43"/>
        <v>132370</v>
      </c>
      <c r="F76" s="16">
        <f t="shared" si="44"/>
        <v>12607618.284955693</v>
      </c>
      <c r="G76" s="14">
        <f t="shared" si="45"/>
        <v>95.245284316353349</v>
      </c>
      <c r="H76" s="46">
        <f t="shared" si="27"/>
        <v>0</v>
      </c>
      <c r="I76" s="91">
        <f t="shared" si="28"/>
        <v>0</v>
      </c>
      <c r="J76" s="22">
        <f>VLOOKUP(D76,Data!$A$5:$V$197,8,FALSE)*5.83</f>
        <v>90.953590515760666</v>
      </c>
      <c r="K76" s="91">
        <f>VLOOKUP(D76,Data!$A$5:$V$197,21,FALSE)</f>
        <v>6850.7718696397942</v>
      </c>
      <c r="L76" s="91">
        <f t="shared" si="8"/>
        <v>652503.71451031778</v>
      </c>
      <c r="M76" s="14">
        <f t="shared" si="46"/>
        <v>95.245284316353349</v>
      </c>
      <c r="N76" s="46">
        <f t="shared" si="47"/>
        <v>125519.22813036021</v>
      </c>
      <c r="O76" s="46">
        <f t="shared" si="48"/>
        <v>11955114.570445376</v>
      </c>
      <c r="P76" s="22">
        <f t="shared" si="49"/>
        <v>95.245284316353349</v>
      </c>
      <c r="Q76" s="55">
        <f t="shared" si="50"/>
        <v>128865.79100145138</v>
      </c>
      <c r="R76" s="55">
        <f t="shared" si="51"/>
        <v>12351541.144422146</v>
      </c>
      <c r="S76" s="32">
        <f t="shared" si="52"/>
        <v>95.848099394221961</v>
      </c>
      <c r="T76" s="55">
        <f t="shared" si="53"/>
        <v>134149.22813036019</v>
      </c>
      <c r="U76" s="45">
        <v>8640</v>
      </c>
      <c r="V76" s="37">
        <f t="shared" si="54"/>
        <v>92.969798615081629</v>
      </c>
    </row>
    <row r="77" spans="1:22">
      <c r="A77" s="47">
        <v>8630</v>
      </c>
      <c r="B77" s="47">
        <v>10000</v>
      </c>
      <c r="C77" s="47">
        <v>141000</v>
      </c>
      <c r="D77" s="13">
        <v>43770</v>
      </c>
      <c r="E77" s="16">
        <f t="shared" si="43"/>
        <v>125519.22813036021</v>
      </c>
      <c r="F77" s="16">
        <f t="shared" si="44"/>
        <v>11955114.570445376</v>
      </c>
      <c r="G77" s="14">
        <f t="shared" si="45"/>
        <v>95.245284316353349</v>
      </c>
      <c r="H77" s="46">
        <f t="shared" si="27"/>
        <v>0</v>
      </c>
      <c r="I77" s="91">
        <f t="shared" si="28"/>
        <v>0</v>
      </c>
      <c r="J77" s="22">
        <f>VLOOKUP(D77,Data!$A$5:$V$197,8,FALSE)*5.83</f>
        <v>90.564440845395012</v>
      </c>
      <c r="K77" s="91">
        <f>VLOOKUP(D77,Data!$A$5:$V$197,21,FALSE)</f>
        <v>0</v>
      </c>
      <c r="L77" s="91">
        <f t="shared" si="8"/>
        <v>0</v>
      </c>
      <c r="M77" s="14">
        <f t="shared" si="46"/>
        <v>0</v>
      </c>
      <c r="N77" s="46">
        <f t="shared" si="47"/>
        <v>125519.22813036021</v>
      </c>
      <c r="O77" s="46">
        <f t="shared" si="48"/>
        <v>11955114.570445376</v>
      </c>
      <c r="P77" s="22">
        <f t="shared" si="49"/>
        <v>95.245284316353349</v>
      </c>
      <c r="Q77" s="55">
        <f t="shared" si="50"/>
        <v>128567.61182214011</v>
      </c>
      <c r="R77" s="55">
        <f t="shared" si="51"/>
        <v>12314736.344221052</v>
      </c>
      <c r="S77" s="32">
        <f t="shared" si="52"/>
        <v>95.784126108348389</v>
      </c>
      <c r="T77" s="55">
        <f t="shared" si="53"/>
        <v>134149.22813036019</v>
      </c>
      <c r="U77" s="45">
        <v>8641</v>
      </c>
      <c r="V77" s="37">
        <f t="shared" si="54"/>
        <v>92.969057874340876</v>
      </c>
    </row>
    <row r="78" spans="1:22">
      <c r="A78" s="47">
        <v>8630</v>
      </c>
      <c r="B78" s="47">
        <v>10000</v>
      </c>
      <c r="C78" s="47">
        <v>141000</v>
      </c>
      <c r="D78" s="13">
        <v>43800</v>
      </c>
      <c r="E78" s="16">
        <f t="shared" si="43"/>
        <v>125519.22813036021</v>
      </c>
      <c r="F78" s="16">
        <f t="shared" si="44"/>
        <v>11955114.570445376</v>
      </c>
      <c r="G78" s="14">
        <f t="shared" si="45"/>
        <v>95.245284316353349</v>
      </c>
      <c r="H78" s="46">
        <f t="shared" si="27"/>
        <v>0</v>
      </c>
      <c r="I78" s="91">
        <f t="shared" si="28"/>
        <v>0</v>
      </c>
      <c r="J78" s="22">
        <f>VLOOKUP(D78,Data!$A$5:$V$197,8,FALSE)*5.83</f>
        <v>87.699479636351342</v>
      </c>
      <c r="K78" s="91">
        <f>VLOOKUP(D78,Data!$A$5:$V$197,21,FALSE)</f>
        <v>537.7358490566038</v>
      </c>
      <c r="L78" s="91">
        <f t="shared" si="8"/>
        <v>51216.803830491895</v>
      </c>
      <c r="M78" s="14">
        <f t="shared" si="46"/>
        <v>95.245284316353349</v>
      </c>
      <c r="N78" s="46">
        <f t="shared" si="47"/>
        <v>124981.49228130361</v>
      </c>
      <c r="O78" s="46">
        <f t="shared" si="48"/>
        <v>11903897.766614884</v>
      </c>
      <c r="P78" s="22">
        <f t="shared" si="49"/>
        <v>95.245284316353349</v>
      </c>
      <c r="Q78" s="55">
        <f t="shared" si="50"/>
        <v>128254.50982979283</v>
      </c>
      <c r="R78" s="55">
        <f t="shared" si="51"/>
        <v>12276532.543373119</v>
      </c>
      <c r="S78" s="32">
        <f t="shared" si="52"/>
        <v>95.720084694607337</v>
      </c>
      <c r="T78" s="55">
        <f t="shared" si="53"/>
        <v>133611.49228130362</v>
      </c>
      <c r="U78" s="45">
        <v>8642</v>
      </c>
      <c r="V78" s="37">
        <f t="shared" si="54"/>
        <v>92.569994282447126</v>
      </c>
    </row>
    <row r="79" spans="1:22">
      <c r="A79" s="47">
        <v>8630</v>
      </c>
      <c r="B79" s="47">
        <v>10000</v>
      </c>
      <c r="C79" s="47">
        <v>141000</v>
      </c>
      <c r="D79" s="13">
        <v>43831</v>
      </c>
      <c r="E79" s="16">
        <f t="shared" si="43"/>
        <v>124981.49228130361</v>
      </c>
      <c r="F79" s="16">
        <f t="shared" si="44"/>
        <v>11903897.766614884</v>
      </c>
      <c r="G79" s="14">
        <f t="shared" si="45"/>
        <v>95.245284316353349</v>
      </c>
      <c r="H79" s="46">
        <f t="shared" si="27"/>
        <v>0</v>
      </c>
      <c r="I79" s="91">
        <f t="shared" si="28"/>
        <v>0</v>
      </c>
      <c r="J79" s="22">
        <f>VLOOKUP(D79,Data!$A$5:$V$197,8,FALSE)*5.83</f>
        <v>86.694828171209409</v>
      </c>
      <c r="K79" s="91">
        <f>VLOOKUP(D79,Data!$A$5:$V$197,21,FALSE)</f>
        <v>0</v>
      </c>
      <c r="L79" s="91">
        <f t="shared" si="8"/>
        <v>0</v>
      </c>
      <c r="M79" s="14">
        <f t="shared" si="46"/>
        <v>0</v>
      </c>
      <c r="N79" s="46">
        <f t="shared" si="47"/>
        <v>124981.49228130361</v>
      </c>
      <c r="O79" s="46">
        <f t="shared" si="48"/>
        <v>11903897.766614884</v>
      </c>
      <c r="P79" s="22">
        <f t="shared" si="49"/>
        <v>95.245284316353349</v>
      </c>
      <c r="Q79" s="55">
        <f t="shared" si="50"/>
        <v>127989.83111228392</v>
      </c>
      <c r="R79" s="55">
        <f t="shared" si="51"/>
        <v>12242981.719233222</v>
      </c>
      <c r="S79" s="32">
        <f t="shared" si="52"/>
        <v>95.655894009990561</v>
      </c>
      <c r="T79" s="55">
        <f t="shared" si="53"/>
        <v>133611.49228130362</v>
      </c>
      <c r="U79" s="45">
        <v>8643</v>
      </c>
      <c r="V79" s="37">
        <f t="shared" si="54"/>
        <v>92.569253541706388</v>
      </c>
    </row>
    <row r="80" spans="1:22">
      <c r="A80" s="47">
        <v>8630</v>
      </c>
      <c r="B80" s="47">
        <v>10000</v>
      </c>
      <c r="C80" s="47">
        <v>141000</v>
      </c>
      <c r="D80" s="13">
        <v>43862</v>
      </c>
      <c r="E80" s="16">
        <f t="shared" si="43"/>
        <v>124981.49228130361</v>
      </c>
      <c r="F80" s="16">
        <f t="shared" si="44"/>
        <v>11903897.766614884</v>
      </c>
      <c r="G80" s="14">
        <f t="shared" si="45"/>
        <v>95.245284316353349</v>
      </c>
      <c r="H80" s="46">
        <f t="shared" si="27"/>
        <v>0</v>
      </c>
      <c r="I80" s="91">
        <f t="shared" si="28"/>
        <v>0</v>
      </c>
      <c r="J80" s="22">
        <f>VLOOKUP(D80,Data!$A$5:$V$197,8,FALSE)*5.83</f>
        <v>89.40389939053739</v>
      </c>
      <c r="K80" s="91">
        <f>VLOOKUP(D80,Data!$A$5:$V$197,21,FALSE)</f>
        <v>0</v>
      </c>
      <c r="L80" s="91">
        <f t="shared" ref="L80:L90" si="55">IF(E80+H80&gt;0,((F80+I80)/(E80+H80)*K80),0)</f>
        <v>0</v>
      </c>
      <c r="M80" s="14">
        <f t="shared" si="46"/>
        <v>0</v>
      </c>
      <c r="N80" s="46">
        <f t="shared" si="47"/>
        <v>124981.49228130361</v>
      </c>
      <c r="O80" s="46">
        <f t="shared" si="48"/>
        <v>11903897.766614884</v>
      </c>
      <c r="P80" s="22">
        <f t="shared" si="49"/>
        <v>95.245284316353349</v>
      </c>
      <c r="Q80" s="55">
        <f t="shared" si="50"/>
        <v>127725.15239477501</v>
      </c>
      <c r="R80" s="55">
        <f t="shared" si="51"/>
        <v>12209430.895093322</v>
      </c>
      <c r="S80" s="32">
        <f t="shared" si="52"/>
        <v>95.591437286809509</v>
      </c>
      <c r="T80" s="55">
        <f t="shared" si="53"/>
        <v>133611.49228130362</v>
      </c>
      <c r="U80" s="45">
        <v>8644</v>
      </c>
      <c r="V80" s="37">
        <f t="shared" si="54"/>
        <v>92.568512800965649</v>
      </c>
    </row>
    <row r="81" spans="1:22">
      <c r="A81" s="47">
        <v>8630</v>
      </c>
      <c r="B81" s="47">
        <v>10000</v>
      </c>
      <c r="C81" s="47">
        <v>141000</v>
      </c>
      <c r="D81" s="13">
        <v>43891</v>
      </c>
      <c r="E81" s="16">
        <f t="shared" si="43"/>
        <v>124981.49228130361</v>
      </c>
      <c r="F81" s="16">
        <f t="shared" si="44"/>
        <v>11903897.766614884</v>
      </c>
      <c r="G81" s="14">
        <f t="shared" si="45"/>
        <v>95.245284316353349</v>
      </c>
      <c r="H81" s="46">
        <f t="shared" si="27"/>
        <v>0</v>
      </c>
      <c r="I81" s="91">
        <f t="shared" si="28"/>
        <v>0</v>
      </c>
      <c r="J81" s="22">
        <f>VLOOKUP(D81,Data!$A$5:$V$197,8,FALSE)*5.83</f>
        <v>93.64474687042437</v>
      </c>
      <c r="K81" s="91">
        <f>VLOOKUP(D81,Data!$A$5:$V$197,21,FALSE)</f>
        <v>2088.6792452830186</v>
      </c>
      <c r="L81" s="91">
        <f t="shared" si="55"/>
        <v>198936.84856264744</v>
      </c>
      <c r="M81" s="14">
        <f t="shared" si="46"/>
        <v>95.245284316353349</v>
      </c>
      <c r="N81" s="46">
        <f t="shared" si="47"/>
        <v>122892.8130360206</v>
      </c>
      <c r="O81" s="46">
        <f t="shared" si="48"/>
        <v>11704960.918052237</v>
      </c>
      <c r="P81" s="22">
        <f t="shared" si="49"/>
        <v>95.245284316353349</v>
      </c>
      <c r="Q81" s="55">
        <f t="shared" si="50"/>
        <v>127299.80604301357</v>
      </c>
      <c r="R81" s="55">
        <f t="shared" si="51"/>
        <v>12160577.236448605</v>
      </c>
      <c r="S81" s="32">
        <f t="shared" si="52"/>
        <v>95.527068064342885</v>
      </c>
      <c r="T81" s="55">
        <f t="shared" si="53"/>
        <v>131522.81303602061</v>
      </c>
      <c r="U81" s="45">
        <v>8645</v>
      </c>
      <c r="V81" s="37">
        <f t="shared" si="54"/>
        <v>91.020602248904154</v>
      </c>
    </row>
    <row r="82" spans="1:22">
      <c r="A82" s="47">
        <v>8630</v>
      </c>
      <c r="B82" s="47">
        <v>10000</v>
      </c>
      <c r="C82" s="47">
        <v>141000</v>
      </c>
      <c r="D82" s="13">
        <v>43922</v>
      </c>
      <c r="E82" s="16">
        <f t="shared" si="43"/>
        <v>122892.8130360206</v>
      </c>
      <c r="F82" s="16">
        <f t="shared" si="44"/>
        <v>11704960.918052237</v>
      </c>
      <c r="G82" s="14">
        <f t="shared" si="45"/>
        <v>95.245284316353349</v>
      </c>
      <c r="H82" s="46">
        <f t="shared" si="27"/>
        <v>10117.152658662078</v>
      </c>
      <c r="I82" s="91">
        <f t="shared" si="28"/>
        <v>972133.01475431665</v>
      </c>
      <c r="J82" s="22">
        <f>VLOOKUP(D82,Data!$A$5:$V$197,8,FALSE)*5.83</f>
        <v>96.087609582721697</v>
      </c>
      <c r="K82" s="91">
        <f>VLOOKUP(D82,Data!$A$5:$V$197,21,FALSE)</f>
        <v>639.9656946826758</v>
      </c>
      <c r="L82" s="91">
        <f t="shared" si="55"/>
        <v>60994.717071717954</v>
      </c>
      <c r="M82" s="14">
        <f t="shared" si="46"/>
        <v>95.309354202121597</v>
      </c>
      <c r="N82" s="46">
        <f t="shared" si="47"/>
        <v>132370</v>
      </c>
      <c r="O82" s="46">
        <f t="shared" si="48"/>
        <v>12616099.215734836</v>
      </c>
      <c r="P82" s="22">
        <f t="shared" si="49"/>
        <v>95.309354202121597</v>
      </c>
      <c r="Q82" s="55">
        <f t="shared" si="50"/>
        <v>127616.56287109116</v>
      </c>
      <c r="R82" s="55">
        <f t="shared" si="51"/>
        <v>12183068.837500425</v>
      </c>
      <c r="S82" s="32">
        <f t="shared" si="52"/>
        <v>95.466204099281867</v>
      </c>
      <c r="T82" s="55">
        <f t="shared" si="53"/>
        <v>141000</v>
      </c>
      <c r="U82" s="45">
        <v>8646</v>
      </c>
      <c r="V82" s="37">
        <f t="shared" si="54"/>
        <v>98.04</v>
      </c>
    </row>
    <row r="83" spans="1:22">
      <c r="A83" s="47">
        <v>8630</v>
      </c>
      <c r="B83" s="47">
        <v>10000</v>
      </c>
      <c r="C83" s="47">
        <v>141000</v>
      </c>
      <c r="D83" s="13">
        <v>43952</v>
      </c>
      <c r="E83" s="16">
        <f t="shared" si="43"/>
        <v>132370</v>
      </c>
      <c r="F83" s="16">
        <f t="shared" si="44"/>
        <v>12616099.215734836</v>
      </c>
      <c r="G83" s="14">
        <f t="shared" si="45"/>
        <v>95.309354202121597</v>
      </c>
      <c r="H83" s="46">
        <f t="shared" si="27"/>
        <v>0</v>
      </c>
      <c r="I83" s="91">
        <f t="shared" si="28"/>
        <v>0</v>
      </c>
      <c r="J83" s="22">
        <f>VLOOKUP(D83,Data!$A$5:$V$197,8,FALSE)*5.83</f>
        <v>95.122308343650815</v>
      </c>
      <c r="K83" s="91">
        <f>VLOOKUP(D83,Data!$A$5:$V$197,21,FALSE)</f>
        <v>0</v>
      </c>
      <c r="L83" s="91">
        <f t="shared" si="55"/>
        <v>0</v>
      </c>
      <c r="M83" s="14">
        <f t="shared" si="46"/>
        <v>0</v>
      </c>
      <c r="N83" s="46">
        <f t="shared" si="47"/>
        <v>132370</v>
      </c>
      <c r="O83" s="46">
        <f t="shared" si="48"/>
        <v>12616099.215734836</v>
      </c>
      <c r="P83" s="22">
        <f t="shared" si="49"/>
        <v>95.309354202121597</v>
      </c>
      <c r="Q83" s="55">
        <f t="shared" si="50"/>
        <v>127934.19052645469</v>
      </c>
      <c r="R83" s="55">
        <f t="shared" si="51"/>
        <v>12205644.116062529</v>
      </c>
      <c r="S83" s="32">
        <f t="shared" si="52"/>
        <v>95.405646182899034</v>
      </c>
      <c r="T83" s="55">
        <f t="shared" si="53"/>
        <v>141000</v>
      </c>
      <c r="U83" s="45">
        <v>8647</v>
      </c>
      <c r="V83" s="37">
        <f t="shared" si="54"/>
        <v>98.039259259259254</v>
      </c>
    </row>
    <row r="84" spans="1:22">
      <c r="A84" s="47">
        <v>8630</v>
      </c>
      <c r="B84" s="47">
        <v>10000</v>
      </c>
      <c r="C84" s="47">
        <v>141000</v>
      </c>
      <c r="D84" s="13">
        <v>43983</v>
      </c>
      <c r="E84" s="16">
        <f t="shared" si="43"/>
        <v>132370</v>
      </c>
      <c r="F84" s="16">
        <f t="shared" si="44"/>
        <v>12616099.215734836</v>
      </c>
      <c r="G84" s="14">
        <f t="shared" si="45"/>
        <v>95.309354202121597</v>
      </c>
      <c r="H84" s="46">
        <f t="shared" si="27"/>
        <v>0</v>
      </c>
      <c r="I84" s="91">
        <f t="shared" si="28"/>
        <v>0</v>
      </c>
      <c r="J84" s="22">
        <f>VLOOKUP(D84,Data!$A$5:$V$197,8,FALSE)*5.83</f>
        <v>95.908469097398736</v>
      </c>
      <c r="K84" s="91">
        <f>VLOOKUP(D84,Data!$A$5:$V$197,21,FALSE)</f>
        <v>1048.3704974271011</v>
      </c>
      <c r="L84" s="91">
        <f t="shared" si="55"/>
        <v>99919.515074333991</v>
      </c>
      <c r="M84" s="14">
        <f t="shared" si="46"/>
        <v>95.309354202121597</v>
      </c>
      <c r="N84" s="46">
        <f t="shared" si="47"/>
        <v>131321.62950257291</v>
      </c>
      <c r="O84" s="46">
        <f t="shared" si="48"/>
        <v>12516179.700660503</v>
      </c>
      <c r="P84" s="22">
        <f t="shared" si="49"/>
        <v>95.309354202121597</v>
      </c>
      <c r="Q84" s="55">
        <f t="shared" si="50"/>
        <v>128269.08958965563</v>
      </c>
      <c r="R84" s="55">
        <f t="shared" si="51"/>
        <v>12229941.926622765</v>
      </c>
      <c r="S84" s="32">
        <f t="shared" si="52"/>
        <v>95.345979033198489</v>
      </c>
      <c r="T84" s="55">
        <f t="shared" si="53"/>
        <v>139951.62950257291</v>
      </c>
      <c r="U84" s="45">
        <v>8648</v>
      </c>
      <c r="V84" s="37">
        <f t="shared" si="54"/>
        <v>97.261947779683638</v>
      </c>
    </row>
    <row r="85" spans="1:22">
      <c r="A85" s="47">
        <v>8630</v>
      </c>
      <c r="B85" s="47">
        <v>10000</v>
      </c>
      <c r="C85" s="47">
        <v>141000</v>
      </c>
      <c r="D85" s="13">
        <v>44013</v>
      </c>
      <c r="E85" s="16">
        <f t="shared" si="43"/>
        <v>131321.62950257291</v>
      </c>
      <c r="F85" s="16">
        <f t="shared" si="44"/>
        <v>12516179.700660503</v>
      </c>
      <c r="G85" s="14">
        <f t="shared" si="45"/>
        <v>95.309354202121597</v>
      </c>
      <c r="H85" s="46">
        <f t="shared" si="27"/>
        <v>0</v>
      </c>
      <c r="I85" s="91">
        <f t="shared" si="28"/>
        <v>0</v>
      </c>
      <c r="J85" s="22">
        <f>VLOOKUP(D85,Data!$A$5:$V$197,8,FALSE)*5.83</f>
        <v>97.326996691085213</v>
      </c>
      <c r="K85" s="91">
        <f>VLOOKUP(D85,Data!$A$5:$V$197,21,FALSE)</f>
        <v>0</v>
      </c>
      <c r="L85" s="91">
        <f t="shared" si="55"/>
        <v>0</v>
      </c>
      <c r="M85" s="14">
        <f t="shared" si="46"/>
        <v>0</v>
      </c>
      <c r="N85" s="46">
        <f t="shared" si="47"/>
        <v>131321.62950257291</v>
      </c>
      <c r="O85" s="46">
        <f t="shared" si="48"/>
        <v>12516179.700660503</v>
      </c>
      <c r="P85" s="22">
        <f t="shared" si="49"/>
        <v>95.309354202121597</v>
      </c>
      <c r="Q85" s="55">
        <f t="shared" si="50"/>
        <v>128188.44570523816</v>
      </c>
      <c r="R85" s="55">
        <f t="shared" si="51"/>
        <v>12218048.216138937</v>
      </c>
      <c r="S85" s="32">
        <f t="shared" si="52"/>
        <v>95.313178570193642</v>
      </c>
      <c r="T85" s="55">
        <f t="shared" si="53"/>
        <v>139951.62950257291</v>
      </c>
      <c r="U85" s="45">
        <v>8649</v>
      </c>
      <c r="V85" s="37">
        <f t="shared" si="54"/>
        <v>97.261207038942899</v>
      </c>
    </row>
    <row r="86" spans="1:22">
      <c r="A86" s="47">
        <v>8630</v>
      </c>
      <c r="B86" s="47">
        <v>10000</v>
      </c>
      <c r="C86" s="47">
        <v>141000</v>
      </c>
      <c r="D86" s="13">
        <v>44044</v>
      </c>
      <c r="E86" s="16">
        <f t="shared" si="43"/>
        <v>131321.62950257291</v>
      </c>
      <c r="F86" s="16">
        <f t="shared" si="44"/>
        <v>12516179.700660503</v>
      </c>
      <c r="G86" s="14">
        <f t="shared" si="45"/>
        <v>95.309354202121597</v>
      </c>
      <c r="H86" s="46">
        <f t="shared" si="27"/>
        <v>0</v>
      </c>
      <c r="I86" s="91">
        <f t="shared" si="28"/>
        <v>0</v>
      </c>
      <c r="J86" s="22">
        <f>VLOOKUP(D86,Data!$A$5:$V$197,8,FALSE)*5.83</f>
        <v>96.390192968432771</v>
      </c>
      <c r="K86" s="91">
        <f>VLOOKUP(D86,Data!$A$5:$V$197,21,FALSE)</f>
        <v>1576.843910806175</v>
      </c>
      <c r="L86" s="91">
        <f t="shared" si="55"/>
        <v>150287.97481648438</v>
      </c>
      <c r="M86" s="14">
        <f t="shared" si="46"/>
        <v>95.309354202121597</v>
      </c>
      <c r="N86" s="46">
        <f t="shared" si="47"/>
        <v>129744.78559176673</v>
      </c>
      <c r="O86" s="46">
        <f t="shared" si="48"/>
        <v>12365891.725844018</v>
      </c>
      <c r="P86" s="22">
        <f t="shared" si="49"/>
        <v>95.309354202121597</v>
      </c>
      <c r="Q86" s="55">
        <f t="shared" si="50"/>
        <v>127986.50613537406</v>
      </c>
      <c r="R86" s="55">
        <f t="shared" si="51"/>
        <v>12196319.919321725</v>
      </c>
      <c r="S86" s="32">
        <f t="shared" si="52"/>
        <v>95.293795319495771</v>
      </c>
      <c r="T86" s="55">
        <f t="shared" si="53"/>
        <v>138374.78559176673</v>
      </c>
      <c r="U86" s="45">
        <v>8650</v>
      </c>
      <c r="V86" s="37">
        <f t="shared" si="54"/>
        <v>96.092433771679055</v>
      </c>
    </row>
    <row r="87" spans="1:22">
      <c r="A87" s="47">
        <v>8630</v>
      </c>
      <c r="B87" s="47">
        <v>10000</v>
      </c>
      <c r="C87" s="47">
        <v>141000</v>
      </c>
      <c r="D87" s="13">
        <v>44075</v>
      </c>
      <c r="E87" s="16">
        <f t="shared" si="43"/>
        <v>129744.78559176673</v>
      </c>
      <c r="F87" s="16">
        <f t="shared" si="44"/>
        <v>12365891.725844018</v>
      </c>
      <c r="G87" s="14">
        <f t="shared" si="45"/>
        <v>95.309354202121597</v>
      </c>
      <c r="H87" s="46">
        <f t="shared" si="27"/>
        <v>0</v>
      </c>
      <c r="I87" s="91">
        <f t="shared" si="28"/>
        <v>0</v>
      </c>
      <c r="J87" s="22">
        <f>VLOOKUP(D87,Data!$A$5:$V$197,8,FALSE)*5.83</f>
        <v>95.947577884158335</v>
      </c>
      <c r="K87" s="91">
        <f>VLOOKUP(D87,Data!$A$5:$V$197,21,FALSE)</f>
        <v>734.47684391080611</v>
      </c>
      <c r="L87" s="91">
        <f t="shared" si="55"/>
        <v>70002.513669551394</v>
      </c>
      <c r="M87" s="14">
        <f t="shared" si="46"/>
        <v>95.309354202121597</v>
      </c>
      <c r="N87" s="46">
        <f t="shared" si="47"/>
        <v>129010.30874785593</v>
      </c>
      <c r="O87" s="46">
        <f t="shared" si="48"/>
        <v>12295889.212174466</v>
      </c>
      <c r="P87" s="22">
        <f t="shared" si="49"/>
        <v>95.309354202121582</v>
      </c>
      <c r="Q87" s="55">
        <f t="shared" si="50"/>
        <v>128260.31534503232</v>
      </c>
      <c r="R87" s="55">
        <f t="shared" si="51"/>
        <v>12220064.64727327</v>
      </c>
      <c r="S87" s="32">
        <f t="shared" si="52"/>
        <v>95.275491989865657</v>
      </c>
      <c r="T87" s="55">
        <f t="shared" si="53"/>
        <v>137640.30874785595</v>
      </c>
      <c r="U87" s="45">
        <v>8651</v>
      </c>
      <c r="V87" s="37">
        <f t="shared" si="54"/>
        <v>95.547636109522927</v>
      </c>
    </row>
    <row r="88" spans="1:22">
      <c r="A88" s="47">
        <v>8630</v>
      </c>
      <c r="B88" s="47">
        <v>10000</v>
      </c>
      <c r="C88" s="47">
        <v>141000</v>
      </c>
      <c r="D88" s="13">
        <v>44105</v>
      </c>
      <c r="E88" s="16">
        <f t="shared" si="43"/>
        <v>129010.30874785593</v>
      </c>
      <c r="F88" s="16">
        <f t="shared" si="44"/>
        <v>12295889.212174466</v>
      </c>
      <c r="G88" s="14">
        <f t="shared" si="45"/>
        <v>95.309354202121582</v>
      </c>
      <c r="H88" s="46">
        <f t="shared" si="27"/>
        <v>0</v>
      </c>
      <c r="I88" s="91">
        <f t="shared" si="28"/>
        <v>0</v>
      </c>
      <c r="J88" s="22">
        <f>VLOOKUP(D88,Data!$A$5:$V$197,8,FALSE)*5.83</f>
        <v>94.762451900552492</v>
      </c>
      <c r="K88" s="91">
        <f>VLOOKUP(D88,Data!$A$5:$V$197,21,FALSE)</f>
        <v>0</v>
      </c>
      <c r="L88" s="91">
        <f t="shared" si="55"/>
        <v>0</v>
      </c>
      <c r="M88" s="14">
        <f t="shared" si="46"/>
        <v>0</v>
      </c>
      <c r="N88" s="46">
        <f t="shared" si="47"/>
        <v>129010.30874785593</v>
      </c>
      <c r="O88" s="46">
        <f t="shared" si="48"/>
        <v>12295889.212174466</v>
      </c>
      <c r="P88" s="22">
        <f t="shared" si="49"/>
        <v>95.309354202121582</v>
      </c>
      <c r="Q88" s="55">
        <f t="shared" si="50"/>
        <v>128001.87755640586</v>
      </c>
      <c r="R88" s="55">
        <f t="shared" si="51"/>
        <v>12196085.48782856</v>
      </c>
      <c r="S88" s="32">
        <f t="shared" si="52"/>
        <v>95.280520259979625</v>
      </c>
      <c r="T88" s="55">
        <f t="shared" si="53"/>
        <v>137640.30874785595</v>
      </c>
      <c r="U88" s="45">
        <v>8652</v>
      </c>
      <c r="V88" s="37">
        <f t="shared" si="54"/>
        <v>95.546895368782188</v>
      </c>
    </row>
    <row r="89" spans="1:22">
      <c r="A89" s="47">
        <v>8630</v>
      </c>
      <c r="B89" s="47">
        <v>10000</v>
      </c>
      <c r="C89" s="47">
        <v>141000</v>
      </c>
      <c r="D89" s="13">
        <v>44136</v>
      </c>
      <c r="E89" s="16">
        <f t="shared" si="43"/>
        <v>129010.30874785593</v>
      </c>
      <c r="F89" s="16">
        <f t="shared" si="44"/>
        <v>12295889.212174466</v>
      </c>
      <c r="G89" s="14">
        <f t="shared" si="45"/>
        <v>95.309354202121582</v>
      </c>
      <c r="H89" s="46">
        <f t="shared" si="27"/>
        <v>0</v>
      </c>
      <c r="I89" s="91">
        <f t="shared" si="28"/>
        <v>0</v>
      </c>
      <c r="J89" s="22">
        <f>VLOOKUP(D89,Data!$A$5:$V$197,8,FALSE)*5.83</f>
        <v>94.355006921906664</v>
      </c>
      <c r="K89" s="91">
        <f>VLOOKUP(D89,Data!$A$5:$V$197,21,FALSE)</f>
        <v>0</v>
      </c>
      <c r="L89" s="91">
        <f t="shared" si="55"/>
        <v>0</v>
      </c>
      <c r="M89" s="14">
        <f t="shared" si="46"/>
        <v>0</v>
      </c>
      <c r="N89" s="46">
        <f t="shared" si="47"/>
        <v>129010.30874785593</v>
      </c>
      <c r="O89" s="46">
        <f t="shared" si="48"/>
        <v>12295889.212174466</v>
      </c>
      <c r="P89" s="22">
        <f t="shared" si="49"/>
        <v>95.309354202121582</v>
      </c>
      <c r="Q89" s="55">
        <f t="shared" si="50"/>
        <v>128270.42221929015</v>
      </c>
      <c r="R89" s="55">
        <f t="shared" si="51"/>
        <v>12222298.921807723</v>
      </c>
      <c r="S89" s="32">
        <f t="shared" si="52"/>
        <v>95.285403371578312</v>
      </c>
      <c r="T89" s="55">
        <f t="shared" si="53"/>
        <v>137640.30874785595</v>
      </c>
      <c r="U89" s="45">
        <v>8653</v>
      </c>
      <c r="V89" s="37">
        <f t="shared" si="54"/>
        <v>95.546154628041435</v>
      </c>
    </row>
    <row r="90" spans="1:22">
      <c r="A90" s="47">
        <v>8630</v>
      </c>
      <c r="B90" s="47">
        <v>10000</v>
      </c>
      <c r="C90" s="47">
        <v>141000</v>
      </c>
      <c r="D90" s="13">
        <v>44166</v>
      </c>
      <c r="E90" s="16">
        <f t="shared" si="43"/>
        <v>129010.30874785593</v>
      </c>
      <c r="F90" s="16">
        <f t="shared" si="44"/>
        <v>12295889.212174466</v>
      </c>
      <c r="G90" s="14">
        <f t="shared" si="45"/>
        <v>95.309354202121582</v>
      </c>
      <c r="H90" s="46">
        <f t="shared" si="27"/>
        <v>0</v>
      </c>
      <c r="I90" s="91">
        <f t="shared" ref="I90" si="56">H90*J90</f>
        <v>0</v>
      </c>
      <c r="J90" s="22">
        <f>VLOOKUP(D90,Data!$A$5:$V$197,8,FALSE)*5.83</f>
        <v>91.355353709960923</v>
      </c>
      <c r="K90" s="91">
        <f>VLOOKUP(D90,Data!$A$5:$V$197,21,FALSE)</f>
        <v>0</v>
      </c>
      <c r="L90" s="91">
        <f t="shared" si="55"/>
        <v>0</v>
      </c>
      <c r="M90" s="14">
        <f t="shared" si="46"/>
        <v>0</v>
      </c>
      <c r="N90" s="46">
        <f t="shared" si="47"/>
        <v>129010.30874785593</v>
      </c>
      <c r="O90" s="46">
        <f t="shared" si="48"/>
        <v>12295889.212174466</v>
      </c>
      <c r="P90" s="22">
        <f t="shared" si="49"/>
        <v>95.309354202121582</v>
      </c>
      <c r="Q90" s="55">
        <f t="shared" si="50"/>
        <v>128538.96688217444</v>
      </c>
      <c r="R90" s="55">
        <f t="shared" si="51"/>
        <v>12248512.35578688</v>
      </c>
      <c r="S90" s="32">
        <f t="shared" si="52"/>
        <v>95.290266079503425</v>
      </c>
      <c r="T90" s="55">
        <f t="shared" si="53"/>
        <v>137640.30874785595</v>
      </c>
      <c r="U90" s="45">
        <v>8654</v>
      </c>
      <c r="V90" s="37">
        <f t="shared" si="54"/>
        <v>95.545413887300697</v>
      </c>
    </row>
  </sheetData>
  <mergeCells count="8">
    <mergeCell ref="T5:V5"/>
    <mergeCell ref="Q7:S18"/>
    <mergeCell ref="T7:V18"/>
    <mergeCell ref="E5:G5"/>
    <mergeCell ref="H5:J5"/>
    <mergeCell ref="K5:M5"/>
    <mergeCell ref="N5:P5"/>
    <mergeCell ref="Q5:S5"/>
  </mergeCells>
  <conditionalFormatting sqref="H31:H90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 tint="0.59999389629810485"/>
  </sheetPr>
  <dimension ref="A1:V90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5.6640625" style="1" bestFit="1" customWidth="1"/>
    <col min="3" max="3" width="6.5546875" style="1" bestFit="1" customWidth="1"/>
    <col min="4" max="4" width="6.109375" style="1" bestFit="1" customWidth="1"/>
    <col min="5" max="5" width="6.5546875" style="1" bestFit="1" customWidth="1"/>
    <col min="6" max="6" width="8.6640625" style="1" bestFit="1" customWidth="1"/>
    <col min="7" max="7" width="5.6640625" style="1" bestFit="1" customWidth="1"/>
    <col min="8" max="8" width="7.109375" style="1" bestFit="1" customWidth="1"/>
    <col min="9" max="9" width="9.33203125" style="1" bestFit="1" customWidth="1"/>
    <col min="10" max="11" width="6.33203125" style="1" bestFit="1" customWidth="1"/>
    <col min="12" max="12" width="8.44140625" style="1" bestFit="1" customWidth="1"/>
    <col min="13" max="13" width="5.33203125" style="1" bestFit="1" customWidth="1"/>
    <col min="14" max="14" width="7.109375" style="1" bestFit="1" customWidth="1"/>
    <col min="15" max="15" width="9.33203125" style="1" bestFit="1" customWidth="1"/>
    <col min="16" max="16" width="6.33203125" style="1" bestFit="1" customWidth="1"/>
    <col min="17" max="17" width="7.109375" style="1" bestFit="1" customWidth="1"/>
    <col min="18" max="18" width="9.33203125" style="1" bestFit="1" customWidth="1"/>
    <col min="19" max="19" width="6.33203125" style="1" bestFit="1" customWidth="1"/>
    <col min="20" max="20" width="12.6640625" style="1" bestFit="1" customWidth="1"/>
    <col min="21" max="21" width="10.33203125" style="1" bestFit="1" customWidth="1"/>
    <col min="22" max="22" width="9.88671875" style="1" bestFit="1" customWidth="1"/>
    <col min="23" max="16384" width="9.109375" style="1"/>
  </cols>
  <sheetData>
    <row r="1" spans="1:22" s="120" customFormat="1">
      <c r="A1" s="120" t="s">
        <v>73</v>
      </c>
    </row>
    <row r="2" spans="1:22" s="120" customFormat="1">
      <c r="A2" s="120" t="s">
        <v>59</v>
      </c>
    </row>
    <row r="3" spans="1:22" s="44" customFormat="1"/>
    <row r="5" spans="1:22">
      <c r="B5" s="17"/>
      <c r="C5" s="18"/>
      <c r="D5" s="19"/>
      <c r="E5" s="106" t="s">
        <v>0</v>
      </c>
      <c r="F5" s="106"/>
      <c r="G5" s="106"/>
      <c r="H5" s="106" t="s">
        <v>1</v>
      </c>
      <c r="I5" s="106"/>
      <c r="J5" s="106"/>
      <c r="K5" s="106" t="s">
        <v>40</v>
      </c>
      <c r="L5" s="106"/>
      <c r="M5" s="106"/>
      <c r="N5" s="106" t="s">
        <v>2</v>
      </c>
      <c r="O5" s="106"/>
      <c r="P5" s="106"/>
      <c r="Q5" s="106" t="s">
        <v>29</v>
      </c>
      <c r="R5" s="106"/>
      <c r="S5" s="106"/>
      <c r="T5" s="106" t="s">
        <v>39</v>
      </c>
      <c r="U5" s="106"/>
      <c r="V5" s="106"/>
    </row>
    <row r="6" spans="1:22">
      <c r="A6" s="20" t="s">
        <v>49</v>
      </c>
      <c r="B6" s="20" t="s">
        <v>20</v>
      </c>
      <c r="C6" s="12" t="s">
        <v>12</v>
      </c>
      <c r="D6" s="9" t="s">
        <v>26</v>
      </c>
      <c r="E6" s="33" t="s">
        <v>3</v>
      </c>
      <c r="F6" s="33" t="s">
        <v>27</v>
      </c>
      <c r="G6" s="33" t="s">
        <v>28</v>
      </c>
      <c r="H6" s="33" t="s">
        <v>3</v>
      </c>
      <c r="I6" s="33" t="s">
        <v>27</v>
      </c>
      <c r="J6" s="33" t="s">
        <v>28</v>
      </c>
      <c r="K6" s="33" t="s">
        <v>3</v>
      </c>
      <c r="L6" s="33" t="s">
        <v>27</v>
      </c>
      <c r="M6" s="33" t="s">
        <v>28</v>
      </c>
      <c r="N6" s="33" t="s">
        <v>3</v>
      </c>
      <c r="O6" s="33" t="s">
        <v>27</v>
      </c>
      <c r="P6" s="33" t="s">
        <v>28</v>
      </c>
      <c r="Q6" s="70" t="s">
        <v>3</v>
      </c>
      <c r="R6" s="70" t="s">
        <v>27</v>
      </c>
      <c r="S6" s="70" t="s">
        <v>28</v>
      </c>
      <c r="T6" s="72" t="s">
        <v>37</v>
      </c>
      <c r="U6" s="69" t="s">
        <v>38</v>
      </c>
      <c r="V6" s="69" t="s">
        <v>50</v>
      </c>
    </row>
    <row r="7" spans="1:22">
      <c r="A7" s="21"/>
      <c r="B7" s="21"/>
      <c r="C7" s="21"/>
      <c r="D7" s="49">
        <v>41640</v>
      </c>
      <c r="E7" s="50">
        <v>0</v>
      </c>
      <c r="F7" s="50">
        <v>0</v>
      </c>
      <c r="G7" s="53">
        <v>0</v>
      </c>
      <c r="H7" s="51">
        <v>0</v>
      </c>
      <c r="I7" s="51">
        <v>0</v>
      </c>
      <c r="J7" s="52">
        <f t="shared" ref="J7" si="0">IF(H7=0,0,I7/H7)</f>
        <v>0</v>
      </c>
      <c r="K7" s="51">
        <v>0</v>
      </c>
      <c r="L7" s="51">
        <v>0</v>
      </c>
      <c r="M7" s="53">
        <f>IF(K7=0,0,L7/K7)</f>
        <v>0</v>
      </c>
      <c r="N7" s="51">
        <f t="shared" ref="N7:O54" si="1">+E7+H7-K7</f>
        <v>0</v>
      </c>
      <c r="O7" s="51">
        <f t="shared" si="1"/>
        <v>0</v>
      </c>
      <c r="P7" s="52">
        <f t="shared" ref="P7:P54" si="2">IF(N7=0,0,O7/N7)</f>
        <v>0</v>
      </c>
      <c r="Q7" s="107"/>
      <c r="R7" s="107"/>
      <c r="S7" s="107"/>
      <c r="T7" s="107"/>
      <c r="U7" s="107"/>
      <c r="V7" s="107"/>
    </row>
    <row r="8" spans="1:22">
      <c r="A8" s="21"/>
      <c r="B8" s="21"/>
      <c r="C8" s="21"/>
      <c r="D8" s="49">
        <v>41671</v>
      </c>
      <c r="E8" s="50">
        <f t="shared" ref="E8:G48" si="3">N7</f>
        <v>0</v>
      </c>
      <c r="F8" s="50">
        <f t="shared" si="3"/>
        <v>0</v>
      </c>
      <c r="G8" s="53">
        <f t="shared" si="3"/>
        <v>0</v>
      </c>
      <c r="H8" s="51">
        <v>0</v>
      </c>
      <c r="I8" s="51">
        <v>0</v>
      </c>
      <c r="J8" s="52">
        <f t="shared" ref="J8" si="4">IF(H8=0,0,I8/H8)</f>
        <v>0</v>
      </c>
      <c r="K8" s="51">
        <v>0</v>
      </c>
      <c r="L8" s="51">
        <v>0</v>
      </c>
      <c r="M8" s="53">
        <f>IF(K8=0,0,L8/K8)</f>
        <v>0</v>
      </c>
      <c r="N8" s="51">
        <f t="shared" si="1"/>
        <v>0</v>
      </c>
      <c r="O8" s="51">
        <f t="shared" si="1"/>
        <v>0</v>
      </c>
      <c r="P8" s="52">
        <f t="shared" si="2"/>
        <v>0</v>
      </c>
      <c r="Q8" s="107"/>
      <c r="R8" s="107"/>
      <c r="S8" s="107"/>
      <c r="T8" s="107"/>
      <c r="U8" s="107"/>
      <c r="V8" s="107"/>
    </row>
    <row r="9" spans="1:22">
      <c r="A9" s="21"/>
      <c r="B9" s="21"/>
      <c r="C9" s="21"/>
      <c r="D9" s="49">
        <v>41699</v>
      </c>
      <c r="E9" s="50">
        <f t="shared" si="3"/>
        <v>0</v>
      </c>
      <c r="F9" s="50">
        <f t="shared" si="3"/>
        <v>0</v>
      </c>
      <c r="G9" s="53">
        <f t="shared" si="3"/>
        <v>0</v>
      </c>
      <c r="H9" s="51">
        <v>0</v>
      </c>
      <c r="I9" s="51">
        <v>0</v>
      </c>
      <c r="J9" s="52">
        <f t="shared" ref="J9" si="5">IF(H9=0,0,I9/H9)</f>
        <v>0</v>
      </c>
      <c r="K9" s="51">
        <v>0</v>
      </c>
      <c r="L9" s="51">
        <v>0</v>
      </c>
      <c r="M9" s="53">
        <f>IF(K9=0,0,L9/K9)</f>
        <v>0</v>
      </c>
      <c r="N9" s="51">
        <f t="shared" si="1"/>
        <v>0</v>
      </c>
      <c r="O9" s="51">
        <f t="shared" si="1"/>
        <v>0</v>
      </c>
      <c r="P9" s="52">
        <f t="shared" si="2"/>
        <v>0</v>
      </c>
      <c r="Q9" s="107"/>
      <c r="R9" s="107"/>
      <c r="S9" s="107"/>
      <c r="T9" s="107"/>
      <c r="U9" s="107"/>
      <c r="V9" s="107"/>
    </row>
    <row r="10" spans="1:22">
      <c r="A10" s="21"/>
      <c r="B10" s="21"/>
      <c r="C10" s="21"/>
      <c r="D10" s="49">
        <v>41730</v>
      </c>
      <c r="E10" s="50">
        <f t="shared" si="3"/>
        <v>0</v>
      </c>
      <c r="F10" s="50">
        <f t="shared" si="3"/>
        <v>0</v>
      </c>
      <c r="G10" s="53">
        <f t="shared" si="3"/>
        <v>0</v>
      </c>
      <c r="H10" s="51">
        <v>0</v>
      </c>
      <c r="I10" s="51">
        <v>0</v>
      </c>
      <c r="J10" s="52">
        <f t="shared" ref="J10" si="6">IF(H10=0,0,I10/H10)</f>
        <v>0</v>
      </c>
      <c r="K10" s="51">
        <v>0</v>
      </c>
      <c r="L10" s="51">
        <v>0</v>
      </c>
      <c r="M10" s="53">
        <f t="shared" ref="M10:M47" si="7">IF(K10=0,0,L10/K10)</f>
        <v>0</v>
      </c>
      <c r="N10" s="51">
        <f t="shared" si="1"/>
        <v>0</v>
      </c>
      <c r="O10" s="51">
        <f t="shared" si="1"/>
        <v>0</v>
      </c>
      <c r="P10" s="52">
        <f t="shared" si="2"/>
        <v>0</v>
      </c>
      <c r="Q10" s="107"/>
      <c r="R10" s="107"/>
      <c r="S10" s="107"/>
      <c r="T10" s="107"/>
      <c r="U10" s="107"/>
      <c r="V10" s="107"/>
    </row>
    <row r="11" spans="1:22">
      <c r="A11" s="21"/>
      <c r="B11" s="21"/>
      <c r="C11" s="21"/>
      <c r="D11" s="49">
        <v>41760</v>
      </c>
      <c r="E11" s="50">
        <f t="shared" si="3"/>
        <v>0</v>
      </c>
      <c r="F11" s="50">
        <f t="shared" si="3"/>
        <v>0</v>
      </c>
      <c r="G11" s="53">
        <f t="shared" si="3"/>
        <v>0</v>
      </c>
      <c r="H11" s="51">
        <v>0</v>
      </c>
      <c r="I11" s="51">
        <v>0</v>
      </c>
      <c r="J11" s="52">
        <f t="shared" ref="J11" si="8">IF(H11=0,0,I11/H11)</f>
        <v>0</v>
      </c>
      <c r="K11" s="51">
        <v>0</v>
      </c>
      <c r="L11" s="51">
        <v>0</v>
      </c>
      <c r="M11" s="53">
        <f t="shared" si="7"/>
        <v>0</v>
      </c>
      <c r="N11" s="51">
        <f t="shared" si="1"/>
        <v>0</v>
      </c>
      <c r="O11" s="51">
        <f t="shared" si="1"/>
        <v>0</v>
      </c>
      <c r="P11" s="52">
        <f t="shared" si="2"/>
        <v>0</v>
      </c>
      <c r="Q11" s="107"/>
      <c r="R11" s="107"/>
      <c r="S11" s="107"/>
      <c r="T11" s="107"/>
      <c r="U11" s="107"/>
      <c r="V11" s="107"/>
    </row>
    <row r="12" spans="1:22">
      <c r="A12" s="21"/>
      <c r="B12" s="21"/>
      <c r="C12" s="21"/>
      <c r="D12" s="49">
        <v>41791</v>
      </c>
      <c r="E12" s="50">
        <f t="shared" si="3"/>
        <v>0</v>
      </c>
      <c r="F12" s="50">
        <f t="shared" si="3"/>
        <v>0</v>
      </c>
      <c r="G12" s="53">
        <f t="shared" si="3"/>
        <v>0</v>
      </c>
      <c r="H12" s="51">
        <v>0</v>
      </c>
      <c r="I12" s="51">
        <v>0</v>
      </c>
      <c r="J12" s="52">
        <f t="shared" ref="J12" si="9">IF(H12=0,0,I12/H12)</f>
        <v>0</v>
      </c>
      <c r="K12" s="51">
        <v>0</v>
      </c>
      <c r="L12" s="51">
        <v>0</v>
      </c>
      <c r="M12" s="53">
        <f t="shared" si="7"/>
        <v>0</v>
      </c>
      <c r="N12" s="51">
        <f t="shared" si="1"/>
        <v>0</v>
      </c>
      <c r="O12" s="51">
        <f t="shared" si="1"/>
        <v>0</v>
      </c>
      <c r="P12" s="52">
        <f t="shared" si="2"/>
        <v>0</v>
      </c>
      <c r="Q12" s="107"/>
      <c r="R12" s="107"/>
      <c r="S12" s="107"/>
      <c r="T12" s="107"/>
      <c r="U12" s="107"/>
      <c r="V12" s="107"/>
    </row>
    <row r="13" spans="1:22">
      <c r="A13" s="21"/>
      <c r="B13" s="21"/>
      <c r="C13" s="21"/>
      <c r="D13" s="49">
        <v>41821</v>
      </c>
      <c r="E13" s="50">
        <f t="shared" si="3"/>
        <v>0</v>
      </c>
      <c r="F13" s="50">
        <f t="shared" si="3"/>
        <v>0</v>
      </c>
      <c r="G13" s="53">
        <f t="shared" si="3"/>
        <v>0</v>
      </c>
      <c r="H13" s="51">
        <v>0</v>
      </c>
      <c r="I13" s="51">
        <v>0</v>
      </c>
      <c r="J13" s="52">
        <f t="shared" ref="J13" si="10">IF(H13=0,0,I13/H13)</f>
        <v>0</v>
      </c>
      <c r="K13" s="51">
        <v>0</v>
      </c>
      <c r="L13" s="51">
        <v>0</v>
      </c>
      <c r="M13" s="53">
        <f t="shared" si="7"/>
        <v>0</v>
      </c>
      <c r="N13" s="51">
        <f t="shared" si="1"/>
        <v>0</v>
      </c>
      <c r="O13" s="51">
        <f t="shared" si="1"/>
        <v>0</v>
      </c>
      <c r="P13" s="52">
        <f t="shared" si="2"/>
        <v>0</v>
      </c>
      <c r="Q13" s="107"/>
      <c r="R13" s="107"/>
      <c r="S13" s="107"/>
      <c r="T13" s="107"/>
      <c r="U13" s="107"/>
      <c r="V13" s="107"/>
    </row>
    <row r="14" spans="1:22">
      <c r="A14" s="21"/>
      <c r="B14" s="21"/>
      <c r="C14" s="21"/>
      <c r="D14" s="49">
        <v>41852</v>
      </c>
      <c r="E14" s="50">
        <f t="shared" si="3"/>
        <v>0</v>
      </c>
      <c r="F14" s="50">
        <f t="shared" si="3"/>
        <v>0</v>
      </c>
      <c r="G14" s="53">
        <f t="shared" si="3"/>
        <v>0</v>
      </c>
      <c r="H14" s="51">
        <v>0</v>
      </c>
      <c r="I14" s="51">
        <v>0</v>
      </c>
      <c r="J14" s="52">
        <f t="shared" ref="J14" si="11">IF(H14=0,0,I14/H14)</f>
        <v>0</v>
      </c>
      <c r="K14" s="51">
        <v>0</v>
      </c>
      <c r="L14" s="51">
        <v>0</v>
      </c>
      <c r="M14" s="53">
        <f t="shared" si="7"/>
        <v>0</v>
      </c>
      <c r="N14" s="51">
        <f t="shared" si="1"/>
        <v>0</v>
      </c>
      <c r="O14" s="51">
        <f t="shared" si="1"/>
        <v>0</v>
      </c>
      <c r="P14" s="52">
        <f t="shared" si="2"/>
        <v>0</v>
      </c>
      <c r="Q14" s="107"/>
      <c r="R14" s="107"/>
      <c r="S14" s="107"/>
      <c r="T14" s="107"/>
      <c r="U14" s="107"/>
      <c r="V14" s="107"/>
    </row>
    <row r="15" spans="1:22">
      <c r="A15" s="21"/>
      <c r="B15" s="21"/>
      <c r="C15" s="21"/>
      <c r="D15" s="49">
        <v>41883</v>
      </c>
      <c r="E15" s="50">
        <f t="shared" si="3"/>
        <v>0</v>
      </c>
      <c r="F15" s="50">
        <f t="shared" si="3"/>
        <v>0</v>
      </c>
      <c r="G15" s="53">
        <f t="shared" si="3"/>
        <v>0</v>
      </c>
      <c r="H15" s="51">
        <v>0</v>
      </c>
      <c r="I15" s="51">
        <v>0</v>
      </c>
      <c r="J15" s="52">
        <f t="shared" ref="J15" si="12">IF(H15=0,0,I15/H15)</f>
        <v>0</v>
      </c>
      <c r="K15" s="51">
        <v>0</v>
      </c>
      <c r="L15" s="51">
        <v>0</v>
      </c>
      <c r="M15" s="53">
        <f t="shared" si="7"/>
        <v>0</v>
      </c>
      <c r="N15" s="51">
        <f t="shared" si="1"/>
        <v>0</v>
      </c>
      <c r="O15" s="51">
        <f t="shared" si="1"/>
        <v>0</v>
      </c>
      <c r="P15" s="52">
        <f t="shared" si="2"/>
        <v>0</v>
      </c>
      <c r="Q15" s="107"/>
      <c r="R15" s="107"/>
      <c r="S15" s="107"/>
      <c r="T15" s="107"/>
      <c r="U15" s="107"/>
      <c r="V15" s="107"/>
    </row>
    <row r="16" spans="1:22">
      <c r="A16" s="21"/>
      <c r="B16" s="21"/>
      <c r="C16" s="21"/>
      <c r="D16" s="49">
        <v>41913</v>
      </c>
      <c r="E16" s="50">
        <f t="shared" si="3"/>
        <v>0</v>
      </c>
      <c r="F16" s="50">
        <f t="shared" si="3"/>
        <v>0</v>
      </c>
      <c r="G16" s="53">
        <f t="shared" si="3"/>
        <v>0</v>
      </c>
      <c r="H16" s="51">
        <v>0</v>
      </c>
      <c r="I16" s="51">
        <v>0</v>
      </c>
      <c r="J16" s="52">
        <f t="shared" ref="J16" si="13">IF(H16=0,0,I16/H16)</f>
        <v>0</v>
      </c>
      <c r="K16" s="51">
        <v>0</v>
      </c>
      <c r="L16" s="51">
        <v>0</v>
      </c>
      <c r="M16" s="53">
        <f t="shared" si="7"/>
        <v>0</v>
      </c>
      <c r="N16" s="51">
        <f t="shared" si="1"/>
        <v>0</v>
      </c>
      <c r="O16" s="51">
        <f t="shared" si="1"/>
        <v>0</v>
      </c>
      <c r="P16" s="52">
        <f t="shared" si="2"/>
        <v>0</v>
      </c>
      <c r="Q16" s="107"/>
      <c r="R16" s="107"/>
      <c r="S16" s="107"/>
      <c r="T16" s="107"/>
      <c r="U16" s="107"/>
      <c r="V16" s="107"/>
    </row>
    <row r="17" spans="1:22">
      <c r="A17" s="21"/>
      <c r="B17" s="21"/>
      <c r="C17" s="21"/>
      <c r="D17" s="49">
        <v>41944</v>
      </c>
      <c r="E17" s="50">
        <f t="shared" si="3"/>
        <v>0</v>
      </c>
      <c r="F17" s="50">
        <f t="shared" si="3"/>
        <v>0</v>
      </c>
      <c r="G17" s="53">
        <f t="shared" si="3"/>
        <v>0</v>
      </c>
      <c r="H17" s="51">
        <v>0</v>
      </c>
      <c r="I17" s="51">
        <v>0</v>
      </c>
      <c r="J17" s="52">
        <f t="shared" ref="J17" si="14">IF(H17=0,0,I17/H17)</f>
        <v>0</v>
      </c>
      <c r="K17" s="51">
        <v>0</v>
      </c>
      <c r="L17" s="51">
        <v>0</v>
      </c>
      <c r="M17" s="53">
        <f t="shared" si="7"/>
        <v>0</v>
      </c>
      <c r="N17" s="51">
        <f t="shared" si="1"/>
        <v>0</v>
      </c>
      <c r="O17" s="51">
        <f t="shared" si="1"/>
        <v>0</v>
      </c>
      <c r="P17" s="52">
        <f t="shared" si="2"/>
        <v>0</v>
      </c>
      <c r="Q17" s="107"/>
      <c r="R17" s="107"/>
      <c r="S17" s="107"/>
      <c r="T17" s="107"/>
      <c r="U17" s="107"/>
      <c r="V17" s="107"/>
    </row>
    <row r="18" spans="1:22">
      <c r="A18" s="21"/>
      <c r="B18" s="21"/>
      <c r="C18" s="21"/>
      <c r="D18" s="49">
        <v>41974</v>
      </c>
      <c r="E18" s="50">
        <f t="shared" si="3"/>
        <v>0</v>
      </c>
      <c r="F18" s="50">
        <f t="shared" si="3"/>
        <v>0</v>
      </c>
      <c r="G18" s="53">
        <f t="shared" si="3"/>
        <v>0</v>
      </c>
      <c r="H18" s="51">
        <v>0</v>
      </c>
      <c r="I18" s="51">
        <v>0</v>
      </c>
      <c r="J18" s="52">
        <f t="shared" ref="J18" si="15">IF(H18=0,0,I18/H18)</f>
        <v>0</v>
      </c>
      <c r="K18" s="51">
        <v>0</v>
      </c>
      <c r="L18" s="51">
        <v>0</v>
      </c>
      <c r="M18" s="53">
        <f t="shared" ref="M18" si="16">IF(K18=0,0,L18/K18)</f>
        <v>0</v>
      </c>
      <c r="N18" s="51">
        <f t="shared" si="1"/>
        <v>0</v>
      </c>
      <c r="O18" s="51">
        <f t="shared" si="1"/>
        <v>0</v>
      </c>
      <c r="P18" s="52">
        <f t="shared" si="2"/>
        <v>0</v>
      </c>
      <c r="Q18" s="107"/>
      <c r="R18" s="107"/>
      <c r="S18" s="107"/>
      <c r="T18" s="107"/>
      <c r="U18" s="107"/>
      <c r="V18" s="107"/>
    </row>
    <row r="19" spans="1:22">
      <c r="A19" s="21"/>
      <c r="B19" s="21"/>
      <c r="C19" s="21"/>
      <c r="D19" s="49">
        <v>42005</v>
      </c>
      <c r="E19" s="50">
        <f t="shared" si="3"/>
        <v>0</v>
      </c>
      <c r="F19" s="50">
        <f t="shared" si="3"/>
        <v>0</v>
      </c>
      <c r="G19" s="53">
        <f t="shared" si="3"/>
        <v>0</v>
      </c>
      <c r="H19" s="51">
        <v>0</v>
      </c>
      <c r="I19" s="51">
        <v>0</v>
      </c>
      <c r="J19" s="52">
        <f t="shared" ref="J19" si="17">IF(H19=0,0,I19/H19)</f>
        <v>0</v>
      </c>
      <c r="K19" s="51">
        <v>0</v>
      </c>
      <c r="L19" s="51">
        <v>0</v>
      </c>
      <c r="M19" s="53">
        <f t="shared" si="7"/>
        <v>0</v>
      </c>
      <c r="N19" s="51">
        <f t="shared" si="1"/>
        <v>0</v>
      </c>
      <c r="O19" s="51">
        <f t="shared" si="1"/>
        <v>0</v>
      </c>
      <c r="P19" s="52">
        <f t="shared" si="2"/>
        <v>0</v>
      </c>
      <c r="Q19" s="54">
        <f t="shared" ref="Q19:R32" si="18">AVERAGE(N7:N19)</f>
        <v>0</v>
      </c>
      <c r="R19" s="54">
        <f t="shared" si="18"/>
        <v>0</v>
      </c>
      <c r="S19" s="56">
        <f t="shared" ref="S19:S54" si="19">IF(Q19=0,0,R19/Q19)</f>
        <v>0</v>
      </c>
      <c r="T19" s="54">
        <f t="shared" ref="T19:T66" si="20">N19+A19</f>
        <v>0</v>
      </c>
      <c r="U19" s="58">
        <v>0</v>
      </c>
      <c r="V19" s="75">
        <f t="shared" ref="V19:V66" si="21">(T19-U19)/1350</f>
        <v>0</v>
      </c>
    </row>
    <row r="20" spans="1:22">
      <c r="A20" s="21"/>
      <c r="B20" s="21"/>
      <c r="C20" s="21"/>
      <c r="D20" s="49">
        <v>42036</v>
      </c>
      <c r="E20" s="50">
        <f t="shared" si="3"/>
        <v>0</v>
      </c>
      <c r="F20" s="50">
        <f t="shared" si="3"/>
        <v>0</v>
      </c>
      <c r="G20" s="53">
        <f t="shared" si="3"/>
        <v>0</v>
      </c>
      <c r="H20" s="51">
        <v>0</v>
      </c>
      <c r="I20" s="51">
        <v>0</v>
      </c>
      <c r="J20" s="52">
        <f t="shared" ref="J20" si="22">IF(H20=0,0,I20/H20)</f>
        <v>0</v>
      </c>
      <c r="K20" s="51">
        <v>0</v>
      </c>
      <c r="L20" s="51">
        <v>0</v>
      </c>
      <c r="M20" s="53">
        <f t="shared" si="7"/>
        <v>0</v>
      </c>
      <c r="N20" s="51">
        <f t="shared" si="1"/>
        <v>0</v>
      </c>
      <c r="O20" s="51">
        <f t="shared" si="1"/>
        <v>0</v>
      </c>
      <c r="P20" s="52">
        <f t="shared" si="2"/>
        <v>0</v>
      </c>
      <c r="Q20" s="54">
        <f t="shared" si="18"/>
        <v>0</v>
      </c>
      <c r="R20" s="54">
        <f t="shared" si="18"/>
        <v>0</v>
      </c>
      <c r="S20" s="56">
        <f t="shared" si="19"/>
        <v>0</v>
      </c>
      <c r="T20" s="54">
        <f t="shared" si="20"/>
        <v>0</v>
      </c>
      <c r="U20" s="58">
        <v>0</v>
      </c>
      <c r="V20" s="75">
        <f t="shared" si="21"/>
        <v>0</v>
      </c>
    </row>
    <row r="21" spans="1:22">
      <c r="A21" s="21"/>
      <c r="B21" s="21"/>
      <c r="C21" s="21"/>
      <c r="D21" s="49">
        <v>42064</v>
      </c>
      <c r="E21" s="50">
        <f t="shared" si="3"/>
        <v>0</v>
      </c>
      <c r="F21" s="50">
        <f t="shared" si="3"/>
        <v>0</v>
      </c>
      <c r="G21" s="53">
        <f t="shared" si="3"/>
        <v>0</v>
      </c>
      <c r="H21" s="51">
        <v>0</v>
      </c>
      <c r="I21" s="51">
        <v>0</v>
      </c>
      <c r="J21" s="52">
        <f t="shared" ref="J21" si="23">IF(H21=0,0,I21/H21)</f>
        <v>0</v>
      </c>
      <c r="K21" s="51">
        <v>0</v>
      </c>
      <c r="L21" s="51">
        <v>0</v>
      </c>
      <c r="M21" s="53">
        <f t="shared" si="7"/>
        <v>0</v>
      </c>
      <c r="N21" s="51">
        <f t="shared" si="1"/>
        <v>0</v>
      </c>
      <c r="O21" s="51">
        <f t="shared" si="1"/>
        <v>0</v>
      </c>
      <c r="P21" s="52">
        <f t="shared" si="2"/>
        <v>0</v>
      </c>
      <c r="Q21" s="54">
        <f t="shared" si="18"/>
        <v>0</v>
      </c>
      <c r="R21" s="54">
        <f t="shared" si="18"/>
        <v>0</v>
      </c>
      <c r="S21" s="56">
        <f t="shared" si="19"/>
        <v>0</v>
      </c>
      <c r="T21" s="54">
        <f t="shared" si="20"/>
        <v>0</v>
      </c>
      <c r="U21" s="58">
        <v>0</v>
      </c>
      <c r="V21" s="75">
        <f t="shared" si="21"/>
        <v>0</v>
      </c>
    </row>
    <row r="22" spans="1:22">
      <c r="A22" s="47">
        <v>11842</v>
      </c>
      <c r="B22" s="47">
        <v>10000</v>
      </c>
      <c r="C22" s="47">
        <v>169904</v>
      </c>
      <c r="D22" s="49">
        <v>42095</v>
      </c>
      <c r="E22" s="50">
        <f t="shared" si="3"/>
        <v>0</v>
      </c>
      <c r="F22" s="50">
        <f t="shared" si="3"/>
        <v>0</v>
      </c>
      <c r="G22" s="53">
        <f t="shared" si="3"/>
        <v>0</v>
      </c>
      <c r="H22" s="51">
        <v>0</v>
      </c>
      <c r="I22" s="51">
        <v>0</v>
      </c>
      <c r="J22" s="52">
        <f t="shared" ref="J22" si="24">IF(H22=0,0,I22/H22)</f>
        <v>0</v>
      </c>
      <c r="K22" s="54">
        <v>0</v>
      </c>
      <c r="L22" s="54">
        <v>0</v>
      </c>
      <c r="M22" s="53">
        <v>0</v>
      </c>
      <c r="N22" s="51">
        <f t="shared" si="1"/>
        <v>0</v>
      </c>
      <c r="O22" s="51">
        <f t="shared" si="1"/>
        <v>0</v>
      </c>
      <c r="P22" s="52">
        <f t="shared" si="2"/>
        <v>0</v>
      </c>
      <c r="Q22" s="54">
        <f t="shared" si="18"/>
        <v>0</v>
      </c>
      <c r="R22" s="54">
        <f t="shared" si="18"/>
        <v>0</v>
      </c>
      <c r="S22" s="56">
        <f t="shared" si="19"/>
        <v>0</v>
      </c>
      <c r="T22" s="54">
        <f t="shared" si="20"/>
        <v>11842</v>
      </c>
      <c r="U22" s="58">
        <v>8000</v>
      </c>
      <c r="V22" s="75">
        <f t="shared" si="21"/>
        <v>2.845925925925926</v>
      </c>
    </row>
    <row r="23" spans="1:22">
      <c r="A23" s="47">
        <v>11842</v>
      </c>
      <c r="B23" s="47">
        <v>10000</v>
      </c>
      <c r="C23" s="47">
        <v>169904</v>
      </c>
      <c r="D23" s="49">
        <v>42125</v>
      </c>
      <c r="E23" s="50">
        <f t="shared" si="3"/>
        <v>0</v>
      </c>
      <c r="F23" s="50">
        <f t="shared" si="3"/>
        <v>0</v>
      </c>
      <c r="G23" s="53">
        <f t="shared" si="3"/>
        <v>0</v>
      </c>
      <c r="H23" s="51">
        <v>71720</v>
      </c>
      <c r="I23" s="51">
        <v>6573486.5</v>
      </c>
      <c r="J23" s="52">
        <f t="shared" ref="J23:J24" si="25">IF(H23=0,0,I23/H23)</f>
        <v>91.654859174567761</v>
      </c>
      <c r="K23" s="54">
        <v>0</v>
      </c>
      <c r="L23" s="54">
        <v>0</v>
      </c>
      <c r="M23" s="53">
        <f t="shared" si="7"/>
        <v>0</v>
      </c>
      <c r="N23" s="51">
        <f t="shared" si="1"/>
        <v>71720</v>
      </c>
      <c r="O23" s="51">
        <f t="shared" si="1"/>
        <v>6573486.5</v>
      </c>
      <c r="P23" s="52">
        <f t="shared" si="2"/>
        <v>91.654859174567761</v>
      </c>
      <c r="Q23" s="54">
        <f t="shared" si="18"/>
        <v>5516.9230769230771</v>
      </c>
      <c r="R23" s="54">
        <f t="shared" si="18"/>
        <v>505652.80769230769</v>
      </c>
      <c r="S23" s="56">
        <f t="shared" si="19"/>
        <v>91.654859174567761</v>
      </c>
      <c r="T23" s="54">
        <f t="shared" si="20"/>
        <v>83562</v>
      </c>
      <c r="U23" s="58">
        <v>8000</v>
      </c>
      <c r="V23" s="75">
        <f t="shared" si="21"/>
        <v>55.971851851851852</v>
      </c>
    </row>
    <row r="24" spans="1:22">
      <c r="A24" s="47">
        <v>11842</v>
      </c>
      <c r="B24" s="47">
        <v>10000</v>
      </c>
      <c r="C24" s="47">
        <v>169904</v>
      </c>
      <c r="D24" s="49">
        <v>42156</v>
      </c>
      <c r="E24" s="50">
        <f t="shared" si="3"/>
        <v>71720</v>
      </c>
      <c r="F24" s="50">
        <f t="shared" si="3"/>
        <v>6573486.5</v>
      </c>
      <c r="G24" s="53">
        <f t="shared" si="3"/>
        <v>91.654859174567761</v>
      </c>
      <c r="H24" s="51">
        <v>78221</v>
      </c>
      <c r="I24" s="51">
        <v>7434542.9000000004</v>
      </c>
      <c r="J24" s="52">
        <f t="shared" si="25"/>
        <v>95.045357384845502</v>
      </c>
      <c r="K24" s="54">
        <v>712</v>
      </c>
      <c r="L24" s="54">
        <v>65258.26</v>
      </c>
      <c r="M24" s="53">
        <f t="shared" si="7"/>
        <v>91.654859550561795</v>
      </c>
      <c r="N24" s="51">
        <f t="shared" si="1"/>
        <v>149229</v>
      </c>
      <c r="O24" s="51">
        <f t="shared" si="1"/>
        <v>13942771.140000001</v>
      </c>
      <c r="P24" s="52">
        <f t="shared" si="2"/>
        <v>93.432048328408015</v>
      </c>
      <c r="Q24" s="54">
        <f t="shared" si="18"/>
        <v>16996.076923076922</v>
      </c>
      <c r="R24" s="54">
        <f t="shared" si="18"/>
        <v>1578173.6646153848</v>
      </c>
      <c r="S24" s="56">
        <f t="shared" si="19"/>
        <v>92.855173094243483</v>
      </c>
      <c r="T24" s="54">
        <f t="shared" si="20"/>
        <v>161071</v>
      </c>
      <c r="U24" s="58">
        <v>8000</v>
      </c>
      <c r="V24" s="75">
        <f t="shared" si="21"/>
        <v>113.38592592592593</v>
      </c>
    </row>
    <row r="25" spans="1:22">
      <c r="A25" s="47">
        <v>11842</v>
      </c>
      <c r="B25" s="47">
        <v>10000</v>
      </c>
      <c r="C25" s="47">
        <v>169904</v>
      </c>
      <c r="D25" s="49">
        <v>42186</v>
      </c>
      <c r="E25" s="50">
        <f t="shared" si="3"/>
        <v>149229</v>
      </c>
      <c r="F25" s="50">
        <f t="shared" si="3"/>
        <v>13942771.140000001</v>
      </c>
      <c r="G25" s="53">
        <f t="shared" si="3"/>
        <v>93.432048328408015</v>
      </c>
      <c r="H25" s="51">
        <v>0</v>
      </c>
      <c r="I25" s="51">
        <v>16305.16</v>
      </c>
      <c r="J25" s="52">
        <f t="shared" ref="J25:J30" si="26">IF(H25=0,0,I25/H25)</f>
        <v>0</v>
      </c>
      <c r="K25" s="54">
        <v>-286</v>
      </c>
      <c r="L25" s="54">
        <v>-26719.15</v>
      </c>
      <c r="M25" s="53">
        <f t="shared" si="7"/>
        <v>93.423601398601406</v>
      </c>
      <c r="N25" s="51">
        <f t="shared" si="1"/>
        <v>149515</v>
      </c>
      <c r="O25" s="51">
        <f t="shared" si="1"/>
        <v>13985795.450000001</v>
      </c>
      <c r="P25" s="52">
        <f t="shared" si="2"/>
        <v>93.541085844229684</v>
      </c>
      <c r="Q25" s="54">
        <f t="shared" si="18"/>
        <v>28497.23076923077</v>
      </c>
      <c r="R25" s="54">
        <f t="shared" si="18"/>
        <v>2654004.0838461542</v>
      </c>
      <c r="S25" s="56">
        <f t="shared" si="19"/>
        <v>93.131999573507827</v>
      </c>
      <c r="T25" s="54">
        <f t="shared" si="20"/>
        <v>161357</v>
      </c>
      <c r="U25" s="58">
        <v>8000</v>
      </c>
      <c r="V25" s="75">
        <f t="shared" si="21"/>
        <v>113.59777777777778</v>
      </c>
    </row>
    <row r="26" spans="1:22">
      <c r="A26" s="47">
        <v>11842</v>
      </c>
      <c r="B26" s="47">
        <v>10000</v>
      </c>
      <c r="C26" s="47">
        <v>169904</v>
      </c>
      <c r="D26" s="49">
        <v>42217</v>
      </c>
      <c r="E26" s="50">
        <f t="shared" si="3"/>
        <v>149515</v>
      </c>
      <c r="F26" s="50">
        <f t="shared" si="3"/>
        <v>13985795.450000001</v>
      </c>
      <c r="G26" s="53">
        <f t="shared" si="3"/>
        <v>93.541085844229684</v>
      </c>
      <c r="H26" s="51">
        <v>0</v>
      </c>
      <c r="I26" s="51">
        <v>0</v>
      </c>
      <c r="J26" s="52">
        <f t="shared" si="26"/>
        <v>0</v>
      </c>
      <c r="K26" s="54">
        <v>216</v>
      </c>
      <c r="L26" s="54">
        <v>20204.919999999998</v>
      </c>
      <c r="M26" s="53">
        <f t="shared" si="7"/>
        <v>93.541296296296295</v>
      </c>
      <c r="N26" s="51">
        <f t="shared" si="1"/>
        <v>149299</v>
      </c>
      <c r="O26" s="51">
        <f t="shared" si="1"/>
        <v>13965590.530000001</v>
      </c>
      <c r="P26" s="52">
        <f t="shared" si="2"/>
        <v>93.541085539755798</v>
      </c>
      <c r="Q26" s="54">
        <f t="shared" si="18"/>
        <v>39981.769230769234</v>
      </c>
      <c r="R26" s="54">
        <f t="shared" si="18"/>
        <v>3728280.2784615387</v>
      </c>
      <c r="S26" s="56">
        <f t="shared" si="19"/>
        <v>93.24950721771269</v>
      </c>
      <c r="T26" s="54">
        <f t="shared" si="20"/>
        <v>161141</v>
      </c>
      <c r="U26" s="58">
        <v>8000</v>
      </c>
      <c r="V26" s="75">
        <f t="shared" si="21"/>
        <v>113.43777777777778</v>
      </c>
    </row>
    <row r="27" spans="1:22">
      <c r="A27" s="47">
        <v>11842</v>
      </c>
      <c r="B27" s="47">
        <v>10000</v>
      </c>
      <c r="C27" s="47">
        <v>169904</v>
      </c>
      <c r="D27" s="49">
        <v>42248</v>
      </c>
      <c r="E27" s="50">
        <f t="shared" si="3"/>
        <v>149299</v>
      </c>
      <c r="F27" s="50">
        <f t="shared" si="3"/>
        <v>13965590.530000001</v>
      </c>
      <c r="G27" s="53">
        <f t="shared" si="3"/>
        <v>93.541085539755798</v>
      </c>
      <c r="H27" s="51">
        <v>0</v>
      </c>
      <c r="I27" s="51">
        <v>17302.13</v>
      </c>
      <c r="J27" s="52">
        <f t="shared" si="26"/>
        <v>0</v>
      </c>
      <c r="K27" s="54">
        <v>-178</v>
      </c>
      <c r="L27" s="54">
        <v>-16650.310000000001</v>
      </c>
      <c r="M27" s="53">
        <f t="shared" si="7"/>
        <v>93.541067415730339</v>
      </c>
      <c r="N27" s="51">
        <f t="shared" si="1"/>
        <v>149477</v>
      </c>
      <c r="O27" s="51">
        <f t="shared" si="1"/>
        <v>13999542.970000003</v>
      </c>
      <c r="P27" s="52">
        <f t="shared" si="2"/>
        <v>93.656836637074619</v>
      </c>
      <c r="Q27" s="54">
        <f t="shared" si="18"/>
        <v>51480</v>
      </c>
      <c r="R27" s="54">
        <f t="shared" si="18"/>
        <v>4805168.1992307696</v>
      </c>
      <c r="S27" s="56">
        <f t="shared" si="19"/>
        <v>93.340485610543311</v>
      </c>
      <c r="T27" s="54">
        <f t="shared" si="20"/>
        <v>161319</v>
      </c>
      <c r="U27" s="58">
        <v>8000</v>
      </c>
      <c r="V27" s="75">
        <f t="shared" si="21"/>
        <v>113.56962962962963</v>
      </c>
    </row>
    <row r="28" spans="1:22">
      <c r="A28" s="47">
        <v>11842</v>
      </c>
      <c r="B28" s="47">
        <v>10000</v>
      </c>
      <c r="C28" s="47">
        <v>169904</v>
      </c>
      <c r="D28" s="49">
        <v>42278</v>
      </c>
      <c r="E28" s="50">
        <f t="shared" si="3"/>
        <v>149477</v>
      </c>
      <c r="F28" s="50">
        <f t="shared" si="3"/>
        <v>13999542.970000003</v>
      </c>
      <c r="G28" s="53">
        <f t="shared" si="3"/>
        <v>93.656836637074619</v>
      </c>
      <c r="H28" s="51">
        <v>0</v>
      </c>
      <c r="I28" s="51">
        <v>259.52999999999997</v>
      </c>
      <c r="J28" s="52">
        <f t="shared" si="26"/>
        <v>0</v>
      </c>
      <c r="K28" s="54">
        <v>147</v>
      </c>
      <c r="L28" s="54">
        <v>13767.58</v>
      </c>
      <c r="M28" s="53">
        <f t="shared" si="7"/>
        <v>93.657006802721085</v>
      </c>
      <c r="N28" s="51">
        <f t="shared" si="1"/>
        <v>149330</v>
      </c>
      <c r="O28" s="51">
        <f t="shared" si="1"/>
        <v>13986034.920000002</v>
      </c>
      <c r="P28" s="52">
        <f t="shared" si="2"/>
        <v>93.658574432465016</v>
      </c>
      <c r="Q28" s="54">
        <f t="shared" si="18"/>
        <v>62966.923076923078</v>
      </c>
      <c r="R28" s="54">
        <f t="shared" si="18"/>
        <v>5881017.0392307695</v>
      </c>
      <c r="S28" s="56">
        <f t="shared" si="19"/>
        <v>93.398513883968391</v>
      </c>
      <c r="T28" s="54">
        <f t="shared" si="20"/>
        <v>161172</v>
      </c>
      <c r="U28" s="58">
        <v>8000</v>
      </c>
      <c r="V28" s="75">
        <f t="shared" si="21"/>
        <v>113.46074074074075</v>
      </c>
    </row>
    <row r="29" spans="1:22">
      <c r="A29" s="47">
        <v>11842</v>
      </c>
      <c r="B29" s="21">
        <v>10000</v>
      </c>
      <c r="C29" s="47">
        <v>169904</v>
      </c>
      <c r="D29" s="49">
        <v>42309</v>
      </c>
      <c r="E29" s="50">
        <f t="shared" si="3"/>
        <v>149330</v>
      </c>
      <c r="F29" s="50">
        <f t="shared" si="3"/>
        <v>13986034.920000002</v>
      </c>
      <c r="G29" s="53">
        <f t="shared" si="3"/>
        <v>93.658574432465016</v>
      </c>
      <c r="H29" s="51">
        <v>0</v>
      </c>
      <c r="I29" s="51">
        <v>244.58</v>
      </c>
      <c r="J29" s="52">
        <f t="shared" si="26"/>
        <v>0</v>
      </c>
      <c r="K29" s="54">
        <v>20352</v>
      </c>
      <c r="L29" s="54">
        <v>1906141.63</v>
      </c>
      <c r="M29" s="53">
        <f t="shared" si="7"/>
        <v>93.65868858097484</v>
      </c>
      <c r="N29" s="51">
        <f t="shared" si="1"/>
        <v>128978</v>
      </c>
      <c r="O29" s="51">
        <f t="shared" si="1"/>
        <v>12080137.870000001</v>
      </c>
      <c r="P29" s="52">
        <f t="shared" si="2"/>
        <v>93.660452712865762</v>
      </c>
      <c r="Q29" s="54">
        <f t="shared" si="18"/>
        <v>72888.307692307688</v>
      </c>
      <c r="R29" s="54">
        <f t="shared" si="18"/>
        <v>6810258.4138461547</v>
      </c>
      <c r="S29" s="56">
        <f t="shared" si="19"/>
        <v>93.434168379860452</v>
      </c>
      <c r="T29" s="54">
        <f t="shared" si="20"/>
        <v>140820</v>
      </c>
      <c r="U29" s="58">
        <v>8000</v>
      </c>
      <c r="V29" s="75">
        <f t="shared" si="21"/>
        <v>98.385185185185179</v>
      </c>
    </row>
    <row r="30" spans="1:22">
      <c r="A30" s="47">
        <v>11842</v>
      </c>
      <c r="B30" s="21">
        <v>10000</v>
      </c>
      <c r="C30" s="47">
        <v>169904</v>
      </c>
      <c r="D30" s="49">
        <v>42339</v>
      </c>
      <c r="E30" s="50">
        <f t="shared" si="3"/>
        <v>128978</v>
      </c>
      <c r="F30" s="50">
        <f t="shared" si="3"/>
        <v>12080137.870000001</v>
      </c>
      <c r="G30" s="53">
        <f t="shared" si="3"/>
        <v>93.660452712865762</v>
      </c>
      <c r="H30" s="51">
        <v>0</v>
      </c>
      <c r="I30" s="51">
        <v>0</v>
      </c>
      <c r="J30" s="52">
        <f t="shared" si="26"/>
        <v>0</v>
      </c>
      <c r="K30" s="54">
        <v>-33</v>
      </c>
      <c r="L30" s="54">
        <v>-3090.79</v>
      </c>
      <c r="M30" s="53">
        <f t="shared" si="7"/>
        <v>93.660303030303027</v>
      </c>
      <c r="N30" s="51">
        <f t="shared" si="1"/>
        <v>129011</v>
      </c>
      <c r="O30" s="51">
        <f t="shared" si="1"/>
        <v>12083228.66</v>
      </c>
      <c r="P30" s="52">
        <f t="shared" si="2"/>
        <v>93.660452674578138</v>
      </c>
      <c r="Q30" s="54">
        <f t="shared" si="18"/>
        <v>82812.230769230766</v>
      </c>
      <c r="R30" s="54">
        <f t="shared" si="18"/>
        <v>7739737.541538462</v>
      </c>
      <c r="S30" s="56">
        <f t="shared" si="19"/>
        <v>93.461285484585616</v>
      </c>
      <c r="T30" s="54">
        <f t="shared" si="20"/>
        <v>140853</v>
      </c>
      <c r="U30" s="58">
        <v>8000</v>
      </c>
      <c r="V30" s="75">
        <f t="shared" si="21"/>
        <v>98.409629629629634</v>
      </c>
    </row>
    <row r="31" spans="1:22">
      <c r="A31" s="47">
        <v>11842</v>
      </c>
      <c r="B31" s="21">
        <v>10000</v>
      </c>
      <c r="C31" s="47">
        <v>169904</v>
      </c>
      <c r="D31" s="13">
        <v>42370</v>
      </c>
      <c r="E31" s="16">
        <f t="shared" si="3"/>
        <v>129011</v>
      </c>
      <c r="F31" s="16">
        <f t="shared" si="3"/>
        <v>12083228.66</v>
      </c>
      <c r="G31" s="14">
        <f t="shared" si="3"/>
        <v>93.660452674578138</v>
      </c>
      <c r="H31" s="46">
        <v>0</v>
      </c>
      <c r="I31" s="23">
        <f t="shared" ref="I31:I54" si="27">H31*J31</f>
        <v>0</v>
      </c>
      <c r="J31" s="22">
        <f>VLOOKUP(D31,Data!$A$5:$V$197,8,FALSE)*5.83</f>
        <v>56.166746915999994</v>
      </c>
      <c r="K31" s="71">
        <f>VLOOKUP(D31,Data!$A$5:$V$197,22,FALSE)</f>
        <v>0</v>
      </c>
      <c r="L31" s="23">
        <f t="shared" ref="L31:L54" si="28">IF(E31+I31&gt;0,((F31+I31)/(E31+H31)*K31),0)</f>
        <v>0</v>
      </c>
      <c r="M31" s="14">
        <f t="shared" si="7"/>
        <v>0</v>
      </c>
      <c r="N31" s="15">
        <f t="shared" si="1"/>
        <v>129011</v>
      </c>
      <c r="O31" s="15">
        <f t="shared" si="1"/>
        <v>12083228.66</v>
      </c>
      <c r="P31" s="22">
        <f t="shared" si="2"/>
        <v>93.660452674578138</v>
      </c>
      <c r="Q31" s="31">
        <f t="shared" si="18"/>
        <v>92736.153846153844</v>
      </c>
      <c r="R31" s="31">
        <f t="shared" si="18"/>
        <v>8669216.6692307703</v>
      </c>
      <c r="S31" s="32">
        <f t="shared" si="19"/>
        <v>93.482598853654295</v>
      </c>
      <c r="T31" s="31">
        <f t="shared" si="20"/>
        <v>140853</v>
      </c>
      <c r="U31" s="7">
        <v>8000</v>
      </c>
      <c r="V31" s="37">
        <f t="shared" si="21"/>
        <v>98.409629629629634</v>
      </c>
    </row>
    <row r="32" spans="1:22">
      <c r="A32" s="47">
        <v>11842</v>
      </c>
      <c r="B32" s="21">
        <v>10000</v>
      </c>
      <c r="C32" s="47">
        <v>169904</v>
      </c>
      <c r="D32" s="13">
        <v>42401</v>
      </c>
      <c r="E32" s="16">
        <f t="shared" si="3"/>
        <v>129011</v>
      </c>
      <c r="F32" s="16">
        <f t="shared" si="3"/>
        <v>12083228.66</v>
      </c>
      <c r="G32" s="14">
        <f t="shared" si="3"/>
        <v>93.660452674578138</v>
      </c>
      <c r="H32" s="46">
        <v>0</v>
      </c>
      <c r="I32" s="23">
        <f t="shared" si="27"/>
        <v>0</v>
      </c>
      <c r="J32" s="22">
        <f>VLOOKUP(D32,Data!$A$5:$V$197,8,FALSE)*5.83</f>
        <v>57.246146916000001</v>
      </c>
      <c r="K32" s="71">
        <f>VLOOKUP(D32,Data!$A$5:$V$197,22,FALSE)</f>
        <v>0</v>
      </c>
      <c r="L32" s="23">
        <f t="shared" si="28"/>
        <v>0</v>
      </c>
      <c r="M32" s="14">
        <f t="shared" si="7"/>
        <v>0</v>
      </c>
      <c r="N32" s="15">
        <f t="shared" si="1"/>
        <v>129011</v>
      </c>
      <c r="O32" s="15">
        <f t="shared" si="1"/>
        <v>12083228.66</v>
      </c>
      <c r="P32" s="22">
        <f t="shared" si="2"/>
        <v>93.660452674578138</v>
      </c>
      <c r="Q32" s="31">
        <f t="shared" si="18"/>
        <v>102660.07692307692</v>
      </c>
      <c r="R32" s="31">
        <f t="shared" si="18"/>
        <v>9598695.7969230767</v>
      </c>
      <c r="S32" s="32">
        <f t="shared" si="19"/>
        <v>93.49979159001964</v>
      </c>
      <c r="T32" s="31">
        <f t="shared" si="20"/>
        <v>140853</v>
      </c>
      <c r="U32" s="7">
        <v>8000</v>
      </c>
      <c r="V32" s="37">
        <f t="shared" si="21"/>
        <v>98.409629629629634</v>
      </c>
    </row>
    <row r="33" spans="1:22">
      <c r="A33" s="47">
        <v>11842</v>
      </c>
      <c r="B33" s="21">
        <v>10000</v>
      </c>
      <c r="C33" s="47">
        <v>169904</v>
      </c>
      <c r="D33" s="13">
        <v>42430</v>
      </c>
      <c r="E33" s="16">
        <f t="shared" si="3"/>
        <v>129011</v>
      </c>
      <c r="F33" s="16">
        <f t="shared" si="3"/>
        <v>12083228.66</v>
      </c>
      <c r="G33" s="14">
        <f t="shared" si="3"/>
        <v>93.660452674578138</v>
      </c>
      <c r="H33" s="46">
        <v>0</v>
      </c>
      <c r="I33" s="23">
        <f t="shared" si="27"/>
        <v>0</v>
      </c>
      <c r="J33" s="22">
        <f>VLOOKUP(D33,Data!$A$5:$V$197,8,FALSE)*5.83</f>
        <v>58.195346915999984</v>
      </c>
      <c r="K33" s="71">
        <f>VLOOKUP(D33,Data!$A$5:$V$197,22,FALSE)</f>
        <v>0</v>
      </c>
      <c r="L33" s="23">
        <f t="shared" si="28"/>
        <v>0</v>
      </c>
      <c r="M33" s="14">
        <f t="shared" si="7"/>
        <v>0</v>
      </c>
      <c r="N33" s="15">
        <f t="shared" si="1"/>
        <v>129011</v>
      </c>
      <c r="O33" s="15">
        <f t="shared" si="1"/>
        <v>12083228.66</v>
      </c>
      <c r="P33" s="22">
        <f t="shared" si="2"/>
        <v>93.660452674578138</v>
      </c>
      <c r="Q33" s="31">
        <f t="shared" ref="Q33:R48" si="29">AVERAGE(N21:N33)</f>
        <v>112584</v>
      </c>
      <c r="R33" s="31">
        <f t="shared" si="29"/>
        <v>10528174.924615385</v>
      </c>
      <c r="S33" s="32">
        <f t="shared" si="19"/>
        <v>93.513953355853275</v>
      </c>
      <c r="T33" s="31">
        <f t="shared" si="20"/>
        <v>140853</v>
      </c>
      <c r="U33" s="7">
        <v>8000</v>
      </c>
      <c r="V33" s="37">
        <f t="shared" si="21"/>
        <v>98.409629629629634</v>
      </c>
    </row>
    <row r="34" spans="1:22">
      <c r="A34" s="47">
        <v>11842</v>
      </c>
      <c r="B34" s="21">
        <v>10000</v>
      </c>
      <c r="C34" s="47">
        <v>169904</v>
      </c>
      <c r="D34" s="13">
        <v>42461</v>
      </c>
      <c r="E34" s="16">
        <f t="shared" si="3"/>
        <v>129011</v>
      </c>
      <c r="F34" s="16">
        <f t="shared" si="3"/>
        <v>12083228.66</v>
      </c>
      <c r="G34" s="14">
        <f t="shared" si="3"/>
        <v>93.660452674578138</v>
      </c>
      <c r="H34" s="46">
        <v>0</v>
      </c>
      <c r="I34" s="23">
        <f t="shared" si="27"/>
        <v>0</v>
      </c>
      <c r="J34" s="22">
        <f>VLOOKUP(D34,Data!$A$5:$V$197,8,FALSE)*5.83</f>
        <v>58.842146916000004</v>
      </c>
      <c r="K34" s="71">
        <f>VLOOKUP(D34,Data!$A$5:$V$197,22,FALSE)</f>
        <v>4185.2487135505999</v>
      </c>
      <c r="L34" s="23">
        <f t="shared" si="28"/>
        <v>391992.28906684497</v>
      </c>
      <c r="M34" s="14">
        <f t="shared" si="7"/>
        <v>93.660452674578138</v>
      </c>
      <c r="N34" s="15">
        <f t="shared" si="1"/>
        <v>124825.75128644941</v>
      </c>
      <c r="O34" s="15">
        <f t="shared" si="1"/>
        <v>11691236.370933155</v>
      </c>
      <c r="P34" s="22">
        <f t="shared" si="2"/>
        <v>93.660452674578124</v>
      </c>
      <c r="Q34" s="31">
        <f t="shared" si="29"/>
        <v>122185.98086818842</v>
      </c>
      <c r="R34" s="31">
        <f t="shared" si="29"/>
        <v>11427500.79930255</v>
      </c>
      <c r="S34" s="32">
        <f t="shared" si="19"/>
        <v>93.525465999493747</v>
      </c>
      <c r="T34" s="31">
        <f t="shared" si="20"/>
        <v>136667.75128644941</v>
      </c>
      <c r="U34" s="7">
        <v>8000</v>
      </c>
      <c r="V34" s="37">
        <f t="shared" si="21"/>
        <v>95.309445397369927</v>
      </c>
    </row>
    <row r="35" spans="1:22">
      <c r="A35" s="47">
        <v>11842</v>
      </c>
      <c r="B35" s="21">
        <v>10000</v>
      </c>
      <c r="C35" s="47">
        <v>169904</v>
      </c>
      <c r="D35" s="13">
        <v>42491</v>
      </c>
      <c r="E35" s="16">
        <f t="shared" si="3"/>
        <v>124825.75128644941</v>
      </c>
      <c r="F35" s="16">
        <f t="shared" si="3"/>
        <v>11691236.370933155</v>
      </c>
      <c r="G35" s="14">
        <f t="shared" si="3"/>
        <v>93.660452674578124</v>
      </c>
      <c r="H35" s="46">
        <f t="shared" ref="H35:H89" si="30">IF(E35+A35-K35&lt;C35-B35,C35-E35+K35-A35,0)</f>
        <v>37558.718696397933</v>
      </c>
      <c r="I35" s="23">
        <f t="shared" si="27"/>
        <v>2242215.9536892362</v>
      </c>
      <c r="J35" s="22">
        <f>VLOOKUP(D35,Data!$A$5:$V$197,8,FALSE)*5.83</f>
        <v>59.698946915999983</v>
      </c>
      <c r="K35" s="71">
        <f>VLOOKUP(D35,Data!$A$5:$V$197,22,FALSE)</f>
        <v>4322.4699828473413</v>
      </c>
      <c r="L35" s="23">
        <f t="shared" si="28"/>
        <v>370890.94441713887</v>
      </c>
      <c r="M35" s="14">
        <f t="shared" si="7"/>
        <v>85.805325633012686</v>
      </c>
      <c r="N35" s="15">
        <f t="shared" si="1"/>
        <v>158062</v>
      </c>
      <c r="O35" s="15">
        <f t="shared" si="1"/>
        <v>13562561.380205251</v>
      </c>
      <c r="P35" s="22">
        <f t="shared" si="2"/>
        <v>85.805325633012686</v>
      </c>
      <c r="Q35" s="31">
        <f t="shared" si="29"/>
        <v>134344.59625280381</v>
      </c>
      <c r="R35" s="31">
        <f t="shared" si="29"/>
        <v>12470774.751626031</v>
      </c>
      <c r="S35" s="32">
        <f t="shared" si="19"/>
        <v>92.82676861940223</v>
      </c>
      <c r="T35" s="31">
        <f t="shared" si="20"/>
        <v>169904</v>
      </c>
      <c r="U35" s="7">
        <v>8000</v>
      </c>
      <c r="V35" s="37">
        <f t="shared" si="21"/>
        <v>119.92888888888889</v>
      </c>
    </row>
    <row r="36" spans="1:22">
      <c r="A36" s="47">
        <v>11842</v>
      </c>
      <c r="B36" s="21">
        <v>10000</v>
      </c>
      <c r="C36" s="47">
        <v>169904</v>
      </c>
      <c r="D36" s="13">
        <v>42522</v>
      </c>
      <c r="E36" s="16">
        <f t="shared" si="3"/>
        <v>158062</v>
      </c>
      <c r="F36" s="16">
        <f t="shared" si="3"/>
        <v>13562561.380205251</v>
      </c>
      <c r="G36" s="14">
        <f t="shared" si="3"/>
        <v>85.805325633012686</v>
      </c>
      <c r="H36" s="46">
        <f t="shared" si="30"/>
        <v>0</v>
      </c>
      <c r="I36" s="23">
        <f t="shared" si="27"/>
        <v>0</v>
      </c>
      <c r="J36" s="22">
        <f>VLOOKUP(D36,Data!$A$5:$V$197,8,FALSE)*5.83</f>
        <v>60.769946915999988</v>
      </c>
      <c r="K36" s="71">
        <f>VLOOKUP(D36,Data!$A$5:$V$197,22,FALSE)</f>
        <v>2469.9828473413377</v>
      </c>
      <c r="L36" s="23">
        <f t="shared" si="28"/>
        <v>211937.68252407934</v>
      </c>
      <c r="M36" s="14">
        <f t="shared" si="7"/>
        <v>85.805325633012686</v>
      </c>
      <c r="N36" s="15">
        <f t="shared" si="1"/>
        <v>155592.01715265866</v>
      </c>
      <c r="O36" s="15">
        <f t="shared" si="1"/>
        <v>13350623.697681172</v>
      </c>
      <c r="P36" s="22">
        <f t="shared" si="2"/>
        <v>85.805325633012686</v>
      </c>
      <c r="Q36" s="31">
        <f t="shared" si="29"/>
        <v>140796.2898799314</v>
      </c>
      <c r="R36" s="31">
        <f t="shared" si="29"/>
        <v>12992092.997601505</v>
      </c>
      <c r="S36" s="32">
        <f t="shared" si="19"/>
        <v>92.275819261153359</v>
      </c>
      <c r="T36" s="31">
        <f t="shared" si="20"/>
        <v>167434.01715265866</v>
      </c>
      <c r="U36" s="7">
        <v>8000</v>
      </c>
      <c r="V36" s="37">
        <f t="shared" si="21"/>
        <v>118.09927196493234</v>
      </c>
    </row>
    <row r="37" spans="1:22">
      <c r="A37" s="47">
        <v>11842</v>
      </c>
      <c r="B37" s="21">
        <v>10000</v>
      </c>
      <c r="C37" s="47">
        <v>169904</v>
      </c>
      <c r="D37" s="13">
        <v>42552</v>
      </c>
      <c r="E37" s="16">
        <f t="shared" si="3"/>
        <v>155592.01715265866</v>
      </c>
      <c r="F37" s="16">
        <f t="shared" si="3"/>
        <v>13350623.697681172</v>
      </c>
      <c r="G37" s="14">
        <f t="shared" si="3"/>
        <v>85.805325633012686</v>
      </c>
      <c r="H37" s="46">
        <f t="shared" si="30"/>
        <v>0</v>
      </c>
      <c r="I37" s="23">
        <f t="shared" si="27"/>
        <v>0</v>
      </c>
      <c r="J37" s="22">
        <f>VLOOKUP(D37,Data!$A$5:$V$197,8,FALSE)*5.83</f>
        <v>61.874546915999986</v>
      </c>
      <c r="K37" s="71">
        <f>VLOOKUP(D37,Data!$A$5:$V$197,22,FALSE)</f>
        <v>2264.1509433962265</v>
      </c>
      <c r="L37" s="23">
        <f t="shared" si="28"/>
        <v>194276.20898040608</v>
      </c>
      <c r="M37" s="14">
        <f t="shared" si="7"/>
        <v>85.805325633012686</v>
      </c>
      <c r="N37" s="15">
        <f t="shared" si="1"/>
        <v>153327.86620926243</v>
      </c>
      <c r="O37" s="15">
        <f t="shared" si="1"/>
        <v>13156347.488700766</v>
      </c>
      <c r="P37" s="22">
        <f t="shared" si="2"/>
        <v>85.805325633012686</v>
      </c>
      <c r="Q37" s="31">
        <f t="shared" si="29"/>
        <v>141111.5872806439</v>
      </c>
      <c r="R37" s="31">
        <f t="shared" si="29"/>
        <v>12931598.870578488</v>
      </c>
      <c r="S37" s="32">
        <f t="shared" si="19"/>
        <v>91.640942602821241</v>
      </c>
      <c r="T37" s="31">
        <f t="shared" si="20"/>
        <v>165169.86620926243</v>
      </c>
      <c r="U37" s="7">
        <v>8000</v>
      </c>
      <c r="V37" s="37">
        <f t="shared" si="21"/>
        <v>116.42212311797216</v>
      </c>
    </row>
    <row r="38" spans="1:22">
      <c r="A38" s="47">
        <v>11842</v>
      </c>
      <c r="B38" s="21">
        <v>10000</v>
      </c>
      <c r="C38" s="47">
        <v>169904</v>
      </c>
      <c r="D38" s="13">
        <v>42583</v>
      </c>
      <c r="E38" s="16">
        <f t="shared" si="3"/>
        <v>153327.86620926243</v>
      </c>
      <c r="F38" s="16">
        <f t="shared" si="3"/>
        <v>13156347.488700766</v>
      </c>
      <c r="G38" s="14">
        <f t="shared" si="3"/>
        <v>85.805325633012686</v>
      </c>
      <c r="H38" s="46">
        <f t="shared" si="30"/>
        <v>0</v>
      </c>
      <c r="I38" s="23">
        <f t="shared" si="27"/>
        <v>0</v>
      </c>
      <c r="J38" s="22">
        <f>VLOOKUP(D38,Data!$A$5:$V$197,8,FALSE)*5.83</f>
        <v>62.874146915999994</v>
      </c>
      <c r="K38" s="71">
        <f>VLOOKUP(D38,Data!$A$5:$V$197,22,FALSE)</f>
        <v>2881.646655231561</v>
      </c>
      <c r="L38" s="23">
        <f t="shared" si="28"/>
        <v>247260.62961142592</v>
      </c>
      <c r="M38" s="14">
        <f t="shared" si="7"/>
        <v>85.805325633012686</v>
      </c>
      <c r="N38" s="15">
        <f t="shared" si="1"/>
        <v>150446.21955403086</v>
      </c>
      <c r="O38" s="15">
        <f t="shared" si="1"/>
        <v>12909086.859089341</v>
      </c>
      <c r="P38" s="22">
        <f t="shared" si="2"/>
        <v>85.8053256330127</v>
      </c>
      <c r="Q38" s="31">
        <f t="shared" si="29"/>
        <v>141183.21955403086</v>
      </c>
      <c r="R38" s="31">
        <f t="shared" si="29"/>
        <v>12848775.132816128</v>
      </c>
      <c r="S38" s="32">
        <f t="shared" si="19"/>
        <v>91.007806546718527</v>
      </c>
      <c r="T38" s="31">
        <f t="shared" si="20"/>
        <v>162288.21955403086</v>
      </c>
      <c r="U38" s="7">
        <v>8000</v>
      </c>
      <c r="V38" s="37">
        <f t="shared" si="21"/>
        <v>114.28757004002286</v>
      </c>
    </row>
    <row r="39" spans="1:22">
      <c r="A39" s="47">
        <v>11842</v>
      </c>
      <c r="B39" s="21">
        <v>10000</v>
      </c>
      <c r="C39" s="47">
        <v>169904</v>
      </c>
      <c r="D39" s="13">
        <v>42614</v>
      </c>
      <c r="E39" s="16">
        <f t="shared" si="3"/>
        <v>150446.21955403086</v>
      </c>
      <c r="F39" s="16">
        <f t="shared" si="3"/>
        <v>12909086.859089341</v>
      </c>
      <c r="G39" s="14">
        <f t="shared" si="3"/>
        <v>85.8053256330127</v>
      </c>
      <c r="H39" s="46">
        <f t="shared" si="30"/>
        <v>11320.754716981148</v>
      </c>
      <c r="I39" s="23">
        <f t="shared" si="27"/>
        <v>722385.81414339703</v>
      </c>
      <c r="J39" s="22">
        <f>VLOOKUP(D39,Data!$A$5:$V$197,8,FALSE)*5.83</f>
        <v>63.810746915999978</v>
      </c>
      <c r="K39" s="71">
        <f>VLOOKUP(D39,Data!$A$5:$V$197,22,FALSE)</f>
        <v>3704.9742710120067</v>
      </c>
      <c r="L39" s="23">
        <f t="shared" si="28"/>
        <v>312203.74713641853</v>
      </c>
      <c r="M39" s="14">
        <f t="shared" si="7"/>
        <v>84.266103972468528</v>
      </c>
      <c r="N39" s="15">
        <f t="shared" si="1"/>
        <v>158062</v>
      </c>
      <c r="O39" s="15">
        <f t="shared" si="1"/>
        <v>13319268.92609632</v>
      </c>
      <c r="P39" s="22">
        <f t="shared" si="2"/>
        <v>84.266103972468528</v>
      </c>
      <c r="Q39" s="31">
        <f t="shared" si="29"/>
        <v>141857.2964771078</v>
      </c>
      <c r="R39" s="31">
        <f t="shared" si="29"/>
        <v>12799058.086362001</v>
      </c>
      <c r="S39" s="32">
        <f t="shared" si="19"/>
        <v>90.224883768509201</v>
      </c>
      <c r="T39" s="31">
        <f t="shared" si="20"/>
        <v>169904</v>
      </c>
      <c r="U39" s="7">
        <v>8000</v>
      </c>
      <c r="V39" s="37">
        <f t="shared" si="21"/>
        <v>119.92888888888889</v>
      </c>
    </row>
    <row r="40" spans="1:22">
      <c r="A40" s="47">
        <v>11842</v>
      </c>
      <c r="B40" s="21">
        <v>10000</v>
      </c>
      <c r="C40" s="47">
        <v>169904</v>
      </c>
      <c r="D40" s="13">
        <v>42644</v>
      </c>
      <c r="E40" s="16">
        <f t="shared" si="3"/>
        <v>158062</v>
      </c>
      <c r="F40" s="16">
        <f t="shared" si="3"/>
        <v>13319268.92609632</v>
      </c>
      <c r="G40" s="14">
        <f t="shared" si="3"/>
        <v>84.266103972468528</v>
      </c>
      <c r="H40" s="46">
        <f t="shared" si="30"/>
        <v>0</v>
      </c>
      <c r="I40" s="23">
        <f t="shared" si="27"/>
        <v>0</v>
      </c>
      <c r="J40" s="22">
        <f>VLOOKUP(D40,Data!$A$5:$V$197,8,FALSE)*5.83</f>
        <v>64.785146915999988</v>
      </c>
      <c r="K40" s="71">
        <f>VLOOKUP(D40,Data!$A$5:$V$197,22,FALSE)</f>
        <v>4734.1337907375646</v>
      </c>
      <c r="L40" s="23">
        <f t="shared" si="28"/>
        <v>398927.01022986817</v>
      </c>
      <c r="M40" s="14">
        <f t="shared" si="7"/>
        <v>84.266103972468528</v>
      </c>
      <c r="N40" s="15">
        <f t="shared" si="1"/>
        <v>153327.86620926243</v>
      </c>
      <c r="O40" s="15">
        <f t="shared" si="1"/>
        <v>12920341.915866451</v>
      </c>
      <c r="P40" s="22">
        <f t="shared" si="2"/>
        <v>84.266103972468528</v>
      </c>
      <c r="Q40" s="31">
        <f t="shared" si="29"/>
        <v>142153.51695474336</v>
      </c>
      <c r="R40" s="31">
        <f t="shared" si="29"/>
        <v>12716042.62065942</v>
      </c>
      <c r="S40" s="32">
        <f t="shared" si="19"/>
        <v>89.452887927547778</v>
      </c>
      <c r="T40" s="31">
        <f t="shared" si="20"/>
        <v>165169.86620926243</v>
      </c>
      <c r="U40" s="7">
        <v>8000</v>
      </c>
      <c r="V40" s="37">
        <f t="shared" si="21"/>
        <v>116.42212311797216</v>
      </c>
    </row>
    <row r="41" spans="1:22">
      <c r="A41" s="47">
        <v>11842</v>
      </c>
      <c r="B41" s="21">
        <v>10000</v>
      </c>
      <c r="C41" s="47">
        <v>169904</v>
      </c>
      <c r="D41" s="13">
        <v>42675</v>
      </c>
      <c r="E41" s="16">
        <f t="shared" si="3"/>
        <v>153327.86620926243</v>
      </c>
      <c r="F41" s="16">
        <f t="shared" si="3"/>
        <v>12920341.915866451</v>
      </c>
      <c r="G41" s="14">
        <f t="shared" si="3"/>
        <v>84.266103972468528</v>
      </c>
      <c r="H41" s="46">
        <f t="shared" si="30"/>
        <v>12619.21097770155</v>
      </c>
      <c r="I41" s="23">
        <f t="shared" si="27"/>
        <v>828614.58055062126</v>
      </c>
      <c r="J41" s="22">
        <f>VLOOKUP(D41,Data!$A$5:$V$197,8,FALSE)*5.83</f>
        <v>65.662946915999996</v>
      </c>
      <c r="K41" s="71">
        <f>VLOOKUP(D41,Data!$A$5:$V$197,22,FALSE)</f>
        <v>7885.0771869639793</v>
      </c>
      <c r="L41" s="23">
        <f t="shared" si="28"/>
        <v>653290.10340035532</v>
      </c>
      <c r="M41" s="14">
        <f t="shared" si="7"/>
        <v>82.851453183033968</v>
      </c>
      <c r="N41" s="15">
        <f t="shared" si="1"/>
        <v>158062</v>
      </c>
      <c r="O41" s="15">
        <f t="shared" si="1"/>
        <v>13095666.393016716</v>
      </c>
      <c r="P41" s="22">
        <f t="shared" si="2"/>
        <v>82.851453183033982</v>
      </c>
      <c r="Q41" s="31">
        <f t="shared" si="29"/>
        <v>142825.20926243567</v>
      </c>
      <c r="R41" s="31">
        <f t="shared" si="29"/>
        <v>12647552.733968399</v>
      </c>
      <c r="S41" s="32">
        <f t="shared" si="19"/>
        <v>88.552663771904733</v>
      </c>
      <c r="T41" s="31">
        <f t="shared" si="20"/>
        <v>169904</v>
      </c>
      <c r="U41" s="7">
        <v>8000</v>
      </c>
      <c r="V41" s="37">
        <f t="shared" si="21"/>
        <v>119.92888888888889</v>
      </c>
    </row>
    <row r="42" spans="1:22">
      <c r="A42" s="47">
        <v>11842</v>
      </c>
      <c r="B42" s="21">
        <v>10000</v>
      </c>
      <c r="C42" s="47">
        <v>169904</v>
      </c>
      <c r="D42" s="13">
        <v>42705</v>
      </c>
      <c r="E42" s="16">
        <f t="shared" si="3"/>
        <v>158062</v>
      </c>
      <c r="F42" s="16">
        <f t="shared" si="3"/>
        <v>13095666.393016716</v>
      </c>
      <c r="G42" s="14">
        <f t="shared" si="3"/>
        <v>82.851453183033982</v>
      </c>
      <c r="H42" s="46">
        <f t="shared" si="30"/>
        <v>0</v>
      </c>
      <c r="I42" s="23">
        <f t="shared" si="27"/>
        <v>0</v>
      </c>
      <c r="J42" s="22">
        <f>VLOOKUP(D42,Data!$A$5:$V$197,8,FALSE)*5.83</f>
        <v>66.486146915999981</v>
      </c>
      <c r="K42" s="71">
        <f>VLOOKUP(D42,Data!$A$5:$V$197,22,FALSE)</f>
        <v>5351.6295025728987</v>
      </c>
      <c r="L42" s="23">
        <f t="shared" si="28"/>
        <v>443390.28118536196</v>
      </c>
      <c r="M42" s="14">
        <f t="shared" si="7"/>
        <v>82.851453183033982</v>
      </c>
      <c r="N42" s="15">
        <f t="shared" si="1"/>
        <v>152710.37049742709</v>
      </c>
      <c r="O42" s="15">
        <f t="shared" si="1"/>
        <v>12652276.111831354</v>
      </c>
      <c r="P42" s="22">
        <f t="shared" si="2"/>
        <v>82.851453183033982</v>
      </c>
      <c r="Q42" s="31">
        <f t="shared" si="29"/>
        <v>144650.77622377622</v>
      </c>
      <c r="R42" s="31">
        <f t="shared" si="29"/>
        <v>12691563.367955428</v>
      </c>
      <c r="S42" s="32">
        <f t="shared" si="19"/>
        <v>87.739338144452475</v>
      </c>
      <c r="T42" s="31">
        <f t="shared" si="20"/>
        <v>164552.37049742709</v>
      </c>
      <c r="U42" s="7">
        <v>8000</v>
      </c>
      <c r="V42" s="37">
        <f t="shared" si="21"/>
        <v>115.96471888698304</v>
      </c>
    </row>
    <row r="43" spans="1:22">
      <c r="A43" s="47">
        <v>11842</v>
      </c>
      <c r="B43" s="21">
        <v>10000</v>
      </c>
      <c r="C43" s="47">
        <v>169904</v>
      </c>
      <c r="D43" s="13">
        <v>42736</v>
      </c>
      <c r="E43" s="16">
        <f t="shared" si="3"/>
        <v>152710.37049742709</v>
      </c>
      <c r="F43" s="16">
        <f t="shared" si="3"/>
        <v>12652276.111831354</v>
      </c>
      <c r="G43" s="14">
        <f t="shared" si="3"/>
        <v>82.851453183033982</v>
      </c>
      <c r="H43" s="46">
        <f t="shared" si="30"/>
        <v>0</v>
      </c>
      <c r="I43" s="23">
        <f t="shared" si="27"/>
        <v>0</v>
      </c>
      <c r="J43" s="22">
        <f>VLOOKUP(D43,Data!$A$5:$V$197,8,FALSE)*5.83</f>
        <v>67.317746916000004</v>
      </c>
      <c r="K43" s="71">
        <f>VLOOKUP(D43,Data!$A$5:$V$197,22,FALSE)</f>
        <v>0</v>
      </c>
      <c r="L43" s="23">
        <f t="shared" si="28"/>
        <v>0</v>
      </c>
      <c r="M43" s="14">
        <f t="shared" si="7"/>
        <v>0</v>
      </c>
      <c r="N43" s="15">
        <f t="shared" si="1"/>
        <v>152710.37049742709</v>
      </c>
      <c r="O43" s="15">
        <f t="shared" si="1"/>
        <v>12652276.111831354</v>
      </c>
      <c r="P43" s="22">
        <f t="shared" si="2"/>
        <v>82.851453183033982</v>
      </c>
      <c r="Q43" s="31">
        <f t="shared" si="29"/>
        <v>146473.80472357833</v>
      </c>
      <c r="R43" s="31">
        <f t="shared" si="29"/>
        <v>12735336.248865532</v>
      </c>
      <c r="S43" s="32">
        <f t="shared" si="19"/>
        <v>86.94616947309683</v>
      </c>
      <c r="T43" s="31">
        <f t="shared" si="20"/>
        <v>164552.37049742709</v>
      </c>
      <c r="U43" s="7">
        <v>8000</v>
      </c>
      <c r="V43" s="37">
        <f t="shared" si="21"/>
        <v>115.96471888698304</v>
      </c>
    </row>
    <row r="44" spans="1:22">
      <c r="A44" s="47">
        <v>11842</v>
      </c>
      <c r="B44" s="21">
        <v>10000</v>
      </c>
      <c r="C44" s="47">
        <v>169904</v>
      </c>
      <c r="D44" s="13">
        <v>42767</v>
      </c>
      <c r="E44" s="16">
        <f t="shared" si="3"/>
        <v>152710.37049742709</v>
      </c>
      <c r="F44" s="16">
        <f t="shared" si="3"/>
        <v>12652276.111831354</v>
      </c>
      <c r="G44" s="14">
        <f t="shared" si="3"/>
        <v>82.851453183033982</v>
      </c>
      <c r="H44" s="46">
        <f t="shared" si="30"/>
        <v>0</v>
      </c>
      <c r="I44" s="23">
        <f t="shared" si="27"/>
        <v>0</v>
      </c>
      <c r="J44" s="22">
        <f>VLOOKUP(D44,Data!$A$5:$V$197,8,FALSE)*5.83</f>
        <v>67.989746916000001</v>
      </c>
      <c r="K44" s="71">
        <f>VLOOKUP(D44,Data!$A$5:$V$197,22,FALSE)</f>
        <v>1025.5574614065181</v>
      </c>
      <c r="L44" s="23">
        <f t="shared" si="28"/>
        <v>84968.926000233318</v>
      </c>
      <c r="M44" s="14">
        <f t="shared" si="7"/>
        <v>82.851453183033982</v>
      </c>
      <c r="N44" s="15">
        <f t="shared" si="1"/>
        <v>151684.81303602058</v>
      </c>
      <c r="O44" s="15">
        <f t="shared" si="1"/>
        <v>12567307.18583112</v>
      </c>
      <c r="P44" s="22">
        <f t="shared" si="2"/>
        <v>82.851453183033968</v>
      </c>
      <c r="Q44" s="31">
        <f t="shared" si="29"/>
        <v>148217.9441878876</v>
      </c>
      <c r="R44" s="31">
        <f t="shared" si="29"/>
        <v>12772573.058544848</v>
      </c>
      <c r="S44" s="32">
        <f t="shared" si="19"/>
        <v>86.174269441720043</v>
      </c>
      <c r="T44" s="31">
        <f t="shared" si="20"/>
        <v>163526.81303602058</v>
      </c>
      <c r="U44" s="7">
        <v>8000</v>
      </c>
      <c r="V44" s="37">
        <f t="shared" si="21"/>
        <v>115.20504669334858</v>
      </c>
    </row>
    <row r="45" spans="1:22">
      <c r="A45" s="47">
        <v>11842</v>
      </c>
      <c r="B45" s="21">
        <v>10000</v>
      </c>
      <c r="C45" s="47">
        <v>169904</v>
      </c>
      <c r="D45" s="13">
        <v>42795</v>
      </c>
      <c r="E45" s="16">
        <f t="shared" si="3"/>
        <v>151684.81303602058</v>
      </c>
      <c r="F45" s="16">
        <f t="shared" si="3"/>
        <v>12567307.18583112</v>
      </c>
      <c r="G45" s="14">
        <f t="shared" si="3"/>
        <v>82.851453183033968</v>
      </c>
      <c r="H45" s="46">
        <f t="shared" si="30"/>
        <v>12140.48027444254</v>
      </c>
      <c r="I45" s="23">
        <f t="shared" si="27"/>
        <v>830272.2329275409</v>
      </c>
      <c r="J45" s="22">
        <f>VLOOKUP(D45,Data!$A$5:$V$197,8,FALSE)*5.83</f>
        <v>68.388746915999988</v>
      </c>
      <c r="K45" s="71">
        <f>VLOOKUP(D45,Data!$A$5:$V$197,22,FALSE)</f>
        <v>5763.293310463122</v>
      </c>
      <c r="L45" s="23">
        <f t="shared" si="28"/>
        <v>471320.26001749694</v>
      </c>
      <c r="M45" s="14">
        <f t="shared" si="7"/>
        <v>81.779676068512117</v>
      </c>
      <c r="N45" s="15">
        <f t="shared" si="1"/>
        <v>158062.00000000003</v>
      </c>
      <c r="O45" s="15">
        <f t="shared" si="1"/>
        <v>12926259.158741163</v>
      </c>
      <c r="P45" s="22">
        <f t="shared" si="2"/>
        <v>81.779676068512103</v>
      </c>
      <c r="Q45" s="31">
        <f t="shared" si="29"/>
        <v>150452.63649557991</v>
      </c>
      <c r="R45" s="31">
        <f t="shared" si="29"/>
        <v>12837421.558448015</v>
      </c>
      <c r="S45" s="32">
        <f t="shared" si="19"/>
        <v>85.325334653242592</v>
      </c>
      <c r="T45" s="31">
        <f t="shared" si="20"/>
        <v>169904.00000000003</v>
      </c>
      <c r="U45" s="7">
        <v>8000</v>
      </c>
      <c r="V45" s="37">
        <f t="shared" si="21"/>
        <v>119.92888888888891</v>
      </c>
    </row>
    <row r="46" spans="1:22">
      <c r="A46" s="47">
        <v>11842</v>
      </c>
      <c r="B46" s="21">
        <v>10000</v>
      </c>
      <c r="C46" s="47">
        <v>169904</v>
      </c>
      <c r="D46" s="13">
        <v>42826</v>
      </c>
      <c r="E46" s="16">
        <f t="shared" si="3"/>
        <v>158062.00000000003</v>
      </c>
      <c r="F46" s="16">
        <f t="shared" si="3"/>
        <v>12926259.158741163</v>
      </c>
      <c r="G46" s="14">
        <f t="shared" si="3"/>
        <v>81.779676068512103</v>
      </c>
      <c r="H46" s="46">
        <f t="shared" si="30"/>
        <v>0</v>
      </c>
      <c r="I46" s="23">
        <f t="shared" si="27"/>
        <v>0</v>
      </c>
      <c r="J46" s="22">
        <f>VLOOKUP(D46,Data!$A$5:$V$197,8,FALSE)*5.83</f>
        <v>68.422346915999995</v>
      </c>
      <c r="K46" s="71">
        <f>VLOOKUP(D46,Data!$A$5:$V$197,22,FALSE)</f>
        <v>7204.1166380789018</v>
      </c>
      <c r="L46" s="23">
        <f t="shared" si="28"/>
        <v>589150.32502187102</v>
      </c>
      <c r="M46" s="14">
        <f t="shared" si="7"/>
        <v>81.779676068512103</v>
      </c>
      <c r="N46" s="15">
        <f t="shared" si="1"/>
        <v>150857.88336192112</v>
      </c>
      <c r="O46" s="15">
        <f t="shared" si="1"/>
        <v>12337108.833719293</v>
      </c>
      <c r="P46" s="22">
        <f t="shared" si="2"/>
        <v>81.779676068512117</v>
      </c>
      <c r="Q46" s="31">
        <f t="shared" si="29"/>
        <v>152133.16598495847</v>
      </c>
      <c r="R46" s="31">
        <f t="shared" si="29"/>
        <v>12856950.802580265</v>
      </c>
      <c r="S46" s="32">
        <f t="shared" si="19"/>
        <v>84.511163094124015</v>
      </c>
      <c r="T46" s="31">
        <f t="shared" si="20"/>
        <v>162699.88336192112</v>
      </c>
      <c r="U46" s="7">
        <v>8000</v>
      </c>
      <c r="V46" s="37">
        <f t="shared" si="21"/>
        <v>114.59250619401564</v>
      </c>
    </row>
    <row r="47" spans="1:22">
      <c r="A47" s="47">
        <v>11842</v>
      </c>
      <c r="B47" s="21">
        <v>10000</v>
      </c>
      <c r="C47" s="47">
        <v>169904</v>
      </c>
      <c r="D47" s="13">
        <v>42856</v>
      </c>
      <c r="E47" s="16">
        <f t="shared" si="3"/>
        <v>150857.88336192112</v>
      </c>
      <c r="F47" s="16">
        <f t="shared" si="3"/>
        <v>12337108.833719293</v>
      </c>
      <c r="G47" s="14">
        <f t="shared" si="3"/>
        <v>81.779676068512117</v>
      </c>
      <c r="H47" s="46">
        <f t="shared" si="30"/>
        <v>11114.922813035995</v>
      </c>
      <c r="I47" s="23">
        <f t="shared" si="27"/>
        <v>764757.2281572537</v>
      </c>
      <c r="J47" s="22">
        <f>VLOOKUP(D47,Data!$A$5:$V$197,8,FALSE)*5.83</f>
        <v>68.804546915999993</v>
      </c>
      <c r="K47" s="71">
        <f>VLOOKUP(D47,Data!$A$5:$V$197,22,FALSE)</f>
        <v>3910.8061749571184</v>
      </c>
      <c r="L47" s="23">
        <f t="shared" si="28"/>
        <v>316342.35343741317</v>
      </c>
      <c r="M47" s="14">
        <f t="shared" si="7"/>
        <v>80.889294760531527</v>
      </c>
      <c r="N47" s="15">
        <f t="shared" si="1"/>
        <v>158062</v>
      </c>
      <c r="O47" s="15">
        <f t="shared" si="1"/>
        <v>12785523.708439134</v>
      </c>
      <c r="P47" s="22">
        <f t="shared" si="2"/>
        <v>80.889294760531527</v>
      </c>
      <c r="Q47" s="31">
        <f t="shared" si="29"/>
        <v>154689.80050138544</v>
      </c>
      <c r="R47" s="31">
        <f t="shared" si="29"/>
        <v>12941126.751619188</v>
      </c>
      <c r="S47" s="32">
        <f t="shared" si="19"/>
        <v>83.658565139227036</v>
      </c>
      <c r="T47" s="31">
        <f t="shared" si="20"/>
        <v>169904</v>
      </c>
      <c r="U47" s="7">
        <v>8000</v>
      </c>
      <c r="V47" s="37">
        <f t="shared" si="21"/>
        <v>119.92888888888889</v>
      </c>
    </row>
    <row r="48" spans="1:22">
      <c r="A48" s="47">
        <v>11842</v>
      </c>
      <c r="B48" s="21">
        <v>10000</v>
      </c>
      <c r="C48" s="47">
        <v>169904</v>
      </c>
      <c r="D48" s="13">
        <v>42887</v>
      </c>
      <c r="E48" s="16">
        <f t="shared" si="3"/>
        <v>158062</v>
      </c>
      <c r="F48" s="16">
        <f t="shared" si="3"/>
        <v>12785523.708439134</v>
      </c>
      <c r="G48" s="14">
        <f t="shared" si="3"/>
        <v>80.889294760531527</v>
      </c>
      <c r="H48" s="46">
        <f t="shared" si="30"/>
        <v>0</v>
      </c>
      <c r="I48" s="23">
        <f t="shared" si="27"/>
        <v>0</v>
      </c>
      <c r="J48" s="22">
        <f>VLOOKUP(D48,Data!$A$5:$V$197,8,FALSE)*5.83</f>
        <v>69.316946915999992</v>
      </c>
      <c r="K48" s="71">
        <f>VLOOKUP(D48,Data!$A$5:$V$197,22,FALSE)</f>
        <v>2264.1509433962265</v>
      </c>
      <c r="L48" s="23">
        <f t="shared" si="28"/>
        <v>183145.5730427129</v>
      </c>
      <c r="M48" s="14">
        <f t="shared" ref="M48:M54" si="31">IF(K48=0,0,L48/K48)</f>
        <v>80.889294760531527</v>
      </c>
      <c r="N48" s="15">
        <f t="shared" si="1"/>
        <v>155797.84905660377</v>
      </c>
      <c r="O48" s="15">
        <f t="shared" si="1"/>
        <v>12602378.135396421</v>
      </c>
      <c r="P48" s="22">
        <f t="shared" si="2"/>
        <v>80.889294760531527</v>
      </c>
      <c r="Q48" s="31">
        <f t="shared" si="29"/>
        <v>154515.6350442011</v>
      </c>
      <c r="R48" s="31">
        <f t="shared" si="29"/>
        <v>12867266.502018508</v>
      </c>
      <c r="S48" s="32">
        <f t="shared" si="19"/>
        <v>83.27485110705895</v>
      </c>
      <c r="T48" s="31">
        <f t="shared" si="20"/>
        <v>167639.84905660377</v>
      </c>
      <c r="U48" s="7">
        <v>8000</v>
      </c>
      <c r="V48" s="37">
        <f t="shared" si="21"/>
        <v>118.25174004192871</v>
      </c>
    </row>
    <row r="49" spans="1:22">
      <c r="A49" s="47">
        <v>11842</v>
      </c>
      <c r="B49" s="21">
        <v>10000</v>
      </c>
      <c r="C49" s="47">
        <v>169904</v>
      </c>
      <c r="D49" s="13">
        <v>42917</v>
      </c>
      <c r="E49" s="16">
        <f t="shared" ref="E49:G54" si="32">N48</f>
        <v>155797.84905660377</v>
      </c>
      <c r="F49" s="16">
        <f t="shared" si="32"/>
        <v>12602378.135396421</v>
      </c>
      <c r="G49" s="14">
        <f t="shared" si="32"/>
        <v>80.889294760531527</v>
      </c>
      <c r="H49" s="46">
        <f t="shared" si="30"/>
        <v>0</v>
      </c>
      <c r="I49" s="23">
        <f t="shared" si="27"/>
        <v>0</v>
      </c>
      <c r="J49" s="22">
        <f>VLOOKUP(D49,Data!$A$5:$V$197,8,FALSE)*5.83</f>
        <v>69.993146916000001</v>
      </c>
      <c r="K49" s="71">
        <f>VLOOKUP(D49,Data!$A$5:$V$197,22,FALSE)</f>
        <v>1852.4871355060034</v>
      </c>
      <c r="L49" s="23">
        <f t="shared" si="28"/>
        <v>149846.37794403781</v>
      </c>
      <c r="M49" s="14">
        <f t="shared" si="31"/>
        <v>80.889294760531527</v>
      </c>
      <c r="N49" s="15">
        <f t="shared" si="1"/>
        <v>153945.36192109776</v>
      </c>
      <c r="O49" s="15">
        <f t="shared" si="1"/>
        <v>12452531.757452384</v>
      </c>
      <c r="P49" s="22">
        <f t="shared" si="2"/>
        <v>80.889294760531527</v>
      </c>
      <c r="Q49" s="31">
        <f t="shared" ref="Q49:R54" si="33">AVERAGE(N37:N49)</f>
        <v>154388.96925715797</v>
      </c>
      <c r="R49" s="31">
        <f t="shared" si="33"/>
        <v>12798182.506616294</v>
      </c>
      <c r="S49" s="32">
        <f t="shared" si="19"/>
        <v>82.895705361559891</v>
      </c>
      <c r="T49" s="31">
        <f t="shared" si="20"/>
        <v>165787.36192109776</v>
      </c>
      <c r="U49" s="7">
        <v>8000</v>
      </c>
      <c r="V49" s="37">
        <f t="shared" si="21"/>
        <v>116.8795273489613</v>
      </c>
    </row>
    <row r="50" spans="1:22">
      <c r="A50" s="47">
        <v>11842</v>
      </c>
      <c r="B50" s="21">
        <v>10000</v>
      </c>
      <c r="C50" s="47">
        <v>169904</v>
      </c>
      <c r="D50" s="13">
        <v>42948</v>
      </c>
      <c r="E50" s="16">
        <f t="shared" si="32"/>
        <v>153945.36192109776</v>
      </c>
      <c r="F50" s="16">
        <f t="shared" si="32"/>
        <v>12452531.757452384</v>
      </c>
      <c r="G50" s="14">
        <f t="shared" si="32"/>
        <v>80.889294760531527</v>
      </c>
      <c r="H50" s="46">
        <f t="shared" si="30"/>
        <v>0</v>
      </c>
      <c r="I50" s="23">
        <f t="shared" si="27"/>
        <v>0</v>
      </c>
      <c r="J50" s="22">
        <f>VLOOKUP(D50,Data!$A$5:$V$197,8,FALSE)*5.83</f>
        <v>70.681946916000001</v>
      </c>
      <c r="K50" s="71">
        <f>VLOOKUP(D50,Data!$A$5:$V$197,22,FALSE)</f>
        <v>2264.1509433962265</v>
      </c>
      <c r="L50" s="23">
        <f t="shared" si="28"/>
        <v>183145.5730427129</v>
      </c>
      <c r="M50" s="14">
        <f t="shared" si="31"/>
        <v>80.889294760531527</v>
      </c>
      <c r="N50" s="15">
        <f t="shared" si="1"/>
        <v>151681.21097770153</v>
      </c>
      <c r="O50" s="15">
        <f t="shared" si="1"/>
        <v>12269386.184409671</v>
      </c>
      <c r="P50" s="22">
        <f t="shared" si="2"/>
        <v>80.889294760531541</v>
      </c>
      <c r="Q50" s="31">
        <f t="shared" si="33"/>
        <v>154262.3034701148</v>
      </c>
      <c r="R50" s="31">
        <f t="shared" si="33"/>
        <v>12729954.71397852</v>
      </c>
      <c r="S50" s="32">
        <f t="shared" si="19"/>
        <v>82.521487282501852</v>
      </c>
      <c r="T50" s="31">
        <f t="shared" si="20"/>
        <v>163523.21097770153</v>
      </c>
      <c r="U50" s="7">
        <v>8000</v>
      </c>
      <c r="V50" s="37">
        <f t="shared" si="21"/>
        <v>115.20237850200114</v>
      </c>
    </row>
    <row r="51" spans="1:22">
      <c r="A51" s="47">
        <v>11842</v>
      </c>
      <c r="B51" s="21">
        <v>10000</v>
      </c>
      <c r="C51" s="47">
        <v>169904</v>
      </c>
      <c r="D51" s="13">
        <v>42979</v>
      </c>
      <c r="E51" s="16">
        <f t="shared" si="32"/>
        <v>151681.21097770153</v>
      </c>
      <c r="F51" s="16">
        <f t="shared" si="32"/>
        <v>12269386.184409671</v>
      </c>
      <c r="G51" s="14">
        <f t="shared" si="32"/>
        <v>80.889294760531541</v>
      </c>
      <c r="H51" s="46">
        <f t="shared" si="30"/>
        <v>10497.427101200701</v>
      </c>
      <c r="I51" s="23">
        <f t="shared" si="27"/>
        <v>749473.74807190499</v>
      </c>
      <c r="J51" s="22">
        <f>VLOOKUP(D51,Data!$A$5:$V$197,8,FALSE)*5.83</f>
        <v>71.395946916</v>
      </c>
      <c r="K51" s="71">
        <f>VLOOKUP(D51,Data!$A$5:$V$197,22,FALSE)</f>
        <v>4116.6380789022296</v>
      </c>
      <c r="L51" s="23">
        <f t="shared" si="28"/>
        <v>330462.35420890606</v>
      </c>
      <c r="M51" s="14">
        <f t="shared" si="31"/>
        <v>80.274813543246765</v>
      </c>
      <c r="N51" s="15">
        <f t="shared" si="1"/>
        <v>158062</v>
      </c>
      <c r="O51" s="15">
        <f t="shared" si="1"/>
        <v>12688397.578272671</v>
      </c>
      <c r="P51" s="22">
        <f t="shared" si="2"/>
        <v>80.274813543246765</v>
      </c>
      <c r="Q51" s="31">
        <f t="shared" si="33"/>
        <v>154848.13273518934</v>
      </c>
      <c r="R51" s="31">
        <f t="shared" si="33"/>
        <v>12712978.615454158</v>
      </c>
      <c r="S51" s="32">
        <f t="shared" si="19"/>
        <v>82.099657198934537</v>
      </c>
      <c r="T51" s="31">
        <f t="shared" si="20"/>
        <v>169904</v>
      </c>
      <c r="U51" s="7">
        <v>8000</v>
      </c>
      <c r="V51" s="37">
        <f t="shared" si="21"/>
        <v>119.92888888888889</v>
      </c>
    </row>
    <row r="52" spans="1:22">
      <c r="A52" s="47">
        <v>11842</v>
      </c>
      <c r="B52" s="21">
        <v>10000</v>
      </c>
      <c r="C52" s="47">
        <v>169904</v>
      </c>
      <c r="D52" s="13">
        <v>43009</v>
      </c>
      <c r="E52" s="16">
        <f t="shared" si="32"/>
        <v>158062</v>
      </c>
      <c r="F52" s="16">
        <f t="shared" si="32"/>
        <v>12688397.578272671</v>
      </c>
      <c r="G52" s="14">
        <f t="shared" si="32"/>
        <v>80.274813543246765</v>
      </c>
      <c r="H52" s="46">
        <f t="shared" si="30"/>
        <v>0</v>
      </c>
      <c r="I52" s="23">
        <f t="shared" si="27"/>
        <v>0</v>
      </c>
      <c r="J52" s="22">
        <f>VLOOKUP(D52,Data!$A$5:$V$197,8,FALSE)*5.83</f>
        <v>72.109946915999984</v>
      </c>
      <c r="K52" s="71">
        <f>VLOOKUP(D52,Data!$A$5:$V$197,22,FALSE)</f>
        <v>823.32761578044597</v>
      </c>
      <c r="L52" s="23">
        <f t="shared" si="28"/>
        <v>66092.470841781207</v>
      </c>
      <c r="M52" s="14">
        <f t="shared" si="31"/>
        <v>80.274813543246765</v>
      </c>
      <c r="N52" s="15">
        <f t="shared" si="1"/>
        <v>157238.67238421956</v>
      </c>
      <c r="O52" s="15">
        <f t="shared" si="1"/>
        <v>12622305.10743089</v>
      </c>
      <c r="P52" s="22">
        <f t="shared" si="2"/>
        <v>80.274813543246765</v>
      </c>
      <c r="Q52" s="31">
        <f t="shared" si="33"/>
        <v>154784.79984166776</v>
      </c>
      <c r="R52" s="31">
        <f t="shared" si="33"/>
        <v>12659366.014018357</v>
      </c>
      <c r="S52" s="32">
        <f t="shared" si="19"/>
        <v>81.786881056588612</v>
      </c>
      <c r="T52" s="31">
        <f t="shared" si="20"/>
        <v>169080.67238421956</v>
      </c>
      <c r="U52" s="7">
        <v>8000</v>
      </c>
      <c r="V52" s="37">
        <f t="shared" si="21"/>
        <v>119.31901658090338</v>
      </c>
    </row>
    <row r="53" spans="1:22">
      <c r="A53" s="47">
        <v>11842</v>
      </c>
      <c r="B53" s="21">
        <v>10000</v>
      </c>
      <c r="C53" s="47">
        <v>169904</v>
      </c>
      <c r="D53" s="13">
        <v>43040</v>
      </c>
      <c r="E53" s="16">
        <f t="shared" si="32"/>
        <v>157238.67238421956</v>
      </c>
      <c r="F53" s="16">
        <f t="shared" si="32"/>
        <v>12622305.10743089</v>
      </c>
      <c r="G53" s="14">
        <f t="shared" si="32"/>
        <v>80.274813543246765</v>
      </c>
      <c r="H53" s="46">
        <f t="shared" si="30"/>
        <v>0</v>
      </c>
      <c r="I53" s="23">
        <f t="shared" si="27"/>
        <v>0</v>
      </c>
      <c r="J53" s="22">
        <f>VLOOKUP(D53,Data!$A$5:$V$197,8,FALSE)*5.83</f>
        <v>72.697946915999992</v>
      </c>
      <c r="K53" s="71">
        <f>VLOOKUP(D53,Data!$A$5:$V$197,22,FALSE)</f>
        <v>6792.4528301886794</v>
      </c>
      <c r="L53" s="23">
        <f t="shared" si="28"/>
        <v>545262.88444469497</v>
      </c>
      <c r="M53" s="14">
        <f t="shared" si="31"/>
        <v>80.274813543246751</v>
      </c>
      <c r="N53" s="15">
        <f t="shared" si="1"/>
        <v>150446.21955403089</v>
      </c>
      <c r="O53" s="15">
        <f t="shared" si="1"/>
        <v>12077042.222986195</v>
      </c>
      <c r="P53" s="22">
        <f t="shared" si="2"/>
        <v>80.274813543246765</v>
      </c>
      <c r="Q53" s="31">
        <f t="shared" si="33"/>
        <v>154563.13471434225</v>
      </c>
      <c r="R53" s="31">
        <f t="shared" si="33"/>
        <v>12594496.806873718</v>
      </c>
      <c r="S53" s="32">
        <f t="shared" si="19"/>
        <v>81.484480954338764</v>
      </c>
      <c r="T53" s="31">
        <f t="shared" si="20"/>
        <v>162288.21955403089</v>
      </c>
      <c r="U53" s="7">
        <v>8000</v>
      </c>
      <c r="V53" s="37">
        <f t="shared" si="21"/>
        <v>114.28757004002289</v>
      </c>
    </row>
    <row r="54" spans="1:22">
      <c r="A54" s="47">
        <v>11842</v>
      </c>
      <c r="B54" s="21">
        <v>10000</v>
      </c>
      <c r="C54" s="47">
        <v>169904</v>
      </c>
      <c r="D54" s="13">
        <v>43070</v>
      </c>
      <c r="E54" s="16">
        <f t="shared" si="32"/>
        <v>150446.21955403089</v>
      </c>
      <c r="F54" s="16">
        <f t="shared" si="32"/>
        <v>12077042.222986195</v>
      </c>
      <c r="G54" s="14">
        <f t="shared" si="32"/>
        <v>80.274813543246765</v>
      </c>
      <c r="H54" s="46">
        <f t="shared" si="30"/>
        <v>13584.905660377342</v>
      </c>
      <c r="I54" s="23">
        <f t="shared" si="27"/>
        <v>994441.54300980992</v>
      </c>
      <c r="J54" s="22">
        <f>VLOOKUP(D54,Data!$A$5:$V$197,8,FALSE)*5.83</f>
        <v>73.201946915999983</v>
      </c>
      <c r="K54" s="71">
        <f>VLOOKUP(D54,Data!$A$5:$V$197,22,FALSE)</f>
        <v>5969.1252144082328</v>
      </c>
      <c r="L54" s="23">
        <f t="shared" si="28"/>
        <v>475673.88954593975</v>
      </c>
      <c r="M54" s="14">
        <f t="shared" si="31"/>
        <v>79.689045288874397</v>
      </c>
      <c r="N54" s="15">
        <f t="shared" si="1"/>
        <v>158062</v>
      </c>
      <c r="O54" s="15">
        <f t="shared" si="1"/>
        <v>12595809.876450066</v>
      </c>
      <c r="P54" s="22">
        <f t="shared" si="2"/>
        <v>79.689045288874397</v>
      </c>
      <c r="Q54" s="31">
        <f t="shared" si="33"/>
        <v>154563.13471434225</v>
      </c>
      <c r="R54" s="31">
        <f t="shared" si="33"/>
        <v>12556046.305599362</v>
      </c>
      <c r="S54" s="32">
        <f t="shared" si="19"/>
        <v>81.235712052585967</v>
      </c>
      <c r="T54" s="31">
        <f t="shared" si="20"/>
        <v>169904</v>
      </c>
      <c r="U54" s="7">
        <v>8000</v>
      </c>
      <c r="V54" s="37">
        <f t="shared" si="21"/>
        <v>119.92888888888889</v>
      </c>
    </row>
    <row r="55" spans="1:22">
      <c r="A55" s="47">
        <v>11842</v>
      </c>
      <c r="B55" s="21">
        <v>10000</v>
      </c>
      <c r="C55" s="47">
        <v>169904</v>
      </c>
      <c r="D55" s="13">
        <v>43101</v>
      </c>
      <c r="E55" s="16">
        <f t="shared" ref="E55:E66" si="34">N54</f>
        <v>158062</v>
      </c>
      <c r="F55" s="16">
        <f t="shared" ref="F55:F66" si="35">O54</f>
        <v>12595809.876450066</v>
      </c>
      <c r="G55" s="14">
        <f t="shared" ref="G55:G66" si="36">P54</f>
        <v>79.689045288874397</v>
      </c>
      <c r="H55" s="46">
        <f t="shared" si="30"/>
        <v>0</v>
      </c>
      <c r="I55" s="23">
        <f t="shared" ref="I55:I66" si="37">H55*J55</f>
        <v>0</v>
      </c>
      <c r="J55" s="22">
        <f>VLOOKUP(D55,Data!$A$5:$V$197,8,FALSE)*5.83</f>
        <v>73.726946916000003</v>
      </c>
      <c r="K55" s="71">
        <f>VLOOKUP(D55,Data!$A$5:$V$197,22,FALSE)</f>
        <v>0</v>
      </c>
      <c r="L55" s="23">
        <f t="shared" ref="L55:L66" si="38">IF(E55+I55&gt;0,((F55+I55)/(E55+H55)*K55),0)</f>
        <v>0</v>
      </c>
      <c r="M55" s="14">
        <f t="shared" ref="M55:M66" si="39">IF(K55=0,0,L55/K55)</f>
        <v>0</v>
      </c>
      <c r="N55" s="15">
        <f t="shared" ref="N55:N66" si="40">+E55+H55-K55</f>
        <v>158062</v>
      </c>
      <c r="O55" s="15">
        <f t="shared" ref="O55:O66" si="41">+F55+I55-L55</f>
        <v>12595809.876450066</v>
      </c>
      <c r="P55" s="22">
        <f t="shared" ref="P55:P66" si="42">IF(N55=0,0,O55/N55)</f>
        <v>79.689045288874397</v>
      </c>
      <c r="Q55" s="31">
        <f t="shared" ref="Q55:Q66" si="43">AVERAGE(N43:N55)</f>
        <v>154974.79852223245</v>
      </c>
      <c r="R55" s="31">
        <f t="shared" ref="R55:R66" si="44">AVERAGE(O43:O55)</f>
        <v>12551702.749031572</v>
      </c>
      <c r="S55" s="32">
        <f t="shared" ref="S55:S66" si="45">IF(Q55=0,0,R55/Q55)</f>
        <v>80.991895899970629</v>
      </c>
      <c r="T55" s="31">
        <f t="shared" si="20"/>
        <v>169904</v>
      </c>
      <c r="U55" s="7">
        <v>8000</v>
      </c>
      <c r="V55" s="37">
        <f t="shared" si="21"/>
        <v>119.92888888888889</v>
      </c>
    </row>
    <row r="56" spans="1:22">
      <c r="A56" s="47">
        <v>11842</v>
      </c>
      <c r="B56" s="21">
        <v>10000</v>
      </c>
      <c r="C56" s="47">
        <v>169904</v>
      </c>
      <c r="D56" s="13">
        <v>43132</v>
      </c>
      <c r="E56" s="16">
        <f t="shared" si="34"/>
        <v>158062</v>
      </c>
      <c r="F56" s="16">
        <f t="shared" si="35"/>
        <v>12595809.876450066</v>
      </c>
      <c r="G56" s="14">
        <f t="shared" si="36"/>
        <v>79.689045288874397</v>
      </c>
      <c r="H56" s="46">
        <f t="shared" si="30"/>
        <v>0</v>
      </c>
      <c r="I56" s="23">
        <f t="shared" si="37"/>
        <v>0</v>
      </c>
      <c r="J56" s="22">
        <f>VLOOKUP(D56,Data!$A$5:$V$197,8,FALSE)*5.83</f>
        <v>73.999946915999985</v>
      </c>
      <c r="K56" s="71">
        <f>VLOOKUP(D56,Data!$A$5:$V$197,22,FALSE)</f>
        <v>465.35162950257291</v>
      </c>
      <c r="L56" s="23">
        <f t="shared" si="38"/>
        <v>37083.427078682034</v>
      </c>
      <c r="M56" s="14">
        <f t="shared" si="39"/>
        <v>79.689045288874411</v>
      </c>
      <c r="N56" s="15">
        <f t="shared" si="40"/>
        <v>157596.64837049742</v>
      </c>
      <c r="O56" s="15">
        <f t="shared" si="41"/>
        <v>12558726.449371383</v>
      </c>
      <c r="P56" s="22">
        <f t="shared" si="42"/>
        <v>79.689045288874397</v>
      </c>
      <c r="Q56" s="31">
        <f t="shared" si="43"/>
        <v>155350.66605093019</v>
      </c>
      <c r="R56" s="31">
        <f t="shared" si="44"/>
        <v>12544506.621150035</v>
      </c>
      <c r="S56" s="32">
        <f t="shared" si="45"/>
        <v>80.749615949747152</v>
      </c>
      <c r="T56" s="31">
        <f t="shared" si="20"/>
        <v>169438.64837049742</v>
      </c>
      <c r="U56" s="7">
        <v>8000</v>
      </c>
      <c r="V56" s="37">
        <f t="shared" si="21"/>
        <v>119.58418397814624</v>
      </c>
    </row>
    <row r="57" spans="1:22">
      <c r="A57" s="47">
        <v>11842</v>
      </c>
      <c r="B57" s="21">
        <v>10000</v>
      </c>
      <c r="C57" s="47">
        <v>169904</v>
      </c>
      <c r="D57" s="13">
        <v>43160</v>
      </c>
      <c r="E57" s="16">
        <f t="shared" si="34"/>
        <v>157596.64837049742</v>
      </c>
      <c r="F57" s="16">
        <f t="shared" si="35"/>
        <v>12558726.449371383</v>
      </c>
      <c r="G57" s="14">
        <f t="shared" si="36"/>
        <v>79.689045288874397</v>
      </c>
      <c r="H57" s="46">
        <f t="shared" si="30"/>
        <v>0</v>
      </c>
      <c r="I57" s="23">
        <f t="shared" si="37"/>
        <v>0</v>
      </c>
      <c r="J57" s="22">
        <f>VLOOKUP(D57,Data!$A$5:$V$197,8,FALSE)*5.83</f>
        <v>73.978946915999984</v>
      </c>
      <c r="K57" s="71">
        <f>VLOOKUP(D57,Data!$A$5:$V$197,22,FALSE)</f>
        <v>1029.1595197255574</v>
      </c>
      <c r="L57" s="23">
        <f t="shared" si="38"/>
        <v>82012.739576886161</v>
      </c>
      <c r="M57" s="14">
        <f t="shared" si="39"/>
        <v>79.689045288874397</v>
      </c>
      <c r="N57" s="15">
        <f t="shared" si="40"/>
        <v>156567.48885077186</v>
      </c>
      <c r="O57" s="15">
        <f t="shared" si="41"/>
        <v>12476713.709794497</v>
      </c>
      <c r="P57" s="22">
        <f t="shared" si="42"/>
        <v>79.689045288874411</v>
      </c>
      <c r="Q57" s="31">
        <f t="shared" si="43"/>
        <v>155726.25649821875</v>
      </c>
      <c r="R57" s="31">
        <f t="shared" si="44"/>
        <v>12537537.89222414</v>
      </c>
      <c r="S57" s="32">
        <f t="shared" si="45"/>
        <v>80.510109047458855</v>
      </c>
      <c r="T57" s="31">
        <f t="shared" si="20"/>
        <v>168409.48885077186</v>
      </c>
      <c r="U57" s="7">
        <v>8000</v>
      </c>
      <c r="V57" s="37">
        <f t="shared" si="21"/>
        <v>118.82184359316435</v>
      </c>
    </row>
    <row r="58" spans="1:22">
      <c r="A58" s="47">
        <v>11842</v>
      </c>
      <c r="B58" s="21">
        <v>10000</v>
      </c>
      <c r="C58" s="47">
        <v>169904</v>
      </c>
      <c r="D58" s="13">
        <v>43191</v>
      </c>
      <c r="E58" s="16">
        <f t="shared" si="34"/>
        <v>156567.48885077186</v>
      </c>
      <c r="F58" s="16">
        <f t="shared" si="35"/>
        <v>12476713.709794497</v>
      </c>
      <c r="G58" s="14">
        <f t="shared" si="36"/>
        <v>79.689045288874411</v>
      </c>
      <c r="H58" s="46">
        <f t="shared" si="30"/>
        <v>0</v>
      </c>
      <c r="I58" s="23">
        <f t="shared" si="37"/>
        <v>0</v>
      </c>
      <c r="J58" s="22">
        <f>VLOOKUP(D58,Data!$A$5:$V$197,8,FALSE)*5.83</f>
        <v>73.810946915999992</v>
      </c>
      <c r="K58" s="71">
        <f>VLOOKUP(D58,Data!$A$5:$V$197,22,FALSE)</f>
        <v>4939.9656946826753</v>
      </c>
      <c r="L58" s="23">
        <f t="shared" si="38"/>
        <v>393661.14996905363</v>
      </c>
      <c r="M58" s="14">
        <f t="shared" si="39"/>
        <v>79.689045288874411</v>
      </c>
      <c r="N58" s="15">
        <f t="shared" si="40"/>
        <v>151627.52315608918</v>
      </c>
      <c r="O58" s="15">
        <f t="shared" si="41"/>
        <v>12083052.559825443</v>
      </c>
      <c r="P58" s="22">
        <f t="shared" si="42"/>
        <v>79.689045288874397</v>
      </c>
      <c r="Q58" s="31">
        <f t="shared" si="43"/>
        <v>155231.29674099485</v>
      </c>
      <c r="R58" s="31">
        <f t="shared" si="44"/>
        <v>12472675.846153699</v>
      </c>
      <c r="S58" s="32">
        <f t="shared" si="45"/>
        <v>80.348976707735019</v>
      </c>
      <c r="T58" s="31">
        <f t="shared" si="20"/>
        <v>163469.52315608918</v>
      </c>
      <c r="U58" s="7">
        <v>8000</v>
      </c>
      <c r="V58" s="37">
        <f t="shared" si="21"/>
        <v>115.16260974525125</v>
      </c>
    </row>
    <row r="59" spans="1:22">
      <c r="A59" s="47">
        <v>11842</v>
      </c>
      <c r="B59" s="21">
        <v>10000</v>
      </c>
      <c r="C59" s="47">
        <v>169904</v>
      </c>
      <c r="D59" s="13">
        <v>43221</v>
      </c>
      <c r="E59" s="16">
        <f t="shared" si="34"/>
        <v>151627.52315608918</v>
      </c>
      <c r="F59" s="16">
        <f t="shared" si="35"/>
        <v>12083052.559825443</v>
      </c>
      <c r="G59" s="14">
        <f t="shared" si="36"/>
        <v>79.689045288874397</v>
      </c>
      <c r="H59" s="46">
        <f t="shared" si="30"/>
        <v>0</v>
      </c>
      <c r="I59" s="23">
        <f t="shared" si="37"/>
        <v>0</v>
      </c>
      <c r="J59" s="22">
        <f>VLOOKUP(D59,Data!$A$5:$V$197,8,FALSE)*5.83</f>
        <v>74.188946915999992</v>
      </c>
      <c r="K59" s="71">
        <f>VLOOKUP(D59,Data!$A$5:$V$197,22,FALSE)</f>
        <v>1234.9914236706688</v>
      </c>
      <c r="L59" s="23">
        <f t="shared" si="38"/>
        <v>98415.287492263393</v>
      </c>
      <c r="M59" s="14">
        <f t="shared" si="39"/>
        <v>79.689045288874397</v>
      </c>
      <c r="N59" s="15">
        <f t="shared" si="40"/>
        <v>150392.53173241852</v>
      </c>
      <c r="O59" s="15">
        <f t="shared" si="41"/>
        <v>11984637.272333179</v>
      </c>
      <c r="P59" s="22">
        <f t="shared" si="42"/>
        <v>79.689045288874397</v>
      </c>
      <c r="Q59" s="31">
        <f t="shared" si="43"/>
        <v>155195.50046180235</v>
      </c>
      <c r="R59" s="31">
        <f t="shared" si="44"/>
        <v>12445562.649123998</v>
      </c>
      <c r="S59" s="32">
        <f t="shared" si="45"/>
        <v>80.192805926014429</v>
      </c>
      <c r="T59" s="31">
        <f t="shared" si="20"/>
        <v>162234.53173241852</v>
      </c>
      <c r="U59" s="7">
        <v>8000</v>
      </c>
      <c r="V59" s="37">
        <f t="shared" si="21"/>
        <v>114.24780128327298</v>
      </c>
    </row>
    <row r="60" spans="1:22">
      <c r="A60" s="47">
        <v>11842</v>
      </c>
      <c r="B60" s="21">
        <v>10000</v>
      </c>
      <c r="C60" s="47">
        <v>169904</v>
      </c>
      <c r="D60" s="13">
        <v>43252</v>
      </c>
      <c r="E60" s="16">
        <f t="shared" si="34"/>
        <v>150392.53173241852</v>
      </c>
      <c r="F60" s="16">
        <f t="shared" si="35"/>
        <v>11984637.272333179</v>
      </c>
      <c r="G60" s="14">
        <f t="shared" si="36"/>
        <v>79.689045288874397</v>
      </c>
      <c r="H60" s="46">
        <f t="shared" si="30"/>
        <v>10139.45111492282</v>
      </c>
      <c r="I60" s="23">
        <f t="shared" si="37"/>
        <v>756706.69846406707</v>
      </c>
      <c r="J60" s="22">
        <f>VLOOKUP(D60,Data!$A$5:$V$197,8,FALSE)*5.83</f>
        <v>74.629946915999994</v>
      </c>
      <c r="K60" s="71">
        <f>VLOOKUP(D60,Data!$A$5:$V$197,22,FALSE)</f>
        <v>2469.9828473413377</v>
      </c>
      <c r="L60" s="23">
        <f t="shared" si="38"/>
        <v>196041.3152678278</v>
      </c>
      <c r="M60" s="14">
        <f t="shared" si="39"/>
        <v>79.369504723016405</v>
      </c>
      <c r="N60" s="15">
        <f t="shared" si="40"/>
        <v>158062</v>
      </c>
      <c r="O60" s="15">
        <f t="shared" si="41"/>
        <v>12545302.655529419</v>
      </c>
      <c r="P60" s="22">
        <f t="shared" si="42"/>
        <v>79.369504723016405</v>
      </c>
      <c r="Q60" s="31">
        <f t="shared" si="43"/>
        <v>155195.50046180235</v>
      </c>
      <c r="R60" s="31">
        <f t="shared" si="44"/>
        <v>12427084.10659248</v>
      </c>
      <c r="S60" s="32">
        <f t="shared" si="45"/>
        <v>80.073739700018621</v>
      </c>
      <c r="T60" s="31">
        <f t="shared" si="20"/>
        <v>169904</v>
      </c>
      <c r="U60" s="7">
        <v>8000</v>
      </c>
      <c r="V60" s="37">
        <f t="shared" si="21"/>
        <v>119.92888888888889</v>
      </c>
    </row>
    <row r="61" spans="1:22">
      <c r="A61" s="47">
        <v>11842</v>
      </c>
      <c r="B61" s="21">
        <v>10000</v>
      </c>
      <c r="C61" s="47">
        <v>169904</v>
      </c>
      <c r="D61" s="13">
        <v>43282</v>
      </c>
      <c r="E61" s="16">
        <f t="shared" si="34"/>
        <v>158062</v>
      </c>
      <c r="F61" s="16">
        <f t="shared" si="35"/>
        <v>12545302.655529419</v>
      </c>
      <c r="G61" s="14">
        <f t="shared" si="36"/>
        <v>79.369504723016405</v>
      </c>
      <c r="H61" s="46">
        <f t="shared" si="30"/>
        <v>0</v>
      </c>
      <c r="I61" s="23">
        <f t="shared" si="37"/>
        <v>0</v>
      </c>
      <c r="J61" s="22">
        <f>VLOOKUP(D61,Data!$A$5:$V$197,8,FALSE)*5.83</f>
        <v>75.175946915999987</v>
      </c>
      <c r="K61" s="71">
        <f>VLOOKUP(D61,Data!$A$5:$V$197,22,FALSE)</f>
        <v>3087.4785591766722</v>
      </c>
      <c r="L61" s="23">
        <f t="shared" si="38"/>
        <v>245051.64408478478</v>
      </c>
      <c r="M61" s="14">
        <f t="shared" si="39"/>
        <v>79.369504723016405</v>
      </c>
      <c r="N61" s="15">
        <f t="shared" si="40"/>
        <v>154974.52144082333</v>
      </c>
      <c r="O61" s="15">
        <f t="shared" si="41"/>
        <v>12300251.011444634</v>
      </c>
      <c r="P61" s="22">
        <f t="shared" si="42"/>
        <v>79.369504723016405</v>
      </c>
      <c r="Q61" s="31">
        <f t="shared" si="43"/>
        <v>155132.1675682808</v>
      </c>
      <c r="R61" s="31">
        <f t="shared" si="44"/>
        <v>12403843.55859619</v>
      </c>
      <c r="S61" s="32">
        <f t="shared" si="45"/>
        <v>79.956618624159219</v>
      </c>
      <c r="T61" s="31">
        <f t="shared" si="20"/>
        <v>166816.52144082333</v>
      </c>
      <c r="U61" s="7">
        <v>8000</v>
      </c>
      <c r="V61" s="37">
        <f t="shared" si="21"/>
        <v>117.6418677339432</v>
      </c>
    </row>
    <row r="62" spans="1:22">
      <c r="A62" s="47">
        <v>11842</v>
      </c>
      <c r="B62" s="21">
        <v>10000</v>
      </c>
      <c r="C62" s="47">
        <v>169904</v>
      </c>
      <c r="D62" s="13">
        <v>43313</v>
      </c>
      <c r="E62" s="16">
        <f t="shared" si="34"/>
        <v>154974.52144082333</v>
      </c>
      <c r="F62" s="16">
        <f t="shared" si="35"/>
        <v>12300251.011444634</v>
      </c>
      <c r="G62" s="14">
        <f t="shared" si="36"/>
        <v>79.369504723016405</v>
      </c>
      <c r="H62" s="46">
        <f t="shared" si="30"/>
        <v>0</v>
      </c>
      <c r="I62" s="23">
        <f t="shared" si="37"/>
        <v>0</v>
      </c>
      <c r="J62" s="22">
        <f>VLOOKUP(D62,Data!$A$5:$V$197,8,FALSE)*5.83</f>
        <v>75.700946915999978</v>
      </c>
      <c r="K62" s="71">
        <f>VLOOKUP(D62,Data!$A$5:$V$197,22,FALSE)</f>
        <v>4116.6380789022296</v>
      </c>
      <c r="L62" s="23">
        <f t="shared" si="38"/>
        <v>326735.52544637967</v>
      </c>
      <c r="M62" s="14">
        <f t="shared" si="39"/>
        <v>79.369504723016405</v>
      </c>
      <c r="N62" s="15">
        <f t="shared" si="40"/>
        <v>150857.88336192109</v>
      </c>
      <c r="O62" s="15">
        <f t="shared" si="41"/>
        <v>11973515.485998254</v>
      </c>
      <c r="P62" s="22">
        <f t="shared" si="42"/>
        <v>79.369504723016405</v>
      </c>
      <c r="Q62" s="31">
        <f t="shared" si="43"/>
        <v>154894.6692175749</v>
      </c>
      <c r="R62" s="31">
        <f t="shared" si="44"/>
        <v>12366996.153099718</v>
      </c>
      <c r="S62" s="32">
        <f t="shared" si="45"/>
        <v>79.841328404454302</v>
      </c>
      <c r="T62" s="31">
        <f t="shared" si="20"/>
        <v>162699.88336192109</v>
      </c>
      <c r="U62" s="7">
        <v>8000</v>
      </c>
      <c r="V62" s="37">
        <f t="shared" si="21"/>
        <v>114.59250619401563</v>
      </c>
    </row>
    <row r="63" spans="1:22">
      <c r="A63" s="47">
        <v>11842</v>
      </c>
      <c r="B63" s="21">
        <v>10000</v>
      </c>
      <c r="C63" s="47">
        <v>169904</v>
      </c>
      <c r="D63" s="13">
        <v>43344</v>
      </c>
      <c r="E63" s="16">
        <f t="shared" si="34"/>
        <v>150857.88336192109</v>
      </c>
      <c r="F63" s="16">
        <f t="shared" si="35"/>
        <v>11973515.485998254</v>
      </c>
      <c r="G63" s="14">
        <f t="shared" si="36"/>
        <v>79.369504723016405</v>
      </c>
      <c r="H63" s="46">
        <f t="shared" si="30"/>
        <v>12761.578044596918</v>
      </c>
      <c r="I63" s="23">
        <f t="shared" si="37"/>
        <v>973031.36373077205</v>
      </c>
      <c r="J63" s="22">
        <f>VLOOKUP(D63,Data!$A$5:$V$197,8,FALSE)*5.83</f>
        <v>76.246946915999985</v>
      </c>
      <c r="K63" s="71">
        <f>VLOOKUP(D63,Data!$A$5:$V$197,22,FALSE)</f>
        <v>5557.4614065180103</v>
      </c>
      <c r="L63" s="23">
        <f t="shared" si="38"/>
        <v>439739.46526009141</v>
      </c>
      <c r="M63" s="14">
        <f t="shared" si="39"/>
        <v>79.125959335380642</v>
      </c>
      <c r="N63" s="15">
        <f t="shared" si="40"/>
        <v>158062</v>
      </c>
      <c r="O63" s="15">
        <f t="shared" si="41"/>
        <v>12506807.384468934</v>
      </c>
      <c r="P63" s="22">
        <f t="shared" si="42"/>
        <v>79.125959335380628</v>
      </c>
      <c r="Q63" s="31">
        <f t="shared" si="43"/>
        <v>155385.4991423671</v>
      </c>
      <c r="R63" s="31">
        <f t="shared" si="44"/>
        <v>12385259.322335048</v>
      </c>
      <c r="S63" s="32">
        <f t="shared" si="45"/>
        <v>79.70666111505966</v>
      </c>
      <c r="T63" s="31">
        <f t="shared" si="20"/>
        <v>169904</v>
      </c>
      <c r="U63" s="7">
        <v>8000</v>
      </c>
      <c r="V63" s="37">
        <f t="shared" si="21"/>
        <v>119.92888888888889</v>
      </c>
    </row>
    <row r="64" spans="1:22">
      <c r="A64" s="47">
        <v>11842</v>
      </c>
      <c r="B64" s="21">
        <v>10000</v>
      </c>
      <c r="C64" s="47">
        <v>169904</v>
      </c>
      <c r="D64" s="13">
        <v>43374</v>
      </c>
      <c r="E64" s="16">
        <f t="shared" si="34"/>
        <v>158062</v>
      </c>
      <c r="F64" s="16">
        <f t="shared" si="35"/>
        <v>12506807.384468934</v>
      </c>
      <c r="G64" s="14">
        <f t="shared" si="36"/>
        <v>79.125959335380628</v>
      </c>
      <c r="H64" s="46">
        <f t="shared" si="30"/>
        <v>0</v>
      </c>
      <c r="I64" s="23">
        <f t="shared" si="37"/>
        <v>0</v>
      </c>
      <c r="J64" s="22">
        <f>VLOOKUP(D64,Data!$A$5:$V$197,8,FALSE)*5.83</f>
        <v>76.771946915999976</v>
      </c>
      <c r="K64" s="71">
        <f>VLOOKUP(D64,Data!$A$5:$V$197,22,FALSE)</f>
        <v>411.66380789022298</v>
      </c>
      <c r="L64" s="23">
        <f t="shared" si="38"/>
        <v>32573.293722969727</v>
      </c>
      <c r="M64" s="14">
        <f t="shared" si="39"/>
        <v>79.125959335380628</v>
      </c>
      <c r="N64" s="15">
        <f t="shared" si="40"/>
        <v>157650.33619210977</v>
      </c>
      <c r="O64" s="15">
        <f t="shared" si="41"/>
        <v>12474234.090745963</v>
      </c>
      <c r="P64" s="22">
        <f t="shared" si="42"/>
        <v>79.125959335380628</v>
      </c>
      <c r="Q64" s="31">
        <f t="shared" si="43"/>
        <v>155353.83269560631</v>
      </c>
      <c r="R64" s="31">
        <f t="shared" si="44"/>
        <v>12368785.207909916</v>
      </c>
      <c r="S64" s="32">
        <f t="shared" si="45"/>
        <v>79.616865533950403</v>
      </c>
      <c r="T64" s="31">
        <f t="shared" si="20"/>
        <v>169492.33619210977</v>
      </c>
      <c r="U64" s="7">
        <v>8000</v>
      </c>
      <c r="V64" s="37">
        <f t="shared" si="21"/>
        <v>119.62395273489612</v>
      </c>
    </row>
    <row r="65" spans="1:22">
      <c r="A65" s="47">
        <v>11842</v>
      </c>
      <c r="B65" s="21">
        <v>10000</v>
      </c>
      <c r="C65" s="47">
        <v>169904</v>
      </c>
      <c r="D65" s="13">
        <v>43405</v>
      </c>
      <c r="E65" s="16">
        <f t="shared" si="34"/>
        <v>157650.33619210977</v>
      </c>
      <c r="F65" s="16">
        <f t="shared" si="35"/>
        <v>12474234.090745963</v>
      </c>
      <c r="G65" s="14">
        <f t="shared" si="36"/>
        <v>79.125959335380628</v>
      </c>
      <c r="H65" s="46">
        <f t="shared" si="30"/>
        <v>0</v>
      </c>
      <c r="I65" s="23">
        <f t="shared" si="37"/>
        <v>0</v>
      </c>
      <c r="J65" s="22">
        <f>VLOOKUP(D65,Data!$A$5:$V$197,8,FALSE)*5.83</f>
        <v>77.170946916000005</v>
      </c>
      <c r="K65" s="71">
        <f>VLOOKUP(D65,Data!$A$5:$V$197,22,FALSE)</f>
        <v>5763.293310463122</v>
      </c>
      <c r="L65" s="23">
        <f t="shared" si="38"/>
        <v>456026.11212157621</v>
      </c>
      <c r="M65" s="14">
        <f t="shared" si="39"/>
        <v>79.125959335380628</v>
      </c>
      <c r="N65" s="15">
        <f t="shared" si="40"/>
        <v>151887.04288164666</v>
      </c>
      <c r="O65" s="15">
        <f t="shared" si="41"/>
        <v>12018207.978624387</v>
      </c>
      <c r="P65" s="22">
        <f t="shared" si="42"/>
        <v>79.125959335380628</v>
      </c>
      <c r="Q65" s="31">
        <f t="shared" si="43"/>
        <v>154942.16888771608</v>
      </c>
      <c r="R65" s="31">
        <f t="shared" si="44"/>
        <v>12322316.198001724</v>
      </c>
      <c r="S65" s="32">
        <f t="shared" si="45"/>
        <v>79.528486573151653</v>
      </c>
      <c r="T65" s="31">
        <f t="shared" si="20"/>
        <v>163729.04288164666</v>
      </c>
      <c r="U65" s="7">
        <v>8000</v>
      </c>
      <c r="V65" s="37">
        <f t="shared" si="21"/>
        <v>115.35484657899752</v>
      </c>
    </row>
    <row r="66" spans="1:22">
      <c r="A66" s="47">
        <v>11842</v>
      </c>
      <c r="B66" s="21">
        <v>10000</v>
      </c>
      <c r="C66" s="47">
        <v>169904</v>
      </c>
      <c r="D66" s="13">
        <v>43435</v>
      </c>
      <c r="E66" s="16">
        <f t="shared" si="34"/>
        <v>151887.04288164666</v>
      </c>
      <c r="F66" s="16">
        <f t="shared" si="35"/>
        <v>12018207.978624387</v>
      </c>
      <c r="G66" s="14">
        <f t="shared" si="36"/>
        <v>79.125959335380628</v>
      </c>
      <c r="H66" s="46">
        <f t="shared" si="30"/>
        <v>0</v>
      </c>
      <c r="I66" s="23">
        <f t="shared" si="37"/>
        <v>0</v>
      </c>
      <c r="J66" s="22">
        <f>VLOOKUP(D66,Data!$A$5:$V$197,8,FALSE)*5.83</f>
        <v>77.50694691599999</v>
      </c>
      <c r="K66" s="71">
        <f>VLOOKUP(D66,Data!$A$5:$V$197,22,FALSE)</f>
        <v>3087.4785591766722</v>
      </c>
      <c r="L66" s="23">
        <f t="shared" si="38"/>
        <v>244299.70292227293</v>
      </c>
      <c r="M66" s="14">
        <f t="shared" si="39"/>
        <v>79.125959335380628</v>
      </c>
      <c r="N66" s="15">
        <f t="shared" si="40"/>
        <v>148799.56432246999</v>
      </c>
      <c r="O66" s="15">
        <f t="shared" si="41"/>
        <v>11773908.275702113</v>
      </c>
      <c r="P66" s="22">
        <f t="shared" si="42"/>
        <v>79.125959335380614</v>
      </c>
      <c r="Q66" s="31">
        <f t="shared" si="43"/>
        <v>154815.50310067294</v>
      </c>
      <c r="R66" s="31">
        <f t="shared" si="44"/>
        <v>12298998.202056795</v>
      </c>
      <c r="S66" s="32">
        <f t="shared" si="45"/>
        <v>79.442936629279572</v>
      </c>
      <c r="T66" s="31">
        <f t="shared" si="20"/>
        <v>160641.56432246999</v>
      </c>
      <c r="U66" s="7">
        <v>8000</v>
      </c>
      <c r="V66" s="37">
        <f t="shared" si="21"/>
        <v>113.06782542405185</v>
      </c>
    </row>
    <row r="67" spans="1:22">
      <c r="A67" s="47">
        <v>11842</v>
      </c>
      <c r="B67" s="47">
        <v>10000</v>
      </c>
      <c r="C67" s="47">
        <v>169904</v>
      </c>
      <c r="D67" s="13">
        <v>43466</v>
      </c>
      <c r="E67" s="16">
        <f t="shared" ref="E67:E90" si="46">N66</f>
        <v>148799.56432246999</v>
      </c>
      <c r="F67" s="16">
        <f t="shared" ref="F67:F90" si="47">O66</f>
        <v>11773908.275702113</v>
      </c>
      <c r="G67" s="14">
        <f t="shared" ref="G67:G90" si="48">P66</f>
        <v>79.125959335380614</v>
      </c>
      <c r="H67" s="46">
        <f t="shared" si="30"/>
        <v>0</v>
      </c>
      <c r="I67" s="74">
        <f t="shared" ref="I67:I90" si="49">H67*J67</f>
        <v>0</v>
      </c>
      <c r="J67" s="22">
        <f>VLOOKUP(D67,Data!$A$5:$V$197,8,FALSE)*5.83</f>
        <v>83.248223461435202</v>
      </c>
      <c r="K67" s="74">
        <f>VLOOKUP(D67,Data!$A$5:$V$197,22,FALSE)</f>
        <v>0</v>
      </c>
      <c r="L67" s="74">
        <f t="shared" ref="L67:L90" si="50">IF(E67+I67&gt;0,((F67+I67)/(E67+H67)*K67),0)</f>
        <v>0</v>
      </c>
      <c r="M67" s="14">
        <f t="shared" ref="M67:M90" si="51">IF(K67=0,0,L67/K67)</f>
        <v>0</v>
      </c>
      <c r="N67" s="46">
        <f t="shared" ref="N67:N90" si="52">+E67+H67-K67</f>
        <v>148799.56432246999</v>
      </c>
      <c r="O67" s="46">
        <f t="shared" ref="O67:O90" si="53">+F67+I67-L67</f>
        <v>11773908.275702113</v>
      </c>
      <c r="P67" s="22">
        <f t="shared" ref="P67:P90" si="54">IF(N67=0,0,O67/N67)</f>
        <v>79.125959335380614</v>
      </c>
      <c r="Q67" s="55">
        <f t="shared" ref="Q67:Q90" si="55">AVERAGE(N55:N67)</f>
        <v>154103.00804855523</v>
      </c>
      <c r="R67" s="55">
        <f t="shared" ref="R67:R90" si="56">AVERAGE(O55:O67)</f>
        <v>12235775.001999259</v>
      </c>
      <c r="S67" s="32">
        <f t="shared" ref="S67:S90" si="57">IF(Q67=0,0,R67/Q67)</f>
        <v>79.399975100706499</v>
      </c>
      <c r="T67" s="55">
        <f t="shared" ref="T67:T90" si="58">N67+A67</f>
        <v>160641.56432246999</v>
      </c>
      <c r="U67" s="45">
        <v>8001</v>
      </c>
      <c r="V67" s="37">
        <f t="shared" ref="V67:V90" si="59">(T67-U67)/1350</f>
        <v>113.06708468331111</v>
      </c>
    </row>
    <row r="68" spans="1:22">
      <c r="A68" s="47">
        <v>11842</v>
      </c>
      <c r="B68" s="47">
        <v>10000</v>
      </c>
      <c r="C68" s="47">
        <v>169904</v>
      </c>
      <c r="D68" s="13">
        <v>43497</v>
      </c>
      <c r="E68" s="16">
        <f t="shared" si="46"/>
        <v>148799.56432246999</v>
      </c>
      <c r="F68" s="16">
        <f t="shared" si="47"/>
        <v>11773908.275702113</v>
      </c>
      <c r="G68" s="14">
        <f t="shared" si="48"/>
        <v>79.125959335380614</v>
      </c>
      <c r="H68" s="46">
        <f t="shared" si="30"/>
        <v>0</v>
      </c>
      <c r="I68" s="74">
        <f t="shared" si="49"/>
        <v>0</v>
      </c>
      <c r="J68" s="22">
        <f>VLOOKUP(D68,Data!$A$5:$V$197,8,FALSE)*5.83</f>
        <v>85.835650543006707</v>
      </c>
      <c r="K68" s="74">
        <f>VLOOKUP(D68,Data!$A$5:$V$197,22,FALSE)</f>
        <v>0</v>
      </c>
      <c r="L68" s="74">
        <f t="shared" si="50"/>
        <v>0</v>
      </c>
      <c r="M68" s="14">
        <f t="shared" si="51"/>
        <v>0</v>
      </c>
      <c r="N68" s="46">
        <f t="shared" si="52"/>
        <v>148799.56432246999</v>
      </c>
      <c r="O68" s="46">
        <f t="shared" si="53"/>
        <v>11773908.275702113</v>
      </c>
      <c r="P68" s="22">
        <f t="shared" si="54"/>
        <v>79.125959335380614</v>
      </c>
      <c r="Q68" s="55">
        <f t="shared" si="55"/>
        <v>153390.51299643752</v>
      </c>
      <c r="R68" s="55">
        <f t="shared" si="56"/>
        <v>12172551.801941724</v>
      </c>
      <c r="S68" s="32">
        <f t="shared" si="57"/>
        <v>79.35661446170684</v>
      </c>
      <c r="T68" s="55">
        <f t="shared" si="58"/>
        <v>160641.56432246999</v>
      </c>
      <c r="U68" s="45">
        <v>8002</v>
      </c>
      <c r="V68" s="37">
        <f t="shared" si="59"/>
        <v>113.06634394257036</v>
      </c>
    </row>
    <row r="69" spans="1:22">
      <c r="A69" s="47">
        <v>11842</v>
      </c>
      <c r="B69" s="47">
        <v>10000</v>
      </c>
      <c r="C69" s="47">
        <v>169904</v>
      </c>
      <c r="D69" s="13">
        <v>43525</v>
      </c>
      <c r="E69" s="16">
        <f t="shared" si="46"/>
        <v>148799.56432246999</v>
      </c>
      <c r="F69" s="16">
        <f t="shared" si="47"/>
        <v>11773908.275702113</v>
      </c>
      <c r="G69" s="14">
        <f t="shared" si="48"/>
        <v>79.125959335380614</v>
      </c>
      <c r="H69" s="46">
        <f t="shared" si="30"/>
        <v>13790.737564322466</v>
      </c>
      <c r="I69" s="74">
        <f t="shared" si="49"/>
        <v>1239595.2470647637</v>
      </c>
      <c r="J69" s="22">
        <f>VLOOKUP(D69,Data!$A$5:$V$197,8,FALSE)*5.83</f>
        <v>89.886073263527052</v>
      </c>
      <c r="K69" s="74">
        <f>VLOOKUP(D69,Data!$A$5:$V$197,22,FALSE)</f>
        <v>4528.3018867924529</v>
      </c>
      <c r="L69" s="74">
        <f t="shared" si="50"/>
        <v>362439.03770445246</v>
      </c>
      <c r="M69" s="14">
        <f t="shared" si="51"/>
        <v>80.038620826399921</v>
      </c>
      <c r="N69" s="46">
        <f t="shared" si="52"/>
        <v>158062.00000000003</v>
      </c>
      <c r="O69" s="46">
        <f t="shared" si="53"/>
        <v>12651064.485062424</v>
      </c>
      <c r="P69" s="22">
        <f t="shared" si="54"/>
        <v>80.038620826399907</v>
      </c>
      <c r="Q69" s="55">
        <f t="shared" si="55"/>
        <v>153426.30927563005</v>
      </c>
      <c r="R69" s="55">
        <f t="shared" si="56"/>
        <v>12179654.727764113</v>
      </c>
      <c r="S69" s="32">
        <f t="shared" si="57"/>
        <v>79.384394927231085</v>
      </c>
      <c r="T69" s="55">
        <f t="shared" si="58"/>
        <v>169904.00000000003</v>
      </c>
      <c r="U69" s="45">
        <v>8003</v>
      </c>
      <c r="V69" s="37">
        <f t="shared" si="59"/>
        <v>119.92666666666669</v>
      </c>
    </row>
    <row r="70" spans="1:22">
      <c r="A70" s="47">
        <v>11842</v>
      </c>
      <c r="B70" s="47">
        <v>10000</v>
      </c>
      <c r="C70" s="47">
        <v>169904</v>
      </c>
      <c r="D70" s="13">
        <v>43556</v>
      </c>
      <c r="E70" s="16">
        <f t="shared" si="46"/>
        <v>158062.00000000003</v>
      </c>
      <c r="F70" s="16">
        <f t="shared" si="47"/>
        <v>12651064.485062424</v>
      </c>
      <c r="G70" s="14">
        <f t="shared" si="48"/>
        <v>80.038620826399907</v>
      </c>
      <c r="H70" s="46">
        <f t="shared" si="30"/>
        <v>0</v>
      </c>
      <c r="I70" s="74">
        <f t="shared" si="49"/>
        <v>0</v>
      </c>
      <c r="J70" s="22">
        <f>VLOOKUP(D70,Data!$A$5:$V$197,8,FALSE)*5.83</f>
        <v>92.219245272171108</v>
      </c>
      <c r="K70" s="74">
        <f>VLOOKUP(D70,Data!$A$5:$V$197,22,FALSE)</f>
        <v>2058.3190394511148</v>
      </c>
      <c r="L70" s="74">
        <f t="shared" si="50"/>
        <v>164745.01713838745</v>
      </c>
      <c r="M70" s="14">
        <f t="shared" si="51"/>
        <v>80.038620826399907</v>
      </c>
      <c r="N70" s="46">
        <f t="shared" si="52"/>
        <v>156003.68096054893</v>
      </c>
      <c r="O70" s="46">
        <f t="shared" si="53"/>
        <v>12486319.467924036</v>
      </c>
      <c r="P70" s="22">
        <f t="shared" si="54"/>
        <v>80.038620826399892</v>
      </c>
      <c r="Q70" s="55">
        <f t="shared" si="55"/>
        <v>153382.93943792058</v>
      </c>
      <c r="R70" s="55">
        <f t="shared" si="56"/>
        <v>12180393.632235618</v>
      </c>
      <c r="S70" s="32">
        <f t="shared" si="57"/>
        <v>79.4116586686321</v>
      </c>
      <c r="T70" s="55">
        <f t="shared" si="58"/>
        <v>167845.68096054893</v>
      </c>
      <c r="U70" s="45">
        <v>8004</v>
      </c>
      <c r="V70" s="37">
        <f t="shared" si="59"/>
        <v>118.40124515596217</v>
      </c>
    </row>
    <row r="71" spans="1:22">
      <c r="A71" s="47">
        <v>11842</v>
      </c>
      <c r="B71" s="47">
        <v>10000</v>
      </c>
      <c r="C71" s="47">
        <v>169904</v>
      </c>
      <c r="D71" s="13">
        <v>43586</v>
      </c>
      <c r="E71" s="16">
        <f t="shared" si="46"/>
        <v>156003.68096054893</v>
      </c>
      <c r="F71" s="16">
        <f t="shared" si="47"/>
        <v>12486319.467924036</v>
      </c>
      <c r="G71" s="14">
        <f t="shared" si="48"/>
        <v>80.038620826399892</v>
      </c>
      <c r="H71" s="46">
        <f t="shared" si="30"/>
        <v>0</v>
      </c>
      <c r="I71" s="74">
        <f t="shared" si="49"/>
        <v>0</v>
      </c>
      <c r="J71" s="22">
        <f>VLOOKUP(D71,Data!$A$5:$V$197,8,FALSE)*5.83</f>
        <v>91.297288495978975</v>
      </c>
      <c r="K71" s="74">
        <f>VLOOKUP(D71,Data!$A$5:$V$197,22,FALSE)</f>
        <v>1440.8233276157805</v>
      </c>
      <c r="L71" s="74">
        <f t="shared" si="50"/>
        <v>115321.51199687121</v>
      </c>
      <c r="M71" s="14">
        <f t="shared" si="51"/>
        <v>80.038620826399892</v>
      </c>
      <c r="N71" s="46">
        <f t="shared" si="52"/>
        <v>154562.85763293316</v>
      </c>
      <c r="O71" s="46">
        <f t="shared" si="53"/>
        <v>12370997.955927165</v>
      </c>
      <c r="P71" s="22">
        <f t="shared" si="54"/>
        <v>80.038620826399892</v>
      </c>
      <c r="Q71" s="55">
        <f t="shared" si="55"/>
        <v>153608.73439767782</v>
      </c>
      <c r="R71" s="55">
        <f t="shared" si="56"/>
        <v>12202543.278089596</v>
      </c>
      <c r="S71" s="32">
        <f t="shared" si="57"/>
        <v>79.43912386191802</v>
      </c>
      <c r="T71" s="55">
        <f t="shared" si="58"/>
        <v>166404.85763293316</v>
      </c>
      <c r="U71" s="45">
        <v>8005</v>
      </c>
      <c r="V71" s="37">
        <f t="shared" si="59"/>
        <v>117.33322787624678</v>
      </c>
    </row>
    <row r="72" spans="1:22">
      <c r="A72" s="47">
        <v>11842</v>
      </c>
      <c r="B72" s="47">
        <v>10000</v>
      </c>
      <c r="C72" s="47">
        <v>169904</v>
      </c>
      <c r="D72" s="13">
        <v>43617</v>
      </c>
      <c r="E72" s="16">
        <f t="shared" si="46"/>
        <v>154562.85763293316</v>
      </c>
      <c r="F72" s="16">
        <f t="shared" si="47"/>
        <v>12370997.955927165</v>
      </c>
      <c r="G72" s="14">
        <f t="shared" si="48"/>
        <v>80.038620826399892</v>
      </c>
      <c r="H72" s="46">
        <f t="shared" si="30"/>
        <v>0</v>
      </c>
      <c r="I72" s="74">
        <f t="shared" si="49"/>
        <v>0</v>
      </c>
      <c r="J72" s="22">
        <f>VLOOKUP(D72,Data!$A$5:$V$197,8,FALSE)*5.83</f>
        <v>92.048148646942678</v>
      </c>
      <c r="K72" s="74">
        <f>VLOOKUP(D72,Data!$A$5:$V$197,22,FALSE)</f>
        <v>5145.797598627787</v>
      </c>
      <c r="L72" s="74">
        <f t="shared" si="50"/>
        <v>411862.54284596856</v>
      </c>
      <c r="M72" s="14">
        <f t="shared" si="51"/>
        <v>80.038620826399892</v>
      </c>
      <c r="N72" s="46">
        <f t="shared" si="52"/>
        <v>149417.06003430538</v>
      </c>
      <c r="O72" s="46">
        <f t="shared" si="53"/>
        <v>11959135.413081197</v>
      </c>
      <c r="P72" s="22">
        <f t="shared" si="54"/>
        <v>80.038620826399892</v>
      </c>
      <c r="Q72" s="55">
        <f t="shared" si="55"/>
        <v>153533.69811320756</v>
      </c>
      <c r="R72" s="55">
        <f t="shared" si="56"/>
        <v>12200581.596608676</v>
      </c>
      <c r="S72" s="32">
        <f t="shared" si="57"/>
        <v>79.465171141859798</v>
      </c>
      <c r="T72" s="55">
        <f t="shared" si="58"/>
        <v>161259.06003430538</v>
      </c>
      <c r="U72" s="45">
        <v>8006</v>
      </c>
      <c r="V72" s="37">
        <f t="shared" si="59"/>
        <v>113.52078521059659</v>
      </c>
    </row>
    <row r="73" spans="1:22">
      <c r="A73" s="47">
        <v>11842</v>
      </c>
      <c r="B73" s="47">
        <v>10000</v>
      </c>
      <c r="C73" s="47">
        <v>169904</v>
      </c>
      <c r="D73" s="13">
        <v>43647</v>
      </c>
      <c r="E73" s="16">
        <f t="shared" si="46"/>
        <v>149417.06003430538</v>
      </c>
      <c r="F73" s="16">
        <f t="shared" si="47"/>
        <v>11959135.413081197</v>
      </c>
      <c r="G73" s="14">
        <f t="shared" si="48"/>
        <v>80.038620826399892</v>
      </c>
      <c r="H73" s="46">
        <f t="shared" si="30"/>
        <v>10703.259005145734</v>
      </c>
      <c r="I73" s="74">
        <f t="shared" si="49"/>
        <v>999716.29503500392</v>
      </c>
      <c r="J73" s="22">
        <f>VLOOKUP(D73,Data!$A$5:$V$197,8,FALSE)*5.83</f>
        <v>93.402980770097884</v>
      </c>
      <c r="K73" s="74">
        <f>VLOOKUP(D73,Data!$A$5:$V$197,22,FALSE)</f>
        <v>2058.3190394511148</v>
      </c>
      <c r="L73" s="74">
        <f t="shared" si="50"/>
        <v>166583.79998398118</v>
      </c>
      <c r="M73" s="14">
        <f t="shared" si="51"/>
        <v>80.931962825550869</v>
      </c>
      <c r="N73" s="46">
        <f t="shared" si="52"/>
        <v>158062</v>
      </c>
      <c r="O73" s="46">
        <f t="shared" si="53"/>
        <v>12792267.90813222</v>
      </c>
      <c r="P73" s="22">
        <f t="shared" si="54"/>
        <v>80.931962825550855</v>
      </c>
      <c r="Q73" s="55">
        <f t="shared" si="55"/>
        <v>153533.69811320756</v>
      </c>
      <c r="R73" s="55">
        <f t="shared" si="56"/>
        <v>12219578.923731966</v>
      </c>
      <c r="S73" s="32">
        <f t="shared" si="57"/>
        <v>79.588905067094132</v>
      </c>
      <c r="T73" s="55">
        <f t="shared" si="58"/>
        <v>169904</v>
      </c>
      <c r="U73" s="45">
        <v>8007</v>
      </c>
      <c r="V73" s="37">
        <f t="shared" si="59"/>
        <v>119.92370370370371</v>
      </c>
    </row>
    <row r="74" spans="1:22">
      <c r="A74" s="47">
        <v>11842</v>
      </c>
      <c r="B74" s="47">
        <v>10000</v>
      </c>
      <c r="C74" s="47">
        <v>169904</v>
      </c>
      <c r="D74" s="13">
        <v>43678</v>
      </c>
      <c r="E74" s="16">
        <f t="shared" si="46"/>
        <v>158062</v>
      </c>
      <c r="F74" s="16">
        <f t="shared" si="47"/>
        <v>12792267.90813222</v>
      </c>
      <c r="G74" s="14">
        <f t="shared" si="48"/>
        <v>80.931962825550855</v>
      </c>
      <c r="H74" s="46">
        <f t="shared" si="30"/>
        <v>0</v>
      </c>
      <c r="I74" s="74">
        <f t="shared" si="49"/>
        <v>0</v>
      </c>
      <c r="J74" s="22">
        <f>VLOOKUP(D74,Data!$A$5:$V$197,8,FALSE)*5.83</f>
        <v>92.508241899884936</v>
      </c>
      <c r="K74" s="74">
        <f>VLOOKUP(D74,Data!$A$5:$V$197,22,FALSE)</f>
        <v>3499.1423670668955</v>
      </c>
      <c r="L74" s="74">
        <f t="shared" si="50"/>
        <v>283192.45997276803</v>
      </c>
      <c r="M74" s="14">
        <f t="shared" si="51"/>
        <v>80.931962825550855</v>
      </c>
      <c r="N74" s="46">
        <f t="shared" si="52"/>
        <v>154562.8576329331</v>
      </c>
      <c r="O74" s="46">
        <f t="shared" si="53"/>
        <v>12509075.448159453</v>
      </c>
      <c r="P74" s="22">
        <f t="shared" si="54"/>
        <v>80.931962825550869</v>
      </c>
      <c r="Q74" s="55">
        <f t="shared" si="55"/>
        <v>153502.03166644677</v>
      </c>
      <c r="R74" s="55">
        <f t="shared" si="56"/>
        <v>12235642.3419408</v>
      </c>
      <c r="S74" s="32">
        <f t="shared" si="57"/>
        <v>79.709970018692118</v>
      </c>
      <c r="T74" s="55">
        <f t="shared" si="58"/>
        <v>166404.8576329331</v>
      </c>
      <c r="U74" s="45">
        <v>8008</v>
      </c>
      <c r="V74" s="37">
        <f t="shared" si="59"/>
        <v>117.33100565402452</v>
      </c>
    </row>
    <row r="75" spans="1:22">
      <c r="A75" s="47">
        <v>11842</v>
      </c>
      <c r="B75" s="47">
        <v>10000</v>
      </c>
      <c r="C75" s="47">
        <v>169904</v>
      </c>
      <c r="D75" s="13">
        <v>43709</v>
      </c>
      <c r="E75" s="16">
        <f t="shared" si="46"/>
        <v>154562.8576329331</v>
      </c>
      <c r="F75" s="16">
        <f t="shared" si="47"/>
        <v>12509075.448159453</v>
      </c>
      <c r="G75" s="14">
        <f t="shared" si="48"/>
        <v>80.931962825550869</v>
      </c>
      <c r="H75" s="46">
        <f t="shared" si="30"/>
        <v>0</v>
      </c>
      <c r="I75" s="74">
        <f t="shared" si="49"/>
        <v>0</v>
      </c>
      <c r="J75" s="22">
        <f>VLOOKUP(D75,Data!$A$5:$V$197,8,FALSE)*5.83</f>
        <v>92.085501350432793</v>
      </c>
      <c r="K75" s="74">
        <f>VLOOKUP(D75,Data!$A$5:$V$197,22,FALSE)</f>
        <v>617.49571183533442</v>
      </c>
      <c r="L75" s="74">
        <f t="shared" si="50"/>
        <v>49975.13999519436</v>
      </c>
      <c r="M75" s="14">
        <f t="shared" si="51"/>
        <v>80.931962825550869</v>
      </c>
      <c r="N75" s="46">
        <f t="shared" si="52"/>
        <v>153945.36192109776</v>
      </c>
      <c r="O75" s="46">
        <f t="shared" si="53"/>
        <v>12459100.308164258</v>
      </c>
      <c r="P75" s="22">
        <f t="shared" si="54"/>
        <v>80.931962825550869</v>
      </c>
      <c r="Q75" s="55">
        <f t="shared" si="55"/>
        <v>153739.53001715269</v>
      </c>
      <c r="R75" s="55">
        <f t="shared" si="56"/>
        <v>12272995.020568954</v>
      </c>
      <c r="S75" s="32">
        <f t="shared" si="57"/>
        <v>79.829794062721916</v>
      </c>
      <c r="T75" s="55">
        <f t="shared" si="58"/>
        <v>165787.36192109776</v>
      </c>
      <c r="U75" s="45">
        <v>8009</v>
      </c>
      <c r="V75" s="37">
        <f t="shared" si="59"/>
        <v>116.87286068229464</v>
      </c>
    </row>
    <row r="76" spans="1:22">
      <c r="A76" s="47">
        <v>11842</v>
      </c>
      <c r="B76" s="47">
        <v>10000</v>
      </c>
      <c r="C76" s="47">
        <v>169904</v>
      </c>
      <c r="D76" s="13">
        <v>43739</v>
      </c>
      <c r="E76" s="16">
        <f t="shared" si="46"/>
        <v>153945.36192109776</v>
      </c>
      <c r="F76" s="16">
        <f t="shared" si="47"/>
        <v>12459100.308164258</v>
      </c>
      <c r="G76" s="14">
        <f t="shared" si="48"/>
        <v>80.931962825550869</v>
      </c>
      <c r="H76" s="46">
        <f t="shared" si="30"/>
        <v>0</v>
      </c>
      <c r="I76" s="74">
        <f t="shared" si="49"/>
        <v>0</v>
      </c>
      <c r="J76" s="22">
        <f>VLOOKUP(D76,Data!$A$5:$V$197,8,FALSE)*5.83</f>
        <v>90.953590515760666</v>
      </c>
      <c r="K76" s="74">
        <f>VLOOKUP(D76,Data!$A$5:$V$197,22,FALSE)</f>
        <v>823.32761578044597</v>
      </c>
      <c r="L76" s="74">
        <f t="shared" si="50"/>
        <v>66633.519993592476</v>
      </c>
      <c r="M76" s="14">
        <f t="shared" si="51"/>
        <v>80.931962825550855</v>
      </c>
      <c r="N76" s="46">
        <f t="shared" si="52"/>
        <v>153122.03430531733</v>
      </c>
      <c r="O76" s="46">
        <f t="shared" si="53"/>
        <v>12392466.788170666</v>
      </c>
      <c r="P76" s="22">
        <f t="shared" si="54"/>
        <v>80.931962825550855</v>
      </c>
      <c r="Q76" s="55">
        <f t="shared" si="55"/>
        <v>153359.53265602325</v>
      </c>
      <c r="R76" s="55">
        <f t="shared" si="56"/>
        <v>12264199.590084471</v>
      </c>
      <c r="S76" s="32">
        <f t="shared" si="57"/>
        <v>79.97024624215814</v>
      </c>
      <c r="T76" s="55">
        <f t="shared" si="58"/>
        <v>164964.03430531733</v>
      </c>
      <c r="U76" s="45">
        <v>8010</v>
      </c>
      <c r="V76" s="37">
        <f t="shared" si="59"/>
        <v>116.26224763356839</v>
      </c>
    </row>
    <row r="77" spans="1:22">
      <c r="A77" s="47">
        <v>11842</v>
      </c>
      <c r="B77" s="47">
        <v>10000</v>
      </c>
      <c r="C77" s="47">
        <v>169904</v>
      </c>
      <c r="D77" s="13">
        <v>43770</v>
      </c>
      <c r="E77" s="16">
        <f t="shared" si="46"/>
        <v>153122.03430531733</v>
      </c>
      <c r="F77" s="16">
        <f t="shared" si="47"/>
        <v>12392466.788170666</v>
      </c>
      <c r="G77" s="14">
        <f t="shared" si="48"/>
        <v>80.931962825550855</v>
      </c>
      <c r="H77" s="46">
        <f t="shared" si="30"/>
        <v>12212.692967409945</v>
      </c>
      <c r="I77" s="74">
        <f t="shared" si="49"/>
        <v>1106035.7098099696</v>
      </c>
      <c r="J77" s="22">
        <f>VLOOKUP(D77,Data!$A$5:$V$197,8,FALSE)*5.83</f>
        <v>90.564440845395012</v>
      </c>
      <c r="K77" s="74">
        <f>VLOOKUP(D77,Data!$A$5:$V$197,22,FALSE)</f>
        <v>7272.727272727273</v>
      </c>
      <c r="L77" s="74">
        <f t="shared" si="50"/>
        <v>593770.76357408881</v>
      </c>
      <c r="M77" s="14">
        <f t="shared" si="51"/>
        <v>81.643479991437204</v>
      </c>
      <c r="N77" s="46">
        <f t="shared" si="52"/>
        <v>158062</v>
      </c>
      <c r="O77" s="46">
        <f t="shared" si="53"/>
        <v>12904731.734406548</v>
      </c>
      <c r="P77" s="22">
        <f t="shared" si="54"/>
        <v>81.643479991437204</v>
      </c>
      <c r="Q77" s="55">
        <f t="shared" si="55"/>
        <v>153391.19910278401</v>
      </c>
      <c r="R77" s="55">
        <f t="shared" si="56"/>
        <v>12297314.793442978</v>
      </c>
      <c r="S77" s="32">
        <f t="shared" si="57"/>
        <v>80.169624237716675</v>
      </c>
      <c r="T77" s="55">
        <f t="shared" si="58"/>
        <v>169904</v>
      </c>
      <c r="U77" s="45">
        <v>8011</v>
      </c>
      <c r="V77" s="37">
        <f t="shared" si="59"/>
        <v>119.92074074074074</v>
      </c>
    </row>
    <row r="78" spans="1:22">
      <c r="A78" s="47">
        <v>11842</v>
      </c>
      <c r="B78" s="47">
        <v>10000</v>
      </c>
      <c r="C78" s="47">
        <v>169904</v>
      </c>
      <c r="D78" s="13">
        <v>43800</v>
      </c>
      <c r="E78" s="16">
        <f t="shared" si="46"/>
        <v>158062</v>
      </c>
      <c r="F78" s="16">
        <f t="shared" si="47"/>
        <v>12904731.734406548</v>
      </c>
      <c r="G78" s="14">
        <f t="shared" si="48"/>
        <v>81.643479991437204</v>
      </c>
      <c r="H78" s="46">
        <f t="shared" si="30"/>
        <v>0</v>
      </c>
      <c r="I78" s="74">
        <f t="shared" si="49"/>
        <v>0</v>
      </c>
      <c r="J78" s="22">
        <f>VLOOKUP(D78,Data!$A$5:$V$197,8,FALSE)*5.83</f>
        <v>87.699479636351342</v>
      </c>
      <c r="K78" s="74">
        <f>VLOOKUP(D78,Data!$A$5:$V$197,22,FALSE)</f>
        <v>5969.1252144082328</v>
      </c>
      <c r="L78" s="74">
        <f t="shared" si="50"/>
        <v>487340.15500892187</v>
      </c>
      <c r="M78" s="14">
        <f t="shared" si="51"/>
        <v>81.643479991437204</v>
      </c>
      <c r="N78" s="46">
        <f t="shared" si="52"/>
        <v>152092.87478559176</v>
      </c>
      <c r="O78" s="46">
        <f t="shared" si="53"/>
        <v>12417391.579397626</v>
      </c>
      <c r="P78" s="22">
        <f t="shared" si="54"/>
        <v>81.643479991437218</v>
      </c>
      <c r="Q78" s="55">
        <f t="shared" si="55"/>
        <v>153407.03232616445</v>
      </c>
      <c r="R78" s="55">
        <f t="shared" si="56"/>
        <v>12328021.224271689</v>
      </c>
      <c r="S78" s="32">
        <f t="shared" si="57"/>
        <v>80.361513011089471</v>
      </c>
      <c r="T78" s="55">
        <f t="shared" si="58"/>
        <v>163934.87478559176</v>
      </c>
      <c r="U78" s="45">
        <v>8012</v>
      </c>
      <c r="V78" s="37">
        <f t="shared" si="59"/>
        <v>115.498425767105</v>
      </c>
    </row>
    <row r="79" spans="1:22">
      <c r="A79" s="47">
        <v>11842</v>
      </c>
      <c r="B79" s="47">
        <v>10000</v>
      </c>
      <c r="C79" s="47">
        <v>169904</v>
      </c>
      <c r="D79" s="13">
        <v>43831</v>
      </c>
      <c r="E79" s="16">
        <f t="shared" si="46"/>
        <v>152092.87478559176</v>
      </c>
      <c r="F79" s="16">
        <f t="shared" si="47"/>
        <v>12417391.579397626</v>
      </c>
      <c r="G79" s="14">
        <f t="shared" si="48"/>
        <v>81.643479991437218</v>
      </c>
      <c r="H79" s="46">
        <f t="shared" si="30"/>
        <v>0</v>
      </c>
      <c r="I79" s="74">
        <f t="shared" si="49"/>
        <v>0</v>
      </c>
      <c r="J79" s="22">
        <f>VLOOKUP(D79,Data!$A$5:$V$197,8,FALSE)*5.83</f>
        <v>86.694828171209409</v>
      </c>
      <c r="K79" s="74">
        <f>VLOOKUP(D79,Data!$A$5:$V$197,22,FALSE)</f>
        <v>255.40308747855917</v>
      </c>
      <c r="L79" s="74">
        <f t="shared" si="50"/>
        <v>20851.996862307034</v>
      </c>
      <c r="M79" s="14">
        <f t="shared" si="51"/>
        <v>81.643479991437218</v>
      </c>
      <c r="N79" s="46">
        <f t="shared" si="52"/>
        <v>151837.47169811319</v>
      </c>
      <c r="O79" s="46">
        <f t="shared" si="53"/>
        <v>12396539.582535319</v>
      </c>
      <c r="P79" s="22">
        <f t="shared" si="54"/>
        <v>81.643479991437218</v>
      </c>
      <c r="Q79" s="55">
        <f t="shared" si="55"/>
        <v>153640.71750890624</v>
      </c>
      <c r="R79" s="55">
        <f t="shared" si="56"/>
        <v>12375915.940181933</v>
      </c>
      <c r="S79" s="32">
        <f t="shared" si="57"/>
        <v>80.551016298557229</v>
      </c>
      <c r="T79" s="55">
        <f t="shared" si="58"/>
        <v>163679.47169811319</v>
      </c>
      <c r="U79" s="45">
        <v>8013</v>
      </c>
      <c r="V79" s="37">
        <f t="shared" si="59"/>
        <v>115.30849755415792</v>
      </c>
    </row>
    <row r="80" spans="1:22">
      <c r="A80" s="47">
        <v>11842</v>
      </c>
      <c r="B80" s="47">
        <v>10000</v>
      </c>
      <c r="C80" s="47">
        <v>169904</v>
      </c>
      <c r="D80" s="13">
        <v>43862</v>
      </c>
      <c r="E80" s="16">
        <f t="shared" si="46"/>
        <v>151837.47169811319</v>
      </c>
      <c r="F80" s="16">
        <f t="shared" si="47"/>
        <v>12396539.582535319</v>
      </c>
      <c r="G80" s="14">
        <f t="shared" si="48"/>
        <v>81.643479991437218</v>
      </c>
      <c r="H80" s="46">
        <f t="shared" si="30"/>
        <v>0</v>
      </c>
      <c r="I80" s="74">
        <f t="shared" si="49"/>
        <v>0</v>
      </c>
      <c r="J80" s="22">
        <f>VLOOKUP(D80,Data!$A$5:$V$197,8,FALSE)*5.83</f>
        <v>89.40389939053739</v>
      </c>
      <c r="K80" s="74">
        <f>VLOOKUP(D80,Data!$A$5:$V$197,22,FALSE)</f>
        <v>0</v>
      </c>
      <c r="L80" s="74">
        <f t="shared" si="50"/>
        <v>0</v>
      </c>
      <c r="M80" s="14">
        <f t="shared" si="51"/>
        <v>0</v>
      </c>
      <c r="N80" s="46">
        <f t="shared" si="52"/>
        <v>151837.47169811319</v>
      </c>
      <c r="O80" s="46">
        <f t="shared" si="53"/>
        <v>12396539.582535319</v>
      </c>
      <c r="P80" s="22">
        <f t="shared" si="54"/>
        <v>81.643479991437218</v>
      </c>
      <c r="Q80" s="55">
        <f t="shared" si="55"/>
        <v>153874.40269164802</v>
      </c>
      <c r="R80" s="55">
        <f t="shared" si="56"/>
        <v>12423810.65609218</v>
      </c>
      <c r="S80" s="32">
        <f t="shared" si="57"/>
        <v>80.739943998278264</v>
      </c>
      <c r="T80" s="55">
        <f t="shared" si="58"/>
        <v>163679.47169811319</v>
      </c>
      <c r="U80" s="45">
        <v>8014</v>
      </c>
      <c r="V80" s="37">
        <f t="shared" si="59"/>
        <v>115.30775681341719</v>
      </c>
    </row>
    <row r="81" spans="1:22">
      <c r="A81" s="47">
        <v>11842</v>
      </c>
      <c r="B81" s="47">
        <v>10000</v>
      </c>
      <c r="C81" s="47">
        <v>169904</v>
      </c>
      <c r="D81" s="13">
        <v>43891</v>
      </c>
      <c r="E81" s="16">
        <f t="shared" si="46"/>
        <v>151837.47169811319</v>
      </c>
      <c r="F81" s="16">
        <f t="shared" si="47"/>
        <v>12396539.582535319</v>
      </c>
      <c r="G81" s="14">
        <f t="shared" si="48"/>
        <v>81.643479991437218</v>
      </c>
      <c r="H81" s="46">
        <f t="shared" si="30"/>
        <v>11987.82161234993</v>
      </c>
      <c r="I81" s="74">
        <f t="shared" si="49"/>
        <v>1122596.5204163117</v>
      </c>
      <c r="J81" s="22">
        <f>VLOOKUP(D81,Data!$A$5:$V$197,8,FALSE)*5.83</f>
        <v>93.64474687042437</v>
      </c>
      <c r="K81" s="74">
        <f>VLOOKUP(D81,Data!$A$5:$V$197,22,FALSE)</f>
        <v>5763.293310463122</v>
      </c>
      <c r="L81" s="74">
        <f t="shared" si="50"/>
        <v>475596.56443114934</v>
      </c>
      <c r="M81" s="14">
        <f t="shared" si="51"/>
        <v>82.521665792666681</v>
      </c>
      <c r="N81" s="46">
        <f t="shared" si="52"/>
        <v>158062.00000000003</v>
      </c>
      <c r="O81" s="46">
        <f t="shared" si="53"/>
        <v>13043539.538520481</v>
      </c>
      <c r="P81" s="22">
        <f t="shared" si="54"/>
        <v>82.521665792666667</v>
      </c>
      <c r="Q81" s="55">
        <f t="shared" si="55"/>
        <v>154586.8977437657</v>
      </c>
      <c r="R81" s="55">
        <f t="shared" si="56"/>
        <v>12521474.5993859</v>
      </c>
      <c r="S81" s="32">
        <f t="shared" si="57"/>
        <v>80.999585230960335</v>
      </c>
      <c r="T81" s="55">
        <f t="shared" si="58"/>
        <v>169904.00000000003</v>
      </c>
      <c r="U81" s="45">
        <v>8015</v>
      </c>
      <c r="V81" s="37">
        <f t="shared" si="59"/>
        <v>119.9177777777778</v>
      </c>
    </row>
    <row r="82" spans="1:22">
      <c r="A82" s="47">
        <v>11842</v>
      </c>
      <c r="B82" s="47">
        <v>10000</v>
      </c>
      <c r="C82" s="47">
        <v>169904</v>
      </c>
      <c r="D82" s="13">
        <v>43922</v>
      </c>
      <c r="E82" s="16">
        <f t="shared" si="46"/>
        <v>158062.00000000003</v>
      </c>
      <c r="F82" s="16">
        <f t="shared" si="47"/>
        <v>13043539.538520481</v>
      </c>
      <c r="G82" s="14">
        <f t="shared" si="48"/>
        <v>82.521665792666667</v>
      </c>
      <c r="H82" s="46">
        <f t="shared" si="30"/>
        <v>0</v>
      </c>
      <c r="I82" s="74">
        <f t="shared" si="49"/>
        <v>0</v>
      </c>
      <c r="J82" s="22">
        <f>VLOOKUP(D82,Data!$A$5:$V$197,8,FALSE)*5.83</f>
        <v>96.087609582721697</v>
      </c>
      <c r="K82" s="74">
        <f>VLOOKUP(D82,Data!$A$5:$V$197,22,FALSE)</f>
        <v>5351.6295025728987</v>
      </c>
      <c r="L82" s="74">
        <f t="shared" si="50"/>
        <v>441625.38125749573</v>
      </c>
      <c r="M82" s="14">
        <f t="shared" si="51"/>
        <v>82.521665792666667</v>
      </c>
      <c r="N82" s="46">
        <f t="shared" si="52"/>
        <v>152710.37049742712</v>
      </c>
      <c r="O82" s="46">
        <f t="shared" si="53"/>
        <v>12601914.157262987</v>
      </c>
      <c r="P82" s="22">
        <f t="shared" si="54"/>
        <v>82.521665792666681</v>
      </c>
      <c r="Q82" s="55">
        <f t="shared" si="55"/>
        <v>154175.23393587547</v>
      </c>
      <c r="R82" s="55">
        <f t="shared" si="56"/>
        <v>12517693.80493979</v>
      </c>
      <c r="S82" s="32">
        <f t="shared" si="57"/>
        <v>81.191339785131419</v>
      </c>
      <c r="T82" s="55">
        <f t="shared" si="58"/>
        <v>164552.37049742712</v>
      </c>
      <c r="U82" s="45">
        <v>8016</v>
      </c>
      <c r="V82" s="37">
        <f t="shared" si="59"/>
        <v>115.95286703513121</v>
      </c>
    </row>
    <row r="83" spans="1:22">
      <c r="A83" s="47">
        <v>11842</v>
      </c>
      <c r="B83" s="47">
        <v>10000</v>
      </c>
      <c r="C83" s="47">
        <v>169904</v>
      </c>
      <c r="D83" s="13">
        <v>43952</v>
      </c>
      <c r="E83" s="16">
        <f t="shared" si="46"/>
        <v>152710.37049742712</v>
      </c>
      <c r="F83" s="16">
        <f t="shared" si="47"/>
        <v>12601914.157262987</v>
      </c>
      <c r="G83" s="14">
        <f t="shared" si="48"/>
        <v>82.521665792666681</v>
      </c>
      <c r="H83" s="46">
        <f t="shared" si="30"/>
        <v>0</v>
      </c>
      <c r="I83" s="74">
        <f t="shared" si="49"/>
        <v>0</v>
      </c>
      <c r="J83" s="22">
        <f>VLOOKUP(D83,Data!$A$5:$V$197,8,FALSE)*5.83</f>
        <v>95.122308343650815</v>
      </c>
      <c r="K83" s="74">
        <f>VLOOKUP(D83,Data!$A$5:$V$197,22,FALSE)</f>
        <v>4391.0806174957115</v>
      </c>
      <c r="L83" s="74">
        <f t="shared" si="50"/>
        <v>362359.28718563757</v>
      </c>
      <c r="M83" s="14">
        <f t="shared" si="51"/>
        <v>82.521665792666681</v>
      </c>
      <c r="N83" s="46">
        <f t="shared" si="52"/>
        <v>148319.2898799314</v>
      </c>
      <c r="O83" s="46">
        <f t="shared" si="53"/>
        <v>12239554.870077349</v>
      </c>
      <c r="P83" s="22">
        <f t="shared" si="54"/>
        <v>82.521665792666681</v>
      </c>
      <c r="Q83" s="55">
        <f t="shared" si="55"/>
        <v>153584.12692967412</v>
      </c>
      <c r="R83" s="55">
        <f t="shared" si="56"/>
        <v>12498711.912797738</v>
      </c>
      <c r="S83" s="32">
        <f t="shared" si="57"/>
        <v>81.380232206684184</v>
      </c>
      <c r="T83" s="55">
        <f t="shared" si="58"/>
        <v>160161.2898799314</v>
      </c>
      <c r="U83" s="45">
        <v>8017</v>
      </c>
      <c r="V83" s="37">
        <f t="shared" si="59"/>
        <v>112.69947398513438</v>
      </c>
    </row>
    <row r="84" spans="1:22">
      <c r="A84" s="47">
        <v>11842</v>
      </c>
      <c r="B84" s="47">
        <v>10000</v>
      </c>
      <c r="C84" s="47">
        <v>169904</v>
      </c>
      <c r="D84" s="13">
        <v>43983</v>
      </c>
      <c r="E84" s="16">
        <f t="shared" si="46"/>
        <v>148319.2898799314</v>
      </c>
      <c r="F84" s="16">
        <f t="shared" si="47"/>
        <v>12239554.870077349</v>
      </c>
      <c r="G84" s="14">
        <f t="shared" si="48"/>
        <v>82.521665792666681</v>
      </c>
      <c r="H84" s="46">
        <f t="shared" si="30"/>
        <v>0</v>
      </c>
      <c r="I84" s="74">
        <f t="shared" si="49"/>
        <v>0</v>
      </c>
      <c r="J84" s="22">
        <f>VLOOKUP(D84,Data!$A$5:$V$197,8,FALSE)*5.83</f>
        <v>95.908469097398736</v>
      </c>
      <c r="K84" s="74">
        <f>VLOOKUP(D84,Data!$A$5:$V$197,22,FALSE)</f>
        <v>0</v>
      </c>
      <c r="L84" s="74">
        <f t="shared" si="50"/>
        <v>0</v>
      </c>
      <c r="M84" s="14">
        <f t="shared" si="51"/>
        <v>0</v>
      </c>
      <c r="N84" s="46">
        <f t="shared" si="52"/>
        <v>148319.2898799314</v>
      </c>
      <c r="O84" s="46">
        <f t="shared" si="53"/>
        <v>12239554.870077349</v>
      </c>
      <c r="P84" s="22">
        <f t="shared" si="54"/>
        <v>82.521665792666681</v>
      </c>
      <c r="Q84" s="55">
        <f t="shared" si="55"/>
        <v>153103.8524871355</v>
      </c>
      <c r="R84" s="55">
        <f t="shared" si="56"/>
        <v>12488600.906193905</v>
      </c>
      <c r="S84" s="32">
        <f t="shared" si="57"/>
        <v>81.569475250423594</v>
      </c>
      <c r="T84" s="55">
        <f t="shared" si="58"/>
        <v>160161.2898799314</v>
      </c>
      <c r="U84" s="45">
        <v>8018</v>
      </c>
      <c r="V84" s="37">
        <f t="shared" si="59"/>
        <v>112.69873324439362</v>
      </c>
    </row>
    <row r="85" spans="1:22">
      <c r="A85" s="47">
        <v>11842</v>
      </c>
      <c r="B85" s="47">
        <v>10000</v>
      </c>
      <c r="C85" s="47">
        <v>169904</v>
      </c>
      <c r="D85" s="13">
        <v>44013</v>
      </c>
      <c r="E85" s="16">
        <f t="shared" si="46"/>
        <v>148319.2898799314</v>
      </c>
      <c r="F85" s="16">
        <f t="shared" si="47"/>
        <v>12239554.870077349</v>
      </c>
      <c r="G85" s="14">
        <f t="shared" si="48"/>
        <v>82.521665792666681</v>
      </c>
      <c r="H85" s="46">
        <f t="shared" si="30"/>
        <v>11801.029159519716</v>
      </c>
      <c r="I85" s="74">
        <f t="shared" si="49"/>
        <v>1148558.7259599755</v>
      </c>
      <c r="J85" s="22">
        <f>VLOOKUP(D85,Data!$A$5:$V$197,8,FALSE)*5.83</f>
        <v>97.326996691085213</v>
      </c>
      <c r="K85" s="74">
        <f>VLOOKUP(D85,Data!$A$5:$V$197,22,FALSE)</f>
        <v>2058.3190394511148</v>
      </c>
      <c r="L85" s="74">
        <f t="shared" si="50"/>
        <v>172101.88739549255</v>
      </c>
      <c r="M85" s="14">
        <f t="shared" si="51"/>
        <v>83.612833626310135</v>
      </c>
      <c r="N85" s="46">
        <f t="shared" si="52"/>
        <v>158062</v>
      </c>
      <c r="O85" s="46">
        <f t="shared" si="53"/>
        <v>13216011.708641833</v>
      </c>
      <c r="P85" s="22">
        <f t="shared" si="54"/>
        <v>83.612833626310135</v>
      </c>
      <c r="Q85" s="55">
        <f t="shared" si="55"/>
        <v>153768.84786911201</v>
      </c>
      <c r="R85" s="55">
        <f t="shared" si="56"/>
        <v>12585283.698160108</v>
      </c>
      <c r="S85" s="32">
        <f t="shared" si="57"/>
        <v>81.84547047444029</v>
      </c>
      <c r="T85" s="55">
        <f t="shared" si="58"/>
        <v>169904</v>
      </c>
      <c r="U85" s="45">
        <v>8019</v>
      </c>
      <c r="V85" s="37">
        <f t="shared" si="59"/>
        <v>119.91481481481482</v>
      </c>
    </row>
    <row r="86" spans="1:22">
      <c r="A86" s="47">
        <v>11842</v>
      </c>
      <c r="B86" s="47">
        <v>10000</v>
      </c>
      <c r="C86" s="47">
        <v>169904</v>
      </c>
      <c r="D86" s="13">
        <v>44044</v>
      </c>
      <c r="E86" s="16">
        <f t="shared" si="46"/>
        <v>158062</v>
      </c>
      <c r="F86" s="16">
        <f t="shared" si="47"/>
        <v>13216011.708641833</v>
      </c>
      <c r="G86" s="14">
        <f t="shared" si="48"/>
        <v>83.612833626310135</v>
      </c>
      <c r="H86" s="46">
        <f t="shared" si="30"/>
        <v>0</v>
      </c>
      <c r="I86" s="74">
        <f t="shared" si="49"/>
        <v>0</v>
      </c>
      <c r="J86" s="22">
        <f>VLOOKUP(D86,Data!$A$5:$V$197,8,FALSE)*5.83</f>
        <v>96.390192968432771</v>
      </c>
      <c r="K86" s="74">
        <f>VLOOKUP(D86,Data!$A$5:$V$197,22,FALSE)</f>
        <v>205.83190394511149</v>
      </c>
      <c r="L86" s="74">
        <f t="shared" si="50"/>
        <v>17210.188739549256</v>
      </c>
      <c r="M86" s="14">
        <f t="shared" si="51"/>
        <v>83.612833626310135</v>
      </c>
      <c r="N86" s="46">
        <f t="shared" si="52"/>
        <v>157856.1680960549</v>
      </c>
      <c r="O86" s="46">
        <f t="shared" si="53"/>
        <v>13198801.519902283</v>
      </c>
      <c r="P86" s="22">
        <f t="shared" si="54"/>
        <v>83.612833626310135</v>
      </c>
      <c r="Q86" s="55">
        <f t="shared" si="55"/>
        <v>153753.0146457316</v>
      </c>
      <c r="R86" s="55">
        <f t="shared" si="56"/>
        <v>12616555.514450112</v>
      </c>
      <c r="S86" s="32">
        <f t="shared" si="57"/>
        <v>82.057288720617393</v>
      </c>
      <c r="T86" s="55">
        <f t="shared" si="58"/>
        <v>169698.1680960549</v>
      </c>
      <c r="U86" s="45">
        <v>8020</v>
      </c>
      <c r="V86" s="37">
        <f t="shared" si="59"/>
        <v>119.76160599707771</v>
      </c>
    </row>
    <row r="87" spans="1:22">
      <c r="A87" s="47">
        <v>11842</v>
      </c>
      <c r="B87" s="47">
        <v>10000</v>
      </c>
      <c r="C87" s="47">
        <v>169904</v>
      </c>
      <c r="D87" s="13">
        <v>44075</v>
      </c>
      <c r="E87" s="16">
        <f t="shared" si="46"/>
        <v>157856.1680960549</v>
      </c>
      <c r="F87" s="16">
        <f t="shared" si="47"/>
        <v>13198801.519902283</v>
      </c>
      <c r="G87" s="14">
        <f t="shared" si="48"/>
        <v>83.612833626310135</v>
      </c>
      <c r="H87" s="46">
        <f t="shared" si="30"/>
        <v>0</v>
      </c>
      <c r="I87" s="74">
        <f t="shared" si="49"/>
        <v>0</v>
      </c>
      <c r="J87" s="22">
        <f>VLOOKUP(D87,Data!$A$5:$V$197,8,FALSE)*5.83</f>
        <v>95.947577884158335</v>
      </c>
      <c r="K87" s="74">
        <f>VLOOKUP(D87,Data!$A$5:$V$197,22,FALSE)</f>
        <v>3293.3104631217839</v>
      </c>
      <c r="L87" s="74">
        <f t="shared" si="50"/>
        <v>275363.01983278809</v>
      </c>
      <c r="M87" s="14">
        <f t="shared" si="51"/>
        <v>83.612833626310135</v>
      </c>
      <c r="N87" s="46">
        <f t="shared" si="52"/>
        <v>154562.85763293313</v>
      </c>
      <c r="O87" s="46">
        <f t="shared" si="53"/>
        <v>12923438.500069495</v>
      </c>
      <c r="P87" s="22">
        <f t="shared" si="54"/>
        <v>83.61283362631012</v>
      </c>
      <c r="Q87" s="55">
        <f t="shared" si="55"/>
        <v>153753.01464573163</v>
      </c>
      <c r="R87" s="55">
        <f t="shared" si="56"/>
        <v>12648429.595366269</v>
      </c>
      <c r="S87" s="32">
        <f t="shared" si="57"/>
        <v>82.264595751244386</v>
      </c>
      <c r="T87" s="55">
        <f t="shared" si="58"/>
        <v>166404.85763293313</v>
      </c>
      <c r="U87" s="45">
        <v>8021</v>
      </c>
      <c r="V87" s="37">
        <f t="shared" si="59"/>
        <v>117.32137602439491</v>
      </c>
    </row>
    <row r="88" spans="1:22">
      <c r="A88" s="47">
        <v>11842</v>
      </c>
      <c r="B88" s="47">
        <v>10000</v>
      </c>
      <c r="C88" s="47">
        <v>169904</v>
      </c>
      <c r="D88" s="13">
        <v>44105</v>
      </c>
      <c r="E88" s="16">
        <f t="shared" si="46"/>
        <v>154562.85763293313</v>
      </c>
      <c r="F88" s="16">
        <f t="shared" si="47"/>
        <v>12923438.500069495</v>
      </c>
      <c r="G88" s="14">
        <f t="shared" si="48"/>
        <v>83.61283362631012</v>
      </c>
      <c r="H88" s="46">
        <f t="shared" si="30"/>
        <v>0</v>
      </c>
      <c r="I88" s="74">
        <f t="shared" si="49"/>
        <v>0</v>
      </c>
      <c r="J88" s="22">
        <f>VLOOKUP(D88,Data!$A$5:$V$197,8,FALSE)*5.83</f>
        <v>94.762451900552492</v>
      </c>
      <c r="K88" s="74">
        <f>VLOOKUP(D88,Data!$A$5:$V$197,22,FALSE)</f>
        <v>1852.4871355060034</v>
      </c>
      <c r="L88" s="74">
        <f t="shared" si="50"/>
        <v>154891.69865594327</v>
      </c>
      <c r="M88" s="14">
        <f t="shared" si="51"/>
        <v>83.61283362631012</v>
      </c>
      <c r="N88" s="46">
        <f t="shared" si="52"/>
        <v>152710.37049742712</v>
      </c>
      <c r="O88" s="46">
        <f t="shared" si="53"/>
        <v>12768546.801413553</v>
      </c>
      <c r="P88" s="22">
        <f t="shared" si="54"/>
        <v>83.612833626310135</v>
      </c>
      <c r="Q88" s="55">
        <f t="shared" si="55"/>
        <v>153658.01530544928</v>
      </c>
      <c r="R88" s="55">
        <f t="shared" si="56"/>
        <v>12672233.171770062</v>
      </c>
      <c r="S88" s="32">
        <f t="shared" si="57"/>
        <v>82.470368672792944</v>
      </c>
      <c r="T88" s="55">
        <f t="shared" si="58"/>
        <v>164552.37049742712</v>
      </c>
      <c r="U88" s="45">
        <v>8022</v>
      </c>
      <c r="V88" s="37">
        <f t="shared" si="59"/>
        <v>115.94842259068676</v>
      </c>
    </row>
    <row r="89" spans="1:22">
      <c r="A89" s="47">
        <v>11842</v>
      </c>
      <c r="B89" s="47">
        <v>10000</v>
      </c>
      <c r="C89" s="47">
        <v>169904</v>
      </c>
      <c r="D89" s="13">
        <v>44136</v>
      </c>
      <c r="E89" s="16">
        <f t="shared" si="46"/>
        <v>152710.37049742712</v>
      </c>
      <c r="F89" s="16">
        <f t="shared" si="47"/>
        <v>12768546.801413553</v>
      </c>
      <c r="G89" s="14">
        <f t="shared" si="48"/>
        <v>83.612833626310135</v>
      </c>
      <c r="H89" s="46">
        <f t="shared" si="30"/>
        <v>0</v>
      </c>
      <c r="I89" s="74">
        <f t="shared" si="49"/>
        <v>0</v>
      </c>
      <c r="J89" s="22">
        <f>VLOOKUP(D89,Data!$A$5:$V$197,8,FALSE)*5.83</f>
        <v>94.355006921906664</v>
      </c>
      <c r="K89" s="74">
        <f>VLOOKUP(D89,Data!$A$5:$V$197,22,FALSE)</f>
        <v>4116.6380789022296</v>
      </c>
      <c r="L89" s="74">
        <f t="shared" si="50"/>
        <v>344203.7747909851</v>
      </c>
      <c r="M89" s="14">
        <f t="shared" si="51"/>
        <v>83.612833626310135</v>
      </c>
      <c r="N89" s="46">
        <f t="shared" si="52"/>
        <v>148593.73241852489</v>
      </c>
      <c r="O89" s="46">
        <f t="shared" si="53"/>
        <v>12424343.026622567</v>
      </c>
      <c r="P89" s="22">
        <f t="shared" si="54"/>
        <v>83.612833626310135</v>
      </c>
      <c r="Q89" s="55">
        <f t="shared" si="55"/>
        <v>153309.68439108061</v>
      </c>
      <c r="R89" s="55">
        <f t="shared" si="56"/>
        <v>12674685.190112514</v>
      </c>
      <c r="S89" s="32">
        <f t="shared" si="57"/>
        <v>82.67374132595836</v>
      </c>
      <c r="T89" s="55">
        <f t="shared" si="58"/>
        <v>160435.73241852489</v>
      </c>
      <c r="U89" s="45">
        <v>8023</v>
      </c>
      <c r="V89" s="37">
        <f t="shared" si="59"/>
        <v>112.89832031001843</v>
      </c>
    </row>
    <row r="90" spans="1:22">
      <c r="A90" s="47">
        <v>11842</v>
      </c>
      <c r="B90" s="47">
        <v>10000</v>
      </c>
      <c r="C90" s="47">
        <v>169904</v>
      </c>
      <c r="D90" s="13">
        <v>44166</v>
      </c>
      <c r="E90" s="16">
        <f t="shared" si="46"/>
        <v>148593.73241852489</v>
      </c>
      <c r="F90" s="16">
        <f t="shared" si="47"/>
        <v>12424343.026622567</v>
      </c>
      <c r="G90" s="14">
        <f t="shared" si="48"/>
        <v>83.612833626310135</v>
      </c>
      <c r="H90" s="46">
        <f t="shared" ref="H90" si="60">IF(E90+A90-K90&lt;C90-B90,C90-E90+K90-A90,0)</f>
        <v>16878.216123499125</v>
      </c>
      <c r="I90" s="74">
        <f t="shared" si="49"/>
        <v>1541915.4039554282</v>
      </c>
      <c r="J90" s="22">
        <f>VLOOKUP(D90,Data!$A$5:$V$197,8,FALSE)*5.83</f>
        <v>91.355353709960923</v>
      </c>
      <c r="K90" s="74">
        <f>VLOOKUP(D90,Data!$A$5:$V$197,22,FALSE)</f>
        <v>7409.9485420240135</v>
      </c>
      <c r="L90" s="74">
        <f t="shared" si="50"/>
        <v>625418.73234126694</v>
      </c>
      <c r="M90" s="14">
        <f t="shared" si="51"/>
        <v>84.402574295129313</v>
      </c>
      <c r="N90" s="46">
        <f t="shared" si="52"/>
        <v>158062</v>
      </c>
      <c r="O90" s="46">
        <f t="shared" si="53"/>
        <v>13340839.698236728</v>
      </c>
      <c r="P90" s="22">
        <f t="shared" si="54"/>
        <v>84.402574295129298</v>
      </c>
      <c r="Q90" s="55">
        <f t="shared" si="55"/>
        <v>153309.68439108061</v>
      </c>
      <c r="R90" s="55">
        <f t="shared" si="56"/>
        <v>12708231.956560992</v>
      </c>
      <c r="S90" s="32">
        <f t="shared" si="57"/>
        <v>82.89255833404053</v>
      </c>
      <c r="T90" s="55">
        <f t="shared" si="58"/>
        <v>169904</v>
      </c>
      <c r="U90" s="45">
        <v>8024</v>
      </c>
      <c r="V90" s="37">
        <f t="shared" si="59"/>
        <v>119.91111111111111</v>
      </c>
    </row>
  </sheetData>
  <mergeCells count="8">
    <mergeCell ref="T5:V5"/>
    <mergeCell ref="Q7:S18"/>
    <mergeCell ref="T7:V18"/>
    <mergeCell ref="E5:G5"/>
    <mergeCell ref="H5:J5"/>
    <mergeCell ref="K5:M5"/>
    <mergeCell ref="N5:P5"/>
    <mergeCell ref="Q5:S5"/>
  </mergeCells>
  <conditionalFormatting sqref="H31:H90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5" tint="0.59999389629810485"/>
  </sheetPr>
  <dimension ref="A1:S89"/>
  <sheetViews>
    <sheetView workbookViewId="0">
      <selection activeCell="A2" sqref="A2"/>
    </sheetView>
  </sheetViews>
  <sheetFormatPr defaultColWidth="9.109375" defaultRowHeight="10.199999999999999"/>
  <cols>
    <col min="1" max="1" width="6.33203125" style="44" bestFit="1" customWidth="1"/>
    <col min="2" max="2" width="5.6640625" style="44" bestFit="1" customWidth="1"/>
    <col min="3" max="3" width="6.5546875" style="44" bestFit="1" customWidth="1"/>
    <col min="4" max="4" width="6.109375" style="44" bestFit="1" customWidth="1"/>
    <col min="5" max="5" width="6.5546875" style="44" bestFit="1" customWidth="1"/>
    <col min="6" max="6" width="8.6640625" style="44" bestFit="1" customWidth="1"/>
    <col min="7" max="7" width="5.6640625" style="44" bestFit="1" customWidth="1"/>
    <col min="8" max="8" width="7.109375" style="44" bestFit="1" customWidth="1"/>
    <col min="9" max="9" width="9.33203125" style="44" bestFit="1" customWidth="1"/>
    <col min="10" max="10" width="6.33203125" style="44" bestFit="1" customWidth="1"/>
    <col min="11" max="11" width="7.5546875" style="44" bestFit="1" customWidth="1"/>
    <col min="12" max="12" width="8.44140625" style="44" bestFit="1" customWidth="1"/>
    <col min="13" max="13" width="5.6640625" style="44" bestFit="1" customWidth="1"/>
    <col min="14" max="14" width="7.109375" style="44" bestFit="1" customWidth="1"/>
    <col min="15" max="15" width="9.33203125" style="44" bestFit="1" customWidth="1"/>
    <col min="16" max="16" width="6.33203125" style="44" bestFit="1" customWidth="1"/>
    <col min="17" max="17" width="7.109375" style="44" bestFit="1" customWidth="1"/>
    <col min="18" max="18" width="9.33203125" style="44" bestFit="1" customWidth="1"/>
    <col min="19" max="19" width="6.33203125" style="44" bestFit="1" customWidth="1"/>
    <col min="20" max="16384" width="9.109375" style="44"/>
  </cols>
  <sheetData>
    <row r="1" spans="1:19" s="120" customFormat="1">
      <c r="A1" s="120" t="s">
        <v>74</v>
      </c>
    </row>
    <row r="2" spans="1:19" s="120" customFormat="1">
      <c r="A2" s="120" t="s">
        <v>59</v>
      </c>
    </row>
    <row r="4" spans="1:19">
      <c r="B4" s="17"/>
      <c r="C4" s="18"/>
      <c r="D4" s="19"/>
      <c r="E4" s="106" t="s">
        <v>0</v>
      </c>
      <c r="F4" s="106"/>
      <c r="G4" s="106"/>
      <c r="H4" s="106" t="s">
        <v>1</v>
      </c>
      <c r="I4" s="106"/>
      <c r="J4" s="106"/>
      <c r="K4" s="106" t="s">
        <v>40</v>
      </c>
      <c r="L4" s="106"/>
      <c r="M4" s="106"/>
      <c r="N4" s="106" t="s">
        <v>2</v>
      </c>
      <c r="O4" s="106"/>
      <c r="P4" s="106"/>
      <c r="Q4" s="106" t="s">
        <v>29</v>
      </c>
      <c r="R4" s="106"/>
      <c r="S4" s="106"/>
    </row>
    <row r="5" spans="1:19">
      <c r="A5" s="20" t="s">
        <v>49</v>
      </c>
      <c r="B5" s="20" t="s">
        <v>20</v>
      </c>
      <c r="C5" s="12" t="s">
        <v>12</v>
      </c>
      <c r="D5" s="9" t="s">
        <v>26</v>
      </c>
      <c r="E5" s="86" t="s">
        <v>3</v>
      </c>
      <c r="F5" s="86" t="s">
        <v>27</v>
      </c>
      <c r="G5" s="86" t="s">
        <v>28</v>
      </c>
      <c r="H5" s="86" t="s">
        <v>3</v>
      </c>
      <c r="I5" s="86" t="s">
        <v>27</v>
      </c>
      <c r="J5" s="86" t="s">
        <v>28</v>
      </c>
      <c r="K5" s="86" t="s">
        <v>3</v>
      </c>
      <c r="L5" s="86" t="s">
        <v>27</v>
      </c>
      <c r="M5" s="86" t="s">
        <v>28</v>
      </c>
      <c r="N5" s="86" t="s">
        <v>3</v>
      </c>
      <c r="O5" s="86" t="s">
        <v>27</v>
      </c>
      <c r="P5" s="86" t="s">
        <v>28</v>
      </c>
      <c r="Q5" s="86" t="s">
        <v>3</v>
      </c>
      <c r="R5" s="86" t="s">
        <v>27</v>
      </c>
      <c r="S5" s="86" t="s">
        <v>28</v>
      </c>
    </row>
    <row r="6" spans="1:19">
      <c r="A6" s="47"/>
      <c r="B6" s="47"/>
      <c r="C6" s="47"/>
      <c r="D6" s="49">
        <v>41640</v>
      </c>
      <c r="E6" s="50">
        <v>0</v>
      </c>
      <c r="F6" s="50">
        <v>0</v>
      </c>
      <c r="G6" s="53">
        <v>0</v>
      </c>
      <c r="H6" s="51">
        <v>0</v>
      </c>
      <c r="I6" s="51">
        <v>0</v>
      </c>
      <c r="J6" s="52">
        <f t="shared" ref="J6:J21" si="0">IF(H6=0,0,I6/H6)</f>
        <v>0</v>
      </c>
      <c r="K6" s="51">
        <v>0</v>
      </c>
      <c r="L6" s="51">
        <v>0</v>
      </c>
      <c r="M6" s="53">
        <f>IF(K6=0,0,L6/K6)</f>
        <v>0</v>
      </c>
      <c r="N6" s="51">
        <f t="shared" ref="N6:O53" si="1">+E6+H6-K6</f>
        <v>0</v>
      </c>
      <c r="O6" s="51">
        <f t="shared" si="1"/>
        <v>0</v>
      </c>
      <c r="P6" s="52">
        <f t="shared" ref="P6:P69" si="2">IF(N6=0,0,O6/N6)</f>
        <v>0</v>
      </c>
      <c r="Q6" s="107"/>
      <c r="R6" s="107"/>
      <c r="S6" s="107"/>
    </row>
    <row r="7" spans="1:19">
      <c r="A7" s="47"/>
      <c r="B7" s="47"/>
      <c r="C7" s="47"/>
      <c r="D7" s="49">
        <v>41671</v>
      </c>
      <c r="E7" s="50">
        <f t="shared" ref="E7:G47" si="3">N6</f>
        <v>0</v>
      </c>
      <c r="F7" s="50">
        <f t="shared" si="3"/>
        <v>0</v>
      </c>
      <c r="G7" s="53">
        <f t="shared" si="3"/>
        <v>0</v>
      </c>
      <c r="H7" s="51">
        <v>0</v>
      </c>
      <c r="I7" s="51">
        <v>0</v>
      </c>
      <c r="J7" s="52">
        <f t="shared" si="0"/>
        <v>0</v>
      </c>
      <c r="K7" s="51">
        <v>0</v>
      </c>
      <c r="L7" s="51">
        <v>0</v>
      </c>
      <c r="M7" s="53">
        <f>IF(K7=0,0,L7/K7)</f>
        <v>0</v>
      </c>
      <c r="N7" s="51">
        <f t="shared" si="1"/>
        <v>0</v>
      </c>
      <c r="O7" s="51">
        <f t="shared" si="1"/>
        <v>0</v>
      </c>
      <c r="P7" s="52">
        <f t="shared" si="2"/>
        <v>0</v>
      </c>
      <c r="Q7" s="107"/>
      <c r="R7" s="107"/>
      <c r="S7" s="107"/>
    </row>
    <row r="8" spans="1:19">
      <c r="A8" s="47"/>
      <c r="B8" s="47"/>
      <c r="C8" s="47"/>
      <c r="D8" s="49">
        <v>41699</v>
      </c>
      <c r="E8" s="50">
        <f t="shared" si="3"/>
        <v>0</v>
      </c>
      <c r="F8" s="50">
        <f t="shared" si="3"/>
        <v>0</v>
      </c>
      <c r="G8" s="53">
        <f t="shared" si="3"/>
        <v>0</v>
      </c>
      <c r="H8" s="51">
        <v>0</v>
      </c>
      <c r="I8" s="51">
        <v>0</v>
      </c>
      <c r="J8" s="52">
        <f t="shared" si="0"/>
        <v>0</v>
      </c>
      <c r="K8" s="51">
        <v>0</v>
      </c>
      <c r="L8" s="51">
        <v>0</v>
      </c>
      <c r="M8" s="53">
        <f>IF(K8=0,0,L8/K8)</f>
        <v>0</v>
      </c>
      <c r="N8" s="51">
        <f t="shared" si="1"/>
        <v>0</v>
      </c>
      <c r="O8" s="51">
        <f t="shared" si="1"/>
        <v>0</v>
      </c>
      <c r="P8" s="52">
        <f t="shared" si="2"/>
        <v>0</v>
      </c>
      <c r="Q8" s="107"/>
      <c r="R8" s="107"/>
      <c r="S8" s="107"/>
    </row>
    <row r="9" spans="1:19">
      <c r="A9" s="47"/>
      <c r="B9" s="47"/>
      <c r="C9" s="47"/>
      <c r="D9" s="49">
        <v>41730</v>
      </c>
      <c r="E9" s="50">
        <f t="shared" si="3"/>
        <v>0</v>
      </c>
      <c r="F9" s="50">
        <f t="shared" si="3"/>
        <v>0</v>
      </c>
      <c r="G9" s="53">
        <f t="shared" si="3"/>
        <v>0</v>
      </c>
      <c r="H9" s="51">
        <v>0</v>
      </c>
      <c r="I9" s="51">
        <v>0</v>
      </c>
      <c r="J9" s="52">
        <f t="shared" si="0"/>
        <v>0</v>
      </c>
      <c r="K9" s="51">
        <v>0</v>
      </c>
      <c r="L9" s="51">
        <v>0</v>
      </c>
      <c r="M9" s="53">
        <f t="shared" ref="M9:M72" si="4">IF(K9=0,0,L9/K9)</f>
        <v>0</v>
      </c>
      <c r="N9" s="51">
        <f t="shared" si="1"/>
        <v>0</v>
      </c>
      <c r="O9" s="51">
        <f t="shared" si="1"/>
        <v>0</v>
      </c>
      <c r="P9" s="52">
        <f t="shared" si="2"/>
        <v>0</v>
      </c>
      <c r="Q9" s="107"/>
      <c r="R9" s="107"/>
      <c r="S9" s="107"/>
    </row>
    <row r="10" spans="1:19">
      <c r="A10" s="47"/>
      <c r="B10" s="47"/>
      <c r="C10" s="47"/>
      <c r="D10" s="49">
        <v>41760</v>
      </c>
      <c r="E10" s="50">
        <f t="shared" si="3"/>
        <v>0</v>
      </c>
      <c r="F10" s="50">
        <f t="shared" si="3"/>
        <v>0</v>
      </c>
      <c r="G10" s="53">
        <f t="shared" si="3"/>
        <v>0</v>
      </c>
      <c r="H10" s="51">
        <v>0</v>
      </c>
      <c r="I10" s="51">
        <v>0</v>
      </c>
      <c r="J10" s="52">
        <f t="shared" si="0"/>
        <v>0</v>
      </c>
      <c r="K10" s="51">
        <v>0</v>
      </c>
      <c r="L10" s="51">
        <v>0</v>
      </c>
      <c r="M10" s="53">
        <f t="shared" si="4"/>
        <v>0</v>
      </c>
      <c r="N10" s="51">
        <f t="shared" si="1"/>
        <v>0</v>
      </c>
      <c r="O10" s="51">
        <f t="shared" si="1"/>
        <v>0</v>
      </c>
      <c r="P10" s="52">
        <f t="shared" si="2"/>
        <v>0</v>
      </c>
      <c r="Q10" s="107"/>
      <c r="R10" s="107"/>
      <c r="S10" s="107"/>
    </row>
    <row r="11" spans="1:19">
      <c r="A11" s="47"/>
      <c r="B11" s="47"/>
      <c r="C11" s="47"/>
      <c r="D11" s="49">
        <v>41791</v>
      </c>
      <c r="E11" s="50">
        <f t="shared" si="3"/>
        <v>0</v>
      </c>
      <c r="F11" s="50">
        <f t="shared" si="3"/>
        <v>0</v>
      </c>
      <c r="G11" s="53">
        <f t="shared" si="3"/>
        <v>0</v>
      </c>
      <c r="H11" s="51">
        <v>0</v>
      </c>
      <c r="I11" s="51">
        <v>0</v>
      </c>
      <c r="J11" s="52">
        <f t="shared" si="0"/>
        <v>0</v>
      </c>
      <c r="K11" s="51">
        <v>0</v>
      </c>
      <c r="L11" s="51">
        <v>0</v>
      </c>
      <c r="M11" s="53">
        <f t="shared" si="4"/>
        <v>0</v>
      </c>
      <c r="N11" s="51">
        <f t="shared" si="1"/>
        <v>0</v>
      </c>
      <c r="O11" s="51">
        <f t="shared" si="1"/>
        <v>0</v>
      </c>
      <c r="P11" s="52">
        <f t="shared" si="2"/>
        <v>0</v>
      </c>
      <c r="Q11" s="107"/>
      <c r="R11" s="107"/>
      <c r="S11" s="107"/>
    </row>
    <row r="12" spans="1:19">
      <c r="A12" s="47"/>
      <c r="B12" s="47"/>
      <c r="C12" s="47"/>
      <c r="D12" s="49">
        <v>41821</v>
      </c>
      <c r="E12" s="50">
        <f t="shared" si="3"/>
        <v>0</v>
      </c>
      <c r="F12" s="50">
        <f t="shared" si="3"/>
        <v>0</v>
      </c>
      <c r="G12" s="53">
        <f t="shared" si="3"/>
        <v>0</v>
      </c>
      <c r="H12" s="51">
        <v>0</v>
      </c>
      <c r="I12" s="51">
        <v>0</v>
      </c>
      <c r="J12" s="52">
        <f t="shared" si="0"/>
        <v>0</v>
      </c>
      <c r="K12" s="51">
        <v>0</v>
      </c>
      <c r="L12" s="51">
        <v>0</v>
      </c>
      <c r="M12" s="53">
        <f t="shared" si="4"/>
        <v>0</v>
      </c>
      <c r="N12" s="51">
        <f t="shared" si="1"/>
        <v>0</v>
      </c>
      <c r="O12" s="51">
        <f t="shared" si="1"/>
        <v>0</v>
      </c>
      <c r="P12" s="52">
        <f t="shared" si="2"/>
        <v>0</v>
      </c>
      <c r="Q12" s="107"/>
      <c r="R12" s="107"/>
      <c r="S12" s="107"/>
    </row>
    <row r="13" spans="1:19">
      <c r="A13" s="47"/>
      <c r="B13" s="47"/>
      <c r="C13" s="47"/>
      <c r="D13" s="49">
        <v>41852</v>
      </c>
      <c r="E13" s="50">
        <f t="shared" si="3"/>
        <v>0</v>
      </c>
      <c r="F13" s="50">
        <f t="shared" si="3"/>
        <v>0</v>
      </c>
      <c r="G13" s="53">
        <f t="shared" si="3"/>
        <v>0</v>
      </c>
      <c r="H13" s="51">
        <v>0</v>
      </c>
      <c r="I13" s="51">
        <v>0</v>
      </c>
      <c r="J13" s="52">
        <f t="shared" si="0"/>
        <v>0</v>
      </c>
      <c r="K13" s="51">
        <v>0</v>
      </c>
      <c r="L13" s="51">
        <v>0</v>
      </c>
      <c r="M13" s="53">
        <f t="shared" si="4"/>
        <v>0</v>
      </c>
      <c r="N13" s="51">
        <f t="shared" si="1"/>
        <v>0</v>
      </c>
      <c r="O13" s="51">
        <f t="shared" si="1"/>
        <v>0</v>
      </c>
      <c r="P13" s="52">
        <f t="shared" si="2"/>
        <v>0</v>
      </c>
      <c r="Q13" s="107"/>
      <c r="R13" s="107"/>
      <c r="S13" s="107"/>
    </row>
    <row r="14" spans="1:19">
      <c r="A14" s="47"/>
      <c r="B14" s="47"/>
      <c r="C14" s="47"/>
      <c r="D14" s="49">
        <v>41883</v>
      </c>
      <c r="E14" s="50">
        <f t="shared" si="3"/>
        <v>0</v>
      </c>
      <c r="F14" s="50">
        <f t="shared" si="3"/>
        <v>0</v>
      </c>
      <c r="G14" s="53">
        <f t="shared" si="3"/>
        <v>0</v>
      </c>
      <c r="H14" s="51">
        <v>0</v>
      </c>
      <c r="I14" s="51">
        <v>0</v>
      </c>
      <c r="J14" s="52">
        <f t="shared" si="0"/>
        <v>0</v>
      </c>
      <c r="K14" s="51">
        <v>0</v>
      </c>
      <c r="L14" s="51">
        <v>0</v>
      </c>
      <c r="M14" s="53">
        <f t="shared" si="4"/>
        <v>0</v>
      </c>
      <c r="N14" s="51">
        <f t="shared" si="1"/>
        <v>0</v>
      </c>
      <c r="O14" s="51">
        <f t="shared" si="1"/>
        <v>0</v>
      </c>
      <c r="P14" s="52">
        <f t="shared" si="2"/>
        <v>0</v>
      </c>
      <c r="Q14" s="107"/>
      <c r="R14" s="107"/>
      <c r="S14" s="107"/>
    </row>
    <row r="15" spans="1:19">
      <c r="A15" s="47"/>
      <c r="B15" s="47"/>
      <c r="C15" s="47"/>
      <c r="D15" s="49">
        <v>41913</v>
      </c>
      <c r="E15" s="50">
        <f t="shared" si="3"/>
        <v>0</v>
      </c>
      <c r="F15" s="50">
        <f t="shared" si="3"/>
        <v>0</v>
      </c>
      <c r="G15" s="53">
        <f t="shared" si="3"/>
        <v>0</v>
      </c>
      <c r="H15" s="51">
        <v>0</v>
      </c>
      <c r="I15" s="51">
        <v>0</v>
      </c>
      <c r="J15" s="52">
        <f t="shared" si="0"/>
        <v>0</v>
      </c>
      <c r="K15" s="51">
        <v>0</v>
      </c>
      <c r="L15" s="51">
        <v>0</v>
      </c>
      <c r="M15" s="53">
        <f t="shared" si="4"/>
        <v>0</v>
      </c>
      <c r="N15" s="51">
        <f t="shared" si="1"/>
        <v>0</v>
      </c>
      <c r="O15" s="51">
        <f t="shared" si="1"/>
        <v>0</v>
      </c>
      <c r="P15" s="52">
        <f t="shared" si="2"/>
        <v>0</v>
      </c>
      <c r="Q15" s="107"/>
      <c r="R15" s="107"/>
      <c r="S15" s="107"/>
    </row>
    <row r="16" spans="1:19">
      <c r="A16" s="47"/>
      <c r="B16" s="47"/>
      <c r="C16" s="47"/>
      <c r="D16" s="49">
        <v>41944</v>
      </c>
      <c r="E16" s="50">
        <f t="shared" si="3"/>
        <v>0</v>
      </c>
      <c r="F16" s="50">
        <f t="shared" si="3"/>
        <v>0</v>
      </c>
      <c r="G16" s="53">
        <f t="shared" si="3"/>
        <v>0</v>
      </c>
      <c r="H16" s="51">
        <v>0</v>
      </c>
      <c r="I16" s="51">
        <v>0</v>
      </c>
      <c r="J16" s="52">
        <f t="shared" si="0"/>
        <v>0</v>
      </c>
      <c r="K16" s="51">
        <v>0</v>
      </c>
      <c r="L16" s="51">
        <v>0</v>
      </c>
      <c r="M16" s="53">
        <f t="shared" si="4"/>
        <v>0</v>
      </c>
      <c r="N16" s="51">
        <f t="shared" si="1"/>
        <v>0</v>
      </c>
      <c r="O16" s="51">
        <f t="shared" si="1"/>
        <v>0</v>
      </c>
      <c r="P16" s="52">
        <f t="shared" si="2"/>
        <v>0</v>
      </c>
      <c r="Q16" s="107"/>
      <c r="R16" s="107"/>
      <c r="S16" s="107"/>
    </row>
    <row r="17" spans="1:19">
      <c r="A17" s="47"/>
      <c r="B17" s="47"/>
      <c r="C17" s="47"/>
      <c r="D17" s="49">
        <v>41974</v>
      </c>
      <c r="E17" s="50">
        <f t="shared" si="3"/>
        <v>0</v>
      </c>
      <c r="F17" s="50">
        <f t="shared" si="3"/>
        <v>0</v>
      </c>
      <c r="G17" s="53">
        <f t="shared" si="3"/>
        <v>0</v>
      </c>
      <c r="H17" s="51">
        <v>0</v>
      </c>
      <c r="I17" s="51">
        <v>0</v>
      </c>
      <c r="J17" s="52">
        <f t="shared" si="0"/>
        <v>0</v>
      </c>
      <c r="K17" s="51">
        <v>0</v>
      </c>
      <c r="L17" s="51">
        <v>0</v>
      </c>
      <c r="M17" s="53">
        <f t="shared" si="4"/>
        <v>0</v>
      </c>
      <c r="N17" s="51">
        <f t="shared" si="1"/>
        <v>0</v>
      </c>
      <c r="O17" s="51">
        <f t="shared" si="1"/>
        <v>0</v>
      </c>
      <c r="P17" s="52">
        <f t="shared" si="2"/>
        <v>0</v>
      </c>
      <c r="Q17" s="107"/>
      <c r="R17" s="107"/>
      <c r="S17" s="107"/>
    </row>
    <row r="18" spans="1:19">
      <c r="A18" s="47"/>
      <c r="B18" s="47"/>
      <c r="C18" s="47"/>
      <c r="D18" s="49">
        <v>42005</v>
      </c>
      <c r="E18" s="50">
        <f t="shared" si="3"/>
        <v>0</v>
      </c>
      <c r="F18" s="50">
        <f t="shared" si="3"/>
        <v>0</v>
      </c>
      <c r="G18" s="53">
        <f t="shared" si="3"/>
        <v>0</v>
      </c>
      <c r="H18" s="51">
        <v>0</v>
      </c>
      <c r="I18" s="51">
        <v>0</v>
      </c>
      <c r="J18" s="52">
        <f t="shared" si="0"/>
        <v>0</v>
      </c>
      <c r="K18" s="51">
        <v>0</v>
      </c>
      <c r="L18" s="51">
        <v>0</v>
      </c>
      <c r="M18" s="53">
        <f t="shared" si="4"/>
        <v>0</v>
      </c>
      <c r="N18" s="51">
        <f t="shared" si="1"/>
        <v>0</v>
      </c>
      <c r="O18" s="51">
        <f t="shared" si="1"/>
        <v>0</v>
      </c>
      <c r="P18" s="52">
        <f t="shared" si="2"/>
        <v>0</v>
      </c>
      <c r="Q18" s="54">
        <f t="shared" ref="Q18:R33" si="5">AVERAGE(N6:N18)</f>
        <v>0</v>
      </c>
      <c r="R18" s="54">
        <f t="shared" si="5"/>
        <v>0</v>
      </c>
      <c r="S18" s="56">
        <f t="shared" ref="S18:S81" si="6">IF(Q18=0,0,R18/Q18)</f>
        <v>0</v>
      </c>
    </row>
    <row r="19" spans="1:19">
      <c r="A19" s="47"/>
      <c r="B19" s="47"/>
      <c r="C19" s="47"/>
      <c r="D19" s="49">
        <v>42036</v>
      </c>
      <c r="E19" s="50">
        <f t="shared" si="3"/>
        <v>0</v>
      </c>
      <c r="F19" s="50">
        <f t="shared" si="3"/>
        <v>0</v>
      </c>
      <c r="G19" s="53">
        <f t="shared" si="3"/>
        <v>0</v>
      </c>
      <c r="H19" s="51">
        <v>0</v>
      </c>
      <c r="I19" s="51">
        <v>0</v>
      </c>
      <c r="J19" s="52">
        <f t="shared" si="0"/>
        <v>0</v>
      </c>
      <c r="K19" s="51">
        <v>0</v>
      </c>
      <c r="L19" s="51">
        <v>0</v>
      </c>
      <c r="M19" s="53">
        <f t="shared" si="4"/>
        <v>0</v>
      </c>
      <c r="N19" s="51">
        <f t="shared" si="1"/>
        <v>0</v>
      </c>
      <c r="O19" s="51">
        <f t="shared" si="1"/>
        <v>0</v>
      </c>
      <c r="P19" s="52">
        <f t="shared" si="2"/>
        <v>0</v>
      </c>
      <c r="Q19" s="54">
        <f t="shared" si="5"/>
        <v>0</v>
      </c>
      <c r="R19" s="54">
        <f t="shared" si="5"/>
        <v>0</v>
      </c>
      <c r="S19" s="56">
        <f t="shared" si="6"/>
        <v>0</v>
      </c>
    </row>
    <row r="20" spans="1:19">
      <c r="A20" s="47"/>
      <c r="B20" s="47"/>
      <c r="C20" s="47"/>
      <c r="D20" s="49">
        <v>42064</v>
      </c>
      <c r="E20" s="50">
        <f t="shared" si="3"/>
        <v>0</v>
      </c>
      <c r="F20" s="50">
        <f t="shared" si="3"/>
        <v>0</v>
      </c>
      <c r="G20" s="53">
        <f t="shared" si="3"/>
        <v>0</v>
      </c>
      <c r="H20" s="51">
        <v>0</v>
      </c>
      <c r="I20" s="51">
        <v>0</v>
      </c>
      <c r="J20" s="52">
        <f t="shared" si="0"/>
        <v>0</v>
      </c>
      <c r="K20" s="51">
        <v>0</v>
      </c>
      <c r="L20" s="51">
        <v>0</v>
      </c>
      <c r="M20" s="53">
        <f t="shared" si="4"/>
        <v>0</v>
      </c>
      <c r="N20" s="51">
        <f t="shared" si="1"/>
        <v>0</v>
      </c>
      <c r="O20" s="51">
        <f t="shared" si="1"/>
        <v>0</v>
      </c>
      <c r="P20" s="52">
        <f t="shared" si="2"/>
        <v>0</v>
      </c>
      <c r="Q20" s="54">
        <f t="shared" si="5"/>
        <v>0</v>
      </c>
      <c r="R20" s="54">
        <f t="shared" si="5"/>
        <v>0</v>
      </c>
      <c r="S20" s="56">
        <f t="shared" si="6"/>
        <v>0</v>
      </c>
    </row>
    <row r="21" spans="1:19">
      <c r="A21" s="47"/>
      <c r="B21" s="47"/>
      <c r="C21" s="47"/>
      <c r="D21" s="49">
        <v>42095</v>
      </c>
      <c r="E21" s="50">
        <f t="shared" si="3"/>
        <v>0</v>
      </c>
      <c r="F21" s="50">
        <f t="shared" si="3"/>
        <v>0</v>
      </c>
      <c r="G21" s="53">
        <f t="shared" si="3"/>
        <v>0</v>
      </c>
      <c r="H21" s="51">
        <v>0</v>
      </c>
      <c r="I21" s="51">
        <v>0</v>
      </c>
      <c r="J21" s="52">
        <f t="shared" si="0"/>
        <v>0</v>
      </c>
      <c r="K21" s="54">
        <v>0</v>
      </c>
      <c r="L21" s="54">
        <v>0</v>
      </c>
      <c r="M21" s="53">
        <v>0</v>
      </c>
      <c r="N21" s="51">
        <f t="shared" si="1"/>
        <v>0</v>
      </c>
      <c r="O21" s="51">
        <f t="shared" si="1"/>
        <v>0</v>
      </c>
      <c r="P21" s="52">
        <f t="shared" si="2"/>
        <v>0</v>
      </c>
      <c r="Q21" s="54">
        <f t="shared" si="5"/>
        <v>0</v>
      </c>
      <c r="R21" s="54">
        <f t="shared" si="5"/>
        <v>0</v>
      </c>
      <c r="S21" s="56">
        <f t="shared" si="6"/>
        <v>0</v>
      </c>
    </row>
    <row r="22" spans="1:19">
      <c r="A22" s="47"/>
      <c r="B22" s="47"/>
      <c r="C22" s="47"/>
      <c r="D22" s="49">
        <v>42125</v>
      </c>
      <c r="E22" s="50">
        <f t="shared" si="3"/>
        <v>0</v>
      </c>
      <c r="F22" s="50">
        <f t="shared" si="3"/>
        <v>0</v>
      </c>
      <c r="G22" s="53">
        <f t="shared" si="3"/>
        <v>0</v>
      </c>
      <c r="H22" s="51">
        <v>0</v>
      </c>
      <c r="I22" s="51">
        <v>0</v>
      </c>
      <c r="J22" s="52">
        <f t="shared" ref="J22:J85" si="7">IF(H22=0,0,I22/H22)</f>
        <v>0</v>
      </c>
      <c r="K22" s="54">
        <v>0</v>
      </c>
      <c r="L22" s="54">
        <v>0</v>
      </c>
      <c r="M22" s="53">
        <f t="shared" si="4"/>
        <v>0</v>
      </c>
      <c r="N22" s="51">
        <f t="shared" si="1"/>
        <v>0</v>
      </c>
      <c r="O22" s="51">
        <f t="shared" si="1"/>
        <v>0</v>
      </c>
      <c r="P22" s="52">
        <f t="shared" si="2"/>
        <v>0</v>
      </c>
      <c r="Q22" s="54">
        <f t="shared" si="5"/>
        <v>0</v>
      </c>
      <c r="R22" s="54">
        <f t="shared" si="5"/>
        <v>0</v>
      </c>
      <c r="S22" s="56">
        <f t="shared" si="6"/>
        <v>0</v>
      </c>
    </row>
    <row r="23" spans="1:19">
      <c r="A23" s="47"/>
      <c r="B23" s="47"/>
      <c r="C23" s="47"/>
      <c r="D23" s="49">
        <v>42156</v>
      </c>
      <c r="E23" s="50">
        <f t="shared" si="3"/>
        <v>0</v>
      </c>
      <c r="F23" s="50">
        <f t="shared" si="3"/>
        <v>0</v>
      </c>
      <c r="G23" s="53">
        <f t="shared" si="3"/>
        <v>0</v>
      </c>
      <c r="H23" s="51">
        <v>0</v>
      </c>
      <c r="I23" s="51">
        <v>0</v>
      </c>
      <c r="J23" s="52">
        <f t="shared" si="7"/>
        <v>0</v>
      </c>
      <c r="K23" s="54">
        <v>0</v>
      </c>
      <c r="L23" s="54">
        <v>0</v>
      </c>
      <c r="M23" s="53">
        <f t="shared" ref="M23" si="8">IF(K23=0,0,L23/K23)</f>
        <v>0</v>
      </c>
      <c r="N23" s="51">
        <f t="shared" si="1"/>
        <v>0</v>
      </c>
      <c r="O23" s="51">
        <f t="shared" si="1"/>
        <v>0</v>
      </c>
      <c r="P23" s="52">
        <f t="shared" si="2"/>
        <v>0</v>
      </c>
      <c r="Q23" s="54">
        <f t="shared" si="5"/>
        <v>0</v>
      </c>
      <c r="R23" s="54">
        <f t="shared" si="5"/>
        <v>0</v>
      </c>
      <c r="S23" s="56">
        <f t="shared" si="6"/>
        <v>0</v>
      </c>
    </row>
    <row r="24" spans="1:19">
      <c r="A24" s="47"/>
      <c r="B24" s="47"/>
      <c r="C24" s="47"/>
      <c r="D24" s="49">
        <v>42186</v>
      </c>
      <c r="E24" s="50">
        <f t="shared" si="3"/>
        <v>0</v>
      </c>
      <c r="F24" s="50">
        <f t="shared" si="3"/>
        <v>0</v>
      </c>
      <c r="G24" s="53">
        <f t="shared" si="3"/>
        <v>0</v>
      </c>
      <c r="H24" s="51">
        <v>0</v>
      </c>
      <c r="I24" s="51">
        <v>0</v>
      </c>
      <c r="J24" s="52">
        <f t="shared" si="7"/>
        <v>0</v>
      </c>
      <c r="K24" s="54">
        <v>0</v>
      </c>
      <c r="L24" s="54">
        <v>0</v>
      </c>
      <c r="M24" s="53">
        <f t="shared" ref="M24" si="9">IF(K24=0,0,L24/K24)</f>
        <v>0</v>
      </c>
      <c r="N24" s="51">
        <f t="shared" ref="N24" si="10">+E24+H24-K24</f>
        <v>0</v>
      </c>
      <c r="O24" s="51">
        <f t="shared" ref="O24" si="11">+F24+I24-L24</f>
        <v>0</v>
      </c>
      <c r="P24" s="52">
        <f t="shared" si="2"/>
        <v>0</v>
      </c>
      <c r="Q24" s="54">
        <f t="shared" si="5"/>
        <v>0</v>
      </c>
      <c r="R24" s="54">
        <f t="shared" si="5"/>
        <v>0</v>
      </c>
      <c r="S24" s="56">
        <f t="shared" si="6"/>
        <v>0</v>
      </c>
    </row>
    <row r="25" spans="1:19">
      <c r="A25" s="47"/>
      <c r="B25" s="47"/>
      <c r="C25" s="47"/>
      <c r="D25" s="49">
        <v>42217</v>
      </c>
      <c r="E25" s="50">
        <f t="shared" si="3"/>
        <v>0</v>
      </c>
      <c r="F25" s="50">
        <f t="shared" si="3"/>
        <v>0</v>
      </c>
      <c r="G25" s="53">
        <f t="shared" si="3"/>
        <v>0</v>
      </c>
      <c r="H25" s="51">
        <v>0</v>
      </c>
      <c r="I25" s="54">
        <f t="shared" ref="I25:I88" si="12">H25*J25</f>
        <v>0</v>
      </c>
      <c r="J25" s="52">
        <f t="shared" si="7"/>
        <v>0</v>
      </c>
      <c r="K25" s="54">
        <f>VLOOKUP(D25,Data!$A$5:$X$197,23,FALSE)</f>
        <v>0</v>
      </c>
      <c r="L25" s="54">
        <f t="shared" ref="L25:L88" si="13">IF(E25+I25&gt;0,((F25+I25)/(E25+H25)*K25),0)</f>
        <v>0</v>
      </c>
      <c r="M25" s="53">
        <f t="shared" si="4"/>
        <v>0</v>
      </c>
      <c r="N25" s="51">
        <f t="shared" si="1"/>
        <v>0</v>
      </c>
      <c r="O25" s="51">
        <f t="shared" si="1"/>
        <v>0</v>
      </c>
      <c r="P25" s="52">
        <f t="shared" si="2"/>
        <v>0</v>
      </c>
      <c r="Q25" s="54">
        <f t="shared" si="5"/>
        <v>0</v>
      </c>
      <c r="R25" s="54">
        <f t="shared" si="5"/>
        <v>0</v>
      </c>
      <c r="S25" s="56">
        <f t="shared" si="6"/>
        <v>0</v>
      </c>
    </row>
    <row r="26" spans="1:19">
      <c r="A26" s="47"/>
      <c r="B26" s="47"/>
      <c r="C26" s="47"/>
      <c r="D26" s="49">
        <v>42248</v>
      </c>
      <c r="E26" s="50">
        <f t="shared" si="3"/>
        <v>0</v>
      </c>
      <c r="F26" s="50">
        <f t="shared" si="3"/>
        <v>0</v>
      </c>
      <c r="G26" s="53">
        <f t="shared" si="3"/>
        <v>0</v>
      </c>
      <c r="H26" s="51">
        <v>14638.936535162949</v>
      </c>
      <c r="I26" s="54">
        <f>J26*H26</f>
        <v>2145775.3173241853</v>
      </c>
      <c r="J26" s="52">
        <v>146.58000000000001</v>
      </c>
      <c r="K26" s="54">
        <f>VLOOKUP(D26,Data!$A$5:$X$197,23,FALSE)</f>
        <v>0</v>
      </c>
      <c r="L26" s="54">
        <f t="shared" si="13"/>
        <v>0</v>
      </c>
      <c r="M26" s="53">
        <f t="shared" si="4"/>
        <v>0</v>
      </c>
      <c r="N26" s="51">
        <f t="shared" si="1"/>
        <v>14638.936535162949</v>
      </c>
      <c r="O26" s="51">
        <f t="shared" si="1"/>
        <v>2145775.3173241853</v>
      </c>
      <c r="P26" s="52">
        <f t="shared" si="2"/>
        <v>146.58000000000001</v>
      </c>
      <c r="Q26" s="54">
        <f t="shared" si="5"/>
        <v>1126.0720411663808</v>
      </c>
      <c r="R26" s="54">
        <f t="shared" si="5"/>
        <v>165059.63979416809</v>
      </c>
      <c r="S26" s="56">
        <f t="shared" si="6"/>
        <v>146.57999999999998</v>
      </c>
    </row>
    <row r="27" spans="1:19">
      <c r="A27" s="47"/>
      <c r="B27" s="47"/>
      <c r="C27" s="47"/>
      <c r="D27" s="49">
        <v>42278</v>
      </c>
      <c r="E27" s="50">
        <f t="shared" si="3"/>
        <v>14638.936535162949</v>
      </c>
      <c r="F27" s="50">
        <f t="shared" si="3"/>
        <v>2145775.3173241853</v>
      </c>
      <c r="G27" s="53">
        <f t="shared" si="3"/>
        <v>146.58000000000001</v>
      </c>
      <c r="H27" s="51">
        <v>0</v>
      </c>
      <c r="I27" s="54">
        <f t="shared" si="12"/>
        <v>0</v>
      </c>
      <c r="J27" s="52">
        <f t="shared" si="7"/>
        <v>0</v>
      </c>
      <c r="K27" s="54">
        <f>VLOOKUP(D27,Data!$A$5:$X$197,23,FALSE)</f>
        <v>0</v>
      </c>
      <c r="L27" s="54">
        <f t="shared" si="13"/>
        <v>0</v>
      </c>
      <c r="M27" s="53">
        <f t="shared" si="4"/>
        <v>0</v>
      </c>
      <c r="N27" s="51">
        <f t="shared" si="1"/>
        <v>14638.936535162949</v>
      </c>
      <c r="O27" s="51">
        <f t="shared" si="1"/>
        <v>2145775.3173241853</v>
      </c>
      <c r="P27" s="52">
        <f t="shared" si="2"/>
        <v>146.58000000000001</v>
      </c>
      <c r="Q27" s="54">
        <f t="shared" si="5"/>
        <v>2252.1440823327616</v>
      </c>
      <c r="R27" s="54">
        <f t="shared" si="5"/>
        <v>330119.27958833618</v>
      </c>
      <c r="S27" s="56">
        <f t="shared" si="6"/>
        <v>146.57999999999998</v>
      </c>
    </row>
    <row r="28" spans="1:19">
      <c r="A28" s="47"/>
      <c r="B28" s="47"/>
      <c r="C28" s="47"/>
      <c r="D28" s="49">
        <v>42309</v>
      </c>
      <c r="E28" s="50">
        <f t="shared" si="3"/>
        <v>14638.936535162949</v>
      </c>
      <c r="F28" s="50">
        <f t="shared" si="3"/>
        <v>2145775.3173241853</v>
      </c>
      <c r="G28" s="53">
        <f t="shared" si="3"/>
        <v>146.58000000000001</v>
      </c>
      <c r="H28" s="51">
        <v>0</v>
      </c>
      <c r="I28" s="54">
        <f t="shared" si="12"/>
        <v>0</v>
      </c>
      <c r="J28" s="52">
        <f t="shared" si="7"/>
        <v>0</v>
      </c>
      <c r="K28" s="54">
        <f>VLOOKUP(D28,Data!$A$5:$X$197,23,FALSE)</f>
        <v>0</v>
      </c>
      <c r="L28" s="54">
        <f t="shared" si="13"/>
        <v>0</v>
      </c>
      <c r="M28" s="53">
        <f t="shared" si="4"/>
        <v>0</v>
      </c>
      <c r="N28" s="51">
        <f t="shared" si="1"/>
        <v>14638.936535162949</v>
      </c>
      <c r="O28" s="51">
        <f t="shared" si="1"/>
        <v>2145775.3173241853</v>
      </c>
      <c r="P28" s="52">
        <f t="shared" si="2"/>
        <v>146.58000000000001</v>
      </c>
      <c r="Q28" s="54">
        <f t="shared" si="5"/>
        <v>3378.2161234991418</v>
      </c>
      <c r="R28" s="54">
        <f t="shared" si="5"/>
        <v>495178.91938250425</v>
      </c>
      <c r="S28" s="56">
        <f t="shared" si="6"/>
        <v>146.58000000000001</v>
      </c>
    </row>
    <row r="29" spans="1:19">
      <c r="A29" s="47"/>
      <c r="B29" s="47"/>
      <c r="C29" s="47"/>
      <c r="D29" s="49">
        <v>42339</v>
      </c>
      <c r="E29" s="50">
        <f t="shared" si="3"/>
        <v>14638.936535162949</v>
      </c>
      <c r="F29" s="50">
        <f t="shared" si="3"/>
        <v>2145775.3173241853</v>
      </c>
      <c r="G29" s="53">
        <f t="shared" si="3"/>
        <v>146.58000000000001</v>
      </c>
      <c r="H29" s="51">
        <v>0</v>
      </c>
      <c r="I29" s="54">
        <f t="shared" si="12"/>
        <v>0</v>
      </c>
      <c r="J29" s="52">
        <f t="shared" si="7"/>
        <v>0</v>
      </c>
      <c r="K29" s="54">
        <f>VLOOKUP(D29,Data!$A$5:$X$197,23,FALSE)</f>
        <v>0</v>
      </c>
      <c r="L29" s="54">
        <f t="shared" si="13"/>
        <v>0</v>
      </c>
      <c r="M29" s="53">
        <f t="shared" si="4"/>
        <v>0</v>
      </c>
      <c r="N29" s="51">
        <f t="shared" si="1"/>
        <v>14638.936535162949</v>
      </c>
      <c r="O29" s="51">
        <f t="shared" si="1"/>
        <v>2145775.3173241853</v>
      </c>
      <c r="P29" s="52">
        <f t="shared" si="2"/>
        <v>146.58000000000001</v>
      </c>
      <c r="Q29" s="54">
        <f t="shared" si="5"/>
        <v>4504.2881646655233</v>
      </c>
      <c r="R29" s="54">
        <f t="shared" si="5"/>
        <v>660238.55917667237</v>
      </c>
      <c r="S29" s="56">
        <f t="shared" si="6"/>
        <v>146.57999999999998</v>
      </c>
    </row>
    <row r="30" spans="1:19">
      <c r="A30" s="47"/>
      <c r="B30" s="47"/>
      <c r="C30" s="47"/>
      <c r="D30" s="13">
        <v>42370</v>
      </c>
      <c r="E30" s="16">
        <f t="shared" si="3"/>
        <v>14638.936535162949</v>
      </c>
      <c r="F30" s="16">
        <f t="shared" si="3"/>
        <v>2145775.3173241853</v>
      </c>
      <c r="G30" s="14">
        <f t="shared" si="3"/>
        <v>146.58000000000001</v>
      </c>
      <c r="H30" s="46">
        <v>0</v>
      </c>
      <c r="I30" s="91">
        <f t="shared" si="12"/>
        <v>0</v>
      </c>
      <c r="J30" s="22">
        <f t="shared" si="7"/>
        <v>0</v>
      </c>
      <c r="K30" s="91">
        <f>VLOOKUP(D30,Data!$A$5:$X$197,23,FALSE)</f>
        <v>0</v>
      </c>
      <c r="L30" s="87">
        <f t="shared" si="13"/>
        <v>0</v>
      </c>
      <c r="M30" s="14">
        <f t="shared" si="4"/>
        <v>0</v>
      </c>
      <c r="N30" s="46">
        <f t="shared" si="1"/>
        <v>14638.936535162949</v>
      </c>
      <c r="O30" s="46">
        <f t="shared" si="1"/>
        <v>2145775.3173241853</v>
      </c>
      <c r="P30" s="22">
        <f t="shared" si="2"/>
        <v>146.58000000000001</v>
      </c>
      <c r="Q30" s="55">
        <f t="shared" si="5"/>
        <v>5630.3602058319038</v>
      </c>
      <c r="R30" s="55">
        <f t="shared" si="5"/>
        <v>825298.19897084055</v>
      </c>
      <c r="S30" s="32">
        <f t="shared" si="6"/>
        <v>146.58000000000001</v>
      </c>
    </row>
    <row r="31" spans="1:19">
      <c r="A31" s="47"/>
      <c r="B31" s="47"/>
      <c r="C31" s="47"/>
      <c r="D31" s="13">
        <v>42401</v>
      </c>
      <c r="E31" s="16">
        <f t="shared" si="3"/>
        <v>14638.936535162949</v>
      </c>
      <c r="F31" s="16">
        <f t="shared" si="3"/>
        <v>2145775.3173241853</v>
      </c>
      <c r="G31" s="14">
        <f t="shared" si="3"/>
        <v>146.58000000000001</v>
      </c>
      <c r="H31" s="46">
        <v>0</v>
      </c>
      <c r="I31" s="91">
        <f t="shared" si="12"/>
        <v>0</v>
      </c>
      <c r="J31" s="22">
        <f t="shared" si="7"/>
        <v>0</v>
      </c>
      <c r="K31" s="91">
        <f>VLOOKUP(D31,Data!$A$5:$X$197,23,FALSE)</f>
        <v>0</v>
      </c>
      <c r="L31" s="91">
        <f t="shared" si="13"/>
        <v>0</v>
      </c>
      <c r="M31" s="14">
        <f t="shared" si="4"/>
        <v>0</v>
      </c>
      <c r="N31" s="46">
        <f t="shared" si="1"/>
        <v>14638.936535162949</v>
      </c>
      <c r="O31" s="46">
        <f t="shared" si="1"/>
        <v>2145775.3173241853</v>
      </c>
      <c r="P31" s="22">
        <f t="shared" si="2"/>
        <v>146.58000000000001</v>
      </c>
      <c r="Q31" s="55">
        <f t="shared" si="5"/>
        <v>6756.4322469982853</v>
      </c>
      <c r="R31" s="55">
        <f t="shared" si="5"/>
        <v>990357.83876500861</v>
      </c>
      <c r="S31" s="32">
        <f t="shared" si="6"/>
        <v>146.57999999999998</v>
      </c>
    </row>
    <row r="32" spans="1:19">
      <c r="A32" s="47"/>
      <c r="B32" s="47"/>
      <c r="C32" s="47"/>
      <c r="D32" s="13">
        <v>42430</v>
      </c>
      <c r="E32" s="16">
        <f t="shared" si="3"/>
        <v>14638.936535162949</v>
      </c>
      <c r="F32" s="16">
        <f t="shared" si="3"/>
        <v>2145775.3173241853</v>
      </c>
      <c r="G32" s="14">
        <f t="shared" si="3"/>
        <v>146.58000000000001</v>
      </c>
      <c r="H32" s="46">
        <v>0</v>
      </c>
      <c r="I32" s="91">
        <f t="shared" si="12"/>
        <v>0</v>
      </c>
      <c r="J32" s="22">
        <f t="shared" si="7"/>
        <v>0</v>
      </c>
      <c r="K32" s="91">
        <f>VLOOKUP(D32,Data!$A$5:$X$197,23,FALSE)</f>
        <v>0</v>
      </c>
      <c r="L32" s="91">
        <f t="shared" si="13"/>
        <v>0</v>
      </c>
      <c r="M32" s="14">
        <f t="shared" si="4"/>
        <v>0</v>
      </c>
      <c r="N32" s="46">
        <f t="shared" si="1"/>
        <v>14638.936535162949</v>
      </c>
      <c r="O32" s="46">
        <f t="shared" si="1"/>
        <v>2145775.3173241853</v>
      </c>
      <c r="P32" s="22">
        <f t="shared" si="2"/>
        <v>146.58000000000001</v>
      </c>
      <c r="Q32" s="55">
        <f t="shared" si="5"/>
        <v>7882.5042881646659</v>
      </c>
      <c r="R32" s="55">
        <f t="shared" si="5"/>
        <v>1155417.4785591769</v>
      </c>
      <c r="S32" s="32">
        <f t="shared" si="6"/>
        <v>146.58000000000001</v>
      </c>
    </row>
    <row r="33" spans="1:19">
      <c r="A33" s="47"/>
      <c r="B33" s="47"/>
      <c r="C33" s="47"/>
      <c r="D33" s="13">
        <v>42461</v>
      </c>
      <c r="E33" s="16">
        <f t="shared" si="3"/>
        <v>14638.936535162949</v>
      </c>
      <c r="F33" s="16">
        <f t="shared" si="3"/>
        <v>2145775.3173241853</v>
      </c>
      <c r="G33" s="14">
        <f t="shared" si="3"/>
        <v>146.58000000000001</v>
      </c>
      <c r="H33" s="46">
        <v>0</v>
      </c>
      <c r="I33" s="91">
        <f t="shared" si="12"/>
        <v>0</v>
      </c>
      <c r="J33" s="22">
        <f t="shared" si="7"/>
        <v>0</v>
      </c>
      <c r="K33" s="91">
        <f>VLOOKUP(D33,Data!$A$5:$X$197,23,FALSE)</f>
        <v>0</v>
      </c>
      <c r="L33" s="91">
        <f t="shared" si="13"/>
        <v>0</v>
      </c>
      <c r="M33" s="14">
        <f t="shared" si="4"/>
        <v>0</v>
      </c>
      <c r="N33" s="46">
        <f t="shared" si="1"/>
        <v>14638.936535162949</v>
      </c>
      <c r="O33" s="46">
        <f t="shared" si="1"/>
        <v>2145775.3173241853</v>
      </c>
      <c r="P33" s="22">
        <f t="shared" si="2"/>
        <v>146.58000000000001</v>
      </c>
      <c r="Q33" s="55">
        <f t="shared" si="5"/>
        <v>9008.5763293310465</v>
      </c>
      <c r="R33" s="55">
        <f t="shared" si="5"/>
        <v>1320477.1183533447</v>
      </c>
      <c r="S33" s="32">
        <f t="shared" si="6"/>
        <v>146.57999999999998</v>
      </c>
    </row>
    <row r="34" spans="1:19">
      <c r="A34" s="47"/>
      <c r="B34" s="47"/>
      <c r="C34" s="47"/>
      <c r="D34" s="13">
        <v>42491</v>
      </c>
      <c r="E34" s="16">
        <f t="shared" si="3"/>
        <v>14638.936535162949</v>
      </c>
      <c r="F34" s="16">
        <f t="shared" si="3"/>
        <v>2145775.3173241853</v>
      </c>
      <c r="G34" s="14">
        <f t="shared" si="3"/>
        <v>146.58000000000001</v>
      </c>
      <c r="H34" s="46">
        <v>0</v>
      </c>
      <c r="I34" s="91">
        <f t="shared" si="12"/>
        <v>0</v>
      </c>
      <c r="J34" s="22">
        <f t="shared" si="7"/>
        <v>0</v>
      </c>
      <c r="K34" s="91">
        <f>VLOOKUP(D34,Data!$A$5:$X$197,23,FALSE)</f>
        <v>5855.57461406518</v>
      </c>
      <c r="L34" s="91">
        <f t="shared" si="13"/>
        <v>858310.12692967418</v>
      </c>
      <c r="M34" s="14">
        <f t="shared" si="4"/>
        <v>146.58000000000001</v>
      </c>
      <c r="N34" s="46">
        <f t="shared" si="1"/>
        <v>8783.3619210977704</v>
      </c>
      <c r="O34" s="46">
        <f t="shared" si="1"/>
        <v>1287465.190394511</v>
      </c>
      <c r="P34" s="22">
        <f t="shared" si="2"/>
        <v>146.57999999999998</v>
      </c>
      <c r="Q34" s="55">
        <f t="shared" ref="Q34:R49" si="14">AVERAGE(N22:N34)</f>
        <v>9684.2195540308767</v>
      </c>
      <c r="R34" s="55">
        <f t="shared" si="14"/>
        <v>1419512.9022298455</v>
      </c>
      <c r="S34" s="32">
        <f t="shared" si="6"/>
        <v>146.57999999999996</v>
      </c>
    </row>
    <row r="35" spans="1:19">
      <c r="A35" s="47"/>
      <c r="B35" s="47"/>
      <c r="C35" s="47"/>
      <c r="D35" s="13">
        <v>42522</v>
      </c>
      <c r="E35" s="16">
        <f t="shared" si="3"/>
        <v>8783.3619210977704</v>
      </c>
      <c r="F35" s="16">
        <f t="shared" si="3"/>
        <v>1287465.190394511</v>
      </c>
      <c r="G35" s="14">
        <f t="shared" si="3"/>
        <v>146.57999999999998</v>
      </c>
      <c r="H35" s="46">
        <v>0</v>
      </c>
      <c r="I35" s="91">
        <f t="shared" si="12"/>
        <v>0</v>
      </c>
      <c r="J35" s="22">
        <f t="shared" si="7"/>
        <v>0</v>
      </c>
      <c r="K35" s="91">
        <f>VLOOKUP(D35,Data!$A$5:$X$197,23,FALSE)</f>
        <v>0</v>
      </c>
      <c r="L35" s="91">
        <f t="shared" si="13"/>
        <v>0</v>
      </c>
      <c r="M35" s="14">
        <f t="shared" si="4"/>
        <v>0</v>
      </c>
      <c r="N35" s="46">
        <f t="shared" si="1"/>
        <v>8783.3619210977704</v>
      </c>
      <c r="O35" s="46">
        <f t="shared" si="1"/>
        <v>1287465.190394511</v>
      </c>
      <c r="P35" s="22">
        <f t="shared" si="2"/>
        <v>146.57999999999998</v>
      </c>
      <c r="Q35" s="55">
        <f t="shared" si="14"/>
        <v>10359.862778730703</v>
      </c>
      <c r="R35" s="55">
        <f t="shared" si="14"/>
        <v>1518548.6861063463</v>
      </c>
      <c r="S35" s="32">
        <f t="shared" si="6"/>
        <v>146.57999999999998</v>
      </c>
    </row>
    <row r="36" spans="1:19">
      <c r="A36" s="47"/>
      <c r="B36" s="47"/>
      <c r="C36" s="47"/>
      <c r="D36" s="13">
        <v>42552</v>
      </c>
      <c r="E36" s="16">
        <f t="shared" si="3"/>
        <v>8783.3619210977704</v>
      </c>
      <c r="F36" s="16">
        <f t="shared" si="3"/>
        <v>1287465.190394511</v>
      </c>
      <c r="G36" s="14">
        <f t="shared" si="3"/>
        <v>146.57999999999998</v>
      </c>
      <c r="H36" s="46">
        <v>0</v>
      </c>
      <c r="I36" s="91">
        <f t="shared" si="12"/>
        <v>0</v>
      </c>
      <c r="J36" s="22">
        <f t="shared" si="7"/>
        <v>0</v>
      </c>
      <c r="K36" s="91">
        <f>VLOOKUP(D36,Data!$A$5:$X$197,23,FALSE)</f>
        <v>2927.78730703259</v>
      </c>
      <c r="L36" s="91">
        <f t="shared" si="13"/>
        <v>429155.06346483697</v>
      </c>
      <c r="M36" s="14">
        <f t="shared" si="4"/>
        <v>146.57999999999998</v>
      </c>
      <c r="N36" s="46">
        <f t="shared" si="1"/>
        <v>5855.5746140651809</v>
      </c>
      <c r="O36" s="46">
        <f t="shared" si="1"/>
        <v>858310.12692967406</v>
      </c>
      <c r="P36" s="22">
        <f t="shared" si="2"/>
        <v>146.57999999999998</v>
      </c>
      <c r="Q36" s="55">
        <f t="shared" si="14"/>
        <v>10810.291595197255</v>
      </c>
      <c r="R36" s="55">
        <f t="shared" si="14"/>
        <v>1584572.5420240136</v>
      </c>
      <c r="S36" s="32">
        <f t="shared" si="6"/>
        <v>146.57999999999998</v>
      </c>
    </row>
    <row r="37" spans="1:19">
      <c r="A37" s="47"/>
      <c r="B37" s="47"/>
      <c r="C37" s="47"/>
      <c r="D37" s="13">
        <v>42583</v>
      </c>
      <c r="E37" s="16">
        <f t="shared" si="3"/>
        <v>5855.5746140651809</v>
      </c>
      <c r="F37" s="16">
        <f t="shared" si="3"/>
        <v>858310.12692967406</v>
      </c>
      <c r="G37" s="14">
        <f t="shared" si="3"/>
        <v>146.57999999999998</v>
      </c>
      <c r="H37" s="46">
        <v>0</v>
      </c>
      <c r="I37" s="91">
        <f t="shared" si="12"/>
        <v>0</v>
      </c>
      <c r="J37" s="22">
        <f t="shared" si="7"/>
        <v>0</v>
      </c>
      <c r="K37" s="91">
        <f>VLOOKUP(D37,Data!$A$5:$X$197,23,FALSE)</f>
        <v>2927.78730703259</v>
      </c>
      <c r="L37" s="91">
        <f t="shared" si="13"/>
        <v>429155.06346483697</v>
      </c>
      <c r="M37" s="14">
        <f t="shared" si="4"/>
        <v>146.57999999999998</v>
      </c>
      <c r="N37" s="46">
        <f t="shared" si="1"/>
        <v>2927.7873070325909</v>
      </c>
      <c r="O37" s="46">
        <f t="shared" si="1"/>
        <v>429155.06346483709</v>
      </c>
      <c r="P37" s="22">
        <f t="shared" si="2"/>
        <v>146.57999999999998</v>
      </c>
      <c r="Q37" s="55">
        <f t="shared" si="14"/>
        <v>11035.506003430532</v>
      </c>
      <c r="R37" s="55">
        <f t="shared" si="14"/>
        <v>1617584.4699828471</v>
      </c>
      <c r="S37" s="32">
        <f t="shared" si="6"/>
        <v>146.57999999999998</v>
      </c>
    </row>
    <row r="38" spans="1:19">
      <c r="A38" s="47"/>
      <c r="B38" s="47"/>
      <c r="C38" s="47"/>
      <c r="D38" s="13">
        <v>42614</v>
      </c>
      <c r="E38" s="16">
        <f t="shared" si="3"/>
        <v>2927.7873070325909</v>
      </c>
      <c r="F38" s="16">
        <f t="shared" si="3"/>
        <v>429155.06346483709</v>
      </c>
      <c r="G38" s="14">
        <f t="shared" si="3"/>
        <v>146.57999999999998</v>
      </c>
      <c r="H38" s="46">
        <v>0</v>
      </c>
      <c r="I38" s="91">
        <f t="shared" si="12"/>
        <v>0</v>
      </c>
      <c r="J38" s="22">
        <f t="shared" si="7"/>
        <v>0</v>
      </c>
      <c r="K38" s="91">
        <f>VLOOKUP(D38,Data!$A$5:$X$197,23,FALSE)</f>
        <v>0</v>
      </c>
      <c r="L38" s="91">
        <f t="shared" si="13"/>
        <v>0</v>
      </c>
      <c r="M38" s="14">
        <f t="shared" si="4"/>
        <v>0</v>
      </c>
      <c r="N38" s="46">
        <f t="shared" si="1"/>
        <v>2927.7873070325909</v>
      </c>
      <c r="O38" s="46">
        <f t="shared" si="1"/>
        <v>429155.06346483709</v>
      </c>
      <c r="P38" s="22">
        <f t="shared" si="2"/>
        <v>146.57999999999998</v>
      </c>
      <c r="Q38" s="55">
        <f t="shared" si="14"/>
        <v>11260.720411663808</v>
      </c>
      <c r="R38" s="55">
        <f t="shared" si="14"/>
        <v>1650596.3979416804</v>
      </c>
      <c r="S38" s="32">
        <f t="shared" si="6"/>
        <v>146.57999999999996</v>
      </c>
    </row>
    <row r="39" spans="1:19">
      <c r="A39" s="47"/>
      <c r="B39" s="47"/>
      <c r="C39" s="47"/>
      <c r="D39" s="13">
        <v>42644</v>
      </c>
      <c r="E39" s="16">
        <f t="shared" si="3"/>
        <v>2927.7873070325909</v>
      </c>
      <c r="F39" s="16">
        <f t="shared" si="3"/>
        <v>429155.06346483709</v>
      </c>
      <c r="G39" s="14">
        <f t="shared" si="3"/>
        <v>146.57999999999998</v>
      </c>
      <c r="H39" s="46">
        <v>0</v>
      </c>
      <c r="I39" s="91">
        <f t="shared" si="12"/>
        <v>0</v>
      </c>
      <c r="J39" s="22">
        <f t="shared" si="7"/>
        <v>0</v>
      </c>
      <c r="K39" s="91">
        <f>VLOOKUP(D39,Data!$A$5:$X$197,23,FALSE)</f>
        <v>2927.78730703259</v>
      </c>
      <c r="L39" s="91">
        <f t="shared" si="13"/>
        <v>429155.06346483697</v>
      </c>
      <c r="M39" s="14">
        <f t="shared" si="4"/>
        <v>146.57999999999998</v>
      </c>
      <c r="N39" s="46">
        <f t="shared" si="1"/>
        <v>0</v>
      </c>
      <c r="O39" s="46">
        <f t="shared" si="1"/>
        <v>0</v>
      </c>
      <c r="P39" s="22">
        <f t="shared" si="2"/>
        <v>0</v>
      </c>
      <c r="Q39" s="55">
        <f t="shared" si="14"/>
        <v>10134.648370497425</v>
      </c>
      <c r="R39" s="55">
        <f t="shared" si="14"/>
        <v>1485536.7581475128</v>
      </c>
      <c r="S39" s="32">
        <f t="shared" si="6"/>
        <v>146.58000000000001</v>
      </c>
    </row>
    <row r="40" spans="1:19">
      <c r="A40" s="47"/>
      <c r="B40" s="47"/>
      <c r="C40" s="47"/>
      <c r="D40" s="13">
        <v>42675</v>
      </c>
      <c r="E40" s="16">
        <f t="shared" si="3"/>
        <v>0</v>
      </c>
      <c r="F40" s="16">
        <f t="shared" si="3"/>
        <v>0</v>
      </c>
      <c r="G40" s="14">
        <f t="shared" si="3"/>
        <v>0</v>
      </c>
      <c r="H40" s="46">
        <v>0</v>
      </c>
      <c r="I40" s="91">
        <f t="shared" si="12"/>
        <v>0</v>
      </c>
      <c r="J40" s="22">
        <f t="shared" si="7"/>
        <v>0</v>
      </c>
      <c r="K40" s="91">
        <f>VLOOKUP(D40,Data!$A$5:$X$197,23,FALSE)</f>
        <v>0</v>
      </c>
      <c r="L40" s="91">
        <f t="shared" si="13"/>
        <v>0</v>
      </c>
      <c r="M40" s="14">
        <f t="shared" si="4"/>
        <v>0</v>
      </c>
      <c r="N40" s="46">
        <f t="shared" si="1"/>
        <v>0</v>
      </c>
      <c r="O40" s="46">
        <f t="shared" si="1"/>
        <v>0</v>
      </c>
      <c r="P40" s="22">
        <f t="shared" si="2"/>
        <v>0</v>
      </c>
      <c r="Q40" s="55">
        <f t="shared" si="14"/>
        <v>9008.5763293310465</v>
      </c>
      <c r="R40" s="55">
        <f t="shared" si="14"/>
        <v>1320477.1183533447</v>
      </c>
      <c r="S40" s="32">
        <f t="shared" si="6"/>
        <v>146.57999999999998</v>
      </c>
    </row>
    <row r="41" spans="1:19">
      <c r="A41" s="47"/>
      <c r="B41" s="47"/>
      <c r="C41" s="47"/>
      <c r="D41" s="13">
        <v>42705</v>
      </c>
      <c r="E41" s="16">
        <f t="shared" si="3"/>
        <v>0</v>
      </c>
      <c r="F41" s="16">
        <f t="shared" si="3"/>
        <v>0</v>
      </c>
      <c r="G41" s="14">
        <f t="shared" si="3"/>
        <v>0</v>
      </c>
      <c r="H41" s="46">
        <v>0</v>
      </c>
      <c r="I41" s="91">
        <f t="shared" si="12"/>
        <v>0</v>
      </c>
      <c r="J41" s="22">
        <f t="shared" si="7"/>
        <v>0</v>
      </c>
      <c r="K41" s="91">
        <f>VLOOKUP(D41,Data!$A$5:$X$197,23,FALSE)</f>
        <v>0</v>
      </c>
      <c r="L41" s="91">
        <f t="shared" si="13"/>
        <v>0</v>
      </c>
      <c r="M41" s="14">
        <f t="shared" si="4"/>
        <v>0</v>
      </c>
      <c r="N41" s="46">
        <f t="shared" si="1"/>
        <v>0</v>
      </c>
      <c r="O41" s="46">
        <f t="shared" si="1"/>
        <v>0</v>
      </c>
      <c r="P41" s="22">
        <f t="shared" si="2"/>
        <v>0</v>
      </c>
      <c r="Q41" s="55">
        <f t="shared" si="14"/>
        <v>7882.5042881646641</v>
      </c>
      <c r="R41" s="55">
        <f t="shared" si="14"/>
        <v>1155417.4785591769</v>
      </c>
      <c r="S41" s="32">
        <f t="shared" si="6"/>
        <v>146.58000000000007</v>
      </c>
    </row>
    <row r="42" spans="1:19">
      <c r="A42" s="47"/>
      <c r="B42" s="47"/>
      <c r="C42" s="47"/>
      <c r="D42" s="13">
        <v>42736</v>
      </c>
      <c r="E42" s="16">
        <f t="shared" si="3"/>
        <v>0</v>
      </c>
      <c r="F42" s="16">
        <f t="shared" si="3"/>
        <v>0</v>
      </c>
      <c r="G42" s="14">
        <f t="shared" si="3"/>
        <v>0</v>
      </c>
      <c r="H42" s="46">
        <v>0</v>
      </c>
      <c r="I42" s="91">
        <f t="shared" si="12"/>
        <v>0</v>
      </c>
      <c r="J42" s="22">
        <f t="shared" si="7"/>
        <v>0</v>
      </c>
      <c r="K42" s="91">
        <f>VLOOKUP(D42,Data!$A$5:$X$197,23,FALSE)</f>
        <v>0</v>
      </c>
      <c r="L42" s="91">
        <f t="shared" si="13"/>
        <v>0</v>
      </c>
      <c r="M42" s="14">
        <f t="shared" si="4"/>
        <v>0</v>
      </c>
      <c r="N42" s="46">
        <f t="shared" si="1"/>
        <v>0</v>
      </c>
      <c r="O42" s="46">
        <f t="shared" si="1"/>
        <v>0</v>
      </c>
      <c r="P42" s="22">
        <f t="shared" si="2"/>
        <v>0</v>
      </c>
      <c r="Q42" s="55">
        <f t="shared" si="14"/>
        <v>6756.4322469982835</v>
      </c>
      <c r="R42" s="55">
        <f t="shared" si="14"/>
        <v>990357.83876500861</v>
      </c>
      <c r="S42" s="32">
        <f t="shared" si="6"/>
        <v>146.58000000000004</v>
      </c>
    </row>
    <row r="43" spans="1:19">
      <c r="A43" s="47"/>
      <c r="B43" s="47"/>
      <c r="C43" s="47"/>
      <c r="D43" s="13">
        <v>42767</v>
      </c>
      <c r="E43" s="16">
        <f t="shared" si="3"/>
        <v>0</v>
      </c>
      <c r="F43" s="16">
        <f t="shared" si="3"/>
        <v>0</v>
      </c>
      <c r="G43" s="14">
        <f t="shared" si="3"/>
        <v>0</v>
      </c>
      <c r="H43" s="46">
        <v>0</v>
      </c>
      <c r="I43" s="91">
        <f t="shared" si="12"/>
        <v>0</v>
      </c>
      <c r="J43" s="22">
        <f t="shared" si="7"/>
        <v>0</v>
      </c>
      <c r="K43" s="91">
        <f>VLOOKUP(D43,Data!$A$5:$X$197,23,FALSE)</f>
        <v>0</v>
      </c>
      <c r="L43" s="91">
        <f t="shared" si="13"/>
        <v>0</v>
      </c>
      <c r="M43" s="14">
        <f t="shared" si="4"/>
        <v>0</v>
      </c>
      <c r="N43" s="46">
        <f t="shared" si="1"/>
        <v>0</v>
      </c>
      <c r="O43" s="46">
        <f t="shared" si="1"/>
        <v>0</v>
      </c>
      <c r="P43" s="22">
        <f t="shared" si="2"/>
        <v>0</v>
      </c>
      <c r="Q43" s="55">
        <f t="shared" si="14"/>
        <v>5630.3602058319029</v>
      </c>
      <c r="R43" s="55">
        <f t="shared" si="14"/>
        <v>825298.19897084055</v>
      </c>
      <c r="S43" s="32">
        <f t="shared" si="6"/>
        <v>146.58000000000004</v>
      </c>
    </row>
    <row r="44" spans="1:19">
      <c r="A44" s="47"/>
      <c r="B44" s="47"/>
      <c r="C44" s="47"/>
      <c r="D44" s="13">
        <v>42795</v>
      </c>
      <c r="E44" s="16">
        <f t="shared" si="3"/>
        <v>0</v>
      </c>
      <c r="F44" s="16">
        <f t="shared" si="3"/>
        <v>0</v>
      </c>
      <c r="G44" s="14">
        <f t="shared" si="3"/>
        <v>0</v>
      </c>
      <c r="H44" s="46">
        <v>0</v>
      </c>
      <c r="I44" s="91">
        <f t="shared" si="12"/>
        <v>0</v>
      </c>
      <c r="J44" s="22">
        <f t="shared" si="7"/>
        <v>0</v>
      </c>
      <c r="K44" s="91">
        <f>VLOOKUP(D44,Data!$A$5:$X$197,23,FALSE)</f>
        <v>0</v>
      </c>
      <c r="L44" s="91">
        <f t="shared" si="13"/>
        <v>0</v>
      </c>
      <c r="M44" s="14">
        <f t="shared" si="4"/>
        <v>0</v>
      </c>
      <c r="N44" s="46">
        <f t="shared" si="1"/>
        <v>0</v>
      </c>
      <c r="O44" s="46">
        <f t="shared" si="1"/>
        <v>0</v>
      </c>
      <c r="P44" s="22">
        <f t="shared" si="2"/>
        <v>0</v>
      </c>
      <c r="Q44" s="55">
        <f t="shared" si="14"/>
        <v>4504.2881646655233</v>
      </c>
      <c r="R44" s="55">
        <f t="shared" si="14"/>
        <v>660238.55917667237</v>
      </c>
      <c r="S44" s="32">
        <f t="shared" si="6"/>
        <v>146.57999999999998</v>
      </c>
    </row>
    <row r="45" spans="1:19">
      <c r="A45" s="47"/>
      <c r="B45" s="47"/>
      <c r="C45" s="47"/>
      <c r="D45" s="13">
        <v>42826</v>
      </c>
      <c r="E45" s="16">
        <f t="shared" si="3"/>
        <v>0</v>
      </c>
      <c r="F45" s="16">
        <f t="shared" si="3"/>
        <v>0</v>
      </c>
      <c r="G45" s="14">
        <f t="shared" si="3"/>
        <v>0</v>
      </c>
      <c r="H45" s="46">
        <v>0</v>
      </c>
      <c r="I45" s="91">
        <f t="shared" si="12"/>
        <v>0</v>
      </c>
      <c r="J45" s="22">
        <f t="shared" si="7"/>
        <v>0</v>
      </c>
      <c r="K45" s="91">
        <f>VLOOKUP(D45,Data!$A$5:$X$197,23,FALSE)</f>
        <v>0</v>
      </c>
      <c r="L45" s="91">
        <f t="shared" si="13"/>
        <v>0</v>
      </c>
      <c r="M45" s="14">
        <f t="shared" si="4"/>
        <v>0</v>
      </c>
      <c r="N45" s="46">
        <f t="shared" si="1"/>
        <v>0</v>
      </c>
      <c r="O45" s="46">
        <f t="shared" si="1"/>
        <v>0</v>
      </c>
      <c r="P45" s="22">
        <f t="shared" si="2"/>
        <v>0</v>
      </c>
      <c r="Q45" s="55">
        <f t="shared" si="14"/>
        <v>3378.2161234991418</v>
      </c>
      <c r="R45" s="55">
        <f t="shared" si="14"/>
        <v>495178.91938250425</v>
      </c>
      <c r="S45" s="32">
        <f t="shared" si="6"/>
        <v>146.58000000000001</v>
      </c>
    </row>
    <row r="46" spans="1:19">
      <c r="A46" s="47"/>
      <c r="B46" s="47"/>
      <c r="C46" s="47"/>
      <c r="D46" s="13">
        <v>42856</v>
      </c>
      <c r="E46" s="16">
        <f t="shared" si="3"/>
        <v>0</v>
      </c>
      <c r="F46" s="16">
        <f t="shared" si="3"/>
        <v>0</v>
      </c>
      <c r="G46" s="14">
        <f t="shared" si="3"/>
        <v>0</v>
      </c>
      <c r="H46" s="46">
        <v>0</v>
      </c>
      <c r="I46" s="91">
        <f t="shared" si="12"/>
        <v>0</v>
      </c>
      <c r="J46" s="22">
        <f t="shared" si="7"/>
        <v>0</v>
      </c>
      <c r="K46" s="91">
        <f>VLOOKUP(D46,Data!$A$5:$X$197,23,FALSE)</f>
        <v>0</v>
      </c>
      <c r="L46" s="91">
        <f t="shared" si="13"/>
        <v>0</v>
      </c>
      <c r="M46" s="14">
        <f t="shared" si="4"/>
        <v>0</v>
      </c>
      <c r="N46" s="46">
        <f t="shared" si="1"/>
        <v>0</v>
      </c>
      <c r="O46" s="46">
        <f t="shared" si="1"/>
        <v>0</v>
      </c>
      <c r="P46" s="22">
        <f t="shared" si="2"/>
        <v>0</v>
      </c>
      <c r="Q46" s="55">
        <f t="shared" si="14"/>
        <v>2252.1440823327621</v>
      </c>
      <c r="R46" s="55">
        <f t="shared" si="14"/>
        <v>330119.27958833618</v>
      </c>
      <c r="S46" s="32">
        <f t="shared" si="6"/>
        <v>146.57999999999996</v>
      </c>
    </row>
    <row r="47" spans="1:19">
      <c r="A47" s="47"/>
      <c r="B47" s="47"/>
      <c r="C47" s="47"/>
      <c r="D47" s="13">
        <v>42887</v>
      </c>
      <c r="E47" s="16">
        <f t="shared" si="3"/>
        <v>0</v>
      </c>
      <c r="F47" s="16">
        <f t="shared" si="3"/>
        <v>0</v>
      </c>
      <c r="G47" s="14">
        <f t="shared" si="3"/>
        <v>0</v>
      </c>
      <c r="H47" s="46">
        <v>0</v>
      </c>
      <c r="I47" s="91">
        <f t="shared" si="12"/>
        <v>0</v>
      </c>
      <c r="J47" s="22">
        <f t="shared" si="7"/>
        <v>0</v>
      </c>
      <c r="K47" s="91">
        <f>VLOOKUP(D47,Data!$A$5:$X$197,23,FALSE)</f>
        <v>0</v>
      </c>
      <c r="L47" s="91">
        <f t="shared" si="13"/>
        <v>0</v>
      </c>
      <c r="M47" s="14">
        <f t="shared" si="4"/>
        <v>0</v>
      </c>
      <c r="N47" s="46">
        <f t="shared" si="1"/>
        <v>0</v>
      </c>
      <c r="O47" s="46">
        <f t="shared" si="1"/>
        <v>0</v>
      </c>
      <c r="P47" s="22">
        <f t="shared" si="2"/>
        <v>0</v>
      </c>
      <c r="Q47" s="55">
        <f t="shared" si="14"/>
        <v>1576.5008576329333</v>
      </c>
      <c r="R47" s="55">
        <f t="shared" si="14"/>
        <v>231083.4957118353</v>
      </c>
      <c r="S47" s="32">
        <f t="shared" si="6"/>
        <v>146.57999999999996</v>
      </c>
    </row>
    <row r="48" spans="1:19">
      <c r="A48" s="47"/>
      <c r="B48" s="47"/>
      <c r="C48" s="47"/>
      <c r="D48" s="13">
        <v>42917</v>
      </c>
      <c r="E48" s="16">
        <f t="shared" ref="E48:G63" si="15">N47</f>
        <v>0</v>
      </c>
      <c r="F48" s="16">
        <f t="shared" si="15"/>
        <v>0</v>
      </c>
      <c r="G48" s="14">
        <f t="shared" si="15"/>
        <v>0</v>
      </c>
      <c r="H48" s="46">
        <v>0</v>
      </c>
      <c r="I48" s="91">
        <f t="shared" si="12"/>
        <v>0</v>
      </c>
      <c r="J48" s="22">
        <f t="shared" si="7"/>
        <v>0</v>
      </c>
      <c r="K48" s="91">
        <f>VLOOKUP(D48,Data!$A$5:$X$197,23,FALSE)</f>
        <v>0</v>
      </c>
      <c r="L48" s="91">
        <f t="shared" si="13"/>
        <v>0</v>
      </c>
      <c r="M48" s="14">
        <f t="shared" si="4"/>
        <v>0</v>
      </c>
      <c r="N48" s="46">
        <f t="shared" si="1"/>
        <v>0</v>
      </c>
      <c r="O48" s="46">
        <f t="shared" si="1"/>
        <v>0</v>
      </c>
      <c r="P48" s="22">
        <f t="shared" si="2"/>
        <v>0</v>
      </c>
      <c r="Q48" s="55">
        <f t="shared" si="14"/>
        <v>900.85763293310492</v>
      </c>
      <c r="R48" s="55">
        <f t="shared" si="14"/>
        <v>132047.71183533448</v>
      </c>
      <c r="S48" s="32">
        <f t="shared" si="6"/>
        <v>146.57999999999996</v>
      </c>
    </row>
    <row r="49" spans="1:19">
      <c r="A49" s="47"/>
      <c r="B49" s="47"/>
      <c r="C49" s="47"/>
      <c r="D49" s="13">
        <v>42948</v>
      </c>
      <c r="E49" s="16">
        <f t="shared" si="15"/>
        <v>0</v>
      </c>
      <c r="F49" s="16">
        <f t="shared" si="15"/>
        <v>0</v>
      </c>
      <c r="G49" s="14">
        <f t="shared" si="15"/>
        <v>0</v>
      </c>
      <c r="H49" s="46">
        <v>0</v>
      </c>
      <c r="I49" s="91">
        <f t="shared" si="12"/>
        <v>0</v>
      </c>
      <c r="J49" s="22">
        <f t="shared" si="7"/>
        <v>0</v>
      </c>
      <c r="K49" s="91">
        <f>VLOOKUP(D49,Data!$A$5:$X$197,23,FALSE)</f>
        <v>0</v>
      </c>
      <c r="L49" s="91">
        <f t="shared" si="13"/>
        <v>0</v>
      </c>
      <c r="M49" s="14">
        <f t="shared" si="4"/>
        <v>0</v>
      </c>
      <c r="N49" s="46">
        <f t="shared" si="1"/>
        <v>0</v>
      </c>
      <c r="O49" s="46">
        <f t="shared" si="1"/>
        <v>0</v>
      </c>
      <c r="P49" s="22">
        <f t="shared" si="2"/>
        <v>0</v>
      </c>
      <c r="Q49" s="55">
        <f t="shared" si="14"/>
        <v>450.42881646655246</v>
      </c>
      <c r="R49" s="55">
        <f t="shared" si="14"/>
        <v>66023.855917667242</v>
      </c>
      <c r="S49" s="32">
        <f t="shared" si="6"/>
        <v>146.57999999999996</v>
      </c>
    </row>
    <row r="50" spans="1:19">
      <c r="A50" s="47"/>
      <c r="B50" s="47"/>
      <c r="C50" s="47"/>
      <c r="D50" s="13">
        <v>42979</v>
      </c>
      <c r="E50" s="16">
        <f t="shared" si="15"/>
        <v>0</v>
      </c>
      <c r="F50" s="16">
        <f t="shared" si="15"/>
        <v>0</v>
      </c>
      <c r="G50" s="14">
        <f t="shared" si="15"/>
        <v>0</v>
      </c>
      <c r="H50" s="46">
        <v>0</v>
      </c>
      <c r="I50" s="91">
        <f t="shared" si="12"/>
        <v>0</v>
      </c>
      <c r="J50" s="22">
        <f t="shared" si="7"/>
        <v>0</v>
      </c>
      <c r="K50" s="91">
        <f>VLOOKUP(D50,Data!$A$5:$X$197,23,FALSE)</f>
        <v>0</v>
      </c>
      <c r="L50" s="91">
        <f t="shared" si="13"/>
        <v>0</v>
      </c>
      <c r="M50" s="14">
        <f t="shared" si="4"/>
        <v>0</v>
      </c>
      <c r="N50" s="46">
        <f t="shared" si="1"/>
        <v>0</v>
      </c>
      <c r="O50" s="46">
        <f t="shared" si="1"/>
        <v>0</v>
      </c>
      <c r="P50" s="22">
        <f t="shared" si="2"/>
        <v>0</v>
      </c>
      <c r="Q50" s="55">
        <f t="shared" ref="Q50:R65" si="16">AVERAGE(N38:N50)</f>
        <v>225.21440823327623</v>
      </c>
      <c r="R50" s="55">
        <f t="shared" si="16"/>
        <v>33011.927958833621</v>
      </c>
      <c r="S50" s="32">
        <f t="shared" si="6"/>
        <v>146.57999999999996</v>
      </c>
    </row>
    <row r="51" spans="1:19">
      <c r="A51" s="47"/>
      <c r="B51" s="47"/>
      <c r="C51" s="47"/>
      <c r="D51" s="13">
        <v>43009</v>
      </c>
      <c r="E51" s="16">
        <f t="shared" si="15"/>
        <v>0</v>
      </c>
      <c r="F51" s="16">
        <f t="shared" si="15"/>
        <v>0</v>
      </c>
      <c r="G51" s="14">
        <f t="shared" si="15"/>
        <v>0</v>
      </c>
      <c r="H51" s="46">
        <v>0</v>
      </c>
      <c r="I51" s="91">
        <f t="shared" si="12"/>
        <v>0</v>
      </c>
      <c r="J51" s="22">
        <f t="shared" si="7"/>
        <v>0</v>
      </c>
      <c r="K51" s="91">
        <f>VLOOKUP(D51,Data!$A$5:$X$197,23,FALSE)</f>
        <v>0</v>
      </c>
      <c r="L51" s="91">
        <f t="shared" si="13"/>
        <v>0</v>
      </c>
      <c r="M51" s="14">
        <f t="shared" si="4"/>
        <v>0</v>
      </c>
      <c r="N51" s="46">
        <f t="shared" si="1"/>
        <v>0</v>
      </c>
      <c r="O51" s="46">
        <f t="shared" si="1"/>
        <v>0</v>
      </c>
      <c r="P51" s="22">
        <f t="shared" si="2"/>
        <v>0</v>
      </c>
      <c r="Q51" s="55">
        <f t="shared" si="16"/>
        <v>0</v>
      </c>
      <c r="R51" s="55">
        <f t="shared" si="16"/>
        <v>0</v>
      </c>
      <c r="S51" s="32">
        <f t="shared" si="6"/>
        <v>0</v>
      </c>
    </row>
    <row r="52" spans="1:19">
      <c r="A52" s="47"/>
      <c r="B52" s="47"/>
      <c r="C52" s="47"/>
      <c r="D52" s="13">
        <v>43040</v>
      </c>
      <c r="E52" s="16">
        <f t="shared" si="15"/>
        <v>0</v>
      </c>
      <c r="F52" s="16">
        <f t="shared" si="15"/>
        <v>0</v>
      </c>
      <c r="G52" s="14">
        <f t="shared" si="15"/>
        <v>0</v>
      </c>
      <c r="H52" s="46">
        <v>0</v>
      </c>
      <c r="I52" s="91">
        <f t="shared" si="12"/>
        <v>0</v>
      </c>
      <c r="J52" s="22">
        <f t="shared" si="7"/>
        <v>0</v>
      </c>
      <c r="K52" s="91">
        <f>VLOOKUP(D52,Data!$A$5:$X$197,23,FALSE)</f>
        <v>0</v>
      </c>
      <c r="L52" s="91">
        <f t="shared" si="13"/>
        <v>0</v>
      </c>
      <c r="M52" s="14">
        <f t="shared" si="4"/>
        <v>0</v>
      </c>
      <c r="N52" s="46">
        <f t="shared" si="1"/>
        <v>0</v>
      </c>
      <c r="O52" s="46">
        <f t="shared" si="1"/>
        <v>0</v>
      </c>
      <c r="P52" s="22">
        <f t="shared" si="2"/>
        <v>0</v>
      </c>
      <c r="Q52" s="55">
        <f t="shared" si="16"/>
        <v>0</v>
      </c>
      <c r="R52" s="55">
        <f t="shared" si="16"/>
        <v>0</v>
      </c>
      <c r="S52" s="32">
        <f t="shared" si="6"/>
        <v>0</v>
      </c>
    </row>
    <row r="53" spans="1:19">
      <c r="A53" s="47"/>
      <c r="B53" s="47"/>
      <c r="C53" s="47"/>
      <c r="D53" s="13">
        <v>43070</v>
      </c>
      <c r="E53" s="16">
        <f t="shared" si="15"/>
        <v>0</v>
      </c>
      <c r="F53" s="16">
        <f t="shared" si="15"/>
        <v>0</v>
      </c>
      <c r="G53" s="14">
        <f t="shared" si="15"/>
        <v>0</v>
      </c>
      <c r="H53" s="46">
        <v>0</v>
      </c>
      <c r="I53" s="91">
        <f t="shared" si="12"/>
        <v>0</v>
      </c>
      <c r="J53" s="22">
        <f t="shared" si="7"/>
        <v>0</v>
      </c>
      <c r="K53" s="91">
        <f>VLOOKUP(D53,Data!$A$5:$X$197,23,FALSE)</f>
        <v>0</v>
      </c>
      <c r="L53" s="91">
        <f t="shared" si="13"/>
        <v>0</v>
      </c>
      <c r="M53" s="14">
        <f t="shared" si="4"/>
        <v>0</v>
      </c>
      <c r="N53" s="46">
        <f t="shared" si="1"/>
        <v>0</v>
      </c>
      <c r="O53" s="46">
        <f t="shared" si="1"/>
        <v>0</v>
      </c>
      <c r="P53" s="22">
        <f t="shared" si="2"/>
        <v>0</v>
      </c>
      <c r="Q53" s="55">
        <f t="shared" si="16"/>
        <v>0</v>
      </c>
      <c r="R53" s="55">
        <f t="shared" si="16"/>
        <v>0</v>
      </c>
      <c r="S53" s="32">
        <f t="shared" si="6"/>
        <v>0</v>
      </c>
    </row>
    <row r="54" spans="1:19">
      <c r="A54" s="47"/>
      <c r="B54" s="47"/>
      <c r="C54" s="47"/>
      <c r="D54" s="13">
        <v>43101</v>
      </c>
      <c r="E54" s="16">
        <f t="shared" si="15"/>
        <v>0</v>
      </c>
      <c r="F54" s="16">
        <f t="shared" si="15"/>
        <v>0</v>
      </c>
      <c r="G54" s="14">
        <f t="shared" si="15"/>
        <v>0</v>
      </c>
      <c r="H54" s="46">
        <v>0</v>
      </c>
      <c r="I54" s="91">
        <f t="shared" si="12"/>
        <v>0</v>
      </c>
      <c r="J54" s="22">
        <f t="shared" si="7"/>
        <v>0</v>
      </c>
      <c r="K54" s="91">
        <f>VLOOKUP(D54,Data!$A$5:$X$197,23,FALSE)</f>
        <v>0</v>
      </c>
      <c r="L54" s="91">
        <f t="shared" si="13"/>
        <v>0</v>
      </c>
      <c r="M54" s="14">
        <f t="shared" si="4"/>
        <v>0</v>
      </c>
      <c r="N54" s="46">
        <f t="shared" ref="N54:O69" si="17">+E54+H54-K54</f>
        <v>0</v>
      </c>
      <c r="O54" s="46">
        <f t="shared" si="17"/>
        <v>0</v>
      </c>
      <c r="P54" s="22">
        <f t="shared" si="2"/>
        <v>0</v>
      </c>
      <c r="Q54" s="55">
        <f t="shared" si="16"/>
        <v>0</v>
      </c>
      <c r="R54" s="55">
        <f t="shared" si="16"/>
        <v>0</v>
      </c>
      <c r="S54" s="32">
        <f t="shared" si="6"/>
        <v>0</v>
      </c>
    </row>
    <row r="55" spans="1:19">
      <c r="A55" s="47"/>
      <c r="B55" s="47"/>
      <c r="C55" s="47"/>
      <c r="D55" s="13">
        <v>43132</v>
      </c>
      <c r="E55" s="16">
        <f t="shared" si="15"/>
        <v>0</v>
      </c>
      <c r="F55" s="16">
        <f t="shared" si="15"/>
        <v>0</v>
      </c>
      <c r="G55" s="14">
        <f t="shared" si="15"/>
        <v>0</v>
      </c>
      <c r="H55" s="46">
        <v>0</v>
      </c>
      <c r="I55" s="91">
        <f t="shared" si="12"/>
        <v>0</v>
      </c>
      <c r="J55" s="22">
        <f t="shared" si="7"/>
        <v>0</v>
      </c>
      <c r="K55" s="91">
        <f>VLOOKUP(D55,Data!$A$5:$X$197,23,FALSE)</f>
        <v>0</v>
      </c>
      <c r="L55" s="91">
        <f t="shared" si="13"/>
        <v>0</v>
      </c>
      <c r="M55" s="14">
        <f t="shared" si="4"/>
        <v>0</v>
      </c>
      <c r="N55" s="46">
        <f t="shared" si="17"/>
        <v>0</v>
      </c>
      <c r="O55" s="46">
        <f t="shared" si="17"/>
        <v>0</v>
      </c>
      <c r="P55" s="22">
        <f t="shared" si="2"/>
        <v>0</v>
      </c>
      <c r="Q55" s="55">
        <f t="shared" si="16"/>
        <v>0</v>
      </c>
      <c r="R55" s="55">
        <f t="shared" si="16"/>
        <v>0</v>
      </c>
      <c r="S55" s="32">
        <f t="shared" si="6"/>
        <v>0</v>
      </c>
    </row>
    <row r="56" spans="1:19">
      <c r="A56" s="47"/>
      <c r="B56" s="47"/>
      <c r="C56" s="47"/>
      <c r="D56" s="13">
        <v>43160</v>
      </c>
      <c r="E56" s="16">
        <f t="shared" si="15"/>
        <v>0</v>
      </c>
      <c r="F56" s="16">
        <f t="shared" si="15"/>
        <v>0</v>
      </c>
      <c r="G56" s="14">
        <f t="shared" si="15"/>
        <v>0</v>
      </c>
      <c r="H56" s="46">
        <v>0</v>
      </c>
      <c r="I56" s="91">
        <f t="shared" si="12"/>
        <v>0</v>
      </c>
      <c r="J56" s="22">
        <f t="shared" si="7"/>
        <v>0</v>
      </c>
      <c r="K56" s="91">
        <f>VLOOKUP(D56,Data!$A$5:$X$197,23,FALSE)</f>
        <v>0</v>
      </c>
      <c r="L56" s="91">
        <f t="shared" si="13"/>
        <v>0</v>
      </c>
      <c r="M56" s="14">
        <f t="shared" si="4"/>
        <v>0</v>
      </c>
      <c r="N56" s="46">
        <f t="shared" si="17"/>
        <v>0</v>
      </c>
      <c r="O56" s="46">
        <f t="shared" si="17"/>
        <v>0</v>
      </c>
      <c r="P56" s="22">
        <f t="shared" si="2"/>
        <v>0</v>
      </c>
      <c r="Q56" s="55">
        <f t="shared" si="16"/>
        <v>0</v>
      </c>
      <c r="R56" s="55">
        <f t="shared" si="16"/>
        <v>0</v>
      </c>
      <c r="S56" s="32">
        <f t="shared" si="6"/>
        <v>0</v>
      </c>
    </row>
    <row r="57" spans="1:19">
      <c r="A57" s="47"/>
      <c r="B57" s="47"/>
      <c r="C57" s="47"/>
      <c r="D57" s="13">
        <v>43191</v>
      </c>
      <c r="E57" s="16">
        <f t="shared" si="15"/>
        <v>0</v>
      </c>
      <c r="F57" s="16">
        <f t="shared" si="15"/>
        <v>0</v>
      </c>
      <c r="G57" s="14">
        <f t="shared" si="15"/>
        <v>0</v>
      </c>
      <c r="H57" s="46">
        <v>0</v>
      </c>
      <c r="I57" s="91">
        <f t="shared" si="12"/>
        <v>0</v>
      </c>
      <c r="J57" s="22">
        <f t="shared" si="7"/>
        <v>0</v>
      </c>
      <c r="K57" s="91">
        <f>VLOOKUP(D57,Data!$A$5:$X$197,23,FALSE)</f>
        <v>0</v>
      </c>
      <c r="L57" s="91">
        <f t="shared" si="13"/>
        <v>0</v>
      </c>
      <c r="M57" s="14">
        <f t="shared" si="4"/>
        <v>0</v>
      </c>
      <c r="N57" s="46">
        <f t="shared" si="17"/>
        <v>0</v>
      </c>
      <c r="O57" s="46">
        <f t="shared" si="17"/>
        <v>0</v>
      </c>
      <c r="P57" s="22">
        <f t="shared" si="2"/>
        <v>0</v>
      </c>
      <c r="Q57" s="55">
        <f t="shared" si="16"/>
        <v>0</v>
      </c>
      <c r="R57" s="55">
        <f t="shared" si="16"/>
        <v>0</v>
      </c>
      <c r="S57" s="32">
        <f t="shared" si="6"/>
        <v>0</v>
      </c>
    </row>
    <row r="58" spans="1:19">
      <c r="A58" s="47"/>
      <c r="B58" s="47"/>
      <c r="C58" s="47"/>
      <c r="D58" s="13">
        <v>43221</v>
      </c>
      <c r="E58" s="16">
        <f t="shared" si="15"/>
        <v>0</v>
      </c>
      <c r="F58" s="16">
        <f t="shared" si="15"/>
        <v>0</v>
      </c>
      <c r="G58" s="14">
        <f t="shared" si="15"/>
        <v>0</v>
      </c>
      <c r="H58" s="46">
        <v>0</v>
      </c>
      <c r="I58" s="91">
        <f t="shared" si="12"/>
        <v>0</v>
      </c>
      <c r="J58" s="22">
        <f t="shared" si="7"/>
        <v>0</v>
      </c>
      <c r="K58" s="91">
        <f>VLOOKUP(D58,Data!$A$5:$X$197,23,FALSE)</f>
        <v>0</v>
      </c>
      <c r="L58" s="91">
        <f t="shared" si="13"/>
        <v>0</v>
      </c>
      <c r="M58" s="14">
        <f t="shared" si="4"/>
        <v>0</v>
      </c>
      <c r="N58" s="46">
        <f t="shared" si="17"/>
        <v>0</v>
      </c>
      <c r="O58" s="46">
        <f t="shared" si="17"/>
        <v>0</v>
      </c>
      <c r="P58" s="22">
        <f t="shared" si="2"/>
        <v>0</v>
      </c>
      <c r="Q58" s="55">
        <f t="shared" si="16"/>
        <v>0</v>
      </c>
      <c r="R58" s="55">
        <f t="shared" si="16"/>
        <v>0</v>
      </c>
      <c r="S58" s="32">
        <f t="shared" si="6"/>
        <v>0</v>
      </c>
    </row>
    <row r="59" spans="1:19">
      <c r="A59" s="47"/>
      <c r="B59" s="47"/>
      <c r="C59" s="47"/>
      <c r="D59" s="13">
        <v>43252</v>
      </c>
      <c r="E59" s="16">
        <f t="shared" si="15"/>
        <v>0</v>
      </c>
      <c r="F59" s="16">
        <f t="shared" si="15"/>
        <v>0</v>
      </c>
      <c r="G59" s="14">
        <f t="shared" si="15"/>
        <v>0</v>
      </c>
      <c r="H59" s="46">
        <v>0</v>
      </c>
      <c r="I59" s="91">
        <f t="shared" si="12"/>
        <v>0</v>
      </c>
      <c r="J59" s="22">
        <f t="shared" si="7"/>
        <v>0</v>
      </c>
      <c r="K59" s="91">
        <f>VLOOKUP(D59,Data!$A$5:$X$197,23,FALSE)</f>
        <v>0</v>
      </c>
      <c r="L59" s="91">
        <f t="shared" si="13"/>
        <v>0</v>
      </c>
      <c r="M59" s="14">
        <f t="shared" si="4"/>
        <v>0</v>
      </c>
      <c r="N59" s="46">
        <f t="shared" si="17"/>
        <v>0</v>
      </c>
      <c r="O59" s="46">
        <f t="shared" si="17"/>
        <v>0</v>
      </c>
      <c r="P59" s="22">
        <f t="shared" si="2"/>
        <v>0</v>
      </c>
      <c r="Q59" s="55">
        <f t="shared" si="16"/>
        <v>0</v>
      </c>
      <c r="R59" s="55">
        <f t="shared" si="16"/>
        <v>0</v>
      </c>
      <c r="S59" s="32">
        <f t="shared" si="6"/>
        <v>0</v>
      </c>
    </row>
    <row r="60" spans="1:19">
      <c r="A60" s="47"/>
      <c r="B60" s="47"/>
      <c r="C60" s="47"/>
      <c r="D60" s="13">
        <v>43282</v>
      </c>
      <c r="E60" s="16">
        <f t="shared" si="15"/>
        <v>0</v>
      </c>
      <c r="F60" s="16">
        <f t="shared" si="15"/>
        <v>0</v>
      </c>
      <c r="G60" s="14">
        <f t="shared" si="15"/>
        <v>0</v>
      </c>
      <c r="H60" s="46">
        <v>0</v>
      </c>
      <c r="I60" s="91">
        <f t="shared" si="12"/>
        <v>0</v>
      </c>
      <c r="J60" s="22">
        <f t="shared" si="7"/>
        <v>0</v>
      </c>
      <c r="K60" s="91">
        <f>VLOOKUP(D60,Data!$A$5:$X$197,23,FALSE)</f>
        <v>0</v>
      </c>
      <c r="L60" s="91">
        <f t="shared" si="13"/>
        <v>0</v>
      </c>
      <c r="M60" s="14">
        <f t="shared" si="4"/>
        <v>0</v>
      </c>
      <c r="N60" s="46">
        <f t="shared" si="17"/>
        <v>0</v>
      </c>
      <c r="O60" s="46">
        <f t="shared" si="17"/>
        <v>0</v>
      </c>
      <c r="P60" s="22">
        <f t="shared" si="2"/>
        <v>0</v>
      </c>
      <c r="Q60" s="55">
        <f t="shared" si="16"/>
        <v>0</v>
      </c>
      <c r="R60" s="55">
        <f t="shared" si="16"/>
        <v>0</v>
      </c>
      <c r="S60" s="32">
        <f t="shared" si="6"/>
        <v>0</v>
      </c>
    </row>
    <row r="61" spans="1:19">
      <c r="A61" s="47"/>
      <c r="B61" s="47"/>
      <c r="C61" s="47"/>
      <c r="D61" s="13">
        <v>43313</v>
      </c>
      <c r="E61" s="16">
        <f t="shared" si="15"/>
        <v>0</v>
      </c>
      <c r="F61" s="16">
        <f t="shared" si="15"/>
        <v>0</v>
      </c>
      <c r="G61" s="14">
        <f t="shared" si="15"/>
        <v>0</v>
      </c>
      <c r="H61" s="46">
        <v>0</v>
      </c>
      <c r="I61" s="91">
        <f t="shared" si="12"/>
        <v>0</v>
      </c>
      <c r="J61" s="22">
        <f t="shared" si="7"/>
        <v>0</v>
      </c>
      <c r="K61" s="91">
        <f>VLOOKUP(D61,Data!$A$5:$X$197,23,FALSE)</f>
        <v>0</v>
      </c>
      <c r="L61" s="91">
        <f t="shared" si="13"/>
        <v>0</v>
      </c>
      <c r="M61" s="14">
        <f t="shared" si="4"/>
        <v>0</v>
      </c>
      <c r="N61" s="46">
        <f t="shared" si="17"/>
        <v>0</v>
      </c>
      <c r="O61" s="46">
        <f t="shared" si="17"/>
        <v>0</v>
      </c>
      <c r="P61" s="22">
        <f t="shared" si="2"/>
        <v>0</v>
      </c>
      <c r="Q61" s="55">
        <f t="shared" si="16"/>
        <v>0</v>
      </c>
      <c r="R61" s="55">
        <f t="shared" si="16"/>
        <v>0</v>
      </c>
      <c r="S61" s="32">
        <f t="shared" si="6"/>
        <v>0</v>
      </c>
    </row>
    <row r="62" spans="1:19">
      <c r="A62" s="47"/>
      <c r="B62" s="47"/>
      <c r="C62" s="47"/>
      <c r="D62" s="13">
        <v>43344</v>
      </c>
      <c r="E62" s="16">
        <f t="shared" si="15"/>
        <v>0</v>
      </c>
      <c r="F62" s="16">
        <f t="shared" si="15"/>
        <v>0</v>
      </c>
      <c r="G62" s="14">
        <f t="shared" si="15"/>
        <v>0</v>
      </c>
      <c r="H62" s="46">
        <v>0</v>
      </c>
      <c r="I62" s="91">
        <f t="shared" si="12"/>
        <v>0</v>
      </c>
      <c r="J62" s="22">
        <f t="shared" si="7"/>
        <v>0</v>
      </c>
      <c r="K62" s="91">
        <f>VLOOKUP(D62,Data!$A$5:$X$197,23,FALSE)</f>
        <v>0</v>
      </c>
      <c r="L62" s="91">
        <f t="shared" si="13"/>
        <v>0</v>
      </c>
      <c r="M62" s="14">
        <f t="shared" si="4"/>
        <v>0</v>
      </c>
      <c r="N62" s="46">
        <f t="shared" si="17"/>
        <v>0</v>
      </c>
      <c r="O62" s="46">
        <f t="shared" si="17"/>
        <v>0</v>
      </c>
      <c r="P62" s="22">
        <f t="shared" si="2"/>
        <v>0</v>
      </c>
      <c r="Q62" s="55">
        <f t="shared" si="16"/>
        <v>0</v>
      </c>
      <c r="R62" s="55">
        <f t="shared" si="16"/>
        <v>0</v>
      </c>
      <c r="S62" s="32">
        <f t="shared" si="6"/>
        <v>0</v>
      </c>
    </row>
    <row r="63" spans="1:19">
      <c r="A63" s="47"/>
      <c r="B63" s="47"/>
      <c r="C63" s="47"/>
      <c r="D63" s="13">
        <v>43374</v>
      </c>
      <c r="E63" s="16">
        <f t="shared" si="15"/>
        <v>0</v>
      </c>
      <c r="F63" s="16">
        <f t="shared" si="15"/>
        <v>0</v>
      </c>
      <c r="G63" s="14">
        <f t="shared" si="15"/>
        <v>0</v>
      </c>
      <c r="H63" s="46">
        <v>0</v>
      </c>
      <c r="I63" s="91">
        <f t="shared" si="12"/>
        <v>0</v>
      </c>
      <c r="J63" s="22">
        <f t="shared" si="7"/>
        <v>0</v>
      </c>
      <c r="K63" s="91">
        <f>VLOOKUP(D63,Data!$A$5:$X$197,23,FALSE)</f>
        <v>0</v>
      </c>
      <c r="L63" s="91">
        <f t="shared" si="13"/>
        <v>0</v>
      </c>
      <c r="M63" s="14">
        <f t="shared" si="4"/>
        <v>0</v>
      </c>
      <c r="N63" s="46">
        <f t="shared" si="17"/>
        <v>0</v>
      </c>
      <c r="O63" s="46">
        <f t="shared" si="17"/>
        <v>0</v>
      </c>
      <c r="P63" s="22">
        <f t="shared" si="2"/>
        <v>0</v>
      </c>
      <c r="Q63" s="55">
        <f t="shared" si="16"/>
        <v>0</v>
      </c>
      <c r="R63" s="55">
        <f t="shared" si="16"/>
        <v>0</v>
      </c>
      <c r="S63" s="32">
        <f t="shared" si="6"/>
        <v>0</v>
      </c>
    </row>
    <row r="64" spans="1:19">
      <c r="A64" s="47"/>
      <c r="B64" s="47"/>
      <c r="C64" s="47"/>
      <c r="D64" s="13">
        <v>43405</v>
      </c>
      <c r="E64" s="16">
        <f t="shared" ref="E64:G79" si="18">N63</f>
        <v>0</v>
      </c>
      <c r="F64" s="16">
        <f t="shared" si="18"/>
        <v>0</v>
      </c>
      <c r="G64" s="14">
        <f t="shared" si="18"/>
        <v>0</v>
      </c>
      <c r="H64" s="46">
        <v>0</v>
      </c>
      <c r="I64" s="91">
        <f t="shared" si="12"/>
        <v>0</v>
      </c>
      <c r="J64" s="22">
        <f t="shared" si="7"/>
        <v>0</v>
      </c>
      <c r="K64" s="91">
        <f>VLOOKUP(D64,Data!$A$5:$X$197,23,FALSE)</f>
        <v>0</v>
      </c>
      <c r="L64" s="91">
        <f t="shared" si="13"/>
        <v>0</v>
      </c>
      <c r="M64" s="14">
        <f t="shared" si="4"/>
        <v>0</v>
      </c>
      <c r="N64" s="46">
        <f t="shared" si="17"/>
        <v>0</v>
      </c>
      <c r="O64" s="46">
        <f t="shared" si="17"/>
        <v>0</v>
      </c>
      <c r="P64" s="22">
        <f t="shared" si="2"/>
        <v>0</v>
      </c>
      <c r="Q64" s="55">
        <f t="shared" si="16"/>
        <v>0</v>
      </c>
      <c r="R64" s="55">
        <f t="shared" si="16"/>
        <v>0</v>
      </c>
      <c r="S64" s="32">
        <f t="shared" si="6"/>
        <v>0</v>
      </c>
    </row>
    <row r="65" spans="1:19">
      <c r="A65" s="47"/>
      <c r="B65" s="47"/>
      <c r="C65" s="47"/>
      <c r="D65" s="13">
        <v>43435</v>
      </c>
      <c r="E65" s="16">
        <f t="shared" si="18"/>
        <v>0</v>
      </c>
      <c r="F65" s="16">
        <f t="shared" si="18"/>
        <v>0</v>
      </c>
      <c r="G65" s="14">
        <f t="shared" si="18"/>
        <v>0</v>
      </c>
      <c r="H65" s="46">
        <v>0</v>
      </c>
      <c r="I65" s="91">
        <f t="shared" si="12"/>
        <v>0</v>
      </c>
      <c r="J65" s="22">
        <f t="shared" si="7"/>
        <v>0</v>
      </c>
      <c r="K65" s="91">
        <f>VLOOKUP(D65,Data!$A$5:$X$197,23,FALSE)</f>
        <v>0</v>
      </c>
      <c r="L65" s="91">
        <f t="shared" si="13"/>
        <v>0</v>
      </c>
      <c r="M65" s="14">
        <f t="shared" si="4"/>
        <v>0</v>
      </c>
      <c r="N65" s="46">
        <f t="shared" si="17"/>
        <v>0</v>
      </c>
      <c r="O65" s="46">
        <f t="shared" si="17"/>
        <v>0</v>
      </c>
      <c r="P65" s="22">
        <f t="shared" si="2"/>
        <v>0</v>
      </c>
      <c r="Q65" s="55">
        <f t="shared" si="16"/>
        <v>0</v>
      </c>
      <c r="R65" s="55">
        <f t="shared" si="16"/>
        <v>0</v>
      </c>
      <c r="S65" s="32">
        <f t="shared" si="6"/>
        <v>0</v>
      </c>
    </row>
    <row r="66" spans="1:19">
      <c r="A66" s="47"/>
      <c r="B66" s="47"/>
      <c r="C66" s="47"/>
      <c r="D66" s="13">
        <v>43466</v>
      </c>
      <c r="E66" s="16">
        <f t="shared" si="18"/>
        <v>0</v>
      </c>
      <c r="F66" s="16">
        <f t="shared" si="18"/>
        <v>0</v>
      </c>
      <c r="G66" s="14">
        <f t="shared" si="18"/>
        <v>0</v>
      </c>
      <c r="H66" s="46">
        <v>0</v>
      </c>
      <c r="I66" s="91">
        <f t="shared" si="12"/>
        <v>0</v>
      </c>
      <c r="J66" s="22">
        <f t="shared" si="7"/>
        <v>0</v>
      </c>
      <c r="K66" s="91">
        <f>VLOOKUP(D66,Data!$A$5:$X$197,23,FALSE)</f>
        <v>0</v>
      </c>
      <c r="L66" s="91">
        <f t="shared" si="13"/>
        <v>0</v>
      </c>
      <c r="M66" s="14">
        <f t="shared" si="4"/>
        <v>0</v>
      </c>
      <c r="N66" s="46">
        <f t="shared" si="17"/>
        <v>0</v>
      </c>
      <c r="O66" s="46">
        <f t="shared" si="17"/>
        <v>0</v>
      </c>
      <c r="P66" s="22">
        <f t="shared" si="2"/>
        <v>0</v>
      </c>
      <c r="Q66" s="55">
        <f t="shared" ref="Q66:R89" si="19">AVERAGE(N54:N66)</f>
        <v>0</v>
      </c>
      <c r="R66" s="55">
        <f t="shared" si="19"/>
        <v>0</v>
      </c>
      <c r="S66" s="32">
        <f t="shared" si="6"/>
        <v>0</v>
      </c>
    </row>
    <row r="67" spans="1:19">
      <c r="A67" s="47"/>
      <c r="B67" s="47"/>
      <c r="C67" s="47"/>
      <c r="D67" s="13">
        <v>43497</v>
      </c>
      <c r="E67" s="16">
        <f t="shared" si="18"/>
        <v>0</v>
      </c>
      <c r="F67" s="16">
        <f t="shared" si="18"/>
        <v>0</v>
      </c>
      <c r="G67" s="14">
        <f t="shared" si="18"/>
        <v>0</v>
      </c>
      <c r="H67" s="46">
        <v>0</v>
      </c>
      <c r="I67" s="91">
        <f t="shared" si="12"/>
        <v>0</v>
      </c>
      <c r="J67" s="22">
        <f t="shared" si="7"/>
        <v>0</v>
      </c>
      <c r="K67" s="91">
        <f>VLOOKUP(D67,Data!$A$5:$X$197,23,FALSE)</f>
        <v>0</v>
      </c>
      <c r="L67" s="91">
        <f t="shared" si="13"/>
        <v>0</v>
      </c>
      <c r="M67" s="14">
        <f t="shared" si="4"/>
        <v>0</v>
      </c>
      <c r="N67" s="46">
        <f t="shared" si="17"/>
        <v>0</v>
      </c>
      <c r="O67" s="46">
        <f t="shared" si="17"/>
        <v>0</v>
      </c>
      <c r="P67" s="22">
        <f t="shared" si="2"/>
        <v>0</v>
      </c>
      <c r="Q67" s="55">
        <f t="shared" si="19"/>
        <v>0</v>
      </c>
      <c r="R67" s="55">
        <f t="shared" si="19"/>
        <v>0</v>
      </c>
      <c r="S67" s="32">
        <f t="shared" si="6"/>
        <v>0</v>
      </c>
    </row>
    <row r="68" spans="1:19">
      <c r="A68" s="47"/>
      <c r="B68" s="47"/>
      <c r="C68" s="47"/>
      <c r="D68" s="13">
        <v>43525</v>
      </c>
      <c r="E68" s="16">
        <f t="shared" si="18"/>
        <v>0</v>
      </c>
      <c r="F68" s="16">
        <f t="shared" si="18"/>
        <v>0</v>
      </c>
      <c r="G68" s="14">
        <f t="shared" si="18"/>
        <v>0</v>
      </c>
      <c r="H68" s="46">
        <v>0</v>
      </c>
      <c r="I68" s="91">
        <f t="shared" si="12"/>
        <v>0</v>
      </c>
      <c r="J68" s="22">
        <f t="shared" si="7"/>
        <v>0</v>
      </c>
      <c r="K68" s="91">
        <f>VLOOKUP(D68,Data!$A$5:$X$197,23,FALSE)</f>
        <v>0</v>
      </c>
      <c r="L68" s="91">
        <f t="shared" si="13"/>
        <v>0</v>
      </c>
      <c r="M68" s="14">
        <f t="shared" si="4"/>
        <v>0</v>
      </c>
      <c r="N68" s="46">
        <f t="shared" si="17"/>
        <v>0</v>
      </c>
      <c r="O68" s="46">
        <f t="shared" si="17"/>
        <v>0</v>
      </c>
      <c r="P68" s="22">
        <f t="shared" si="2"/>
        <v>0</v>
      </c>
      <c r="Q68" s="55">
        <f t="shared" si="19"/>
        <v>0</v>
      </c>
      <c r="R68" s="55">
        <f t="shared" si="19"/>
        <v>0</v>
      </c>
      <c r="S68" s="32">
        <f t="shared" si="6"/>
        <v>0</v>
      </c>
    </row>
    <row r="69" spans="1:19">
      <c r="A69" s="47"/>
      <c r="B69" s="47"/>
      <c r="C69" s="47"/>
      <c r="D69" s="13">
        <v>43556</v>
      </c>
      <c r="E69" s="16">
        <f t="shared" si="18"/>
        <v>0</v>
      </c>
      <c r="F69" s="16">
        <f t="shared" si="18"/>
        <v>0</v>
      </c>
      <c r="G69" s="14">
        <f t="shared" si="18"/>
        <v>0</v>
      </c>
      <c r="H69" s="46">
        <v>0</v>
      </c>
      <c r="I69" s="91">
        <f t="shared" si="12"/>
        <v>0</v>
      </c>
      <c r="J69" s="22">
        <f t="shared" si="7"/>
        <v>0</v>
      </c>
      <c r="K69" s="91">
        <f>VLOOKUP(D69,Data!$A$5:$X$197,23,FALSE)</f>
        <v>0</v>
      </c>
      <c r="L69" s="91">
        <f t="shared" si="13"/>
        <v>0</v>
      </c>
      <c r="M69" s="14">
        <f t="shared" si="4"/>
        <v>0</v>
      </c>
      <c r="N69" s="46">
        <f t="shared" si="17"/>
        <v>0</v>
      </c>
      <c r="O69" s="46">
        <f t="shared" si="17"/>
        <v>0</v>
      </c>
      <c r="P69" s="22">
        <f t="shared" si="2"/>
        <v>0</v>
      </c>
      <c r="Q69" s="55">
        <f t="shared" si="19"/>
        <v>0</v>
      </c>
      <c r="R69" s="55">
        <f t="shared" si="19"/>
        <v>0</v>
      </c>
      <c r="S69" s="32">
        <f t="shared" si="6"/>
        <v>0</v>
      </c>
    </row>
    <row r="70" spans="1:19">
      <c r="A70" s="47"/>
      <c r="B70" s="47"/>
      <c r="C70" s="47"/>
      <c r="D70" s="13">
        <v>43586</v>
      </c>
      <c r="E70" s="16">
        <f t="shared" si="18"/>
        <v>0</v>
      </c>
      <c r="F70" s="16">
        <f t="shared" si="18"/>
        <v>0</v>
      </c>
      <c r="G70" s="14">
        <f t="shared" si="18"/>
        <v>0</v>
      </c>
      <c r="H70" s="46">
        <v>0</v>
      </c>
      <c r="I70" s="91">
        <f t="shared" si="12"/>
        <v>0</v>
      </c>
      <c r="J70" s="22">
        <f t="shared" si="7"/>
        <v>0</v>
      </c>
      <c r="K70" s="91">
        <f>VLOOKUP(D70,Data!$A$5:$X$197,23,FALSE)</f>
        <v>0</v>
      </c>
      <c r="L70" s="91">
        <f t="shared" si="13"/>
        <v>0</v>
      </c>
      <c r="M70" s="14">
        <f t="shared" si="4"/>
        <v>0</v>
      </c>
      <c r="N70" s="46">
        <f t="shared" ref="N70:O89" si="20">+E70+H70-K70</f>
        <v>0</v>
      </c>
      <c r="O70" s="46">
        <f t="shared" si="20"/>
        <v>0</v>
      </c>
      <c r="P70" s="22">
        <f t="shared" ref="P70:P89" si="21">IF(N70=0,0,O70/N70)</f>
        <v>0</v>
      </c>
      <c r="Q70" s="55">
        <f t="shared" si="19"/>
        <v>0</v>
      </c>
      <c r="R70" s="55">
        <f t="shared" si="19"/>
        <v>0</v>
      </c>
      <c r="S70" s="32">
        <f t="shared" si="6"/>
        <v>0</v>
      </c>
    </row>
    <row r="71" spans="1:19">
      <c r="A71" s="47"/>
      <c r="B71" s="47"/>
      <c r="C71" s="47"/>
      <c r="D71" s="13">
        <v>43617</v>
      </c>
      <c r="E71" s="16">
        <f t="shared" si="18"/>
        <v>0</v>
      </c>
      <c r="F71" s="16">
        <f t="shared" si="18"/>
        <v>0</v>
      </c>
      <c r="G71" s="14">
        <f t="shared" si="18"/>
        <v>0</v>
      </c>
      <c r="H71" s="46">
        <v>0</v>
      </c>
      <c r="I71" s="91">
        <f t="shared" si="12"/>
        <v>0</v>
      </c>
      <c r="J71" s="22">
        <f t="shared" si="7"/>
        <v>0</v>
      </c>
      <c r="K71" s="91">
        <f>VLOOKUP(D71,Data!$A$5:$X$197,23,FALSE)</f>
        <v>0</v>
      </c>
      <c r="L71" s="91">
        <f t="shared" si="13"/>
        <v>0</v>
      </c>
      <c r="M71" s="14">
        <f t="shared" si="4"/>
        <v>0</v>
      </c>
      <c r="N71" s="46">
        <f t="shared" si="20"/>
        <v>0</v>
      </c>
      <c r="O71" s="46">
        <f t="shared" si="20"/>
        <v>0</v>
      </c>
      <c r="P71" s="22">
        <f t="shared" si="21"/>
        <v>0</v>
      </c>
      <c r="Q71" s="55">
        <f t="shared" si="19"/>
        <v>0</v>
      </c>
      <c r="R71" s="55">
        <f t="shared" si="19"/>
        <v>0</v>
      </c>
      <c r="S71" s="32">
        <f t="shared" si="6"/>
        <v>0</v>
      </c>
    </row>
    <row r="72" spans="1:19">
      <c r="A72" s="47"/>
      <c r="B72" s="47"/>
      <c r="C72" s="47"/>
      <c r="D72" s="13">
        <v>43647</v>
      </c>
      <c r="E72" s="16">
        <f t="shared" si="18"/>
        <v>0</v>
      </c>
      <c r="F72" s="16">
        <f t="shared" si="18"/>
        <v>0</v>
      </c>
      <c r="G72" s="14">
        <f t="shared" si="18"/>
        <v>0</v>
      </c>
      <c r="H72" s="46">
        <v>0</v>
      </c>
      <c r="I72" s="91">
        <f t="shared" si="12"/>
        <v>0</v>
      </c>
      <c r="J72" s="22">
        <f t="shared" si="7"/>
        <v>0</v>
      </c>
      <c r="K72" s="91">
        <f>VLOOKUP(D72,Data!$A$5:$X$197,23,FALSE)</f>
        <v>0</v>
      </c>
      <c r="L72" s="91">
        <f t="shared" si="13"/>
        <v>0</v>
      </c>
      <c r="M72" s="14">
        <f t="shared" si="4"/>
        <v>0</v>
      </c>
      <c r="N72" s="46">
        <f t="shared" si="20"/>
        <v>0</v>
      </c>
      <c r="O72" s="46">
        <f t="shared" si="20"/>
        <v>0</v>
      </c>
      <c r="P72" s="22">
        <f t="shared" si="21"/>
        <v>0</v>
      </c>
      <c r="Q72" s="55">
        <f t="shared" si="19"/>
        <v>0</v>
      </c>
      <c r="R72" s="55">
        <f t="shared" si="19"/>
        <v>0</v>
      </c>
      <c r="S72" s="32">
        <f t="shared" si="6"/>
        <v>0</v>
      </c>
    </row>
    <row r="73" spans="1:19">
      <c r="A73" s="47"/>
      <c r="B73" s="47"/>
      <c r="C73" s="47"/>
      <c r="D73" s="13">
        <v>43678</v>
      </c>
      <c r="E73" s="16">
        <f t="shared" si="18"/>
        <v>0</v>
      </c>
      <c r="F73" s="16">
        <f t="shared" si="18"/>
        <v>0</v>
      </c>
      <c r="G73" s="14">
        <f t="shared" si="18"/>
        <v>0</v>
      </c>
      <c r="H73" s="46">
        <v>0</v>
      </c>
      <c r="I73" s="91">
        <f t="shared" si="12"/>
        <v>0</v>
      </c>
      <c r="J73" s="22">
        <f t="shared" si="7"/>
        <v>0</v>
      </c>
      <c r="K73" s="91">
        <f>VLOOKUP(D73,Data!$A$5:$X$197,23,FALSE)</f>
        <v>0</v>
      </c>
      <c r="L73" s="91">
        <f t="shared" si="13"/>
        <v>0</v>
      </c>
      <c r="M73" s="14">
        <f t="shared" ref="M73:M89" si="22">IF(K73=0,0,L73/K73)</f>
        <v>0</v>
      </c>
      <c r="N73" s="46">
        <f t="shared" si="20"/>
        <v>0</v>
      </c>
      <c r="O73" s="46">
        <f t="shared" si="20"/>
        <v>0</v>
      </c>
      <c r="P73" s="22">
        <f t="shared" si="21"/>
        <v>0</v>
      </c>
      <c r="Q73" s="55">
        <f t="shared" si="19"/>
        <v>0</v>
      </c>
      <c r="R73" s="55">
        <f t="shared" si="19"/>
        <v>0</v>
      </c>
      <c r="S73" s="32">
        <f t="shared" si="6"/>
        <v>0</v>
      </c>
    </row>
    <row r="74" spans="1:19">
      <c r="A74" s="47"/>
      <c r="B74" s="47"/>
      <c r="C74" s="47"/>
      <c r="D74" s="13">
        <v>43709</v>
      </c>
      <c r="E74" s="16">
        <f t="shared" si="18"/>
        <v>0</v>
      </c>
      <c r="F74" s="16">
        <f t="shared" si="18"/>
        <v>0</v>
      </c>
      <c r="G74" s="14">
        <f t="shared" si="18"/>
        <v>0</v>
      </c>
      <c r="H74" s="46">
        <v>0</v>
      </c>
      <c r="I74" s="91">
        <f t="shared" si="12"/>
        <v>0</v>
      </c>
      <c r="J74" s="22">
        <f t="shared" si="7"/>
        <v>0</v>
      </c>
      <c r="K74" s="91">
        <f>VLOOKUP(D74,Data!$A$5:$X$197,23,FALSE)</f>
        <v>0</v>
      </c>
      <c r="L74" s="91">
        <f t="shared" si="13"/>
        <v>0</v>
      </c>
      <c r="M74" s="14">
        <f t="shared" si="22"/>
        <v>0</v>
      </c>
      <c r="N74" s="46">
        <f t="shared" si="20"/>
        <v>0</v>
      </c>
      <c r="O74" s="46">
        <f t="shared" si="20"/>
        <v>0</v>
      </c>
      <c r="P74" s="22">
        <f t="shared" si="21"/>
        <v>0</v>
      </c>
      <c r="Q74" s="55">
        <f t="shared" si="19"/>
        <v>0</v>
      </c>
      <c r="R74" s="55">
        <f t="shared" si="19"/>
        <v>0</v>
      </c>
      <c r="S74" s="32">
        <f t="shared" si="6"/>
        <v>0</v>
      </c>
    </row>
    <row r="75" spans="1:19">
      <c r="A75" s="47"/>
      <c r="B75" s="47"/>
      <c r="C75" s="47"/>
      <c r="D75" s="13">
        <v>43739</v>
      </c>
      <c r="E75" s="16">
        <f t="shared" si="18"/>
        <v>0</v>
      </c>
      <c r="F75" s="16">
        <f t="shared" si="18"/>
        <v>0</v>
      </c>
      <c r="G75" s="14">
        <f t="shared" si="18"/>
        <v>0</v>
      </c>
      <c r="H75" s="46">
        <v>0</v>
      </c>
      <c r="I75" s="91">
        <f t="shared" si="12"/>
        <v>0</v>
      </c>
      <c r="J75" s="22">
        <f t="shared" si="7"/>
        <v>0</v>
      </c>
      <c r="K75" s="91">
        <f>VLOOKUP(D75,Data!$A$5:$X$197,23,FALSE)</f>
        <v>0</v>
      </c>
      <c r="L75" s="91">
        <f t="shared" si="13"/>
        <v>0</v>
      </c>
      <c r="M75" s="14">
        <f t="shared" si="22"/>
        <v>0</v>
      </c>
      <c r="N75" s="46">
        <f t="shared" si="20"/>
        <v>0</v>
      </c>
      <c r="O75" s="46">
        <f t="shared" si="20"/>
        <v>0</v>
      </c>
      <c r="P75" s="22">
        <f t="shared" si="21"/>
        <v>0</v>
      </c>
      <c r="Q75" s="55">
        <f t="shared" si="19"/>
        <v>0</v>
      </c>
      <c r="R75" s="55">
        <f t="shared" si="19"/>
        <v>0</v>
      </c>
      <c r="S75" s="32">
        <f t="shared" si="6"/>
        <v>0</v>
      </c>
    </row>
    <row r="76" spans="1:19">
      <c r="A76" s="47"/>
      <c r="B76" s="47"/>
      <c r="C76" s="47"/>
      <c r="D76" s="13">
        <v>43770</v>
      </c>
      <c r="E76" s="16">
        <f t="shared" si="18"/>
        <v>0</v>
      </c>
      <c r="F76" s="16">
        <f t="shared" si="18"/>
        <v>0</v>
      </c>
      <c r="G76" s="14">
        <f t="shared" si="18"/>
        <v>0</v>
      </c>
      <c r="H76" s="46">
        <v>0</v>
      </c>
      <c r="I76" s="91">
        <f t="shared" si="12"/>
        <v>0</v>
      </c>
      <c r="J76" s="22">
        <f t="shared" si="7"/>
        <v>0</v>
      </c>
      <c r="K76" s="91">
        <f>VLOOKUP(D76,Data!$A$5:$X$197,23,FALSE)</f>
        <v>0</v>
      </c>
      <c r="L76" s="91">
        <f t="shared" si="13"/>
        <v>0</v>
      </c>
      <c r="M76" s="14">
        <f t="shared" si="22"/>
        <v>0</v>
      </c>
      <c r="N76" s="46">
        <f t="shared" si="20"/>
        <v>0</v>
      </c>
      <c r="O76" s="46">
        <f t="shared" si="20"/>
        <v>0</v>
      </c>
      <c r="P76" s="22">
        <f t="shared" si="21"/>
        <v>0</v>
      </c>
      <c r="Q76" s="55">
        <f t="shared" si="19"/>
        <v>0</v>
      </c>
      <c r="R76" s="55">
        <f t="shared" si="19"/>
        <v>0</v>
      </c>
      <c r="S76" s="32">
        <f t="shared" si="6"/>
        <v>0</v>
      </c>
    </row>
    <row r="77" spans="1:19">
      <c r="A77" s="47"/>
      <c r="B77" s="47"/>
      <c r="C77" s="47"/>
      <c r="D77" s="13">
        <v>43800</v>
      </c>
      <c r="E77" s="16">
        <f t="shared" si="18"/>
        <v>0</v>
      </c>
      <c r="F77" s="16">
        <f t="shared" si="18"/>
        <v>0</v>
      </c>
      <c r="G77" s="14">
        <f t="shared" si="18"/>
        <v>0</v>
      </c>
      <c r="H77" s="46">
        <v>0</v>
      </c>
      <c r="I77" s="91">
        <f t="shared" si="12"/>
        <v>0</v>
      </c>
      <c r="J77" s="22">
        <f t="shared" si="7"/>
        <v>0</v>
      </c>
      <c r="K77" s="91">
        <f>VLOOKUP(D77,Data!$A$5:$X$197,23,FALSE)</f>
        <v>0</v>
      </c>
      <c r="L77" s="91">
        <f t="shared" si="13"/>
        <v>0</v>
      </c>
      <c r="M77" s="14">
        <f t="shared" si="22"/>
        <v>0</v>
      </c>
      <c r="N77" s="46">
        <f t="shared" si="20"/>
        <v>0</v>
      </c>
      <c r="O77" s="46">
        <f t="shared" si="20"/>
        <v>0</v>
      </c>
      <c r="P77" s="22">
        <f t="shared" si="21"/>
        <v>0</v>
      </c>
      <c r="Q77" s="55">
        <f t="shared" si="19"/>
        <v>0</v>
      </c>
      <c r="R77" s="55">
        <f t="shared" si="19"/>
        <v>0</v>
      </c>
      <c r="S77" s="32">
        <f t="shared" si="6"/>
        <v>0</v>
      </c>
    </row>
    <row r="78" spans="1:19">
      <c r="A78" s="47"/>
      <c r="B78" s="47"/>
      <c r="C78" s="47"/>
      <c r="D78" s="13">
        <v>43831</v>
      </c>
      <c r="E78" s="16">
        <f t="shared" si="18"/>
        <v>0</v>
      </c>
      <c r="F78" s="16">
        <f t="shared" si="18"/>
        <v>0</v>
      </c>
      <c r="G78" s="14">
        <f t="shared" si="18"/>
        <v>0</v>
      </c>
      <c r="H78" s="46">
        <v>0</v>
      </c>
      <c r="I78" s="91">
        <f t="shared" si="12"/>
        <v>0</v>
      </c>
      <c r="J78" s="22">
        <f t="shared" si="7"/>
        <v>0</v>
      </c>
      <c r="K78" s="91">
        <f>VLOOKUP(D78,Data!$A$5:$X$197,23,FALSE)</f>
        <v>0</v>
      </c>
      <c r="L78" s="91">
        <f t="shared" si="13"/>
        <v>0</v>
      </c>
      <c r="M78" s="14">
        <f t="shared" si="22"/>
        <v>0</v>
      </c>
      <c r="N78" s="46">
        <f t="shared" si="20"/>
        <v>0</v>
      </c>
      <c r="O78" s="46">
        <f t="shared" si="20"/>
        <v>0</v>
      </c>
      <c r="P78" s="22">
        <f t="shared" si="21"/>
        <v>0</v>
      </c>
      <c r="Q78" s="55">
        <f t="shared" si="19"/>
        <v>0</v>
      </c>
      <c r="R78" s="55">
        <f t="shared" si="19"/>
        <v>0</v>
      </c>
      <c r="S78" s="32">
        <f t="shared" si="6"/>
        <v>0</v>
      </c>
    </row>
    <row r="79" spans="1:19">
      <c r="A79" s="47"/>
      <c r="B79" s="47"/>
      <c r="C79" s="47"/>
      <c r="D79" s="13">
        <v>43862</v>
      </c>
      <c r="E79" s="16">
        <f t="shared" si="18"/>
        <v>0</v>
      </c>
      <c r="F79" s="16">
        <f t="shared" si="18"/>
        <v>0</v>
      </c>
      <c r="G79" s="14">
        <f t="shared" si="18"/>
        <v>0</v>
      </c>
      <c r="H79" s="46">
        <v>0</v>
      </c>
      <c r="I79" s="91">
        <f t="shared" si="12"/>
        <v>0</v>
      </c>
      <c r="J79" s="22">
        <f t="shared" si="7"/>
        <v>0</v>
      </c>
      <c r="K79" s="91">
        <f>VLOOKUP(D79,Data!$A$5:$X$197,23,FALSE)</f>
        <v>0</v>
      </c>
      <c r="L79" s="91">
        <f t="shared" si="13"/>
        <v>0</v>
      </c>
      <c r="M79" s="14">
        <f t="shared" si="22"/>
        <v>0</v>
      </c>
      <c r="N79" s="46">
        <f t="shared" si="20"/>
        <v>0</v>
      </c>
      <c r="O79" s="46">
        <f t="shared" si="20"/>
        <v>0</v>
      </c>
      <c r="P79" s="22">
        <f t="shared" si="21"/>
        <v>0</v>
      </c>
      <c r="Q79" s="55">
        <f t="shared" si="19"/>
        <v>0</v>
      </c>
      <c r="R79" s="55">
        <f t="shared" si="19"/>
        <v>0</v>
      </c>
      <c r="S79" s="32">
        <f t="shared" si="6"/>
        <v>0</v>
      </c>
    </row>
    <row r="80" spans="1:19">
      <c r="A80" s="47"/>
      <c r="B80" s="47"/>
      <c r="C80" s="47"/>
      <c r="D80" s="13">
        <v>43891</v>
      </c>
      <c r="E80" s="16">
        <f t="shared" ref="E80:G89" si="23">N79</f>
        <v>0</v>
      </c>
      <c r="F80" s="16">
        <f t="shared" si="23"/>
        <v>0</v>
      </c>
      <c r="G80" s="14">
        <f t="shared" si="23"/>
        <v>0</v>
      </c>
      <c r="H80" s="46">
        <v>0</v>
      </c>
      <c r="I80" s="91">
        <f t="shared" si="12"/>
        <v>0</v>
      </c>
      <c r="J80" s="22">
        <f t="shared" si="7"/>
        <v>0</v>
      </c>
      <c r="K80" s="91">
        <f>VLOOKUP(D80,Data!$A$5:$X$197,23,FALSE)</f>
        <v>0</v>
      </c>
      <c r="L80" s="91">
        <f t="shared" si="13"/>
        <v>0</v>
      </c>
      <c r="M80" s="14">
        <f t="shared" si="22"/>
        <v>0</v>
      </c>
      <c r="N80" s="46">
        <f t="shared" si="20"/>
        <v>0</v>
      </c>
      <c r="O80" s="46">
        <f t="shared" si="20"/>
        <v>0</v>
      </c>
      <c r="P80" s="22">
        <f t="shared" si="21"/>
        <v>0</v>
      </c>
      <c r="Q80" s="55">
        <f t="shared" si="19"/>
        <v>0</v>
      </c>
      <c r="R80" s="55">
        <f t="shared" si="19"/>
        <v>0</v>
      </c>
      <c r="S80" s="32">
        <f t="shared" si="6"/>
        <v>0</v>
      </c>
    </row>
    <row r="81" spans="1:19">
      <c r="A81" s="47"/>
      <c r="B81" s="47"/>
      <c r="C81" s="47"/>
      <c r="D81" s="13">
        <v>43922</v>
      </c>
      <c r="E81" s="16">
        <f t="shared" si="23"/>
        <v>0</v>
      </c>
      <c r="F81" s="16">
        <f t="shared" si="23"/>
        <v>0</v>
      </c>
      <c r="G81" s="14">
        <f t="shared" si="23"/>
        <v>0</v>
      </c>
      <c r="H81" s="46">
        <v>0</v>
      </c>
      <c r="I81" s="91">
        <f t="shared" si="12"/>
        <v>0</v>
      </c>
      <c r="J81" s="22">
        <f t="shared" si="7"/>
        <v>0</v>
      </c>
      <c r="K81" s="91">
        <f>VLOOKUP(D81,Data!$A$5:$X$197,23,FALSE)</f>
        <v>0</v>
      </c>
      <c r="L81" s="91">
        <f t="shared" si="13"/>
        <v>0</v>
      </c>
      <c r="M81" s="14">
        <f t="shared" si="22"/>
        <v>0</v>
      </c>
      <c r="N81" s="46">
        <f t="shared" si="20"/>
        <v>0</v>
      </c>
      <c r="O81" s="46">
        <f t="shared" si="20"/>
        <v>0</v>
      </c>
      <c r="P81" s="22">
        <f t="shared" si="21"/>
        <v>0</v>
      </c>
      <c r="Q81" s="55">
        <f t="shared" si="19"/>
        <v>0</v>
      </c>
      <c r="R81" s="55">
        <f t="shared" si="19"/>
        <v>0</v>
      </c>
      <c r="S81" s="32">
        <f t="shared" si="6"/>
        <v>0</v>
      </c>
    </row>
    <row r="82" spans="1:19">
      <c r="A82" s="47"/>
      <c r="B82" s="47"/>
      <c r="C82" s="47"/>
      <c r="D82" s="13">
        <v>43952</v>
      </c>
      <c r="E82" s="16">
        <f t="shared" si="23"/>
        <v>0</v>
      </c>
      <c r="F82" s="16">
        <f t="shared" si="23"/>
        <v>0</v>
      </c>
      <c r="G82" s="14">
        <f t="shared" si="23"/>
        <v>0</v>
      </c>
      <c r="H82" s="46">
        <v>0</v>
      </c>
      <c r="I82" s="91">
        <f t="shared" si="12"/>
        <v>0</v>
      </c>
      <c r="J82" s="22">
        <f t="shared" si="7"/>
        <v>0</v>
      </c>
      <c r="K82" s="91">
        <f>VLOOKUP(D82,Data!$A$5:$X$197,23,FALSE)</f>
        <v>0</v>
      </c>
      <c r="L82" s="91">
        <f t="shared" si="13"/>
        <v>0</v>
      </c>
      <c r="M82" s="14">
        <f t="shared" si="22"/>
        <v>0</v>
      </c>
      <c r="N82" s="46">
        <f t="shared" si="20"/>
        <v>0</v>
      </c>
      <c r="O82" s="46">
        <f t="shared" si="20"/>
        <v>0</v>
      </c>
      <c r="P82" s="22">
        <f t="shared" si="21"/>
        <v>0</v>
      </c>
      <c r="Q82" s="55">
        <f t="shared" si="19"/>
        <v>0</v>
      </c>
      <c r="R82" s="55">
        <f t="shared" si="19"/>
        <v>0</v>
      </c>
      <c r="S82" s="32">
        <f t="shared" ref="S82:S89" si="24">IF(Q82=0,0,R82/Q82)</f>
        <v>0</v>
      </c>
    </row>
    <row r="83" spans="1:19">
      <c r="A83" s="47"/>
      <c r="B83" s="47"/>
      <c r="C83" s="47"/>
      <c r="D83" s="13">
        <v>43983</v>
      </c>
      <c r="E83" s="16">
        <f t="shared" si="23"/>
        <v>0</v>
      </c>
      <c r="F83" s="16">
        <f t="shared" si="23"/>
        <v>0</v>
      </c>
      <c r="G83" s="14">
        <f t="shared" si="23"/>
        <v>0</v>
      </c>
      <c r="H83" s="46">
        <v>0</v>
      </c>
      <c r="I83" s="91">
        <f t="shared" si="12"/>
        <v>0</v>
      </c>
      <c r="J83" s="22">
        <f t="shared" si="7"/>
        <v>0</v>
      </c>
      <c r="K83" s="91">
        <f>VLOOKUP(D83,Data!$A$5:$X$197,23,FALSE)</f>
        <v>0</v>
      </c>
      <c r="L83" s="91">
        <f t="shared" si="13"/>
        <v>0</v>
      </c>
      <c r="M83" s="14">
        <f t="shared" si="22"/>
        <v>0</v>
      </c>
      <c r="N83" s="46">
        <f t="shared" si="20"/>
        <v>0</v>
      </c>
      <c r="O83" s="46">
        <f t="shared" si="20"/>
        <v>0</v>
      </c>
      <c r="P83" s="22">
        <f t="shared" si="21"/>
        <v>0</v>
      </c>
      <c r="Q83" s="55">
        <f t="shared" si="19"/>
        <v>0</v>
      </c>
      <c r="R83" s="55">
        <f t="shared" si="19"/>
        <v>0</v>
      </c>
      <c r="S83" s="32">
        <f t="shared" si="24"/>
        <v>0</v>
      </c>
    </row>
    <row r="84" spans="1:19">
      <c r="A84" s="47"/>
      <c r="B84" s="47"/>
      <c r="C84" s="47"/>
      <c r="D84" s="13">
        <v>44013</v>
      </c>
      <c r="E84" s="16">
        <f t="shared" si="23"/>
        <v>0</v>
      </c>
      <c r="F84" s="16">
        <f t="shared" si="23"/>
        <v>0</v>
      </c>
      <c r="G84" s="14">
        <f t="shared" si="23"/>
        <v>0</v>
      </c>
      <c r="H84" s="46">
        <v>0</v>
      </c>
      <c r="I84" s="91">
        <f t="shared" si="12"/>
        <v>0</v>
      </c>
      <c r="J84" s="22">
        <f t="shared" si="7"/>
        <v>0</v>
      </c>
      <c r="K84" s="91">
        <f>VLOOKUP(D84,Data!$A$5:$X$197,23,FALSE)</f>
        <v>0</v>
      </c>
      <c r="L84" s="91">
        <f t="shared" si="13"/>
        <v>0</v>
      </c>
      <c r="M84" s="14">
        <f t="shared" si="22"/>
        <v>0</v>
      </c>
      <c r="N84" s="46">
        <f t="shared" si="20"/>
        <v>0</v>
      </c>
      <c r="O84" s="46">
        <f t="shared" si="20"/>
        <v>0</v>
      </c>
      <c r="P84" s="22">
        <f t="shared" si="21"/>
        <v>0</v>
      </c>
      <c r="Q84" s="55">
        <f t="shared" si="19"/>
        <v>0</v>
      </c>
      <c r="R84" s="55">
        <f t="shared" si="19"/>
        <v>0</v>
      </c>
      <c r="S84" s="32">
        <f t="shared" si="24"/>
        <v>0</v>
      </c>
    </row>
    <row r="85" spans="1:19">
      <c r="A85" s="47"/>
      <c r="B85" s="47"/>
      <c r="C85" s="47"/>
      <c r="D85" s="13">
        <v>44044</v>
      </c>
      <c r="E85" s="16">
        <f t="shared" si="23"/>
        <v>0</v>
      </c>
      <c r="F85" s="16">
        <f t="shared" si="23"/>
        <v>0</v>
      </c>
      <c r="G85" s="14">
        <f t="shared" si="23"/>
        <v>0</v>
      </c>
      <c r="H85" s="46">
        <v>0</v>
      </c>
      <c r="I85" s="91">
        <f t="shared" si="12"/>
        <v>0</v>
      </c>
      <c r="J85" s="22">
        <f t="shared" si="7"/>
        <v>0</v>
      </c>
      <c r="K85" s="91">
        <f>VLOOKUP(D85,Data!$A$5:$X$197,23,FALSE)</f>
        <v>0</v>
      </c>
      <c r="L85" s="91">
        <f t="shared" si="13"/>
        <v>0</v>
      </c>
      <c r="M85" s="14">
        <f t="shared" si="22"/>
        <v>0</v>
      </c>
      <c r="N85" s="46">
        <f t="shared" si="20"/>
        <v>0</v>
      </c>
      <c r="O85" s="46">
        <f t="shared" si="20"/>
        <v>0</v>
      </c>
      <c r="P85" s="22">
        <f t="shared" si="21"/>
        <v>0</v>
      </c>
      <c r="Q85" s="55">
        <f t="shared" si="19"/>
        <v>0</v>
      </c>
      <c r="R85" s="55">
        <f t="shared" si="19"/>
        <v>0</v>
      </c>
      <c r="S85" s="32">
        <f t="shared" si="24"/>
        <v>0</v>
      </c>
    </row>
    <row r="86" spans="1:19">
      <c r="A86" s="47"/>
      <c r="B86" s="47"/>
      <c r="C86" s="47"/>
      <c r="D86" s="13">
        <v>44075</v>
      </c>
      <c r="E86" s="16">
        <f t="shared" si="23"/>
        <v>0</v>
      </c>
      <c r="F86" s="16">
        <f t="shared" si="23"/>
        <v>0</v>
      </c>
      <c r="G86" s="14">
        <f t="shared" si="23"/>
        <v>0</v>
      </c>
      <c r="H86" s="46">
        <v>0</v>
      </c>
      <c r="I86" s="91">
        <f t="shared" si="12"/>
        <v>0</v>
      </c>
      <c r="J86" s="22">
        <f t="shared" ref="J86:J89" si="25">IF(H86=0,0,I86/H86)</f>
        <v>0</v>
      </c>
      <c r="K86" s="91">
        <f>VLOOKUP(D86,Data!$A$5:$X$197,23,FALSE)</f>
        <v>0</v>
      </c>
      <c r="L86" s="91">
        <f t="shared" si="13"/>
        <v>0</v>
      </c>
      <c r="M86" s="14">
        <f t="shared" si="22"/>
        <v>0</v>
      </c>
      <c r="N86" s="46">
        <f t="shared" si="20"/>
        <v>0</v>
      </c>
      <c r="O86" s="46">
        <f t="shared" si="20"/>
        <v>0</v>
      </c>
      <c r="P86" s="22">
        <f t="shared" si="21"/>
        <v>0</v>
      </c>
      <c r="Q86" s="55">
        <f t="shared" si="19"/>
        <v>0</v>
      </c>
      <c r="R86" s="55">
        <f t="shared" si="19"/>
        <v>0</v>
      </c>
      <c r="S86" s="32">
        <f t="shared" si="24"/>
        <v>0</v>
      </c>
    </row>
    <row r="87" spans="1:19">
      <c r="A87" s="47"/>
      <c r="B87" s="47"/>
      <c r="C87" s="47"/>
      <c r="D87" s="13">
        <v>44105</v>
      </c>
      <c r="E87" s="16">
        <f t="shared" si="23"/>
        <v>0</v>
      </c>
      <c r="F87" s="16">
        <f t="shared" si="23"/>
        <v>0</v>
      </c>
      <c r="G87" s="14">
        <f t="shared" si="23"/>
        <v>0</v>
      </c>
      <c r="H87" s="46">
        <v>0</v>
      </c>
      <c r="I87" s="91">
        <f t="shared" si="12"/>
        <v>0</v>
      </c>
      <c r="J87" s="22">
        <f t="shared" si="25"/>
        <v>0</v>
      </c>
      <c r="K87" s="91">
        <f>VLOOKUP(D87,Data!$A$5:$X$197,23,FALSE)</f>
        <v>0</v>
      </c>
      <c r="L87" s="91">
        <f t="shared" si="13"/>
        <v>0</v>
      </c>
      <c r="M87" s="14">
        <f t="shared" si="22"/>
        <v>0</v>
      </c>
      <c r="N87" s="46">
        <f t="shared" si="20"/>
        <v>0</v>
      </c>
      <c r="O87" s="46">
        <f t="shared" si="20"/>
        <v>0</v>
      </c>
      <c r="P87" s="22">
        <f t="shared" si="21"/>
        <v>0</v>
      </c>
      <c r="Q87" s="55">
        <f t="shared" si="19"/>
        <v>0</v>
      </c>
      <c r="R87" s="55">
        <f t="shared" si="19"/>
        <v>0</v>
      </c>
      <c r="S87" s="32">
        <f t="shared" si="24"/>
        <v>0</v>
      </c>
    </row>
    <row r="88" spans="1:19">
      <c r="A88" s="47"/>
      <c r="B88" s="47"/>
      <c r="C88" s="47"/>
      <c r="D88" s="13">
        <v>44136</v>
      </c>
      <c r="E88" s="16">
        <f t="shared" si="23"/>
        <v>0</v>
      </c>
      <c r="F88" s="16">
        <f t="shared" si="23"/>
        <v>0</v>
      </c>
      <c r="G88" s="14">
        <f t="shared" si="23"/>
        <v>0</v>
      </c>
      <c r="H88" s="46">
        <v>0</v>
      </c>
      <c r="I88" s="91">
        <f t="shared" si="12"/>
        <v>0</v>
      </c>
      <c r="J88" s="22">
        <f t="shared" si="25"/>
        <v>0</v>
      </c>
      <c r="K88" s="91">
        <f>VLOOKUP(D88,Data!$A$5:$X$197,23,FALSE)</f>
        <v>0</v>
      </c>
      <c r="L88" s="91">
        <f t="shared" si="13"/>
        <v>0</v>
      </c>
      <c r="M88" s="14">
        <f t="shared" si="22"/>
        <v>0</v>
      </c>
      <c r="N88" s="46">
        <f t="shared" si="20"/>
        <v>0</v>
      </c>
      <c r="O88" s="46">
        <f t="shared" si="20"/>
        <v>0</v>
      </c>
      <c r="P88" s="22">
        <f t="shared" si="21"/>
        <v>0</v>
      </c>
      <c r="Q88" s="55">
        <f t="shared" si="19"/>
        <v>0</v>
      </c>
      <c r="R88" s="55">
        <f t="shared" si="19"/>
        <v>0</v>
      </c>
      <c r="S88" s="32">
        <f t="shared" si="24"/>
        <v>0</v>
      </c>
    </row>
    <row r="89" spans="1:19">
      <c r="A89" s="47"/>
      <c r="B89" s="47"/>
      <c r="C89" s="47"/>
      <c r="D89" s="13">
        <v>44166</v>
      </c>
      <c r="E89" s="16">
        <f t="shared" si="23"/>
        <v>0</v>
      </c>
      <c r="F89" s="16">
        <f t="shared" si="23"/>
        <v>0</v>
      </c>
      <c r="G89" s="14">
        <f t="shared" si="23"/>
        <v>0</v>
      </c>
      <c r="H89" s="46">
        <v>0</v>
      </c>
      <c r="I89" s="91">
        <f t="shared" ref="I89" si="26">H89*J89</f>
        <v>0</v>
      </c>
      <c r="J89" s="22">
        <f t="shared" si="25"/>
        <v>0</v>
      </c>
      <c r="K89" s="91">
        <f>VLOOKUP(D89,Data!$A$5:$X$197,23,FALSE)</f>
        <v>0</v>
      </c>
      <c r="L89" s="91">
        <f t="shared" ref="L89" si="27">IF(E89+I89&gt;0,((F89+I89)/(E89+H89)*K89),0)</f>
        <v>0</v>
      </c>
      <c r="M89" s="14">
        <f t="shared" si="22"/>
        <v>0</v>
      </c>
      <c r="N89" s="46">
        <f t="shared" si="20"/>
        <v>0</v>
      </c>
      <c r="O89" s="46">
        <f t="shared" si="20"/>
        <v>0</v>
      </c>
      <c r="P89" s="22">
        <f t="shared" si="21"/>
        <v>0</v>
      </c>
      <c r="Q89" s="55">
        <f t="shared" si="19"/>
        <v>0</v>
      </c>
      <c r="R89" s="55">
        <f t="shared" si="19"/>
        <v>0</v>
      </c>
      <c r="S89" s="32">
        <f t="shared" si="24"/>
        <v>0</v>
      </c>
    </row>
  </sheetData>
  <mergeCells count="6">
    <mergeCell ref="Q6:S17"/>
    <mergeCell ref="E4:G4"/>
    <mergeCell ref="H4:J4"/>
    <mergeCell ref="K4:M4"/>
    <mergeCell ref="N4:P4"/>
    <mergeCell ref="Q4:S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5" tint="0.59999389629810485"/>
  </sheetPr>
  <dimension ref="A1:Q89"/>
  <sheetViews>
    <sheetView workbookViewId="0">
      <pane xSplit="1" ySplit="5" topLeftCell="B6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ColWidth="9.109375" defaultRowHeight="10.199999999999999"/>
  <cols>
    <col min="1" max="1" width="6.109375" style="1" bestFit="1" customWidth="1"/>
    <col min="2" max="2" width="7.88671875" style="1" bestFit="1" customWidth="1"/>
    <col min="3" max="3" width="9.5546875" style="1" bestFit="1" customWidth="1"/>
    <col min="4" max="4" width="5.6640625" style="1" bestFit="1" customWidth="1"/>
    <col min="5" max="5" width="14.109375" style="1" bestFit="1" customWidth="1"/>
    <col min="6" max="6" width="11.6640625" style="1" bestFit="1" customWidth="1"/>
    <col min="7" max="7" width="6.33203125" style="1" bestFit="1" customWidth="1"/>
    <col min="8" max="8" width="9.33203125" style="1" bestFit="1" customWidth="1"/>
    <col min="9" max="9" width="10.88671875" style="1" bestFit="1" customWidth="1"/>
    <col min="10" max="10" width="5.6640625" style="1" bestFit="1" customWidth="1"/>
    <col min="11" max="11" width="10.6640625" style="1" bestFit="1" customWidth="1"/>
    <col min="12" max="12" width="12.33203125" style="1" bestFit="1" customWidth="1"/>
    <col min="13" max="13" width="6.33203125" style="1" bestFit="1" customWidth="1"/>
    <col min="14" max="14" width="8.44140625" style="1" bestFit="1" customWidth="1"/>
    <col min="15" max="15" width="10.109375" style="1" bestFit="1" customWidth="1"/>
    <col min="16" max="16" width="6.33203125" style="1" bestFit="1" customWidth="1"/>
    <col min="17" max="17" width="12.6640625" style="1" bestFit="1" customWidth="1"/>
    <col min="18" max="16384" width="9.109375" style="1"/>
  </cols>
  <sheetData>
    <row r="1" spans="1:17" s="120" customFormat="1">
      <c r="A1" s="120" t="s">
        <v>75</v>
      </c>
    </row>
    <row r="2" spans="1:17" s="120" customFormat="1">
      <c r="A2" s="120" t="s">
        <v>59</v>
      </c>
    </row>
    <row r="4" spans="1:17">
      <c r="A4" s="19"/>
      <c r="B4" s="106" t="s">
        <v>0</v>
      </c>
      <c r="C4" s="106"/>
      <c r="D4" s="106"/>
      <c r="E4" s="106" t="s">
        <v>1</v>
      </c>
      <c r="F4" s="106"/>
      <c r="G4" s="106"/>
      <c r="H4" s="106" t="s">
        <v>40</v>
      </c>
      <c r="I4" s="106"/>
      <c r="J4" s="106"/>
      <c r="K4" s="106" t="s">
        <v>2</v>
      </c>
      <c r="L4" s="106"/>
      <c r="M4" s="106"/>
      <c r="N4" s="106" t="s">
        <v>29</v>
      </c>
      <c r="O4" s="106"/>
      <c r="P4" s="106"/>
      <c r="Q4" s="113" t="s">
        <v>37</v>
      </c>
    </row>
    <row r="5" spans="1:17">
      <c r="A5" s="9" t="s">
        <v>26</v>
      </c>
      <c r="B5" s="89" t="s">
        <v>3</v>
      </c>
      <c r="C5" s="89" t="s">
        <v>27</v>
      </c>
      <c r="D5" s="89" t="s">
        <v>28</v>
      </c>
      <c r="E5" s="89" t="s">
        <v>3</v>
      </c>
      <c r="F5" s="89" t="s">
        <v>27</v>
      </c>
      <c r="G5" s="89" t="s">
        <v>28</v>
      </c>
      <c r="H5" s="89" t="s">
        <v>3</v>
      </c>
      <c r="I5" s="89" t="s">
        <v>27</v>
      </c>
      <c r="J5" s="89" t="s">
        <v>28</v>
      </c>
      <c r="K5" s="89" t="s">
        <v>3</v>
      </c>
      <c r="L5" s="89" t="s">
        <v>27</v>
      </c>
      <c r="M5" s="89" t="s">
        <v>28</v>
      </c>
      <c r="N5" s="70" t="s">
        <v>3</v>
      </c>
      <c r="O5" s="70" t="s">
        <v>27</v>
      </c>
      <c r="P5" s="70" t="s">
        <v>28</v>
      </c>
      <c r="Q5" s="114"/>
    </row>
    <row r="6" spans="1:17">
      <c r="A6" s="49">
        <v>41640</v>
      </c>
      <c r="B6" s="50">
        <v>1274806</v>
      </c>
      <c r="C6" s="50">
        <v>150303676.37</v>
      </c>
      <c r="D6" s="53">
        <f>C6/B6</f>
        <v>117.90317614601751</v>
      </c>
      <c r="E6" s="51">
        <v>15515</v>
      </c>
      <c r="F6" s="51">
        <v>2160065.1699999995</v>
      </c>
      <c r="G6" s="52">
        <f t="shared" ref="G6:G65" si="0">IF(E6=0,0,F6/E6)</f>
        <v>139.22431002255877</v>
      </c>
      <c r="H6" s="51">
        <v>3905</v>
      </c>
      <c r="I6" s="51">
        <v>493438.49</v>
      </c>
      <c r="J6" s="53">
        <f t="shared" ref="J6:J65" si="1">IF(H6=0,0,I6/H6)</f>
        <v>126.36068886043533</v>
      </c>
      <c r="K6" s="51">
        <v>1286416</v>
      </c>
      <c r="L6" s="51">
        <v>151970303.05000001</v>
      </c>
      <c r="M6" s="52">
        <f t="shared" ref="M6:M65" si="2">IF(K6=0,0,L6/K6)</f>
        <v>118.13464932805563</v>
      </c>
      <c r="N6" s="107"/>
      <c r="O6" s="107"/>
      <c r="P6" s="107"/>
      <c r="Q6" s="107"/>
    </row>
    <row r="7" spans="1:17">
      <c r="A7" s="49">
        <v>41671</v>
      </c>
      <c r="B7" s="50">
        <v>1286416</v>
      </c>
      <c r="C7" s="50">
        <v>151970303.05000001</v>
      </c>
      <c r="D7" s="53">
        <f t="shared" ref="D7:D17" si="3">M6</f>
        <v>118.13464932805563</v>
      </c>
      <c r="E7" s="51">
        <v>11919</v>
      </c>
      <c r="F7" s="51">
        <v>1673557.4000000001</v>
      </c>
      <c r="G7" s="52">
        <f t="shared" si="0"/>
        <v>140.41089017535029</v>
      </c>
      <c r="H7" s="51">
        <v>6611</v>
      </c>
      <c r="I7" s="51">
        <v>821339.74</v>
      </c>
      <c r="J7" s="53">
        <f t="shared" si="1"/>
        <v>124.23835123279383</v>
      </c>
      <c r="K7" s="51">
        <v>1291724</v>
      </c>
      <c r="L7" s="51">
        <v>152822520.71000004</v>
      </c>
      <c r="M7" s="52">
        <f t="shared" si="2"/>
        <v>118.30895819075904</v>
      </c>
      <c r="N7" s="107"/>
      <c r="O7" s="107"/>
      <c r="P7" s="107"/>
      <c r="Q7" s="107"/>
    </row>
    <row r="8" spans="1:17">
      <c r="A8" s="49">
        <v>41699</v>
      </c>
      <c r="B8" s="50">
        <v>1291724</v>
      </c>
      <c r="C8" s="50">
        <v>152822520.71000004</v>
      </c>
      <c r="D8" s="53">
        <f t="shared" si="3"/>
        <v>118.30895819075904</v>
      </c>
      <c r="E8" s="51">
        <v>-3075</v>
      </c>
      <c r="F8" s="51">
        <v>-327946.05</v>
      </c>
      <c r="G8" s="52">
        <f t="shared" si="0"/>
        <v>106.64912195121951</v>
      </c>
      <c r="H8" s="51">
        <v>4547</v>
      </c>
      <c r="I8" s="51">
        <v>495298.76</v>
      </c>
      <c r="J8" s="53">
        <f t="shared" si="1"/>
        <v>108.92869144490874</v>
      </c>
      <c r="K8" s="51">
        <v>1284102</v>
      </c>
      <c r="L8" s="51">
        <v>151999275.90000004</v>
      </c>
      <c r="M8" s="52">
        <f t="shared" si="2"/>
        <v>118.37009513262967</v>
      </c>
      <c r="N8" s="107"/>
      <c r="O8" s="107"/>
      <c r="P8" s="107"/>
      <c r="Q8" s="107"/>
    </row>
    <row r="9" spans="1:17">
      <c r="A9" s="49">
        <v>41730</v>
      </c>
      <c r="B9" s="50">
        <v>1284102</v>
      </c>
      <c r="C9" s="50">
        <v>151999275.90000004</v>
      </c>
      <c r="D9" s="53">
        <f t="shared" si="3"/>
        <v>118.37009513262967</v>
      </c>
      <c r="E9" s="51">
        <v>0</v>
      </c>
      <c r="F9" s="51">
        <v>4340.3999999999996</v>
      </c>
      <c r="G9" s="52">
        <f t="shared" si="0"/>
        <v>0</v>
      </c>
      <c r="H9" s="51">
        <v>32948</v>
      </c>
      <c r="I9" s="51">
        <v>4439387.0599999996</v>
      </c>
      <c r="J9" s="53">
        <f t="shared" si="1"/>
        <v>134.73919691635302</v>
      </c>
      <c r="K9" s="51">
        <v>1251154</v>
      </c>
      <c r="L9" s="51">
        <v>147564229.24000004</v>
      </c>
      <c r="M9" s="52">
        <f t="shared" si="2"/>
        <v>117.94249887703675</v>
      </c>
      <c r="N9" s="107"/>
      <c r="O9" s="107"/>
      <c r="P9" s="107"/>
      <c r="Q9" s="107"/>
    </row>
    <row r="10" spans="1:17">
      <c r="A10" s="49">
        <v>41760</v>
      </c>
      <c r="B10" s="50">
        <v>1251154</v>
      </c>
      <c r="C10" s="50">
        <v>147564229.24000004</v>
      </c>
      <c r="D10" s="53">
        <f t="shared" si="3"/>
        <v>117.94249887703675</v>
      </c>
      <c r="E10" s="51">
        <v>7</v>
      </c>
      <c r="F10" s="51">
        <v>4144.8700000000099</v>
      </c>
      <c r="G10" s="52">
        <f t="shared" si="0"/>
        <v>592.12428571428711</v>
      </c>
      <c r="H10" s="51">
        <v>48801</v>
      </c>
      <c r="I10" s="51">
        <v>6620964.5857199822</v>
      </c>
      <c r="J10" s="53">
        <f t="shared" si="1"/>
        <v>135.67272362697449</v>
      </c>
      <c r="K10" s="51">
        <v>1202360</v>
      </c>
      <c r="L10" s="51">
        <v>140947409.52428001</v>
      </c>
      <c r="M10" s="52">
        <f t="shared" si="2"/>
        <v>117.22563086286969</v>
      </c>
      <c r="N10" s="107"/>
      <c r="O10" s="107"/>
      <c r="P10" s="107"/>
      <c r="Q10" s="107"/>
    </row>
    <row r="11" spans="1:17">
      <c r="A11" s="49">
        <v>41791</v>
      </c>
      <c r="B11" s="50">
        <v>1202360</v>
      </c>
      <c r="C11" s="50">
        <v>140947409.52428001</v>
      </c>
      <c r="D11" s="53">
        <f t="shared" si="3"/>
        <v>117.22563086286969</v>
      </c>
      <c r="E11" s="51">
        <v>-22879</v>
      </c>
      <c r="F11" s="51">
        <v>-2461692.14</v>
      </c>
      <c r="G11" s="52">
        <f t="shared" si="0"/>
        <v>107.59614231391232</v>
      </c>
      <c r="H11" s="51">
        <v>30601</v>
      </c>
      <c r="I11" s="51">
        <v>3467383.3288891129</v>
      </c>
      <c r="J11" s="53">
        <f t="shared" si="1"/>
        <v>113.30947775854099</v>
      </c>
      <c r="K11" s="51">
        <v>1148880</v>
      </c>
      <c r="L11" s="51">
        <v>135018334.05539092</v>
      </c>
      <c r="M11" s="52">
        <f t="shared" si="2"/>
        <v>117.52170292405728</v>
      </c>
      <c r="N11" s="107"/>
      <c r="O11" s="107"/>
      <c r="P11" s="107"/>
      <c r="Q11" s="107"/>
    </row>
    <row r="12" spans="1:17">
      <c r="A12" s="49">
        <v>41821</v>
      </c>
      <c r="B12" s="50">
        <v>1148880</v>
      </c>
      <c r="C12" s="50">
        <v>135018334.05539092</v>
      </c>
      <c r="D12" s="53">
        <f t="shared" si="3"/>
        <v>117.52170292405728</v>
      </c>
      <c r="E12" s="51">
        <v>73173</v>
      </c>
      <c r="F12" s="51">
        <v>9465915.6399999987</v>
      </c>
      <c r="G12" s="52">
        <f t="shared" si="0"/>
        <v>129.36350347805882</v>
      </c>
      <c r="H12" s="51">
        <v>31724</v>
      </c>
      <c r="I12" s="51">
        <v>3268122.7199999993</v>
      </c>
      <c r="J12" s="53">
        <f t="shared" si="1"/>
        <v>103.01735972765097</v>
      </c>
      <c r="K12" s="51">
        <v>1190329</v>
      </c>
      <c r="L12" s="51">
        <v>141216126.97539091</v>
      </c>
      <c r="M12" s="52">
        <f t="shared" si="2"/>
        <v>118.6362148409313</v>
      </c>
      <c r="N12" s="107"/>
      <c r="O12" s="107"/>
      <c r="P12" s="107"/>
      <c r="Q12" s="107"/>
    </row>
    <row r="13" spans="1:17">
      <c r="A13" s="49">
        <v>41852</v>
      </c>
      <c r="B13" s="50">
        <v>1190329</v>
      </c>
      <c r="C13" s="50">
        <v>141216126.97539091</v>
      </c>
      <c r="D13" s="53">
        <f t="shared" si="3"/>
        <v>118.6362148409313</v>
      </c>
      <c r="E13" s="51">
        <v>2318</v>
      </c>
      <c r="F13" s="51">
        <v>572297.8200000003</v>
      </c>
      <c r="G13" s="52">
        <f t="shared" si="0"/>
        <v>246.89293356341688</v>
      </c>
      <c r="H13" s="51">
        <v>14511</v>
      </c>
      <c r="I13" s="51">
        <v>1422388.0200000003</v>
      </c>
      <c r="J13" s="53">
        <f t="shared" si="1"/>
        <v>98.021364482117036</v>
      </c>
      <c r="K13" s="51">
        <v>1178136</v>
      </c>
      <c r="L13" s="51">
        <v>140366036.77539092</v>
      </c>
      <c r="M13" s="52">
        <f t="shared" si="2"/>
        <v>119.14247317405709</v>
      </c>
      <c r="N13" s="107"/>
      <c r="O13" s="107"/>
      <c r="P13" s="107"/>
      <c r="Q13" s="107"/>
    </row>
    <row r="14" spans="1:17">
      <c r="A14" s="49">
        <v>41883</v>
      </c>
      <c r="B14" s="50">
        <v>1178136</v>
      </c>
      <c r="C14" s="50">
        <v>140366036.77539092</v>
      </c>
      <c r="D14" s="53">
        <f t="shared" si="3"/>
        <v>119.14247317405709</v>
      </c>
      <c r="E14" s="51">
        <v>8508</v>
      </c>
      <c r="F14" s="51">
        <v>1210933.8600000006</v>
      </c>
      <c r="G14" s="52">
        <f t="shared" si="0"/>
        <v>142.32885049365311</v>
      </c>
      <c r="H14" s="51">
        <v>1693</v>
      </c>
      <c r="I14" s="51">
        <v>203892.94</v>
      </c>
      <c r="J14" s="53">
        <f t="shared" si="1"/>
        <v>120.4329238038984</v>
      </c>
      <c r="K14" s="51">
        <v>1184951</v>
      </c>
      <c r="L14" s="51">
        <v>141373077.69539091</v>
      </c>
      <c r="M14" s="52">
        <f t="shared" si="2"/>
        <v>119.3071086444848</v>
      </c>
      <c r="N14" s="107"/>
      <c r="O14" s="107"/>
      <c r="P14" s="107"/>
      <c r="Q14" s="107"/>
    </row>
    <row r="15" spans="1:17">
      <c r="A15" s="49">
        <v>41913</v>
      </c>
      <c r="B15" s="50">
        <v>1184951</v>
      </c>
      <c r="C15" s="50">
        <v>141373077.69539091</v>
      </c>
      <c r="D15" s="53">
        <f t="shared" si="3"/>
        <v>119.3071086444848</v>
      </c>
      <c r="E15" s="51">
        <v>7377</v>
      </c>
      <c r="F15" s="51">
        <v>419355.73</v>
      </c>
      <c r="G15" s="52">
        <f t="shared" si="0"/>
        <v>56.846377931408426</v>
      </c>
      <c r="H15" s="51">
        <v>7320</v>
      </c>
      <c r="I15" s="51">
        <v>814562.65107346617</v>
      </c>
      <c r="J15" s="53">
        <f t="shared" si="1"/>
        <v>111.27905069309647</v>
      </c>
      <c r="K15" s="51">
        <v>1185008</v>
      </c>
      <c r="L15" s="51">
        <v>140977870.77431744</v>
      </c>
      <c r="M15" s="52">
        <f t="shared" si="2"/>
        <v>118.96786416152248</v>
      </c>
      <c r="N15" s="107"/>
      <c r="O15" s="107"/>
      <c r="P15" s="107"/>
      <c r="Q15" s="107"/>
    </row>
    <row r="16" spans="1:17">
      <c r="A16" s="49">
        <v>41944</v>
      </c>
      <c r="B16" s="50">
        <v>1185008</v>
      </c>
      <c r="C16" s="50">
        <v>140977870.77431744</v>
      </c>
      <c r="D16" s="53">
        <f t="shared" si="3"/>
        <v>118.96786416152248</v>
      </c>
      <c r="E16" s="51">
        <v>-2846</v>
      </c>
      <c r="F16" s="51">
        <v>-706531.85999999987</v>
      </c>
      <c r="G16" s="52">
        <f t="shared" si="0"/>
        <v>248.25434293745604</v>
      </c>
      <c r="H16" s="51">
        <v>467</v>
      </c>
      <c r="I16" s="51">
        <v>55689.900000000009</v>
      </c>
      <c r="J16" s="53">
        <f t="shared" si="1"/>
        <v>119.25032119914349</v>
      </c>
      <c r="K16" s="51">
        <v>1181695</v>
      </c>
      <c r="L16" s="51">
        <v>140215649.01431745</v>
      </c>
      <c r="M16" s="52">
        <f t="shared" si="2"/>
        <v>118.65637835001202</v>
      </c>
      <c r="N16" s="107"/>
      <c r="O16" s="107"/>
      <c r="P16" s="107"/>
      <c r="Q16" s="107"/>
    </row>
    <row r="17" spans="1:17">
      <c r="A17" s="49">
        <v>41974</v>
      </c>
      <c r="B17" s="50">
        <f>'Putnam Light Oil'!E17+'Turkey Point Light Oil'!E17+'West County Light Oil'!E17+'Martin Light Oil'!E17+'Fort Myers Light Oil'!E18+'Port GT''s Jet Fuel'!E18+'Lauderdale Jet Fuel'!E18+'Cape Canaveral Light Oil'!E18+'Riviera Light Oil'!E18+'PEEC Light Oil'!E18</f>
        <v>1181695</v>
      </c>
      <c r="C17" s="50">
        <f>'Putnam Light Oil'!F17+'Turkey Point Light Oil'!F17+'West County Light Oil'!F17+'Martin Light Oil'!F17+'Fort Myers Light Oil'!F18+'Port GT''s Jet Fuel'!F18+'Lauderdale Jet Fuel'!F18+'Cape Canaveral Light Oil'!F18+'Riviera Light Oil'!F18+'PEEC Light Oil'!F18</f>
        <v>140215649.01431745</v>
      </c>
      <c r="D17" s="53">
        <f t="shared" si="3"/>
        <v>118.65637835001202</v>
      </c>
      <c r="E17" s="51">
        <f>'Putnam Light Oil'!H17+'Turkey Point Light Oil'!H17+'West County Light Oil'!H17+'Martin Light Oil'!H17+'Fort Myers Light Oil'!H18+'Port GT''s Jet Fuel'!H18+'Lauderdale Jet Fuel'!H18+'Cape Canaveral Light Oil'!H18+'Riviera Light Oil'!H18+'PEEC Light Oil'!H18</f>
        <v>-20796</v>
      </c>
      <c r="F17" s="51">
        <f>'Putnam Light Oil'!I17+'Turkey Point Light Oil'!I17+'West County Light Oil'!I17+'Martin Light Oil'!I17+'Fort Myers Light Oil'!I18+'Port GT''s Jet Fuel'!I18+'Lauderdale Jet Fuel'!I18+'Cape Canaveral Light Oil'!I18+'Riviera Light Oil'!I18+'PEEC Light Oil'!I18</f>
        <v>-2819383.0700000003</v>
      </c>
      <c r="G17" s="52">
        <f t="shared" si="0"/>
        <v>135.57333477591845</v>
      </c>
      <c r="H17" s="51">
        <f>'Putnam Light Oil'!K17+'Turkey Point Light Oil'!K17+'West County Light Oil'!K17+'Martin Light Oil'!K17+'Fort Myers Light Oil'!K18+'Port GT''s Jet Fuel'!K18+'Lauderdale Jet Fuel'!K18+'Cape Canaveral Light Oil'!K18+'Riviera Light Oil'!K18+'PEEC Light Oil'!K18</f>
        <v>65737</v>
      </c>
      <c r="I17" s="51">
        <f>'Putnam Light Oil'!L17+'Turkey Point Light Oil'!L17+'West County Light Oil'!L17+'Martin Light Oil'!L17+'Fort Myers Light Oil'!L18+'Port GT''s Jet Fuel'!L18+'Lauderdale Jet Fuel'!L18+'Cape Canaveral Light Oil'!L18+'Riviera Light Oil'!L18+'PEEC Light Oil'!L18</f>
        <v>6194319.7199999997</v>
      </c>
      <c r="J17" s="53">
        <f t="shared" si="1"/>
        <v>94.228816648158571</v>
      </c>
      <c r="K17" s="51">
        <f>'Putnam Light Oil'!N17+'Turkey Point Light Oil'!N17+'West County Light Oil'!N17+'Martin Light Oil'!N17+'Fort Myers Light Oil'!N18+'Port GT''s Jet Fuel'!N18+'Lauderdale Jet Fuel'!N18+'Cape Canaveral Light Oil'!N18+'Riviera Light Oil'!N18+'PEEC Light Oil'!N18</f>
        <v>1095162</v>
      </c>
      <c r="L17" s="51">
        <f>'Putnam Light Oil'!O17+'Turkey Point Light Oil'!O17+'West County Light Oil'!O17+'Martin Light Oil'!O17+'Fort Myers Light Oil'!O18+'Port GT''s Jet Fuel'!O18+'Lauderdale Jet Fuel'!O18+'Cape Canaveral Light Oil'!O18+'Riviera Light Oil'!O18+'PEEC Light Oil'!O18</f>
        <v>131201946.22431746</v>
      </c>
      <c r="M17" s="52">
        <f t="shared" si="2"/>
        <v>119.80140492851054</v>
      </c>
      <c r="N17" s="107"/>
      <c r="O17" s="107"/>
      <c r="P17" s="107"/>
      <c r="Q17" s="107"/>
    </row>
    <row r="18" spans="1:17">
      <c r="A18" s="49">
        <v>42005</v>
      </c>
      <c r="B18" s="50">
        <f>'Putnam Light Oil'!E18+'Turkey Point Light Oil'!E18+'West County Light Oil'!E18+'Martin Light Oil'!E18+'Fort Myers Light Oil'!E19+'Port GT''s Jet Fuel'!E19+'Lauderdale Jet Fuel'!E19+'Cape Canaveral Light Oil'!E19+'Riviera Light Oil'!E19+'PEEC Light Oil'!E19</f>
        <v>1095162</v>
      </c>
      <c r="C18" s="50">
        <f>'Putnam Light Oil'!F18+'Turkey Point Light Oil'!F18+'West County Light Oil'!F18+'Martin Light Oil'!F18+'Fort Myers Light Oil'!F19+'Port GT''s Jet Fuel'!F19+'Lauderdale Jet Fuel'!F19+'Cape Canaveral Light Oil'!F19+'Riviera Light Oil'!F19+'PEEC Light Oil'!F19</f>
        <v>131201946.22431746</v>
      </c>
      <c r="D18" s="53">
        <f>C18/B18</f>
        <v>119.80140492851054</v>
      </c>
      <c r="E18" s="51">
        <f>'Putnam Light Oil'!H18+'Turkey Point Light Oil'!H18+'West County Light Oil'!H18+'Martin Light Oil'!H18+'Fort Myers Light Oil'!H19+'Port GT''s Jet Fuel'!H19+'Lauderdale Jet Fuel'!H19+'Cape Canaveral Light Oil'!H19+'Riviera Light Oil'!H19+'PEEC Light Oil'!H19</f>
        <v>-1685</v>
      </c>
      <c r="F18" s="51">
        <f>'Putnam Light Oil'!I18+'Turkey Point Light Oil'!I18+'West County Light Oil'!I18+'Martin Light Oil'!I18+'Fort Myers Light Oil'!I19+'Port GT''s Jet Fuel'!I19+'Lauderdale Jet Fuel'!I19+'Cape Canaveral Light Oil'!I19+'Riviera Light Oil'!I19+'PEEC Light Oil'!I19</f>
        <v>-189848.32000000001</v>
      </c>
      <c r="G18" s="52">
        <f t="shared" si="0"/>
        <v>112.66962611275964</v>
      </c>
      <c r="H18" s="51">
        <f>'Putnam Light Oil'!K18+'Turkey Point Light Oil'!K18+'West County Light Oil'!K18+'Martin Light Oil'!K18+'Fort Myers Light Oil'!K19+'Port GT''s Jet Fuel'!K19+'Lauderdale Jet Fuel'!K19+'Cape Canaveral Light Oil'!K19+'Riviera Light Oil'!K19+'PEEC Light Oil'!K19</f>
        <v>15359</v>
      </c>
      <c r="I18" s="51">
        <f>'Putnam Light Oil'!L18+'Turkey Point Light Oil'!L18+'West County Light Oil'!L18+'Martin Light Oil'!L18+'Fort Myers Light Oil'!L19+'Port GT''s Jet Fuel'!L19+'Lauderdale Jet Fuel'!L19+'Cape Canaveral Light Oil'!L19+'Riviera Light Oil'!L19+'PEEC Light Oil'!L19</f>
        <v>1975603.7899999998</v>
      </c>
      <c r="J18" s="53">
        <f t="shared" si="1"/>
        <v>128.62841265707402</v>
      </c>
      <c r="K18" s="51">
        <f>'Putnam Light Oil'!N18+'Turkey Point Light Oil'!N18+'West County Light Oil'!N18+'Martin Light Oil'!N18+'Fort Myers Light Oil'!N19+'Port GT''s Jet Fuel'!N19+'Lauderdale Jet Fuel'!N19+'Cape Canaveral Light Oil'!N19+'Riviera Light Oil'!N19+'PEEC Light Oil'!N19</f>
        <v>1078118</v>
      </c>
      <c r="L18" s="51">
        <f>'Putnam Light Oil'!O18+'Turkey Point Light Oil'!O18+'West County Light Oil'!O18+'Martin Light Oil'!O18+'Fort Myers Light Oil'!O19+'Port GT''s Jet Fuel'!O19+'Lauderdale Jet Fuel'!O19+'Cape Canaveral Light Oil'!O19+'Riviera Light Oil'!O19+'PEEC Light Oil'!O19</f>
        <v>129036494.11431745</v>
      </c>
      <c r="M18" s="52">
        <f t="shared" si="2"/>
        <v>119.68680062323182</v>
      </c>
      <c r="N18" s="54">
        <f t="shared" ref="N18:O31" si="4">AVERAGE(K6:K18)</f>
        <v>1196771.923076923</v>
      </c>
      <c r="O18" s="54">
        <f t="shared" si="4"/>
        <v>141900713.38870108</v>
      </c>
      <c r="P18" s="56">
        <f t="shared" ref="P18:P53" si="5">IF(N18=0,0,O18/N18)</f>
        <v>118.5695541919731</v>
      </c>
      <c r="Q18" s="58">
        <f>'Turkey Point Light Oil'!A18+'West County Light Oil'!A18+'Martin Light Oil'!A18+'Fort Myers Light Oil'!A19+'Port GT''s Jet Fuel'!A19+'Lauderdale Jet Fuel'!A19+'Cape Canaveral Light Oil'!A19+'Riviera Light Oil'!A19+'PEEC Light Oil'!A19+K18</f>
        <v>1127954</v>
      </c>
    </row>
    <row r="19" spans="1:17">
      <c r="A19" s="49">
        <v>42036</v>
      </c>
      <c r="B19" s="50">
        <f>'Putnam Light Oil'!E19+'Turkey Point Light Oil'!E19+'West County Light Oil'!E19+'Martin Light Oil'!E19+'Fort Myers Light Oil'!E20+'Port GT''s Jet Fuel'!E20+'Lauderdale Jet Fuel'!E20+'Cape Canaveral Light Oil'!E20+'Riviera Light Oil'!E20+'PEEC Light Oil'!E20</f>
        <v>1078118</v>
      </c>
      <c r="C19" s="50">
        <f>'Putnam Light Oil'!F19+'Turkey Point Light Oil'!F19+'West County Light Oil'!F19+'Martin Light Oil'!F19+'Fort Myers Light Oil'!F20+'Port GT''s Jet Fuel'!F20+'Lauderdale Jet Fuel'!F20+'Cape Canaveral Light Oil'!F20+'Riviera Light Oil'!F20+'PEEC Light Oil'!F20</f>
        <v>129036494.11431745</v>
      </c>
      <c r="D19" s="53">
        <f t="shared" ref="D19:D65" si="6">C19/B19</f>
        <v>119.68680062323182</v>
      </c>
      <c r="E19" s="51">
        <f>'Putnam Light Oil'!H19+'Turkey Point Light Oil'!H19+'West County Light Oil'!H19+'Martin Light Oil'!H19+'Fort Myers Light Oil'!H20+'Port GT''s Jet Fuel'!H20+'Lauderdale Jet Fuel'!H20+'Cape Canaveral Light Oil'!H20+'Riviera Light Oil'!H20+'PEEC Light Oil'!H20</f>
        <v>14961</v>
      </c>
      <c r="F19" s="51">
        <f>'Putnam Light Oil'!I19+'Turkey Point Light Oil'!I19+'West County Light Oil'!I19+'Martin Light Oil'!I19+'Fort Myers Light Oil'!I20+'Port GT''s Jet Fuel'!I20+'Lauderdale Jet Fuel'!I20+'Cape Canaveral Light Oil'!I20+'Riviera Light Oil'!I20+'PEEC Light Oil'!I20</f>
        <v>1351310.75</v>
      </c>
      <c r="G19" s="52">
        <f t="shared" si="0"/>
        <v>90.322221108214691</v>
      </c>
      <c r="H19" s="51">
        <f>'Putnam Light Oil'!K19+'Turkey Point Light Oil'!K19+'West County Light Oil'!K19+'Martin Light Oil'!K19+'Fort Myers Light Oil'!K20+'Port GT''s Jet Fuel'!K20+'Lauderdale Jet Fuel'!K20+'Cape Canaveral Light Oil'!K20+'Riviera Light Oil'!K20+'PEEC Light Oil'!K20</f>
        <v>6601</v>
      </c>
      <c r="I19" s="51">
        <f>'Putnam Light Oil'!L19+'Turkey Point Light Oil'!L19+'West County Light Oil'!L19+'Martin Light Oil'!L19+'Fort Myers Light Oil'!L20+'Port GT''s Jet Fuel'!L20+'Lauderdale Jet Fuel'!L20+'Cape Canaveral Light Oil'!L20+'Riviera Light Oil'!L20+'PEEC Light Oil'!L20</f>
        <v>850308.68000000017</v>
      </c>
      <c r="J19" s="53">
        <f t="shared" si="1"/>
        <v>128.81513104075142</v>
      </c>
      <c r="K19" s="51">
        <f>'Putnam Light Oil'!N19+'Turkey Point Light Oil'!N19+'West County Light Oil'!N19+'Martin Light Oil'!N19+'Fort Myers Light Oil'!N20+'Port GT''s Jet Fuel'!N20+'Lauderdale Jet Fuel'!N20+'Cape Canaveral Light Oil'!N20+'Riviera Light Oil'!N20+'PEEC Light Oil'!N20</f>
        <v>1086478</v>
      </c>
      <c r="L19" s="51">
        <f>'Putnam Light Oil'!O19+'Turkey Point Light Oil'!O19+'West County Light Oil'!O19+'Martin Light Oil'!O19+'Fort Myers Light Oil'!O20+'Port GT''s Jet Fuel'!O20+'Lauderdale Jet Fuel'!O20+'Cape Canaveral Light Oil'!O20+'Riviera Light Oil'!O20+'PEEC Light Oil'!O20</f>
        <v>129537496.18431745</v>
      </c>
      <c r="M19" s="52">
        <f t="shared" si="2"/>
        <v>119.22698497743852</v>
      </c>
      <c r="N19" s="54">
        <f t="shared" si="4"/>
        <v>1181392.076923077</v>
      </c>
      <c r="O19" s="54">
        <f t="shared" si="4"/>
        <v>140175112.86057165</v>
      </c>
      <c r="P19" s="56">
        <f t="shared" si="5"/>
        <v>118.65249107278274</v>
      </c>
      <c r="Q19" s="58">
        <f>'Turkey Point Light Oil'!A19+'West County Light Oil'!A19+'Martin Light Oil'!A19+'Fort Myers Light Oil'!A20+'Port GT''s Jet Fuel'!A20+'Lauderdale Jet Fuel'!A20+'Cape Canaveral Light Oil'!A20+'Riviera Light Oil'!A20+'PEEC Light Oil'!A20+K19</f>
        <v>1136314</v>
      </c>
    </row>
    <row r="20" spans="1:17">
      <c r="A20" s="49">
        <v>42064</v>
      </c>
      <c r="B20" s="50">
        <f>'Putnam Light Oil'!E20+'Turkey Point Light Oil'!E20+'West County Light Oil'!E20+'Martin Light Oil'!E20+'Fort Myers Light Oil'!E21+'Port GT''s Jet Fuel'!E21+'Lauderdale Jet Fuel'!E21+'Cape Canaveral Light Oil'!E21+'Riviera Light Oil'!E21+'PEEC Light Oil'!E21</f>
        <v>1086478</v>
      </c>
      <c r="C20" s="50">
        <f>'Putnam Light Oil'!F20+'Turkey Point Light Oil'!F20+'West County Light Oil'!F20+'Martin Light Oil'!F20+'Fort Myers Light Oil'!F21+'Port GT''s Jet Fuel'!F21+'Lauderdale Jet Fuel'!F21+'Cape Canaveral Light Oil'!F21+'Riviera Light Oil'!F21+'PEEC Light Oil'!F21</f>
        <v>129537496.18431745</v>
      </c>
      <c r="D20" s="53">
        <f t="shared" si="6"/>
        <v>119.22698497743852</v>
      </c>
      <c r="E20" s="51">
        <f>'Putnam Light Oil'!H20+'Turkey Point Light Oil'!H20+'West County Light Oil'!H20+'Martin Light Oil'!H20+'Fort Myers Light Oil'!H21+'Port GT''s Jet Fuel'!H21+'Lauderdale Jet Fuel'!H21+'Cape Canaveral Light Oil'!H21+'Riviera Light Oil'!H21+'PEEC Light Oil'!H21</f>
        <v>18082</v>
      </c>
      <c r="F20" s="51">
        <f>'Putnam Light Oil'!I20+'Turkey Point Light Oil'!I20+'West County Light Oil'!I20+'Martin Light Oil'!I20+'Fort Myers Light Oil'!I21+'Port GT''s Jet Fuel'!I21+'Lauderdale Jet Fuel'!I21+'Cape Canaveral Light Oil'!I21+'Riviera Light Oil'!I21+'PEEC Light Oil'!I21</f>
        <v>1780811.3299999998</v>
      </c>
      <c r="G20" s="52">
        <f t="shared" ref="G20" si="7">IF(E20=0,0,F20/E20)</f>
        <v>98.485307488109711</v>
      </c>
      <c r="H20" s="51">
        <f>'Putnam Light Oil'!K20+'Turkey Point Light Oil'!K20+'West County Light Oil'!K20+'Martin Light Oil'!K20+'Fort Myers Light Oil'!K21+'Port GT''s Jet Fuel'!K21+'Lauderdale Jet Fuel'!K21+'Cape Canaveral Light Oil'!K21+'Riviera Light Oil'!K21+'PEEC Light Oil'!K21</f>
        <v>24661</v>
      </c>
      <c r="I20" s="51">
        <f>'Putnam Light Oil'!L20+'Turkey Point Light Oil'!L20+'West County Light Oil'!L20+'Martin Light Oil'!L20+'Fort Myers Light Oil'!L21+'Port GT''s Jet Fuel'!L21+'Lauderdale Jet Fuel'!L21+'Cape Canaveral Light Oil'!L21+'Riviera Light Oil'!L21+'PEEC Light Oil'!L21</f>
        <v>3101506.5499999993</v>
      </c>
      <c r="J20" s="53">
        <f t="shared" si="1"/>
        <v>125.7656441344633</v>
      </c>
      <c r="K20" s="51">
        <f>'Putnam Light Oil'!N20+'Turkey Point Light Oil'!N20+'West County Light Oil'!N20+'Martin Light Oil'!N20+'Fort Myers Light Oil'!N21+'Port GT''s Jet Fuel'!N21+'Lauderdale Jet Fuel'!N21+'Cape Canaveral Light Oil'!N21+'Riviera Light Oil'!N21+'PEEC Light Oil'!N21</f>
        <v>1079899</v>
      </c>
      <c r="L20" s="51">
        <f>'Putnam Light Oil'!O20+'Turkey Point Light Oil'!O20+'West County Light Oil'!O20+'Martin Light Oil'!O20+'Fort Myers Light Oil'!O21+'Port GT''s Jet Fuel'!O21+'Lauderdale Jet Fuel'!O21+'Cape Canaveral Light Oil'!O21+'Riviera Light Oil'!O21+'PEEC Light Oil'!O21</f>
        <v>128216800.96431746</v>
      </c>
      <c r="M20" s="52">
        <f t="shared" si="2"/>
        <v>118.73036363985656</v>
      </c>
      <c r="N20" s="54">
        <f t="shared" si="4"/>
        <v>1165097.8461538462</v>
      </c>
      <c r="O20" s="54">
        <f t="shared" si="4"/>
        <v>138282365.18782681</v>
      </c>
      <c r="P20" s="56">
        <f t="shared" si="5"/>
        <v>118.68734084808119</v>
      </c>
      <c r="Q20" s="58">
        <f>'Turkey Point Light Oil'!A20+'West County Light Oil'!A20+'Martin Light Oil'!A20+'Fort Myers Light Oil'!A21+'Port GT''s Jet Fuel'!A21+'Lauderdale Jet Fuel'!A21+'Cape Canaveral Light Oil'!A21+'Riviera Light Oil'!A21+'PEEC Light Oil'!A21+K20</f>
        <v>1129735</v>
      </c>
    </row>
    <row r="21" spans="1:17">
      <c r="A21" s="49">
        <v>42095</v>
      </c>
      <c r="B21" s="50">
        <f>'Putnam Light Oil'!E21+'Turkey Point Light Oil'!E21+'West County Light Oil'!E21+'Martin Light Oil'!E21+'Fort Myers Light Oil'!E22+'Port GT''s Jet Fuel'!E22+'Lauderdale Jet Fuel'!E22+'Cape Canaveral Light Oil'!E22+'Riviera Light Oil'!E22+'PEEC Light Oil'!E22</f>
        <v>1079899</v>
      </c>
      <c r="C21" s="50">
        <f>'Putnam Light Oil'!F21+'Turkey Point Light Oil'!F21+'West County Light Oil'!F21+'Martin Light Oil'!F21+'Fort Myers Light Oil'!F22+'Port GT''s Jet Fuel'!F22+'Lauderdale Jet Fuel'!F22+'Cape Canaveral Light Oil'!F22+'Riviera Light Oil'!F22+'PEEC Light Oil'!F22</f>
        <v>128216800.96431746</v>
      </c>
      <c r="D21" s="53">
        <f t="shared" si="6"/>
        <v>118.73036363985656</v>
      </c>
      <c r="E21" s="51">
        <f>'Putnam Light Oil'!H21+'Turkey Point Light Oil'!H21+'West County Light Oil'!H21+'Martin Light Oil'!H21+'Fort Myers Light Oil'!H22+'Port GT''s Jet Fuel'!H22+'Lauderdale Jet Fuel'!H22+'Cape Canaveral Light Oil'!H22+'Riviera Light Oil'!H22+'PEEC Light Oil'!H22</f>
        <v>26701</v>
      </c>
      <c r="F21" s="51">
        <f>'Putnam Light Oil'!I21+'Turkey Point Light Oil'!I21+'West County Light Oil'!I21+'Martin Light Oil'!I21+'Fort Myers Light Oil'!I22+'Port GT''s Jet Fuel'!I22+'Lauderdale Jet Fuel'!I22+'Cape Canaveral Light Oil'!I22+'Riviera Light Oil'!I22+'PEEC Light Oil'!I22</f>
        <v>2628762.08</v>
      </c>
      <c r="G21" s="52">
        <f t="shared" si="0"/>
        <v>98.451821280101868</v>
      </c>
      <c r="H21" s="51">
        <f>'Putnam Light Oil'!K21+'Turkey Point Light Oil'!K21+'West County Light Oil'!K21+'Martin Light Oil'!K21+'Fort Myers Light Oil'!K22+'Port GT''s Jet Fuel'!K22+'Lauderdale Jet Fuel'!K22+'Cape Canaveral Light Oil'!K22+'Riviera Light Oil'!K22+'PEEC Light Oil'!K22</f>
        <v>28785</v>
      </c>
      <c r="I21" s="51">
        <f>'Putnam Light Oil'!L21+'Turkey Point Light Oil'!L21+'West County Light Oil'!L21+'Martin Light Oil'!L21+'Fort Myers Light Oil'!L22+'Port GT''s Jet Fuel'!L22+'Lauderdale Jet Fuel'!L22+'Cape Canaveral Light Oil'!L22+'Riviera Light Oil'!L22+'PEEC Light Oil'!L22</f>
        <v>3117269.6999999997</v>
      </c>
      <c r="J21" s="53">
        <f t="shared" si="1"/>
        <v>108.29493486190724</v>
      </c>
      <c r="K21" s="51">
        <f>'Putnam Light Oil'!N21+'Turkey Point Light Oil'!N21+'West County Light Oil'!N21+'Martin Light Oil'!N21+'Fort Myers Light Oil'!N22+'Port GT''s Jet Fuel'!N22+'Lauderdale Jet Fuel'!N22+'Cape Canaveral Light Oil'!N22+'Riviera Light Oil'!N22+'PEEC Light Oil'!N22</f>
        <v>1077815</v>
      </c>
      <c r="L21" s="51">
        <f>'Putnam Light Oil'!O21+'Turkey Point Light Oil'!O21+'West County Light Oil'!O21+'Martin Light Oil'!O21+'Fort Myers Light Oil'!O22+'Port GT''s Jet Fuel'!O22+'Lauderdale Jet Fuel'!O22+'Cape Canaveral Light Oil'!O22+'Riviera Light Oil'!O22+'PEEC Light Oil'!O22</f>
        <v>127728293.34431747</v>
      </c>
      <c r="M21" s="52">
        <f t="shared" si="2"/>
        <v>118.50669488206925</v>
      </c>
      <c r="N21" s="54">
        <f t="shared" si="4"/>
        <v>1149229.6153846155</v>
      </c>
      <c r="O21" s="54">
        <f t="shared" si="4"/>
        <v>136415366.52969739</v>
      </c>
      <c r="P21" s="56">
        <f t="shared" si="5"/>
        <v>118.70157599797228</v>
      </c>
      <c r="Q21" s="58">
        <f>'Turkey Point Light Oil'!A21+'West County Light Oil'!A21+'Martin Light Oil'!A21+'Fort Myers Light Oil'!A22+'Port GT''s Jet Fuel'!A22+'Lauderdale Jet Fuel'!A22+'Cape Canaveral Light Oil'!A22+'Riviera Light Oil'!A22+'PEEC Light Oil'!A22+K21</f>
        <v>1139493</v>
      </c>
    </row>
    <row r="22" spans="1:17">
      <c r="A22" s="49">
        <v>42125</v>
      </c>
      <c r="B22" s="50">
        <f>'Putnam Light Oil'!E22+'Turkey Point Light Oil'!E22+'West County Light Oil'!E22+'Martin Light Oil'!E22+'Fort Myers Light Oil'!E23+'Port GT''s Jet Fuel'!E23+'Lauderdale Jet Fuel'!E23+'Cape Canaveral Light Oil'!E23+'Riviera Light Oil'!E23+'PEEC Light Oil'!E23</f>
        <v>1077815</v>
      </c>
      <c r="C22" s="50">
        <f>'Putnam Light Oil'!F22+'Turkey Point Light Oil'!F22+'West County Light Oil'!F22+'Martin Light Oil'!F22+'Fort Myers Light Oil'!F23+'Port GT''s Jet Fuel'!F23+'Lauderdale Jet Fuel'!F23+'Cape Canaveral Light Oil'!F23+'Riviera Light Oil'!F23+'PEEC Light Oil'!F23</f>
        <v>127728293.34431747</v>
      </c>
      <c r="D22" s="53">
        <f t="shared" si="6"/>
        <v>118.50669488206925</v>
      </c>
      <c r="E22" s="51">
        <f>'Putnam Light Oil'!H22+'Turkey Point Light Oil'!H22+'West County Light Oil'!H22+'Martin Light Oil'!H22+'Fort Myers Light Oil'!H23+'Port GT''s Jet Fuel'!H23+'Lauderdale Jet Fuel'!H23+'Cape Canaveral Light Oil'!H23+'Riviera Light Oil'!H23+'PEEC Light Oil'!H23</f>
        <v>131922</v>
      </c>
      <c r="F22" s="51">
        <f>'Putnam Light Oil'!I22+'Turkey Point Light Oil'!I22+'West County Light Oil'!I22+'Martin Light Oil'!I22+'Fort Myers Light Oil'!I23+'Port GT''s Jet Fuel'!I23+'Lauderdale Jet Fuel'!I23+'Cape Canaveral Light Oil'!I23+'Riviera Light Oil'!I23+'PEEC Light Oil'!I23</f>
        <v>12427108.449999999</v>
      </c>
      <c r="G22" s="52">
        <f t="shared" si="0"/>
        <v>94.200424872273004</v>
      </c>
      <c r="H22" s="51">
        <f>'Putnam Light Oil'!K22+'Turkey Point Light Oil'!K22+'West County Light Oil'!K22+'Martin Light Oil'!K22+'Fort Myers Light Oil'!K23+'Port GT''s Jet Fuel'!K23+'Lauderdale Jet Fuel'!K23+'Cape Canaveral Light Oil'!K23+'Riviera Light Oil'!K23+'PEEC Light Oil'!K23</f>
        <v>14898</v>
      </c>
      <c r="I22" s="51">
        <f>'Putnam Light Oil'!L22+'Turkey Point Light Oil'!L22+'West County Light Oil'!L22+'Martin Light Oil'!L22+'Fort Myers Light Oil'!L23+'Port GT''s Jet Fuel'!L23+'Lauderdale Jet Fuel'!L23+'Cape Canaveral Light Oil'!L23+'Riviera Light Oil'!L23+'PEEC Light Oil'!L23</f>
        <v>1566036.9</v>
      </c>
      <c r="J22" s="53">
        <f t="shared" si="1"/>
        <v>105.11725734997985</v>
      </c>
      <c r="K22" s="51">
        <f>'Putnam Light Oil'!N22+'Turkey Point Light Oil'!N22+'West County Light Oil'!N22+'Martin Light Oil'!N22+'Fort Myers Light Oil'!N23+'Port GT''s Jet Fuel'!N23+'Lauderdale Jet Fuel'!N23+'Cape Canaveral Light Oil'!N23+'Riviera Light Oil'!N23+'PEEC Light Oil'!N23</f>
        <v>1194839</v>
      </c>
      <c r="L22" s="51">
        <f>'Putnam Light Oil'!O22+'Turkey Point Light Oil'!O22+'West County Light Oil'!O22+'Martin Light Oil'!O22+'Fort Myers Light Oil'!O23+'Port GT''s Jet Fuel'!O23+'Lauderdale Jet Fuel'!O23+'Cape Canaveral Light Oil'!O23+'Riviera Light Oil'!O23+'PEEC Light Oil'!O23</f>
        <v>138589364.89431745</v>
      </c>
      <c r="M22" s="52">
        <f t="shared" si="2"/>
        <v>115.98999103169335</v>
      </c>
      <c r="N22" s="54">
        <f t="shared" si="4"/>
        <v>1144897.6923076923</v>
      </c>
      <c r="O22" s="54">
        <f t="shared" si="4"/>
        <v>135724992.34926027</v>
      </c>
      <c r="P22" s="56">
        <f t="shared" si="5"/>
        <v>118.54770366048048</v>
      </c>
      <c r="Q22" s="58">
        <f>'Turkey Point Light Oil'!A22+'West County Light Oil'!A22+'Martin Light Oil'!A22+'Fort Myers Light Oil'!A23+'Port GT''s Jet Fuel'!A23+'Lauderdale Jet Fuel'!A23+'Cape Canaveral Light Oil'!A23+'Riviera Light Oil'!A23+'PEEC Light Oil'!A23+K22</f>
        <v>1256517</v>
      </c>
    </row>
    <row r="23" spans="1:17">
      <c r="A23" s="49">
        <v>42156</v>
      </c>
      <c r="B23" s="50">
        <f>'Putnam Light Oil'!E23+'Turkey Point Light Oil'!E23+'West County Light Oil'!E23+'Martin Light Oil'!E23+'Fort Myers Light Oil'!E24+'Port GT''s Jet Fuel'!E24+'Lauderdale Jet Fuel'!E24+'Cape Canaveral Light Oil'!E24+'Riviera Light Oil'!E24+'PEEC Light Oil'!E24</f>
        <v>1194839</v>
      </c>
      <c r="C23" s="50">
        <f>'Putnam Light Oil'!F23+'Turkey Point Light Oil'!F23+'West County Light Oil'!F23+'Martin Light Oil'!F23+'Fort Myers Light Oil'!F24+'Port GT''s Jet Fuel'!F24+'Lauderdale Jet Fuel'!F24+'Cape Canaveral Light Oil'!F24+'Riviera Light Oil'!F24+'PEEC Light Oil'!F24</f>
        <v>138589364.89431745</v>
      </c>
      <c r="D23" s="53">
        <f t="shared" si="6"/>
        <v>115.98999103169335</v>
      </c>
      <c r="E23" s="51">
        <f>'Putnam Light Oil'!H23+'Turkey Point Light Oil'!H23+'West County Light Oil'!H23+'Martin Light Oil'!H23+'Fort Myers Light Oil'!H24+'Port GT''s Jet Fuel'!H24+'Lauderdale Jet Fuel'!H24+'Cape Canaveral Light Oil'!H24+'Riviera Light Oil'!H24+'PEEC Light Oil'!H24</f>
        <v>136420</v>
      </c>
      <c r="F23" s="51">
        <f>'Putnam Light Oil'!I23+'Turkey Point Light Oil'!I23+'West County Light Oil'!I23+'Martin Light Oil'!I23+'Fort Myers Light Oil'!I24+'Port GT''s Jet Fuel'!I24+'Lauderdale Jet Fuel'!I24+'Cape Canaveral Light Oil'!I24+'Riviera Light Oil'!I24+'PEEC Light Oil'!I24</f>
        <v>12098417.48</v>
      </c>
      <c r="G23" s="52">
        <f t="shared" si="0"/>
        <v>88.685071690367991</v>
      </c>
      <c r="H23" s="51">
        <f>'Putnam Light Oil'!K23+'Turkey Point Light Oil'!K23+'West County Light Oil'!K23+'Martin Light Oil'!K23+'Fort Myers Light Oil'!K24+'Port GT''s Jet Fuel'!K24+'Lauderdale Jet Fuel'!K24+'Cape Canaveral Light Oil'!K24+'Riviera Light Oil'!K24+'PEEC Light Oil'!K24</f>
        <v>58805</v>
      </c>
      <c r="I23" s="51">
        <f>'Putnam Light Oil'!L23+'Turkey Point Light Oil'!L23+'West County Light Oil'!L23+'Martin Light Oil'!L23+'Fort Myers Light Oil'!L24+'Port GT''s Jet Fuel'!L24+'Lauderdale Jet Fuel'!L24+'Cape Canaveral Light Oil'!L24+'Riviera Light Oil'!L24+'PEEC Light Oil'!L24</f>
        <v>6087650.0899999999</v>
      </c>
      <c r="J23" s="53">
        <f t="shared" si="1"/>
        <v>103.522661168268</v>
      </c>
      <c r="K23" s="51">
        <f>'Putnam Light Oil'!N23+'Turkey Point Light Oil'!N23+'West County Light Oil'!N23+'Martin Light Oil'!N23+'Fort Myers Light Oil'!N24+'Port GT''s Jet Fuel'!N24+'Lauderdale Jet Fuel'!N24+'Cape Canaveral Light Oil'!N24+'Riviera Light Oil'!N24+'PEEC Light Oil'!N24</f>
        <v>1272454</v>
      </c>
      <c r="L23" s="51">
        <f>'Putnam Light Oil'!O23+'Turkey Point Light Oil'!O23+'West County Light Oil'!O23+'Martin Light Oil'!O23+'Fort Myers Light Oil'!O24+'Port GT''s Jet Fuel'!O24+'Lauderdale Jet Fuel'!O24+'Cape Canaveral Light Oil'!O24+'Riviera Light Oil'!O24+'PEEC Light Oil'!O24</f>
        <v>144600132.28431743</v>
      </c>
      <c r="M23" s="52">
        <f t="shared" si="2"/>
        <v>113.63878952348567</v>
      </c>
      <c r="N23" s="54">
        <f t="shared" si="4"/>
        <v>1150289.5384615385</v>
      </c>
      <c r="O23" s="54">
        <f t="shared" si="4"/>
        <v>136005971.02310929</v>
      </c>
      <c r="P23" s="56">
        <f t="shared" si="5"/>
        <v>118.23629310322275</v>
      </c>
      <c r="Q23" s="58">
        <f>'Turkey Point Light Oil'!A23+'West County Light Oil'!A23+'Martin Light Oil'!A23+'Fort Myers Light Oil'!A24+'Port GT''s Jet Fuel'!A24+'Lauderdale Jet Fuel'!A24+'Cape Canaveral Light Oil'!A24+'Riviera Light Oil'!A24+'PEEC Light Oil'!A24+K23</f>
        <v>1334132</v>
      </c>
    </row>
    <row r="24" spans="1:17">
      <c r="A24" s="49">
        <v>42186</v>
      </c>
      <c r="B24" s="50">
        <f>'Putnam Light Oil'!E24+'Turkey Point Light Oil'!E24+'West County Light Oil'!E24+'Martin Light Oil'!E24+'Fort Myers Light Oil'!E25+'Port GT''s Jet Fuel'!E25+'Lauderdale Jet Fuel'!E25+'Cape Canaveral Light Oil'!E25+'Riviera Light Oil'!E25+'PEEC Light Oil'!E25</f>
        <v>1272454</v>
      </c>
      <c r="C24" s="50">
        <f>'Putnam Light Oil'!F24+'Turkey Point Light Oil'!F24+'West County Light Oil'!F24+'Martin Light Oil'!F24+'Fort Myers Light Oil'!F25+'Port GT''s Jet Fuel'!F25+'Lauderdale Jet Fuel'!F25+'Cape Canaveral Light Oil'!F25+'Riviera Light Oil'!F25+'PEEC Light Oil'!F25</f>
        <v>144600132.28431743</v>
      </c>
      <c r="D24" s="53">
        <f t="shared" si="6"/>
        <v>113.63878952348567</v>
      </c>
      <c r="E24" s="51">
        <f>'Putnam Light Oil'!H24+'Turkey Point Light Oil'!H24+'West County Light Oil'!H24+'Martin Light Oil'!H24+'Fort Myers Light Oil'!H25+'Port GT''s Jet Fuel'!H25+'Lauderdale Jet Fuel'!H25+'Cape Canaveral Light Oil'!H25+'Riviera Light Oil'!H25+'PEEC Light Oil'!H25</f>
        <v>13057</v>
      </c>
      <c r="F24" s="51">
        <f>'Putnam Light Oil'!I24+'Turkey Point Light Oil'!I24+'West County Light Oil'!I24+'Martin Light Oil'!I24+'Fort Myers Light Oil'!I25+'Port GT''s Jet Fuel'!I25+'Lauderdale Jet Fuel'!I25+'Cape Canaveral Light Oil'!I25+'Riviera Light Oil'!I25+'PEEC Light Oil'!I25</f>
        <v>1073738.8999999999</v>
      </c>
      <c r="G24" s="52">
        <f t="shared" si="0"/>
        <v>82.234732327487166</v>
      </c>
      <c r="H24" s="51">
        <f>'Putnam Light Oil'!K24+'Turkey Point Light Oil'!K24+'West County Light Oil'!K24+'Martin Light Oil'!K24+'Fort Myers Light Oil'!K25+'Port GT''s Jet Fuel'!K25+'Lauderdale Jet Fuel'!K25+'Cape Canaveral Light Oil'!K25+'Riviera Light Oil'!K25+'PEEC Light Oil'!K25</f>
        <v>14083</v>
      </c>
      <c r="I24" s="51">
        <f>'Putnam Light Oil'!L24+'Turkey Point Light Oil'!L24+'West County Light Oil'!L24+'Martin Light Oil'!L24+'Fort Myers Light Oil'!L25+'Port GT''s Jet Fuel'!L25+'Lauderdale Jet Fuel'!L25+'Cape Canaveral Light Oil'!L25+'Riviera Light Oil'!L25+'PEEC Light Oil'!L25</f>
        <v>1588735.3900000001</v>
      </c>
      <c r="J24" s="53">
        <f t="shared" si="1"/>
        <v>112.81228360434568</v>
      </c>
      <c r="K24" s="51">
        <f>'Putnam Light Oil'!N24+'Turkey Point Light Oil'!N24+'West County Light Oil'!N24+'Martin Light Oil'!N24+'Fort Myers Light Oil'!N25+'Port GT''s Jet Fuel'!N25+'Lauderdale Jet Fuel'!N25+'Cape Canaveral Light Oil'!N25+'Riviera Light Oil'!N25+'PEEC Light Oil'!N25</f>
        <v>1271428</v>
      </c>
      <c r="L24" s="51">
        <f>'Putnam Light Oil'!O24+'Turkey Point Light Oil'!O24+'West County Light Oil'!O24+'Martin Light Oil'!O24+'Fort Myers Light Oil'!O25+'Port GT''s Jet Fuel'!O25+'Lauderdale Jet Fuel'!O25+'Cape Canaveral Light Oil'!O25+'Riviera Light Oil'!O25+'PEEC Light Oil'!O25</f>
        <v>144085135.79431742</v>
      </c>
      <c r="M24" s="52">
        <f t="shared" si="2"/>
        <v>113.32543863617714</v>
      </c>
      <c r="N24" s="54">
        <f t="shared" si="4"/>
        <v>1159716.3076923077</v>
      </c>
      <c r="O24" s="54">
        <f t="shared" si="4"/>
        <v>136703417.31071904</v>
      </c>
      <c r="P24" s="56">
        <f t="shared" si="5"/>
        <v>117.87660172058972</v>
      </c>
      <c r="Q24" s="58">
        <f>'Turkey Point Light Oil'!A24+'West County Light Oil'!A24+'Martin Light Oil'!A24+'Fort Myers Light Oil'!A25+'Port GT''s Jet Fuel'!A25+'Lauderdale Jet Fuel'!A25+'Cape Canaveral Light Oil'!A25+'Riviera Light Oil'!A25+'PEEC Light Oil'!A25+K24</f>
        <v>1333106</v>
      </c>
    </row>
    <row r="25" spans="1:17">
      <c r="A25" s="49">
        <v>42217</v>
      </c>
      <c r="B25" s="50">
        <f>'Putnam Light Oil'!E25+'Turkey Point Light Oil'!E25+'West County Light Oil'!E25+'Martin Light Oil'!E25+'Fort Myers Light Oil'!E26+'Port GT''s Jet Fuel'!E26+'Lauderdale Jet Fuel'!E26+'Cape Canaveral Light Oil'!E26+'Riviera Light Oil'!E26+'PEEC Light Oil'!E26+'Cedar Bay Light Oil'!E25</f>
        <v>1271428</v>
      </c>
      <c r="C25" s="50">
        <f>'Putnam Light Oil'!F25+'Turkey Point Light Oil'!F25+'West County Light Oil'!F25+'Martin Light Oil'!F25+'Fort Myers Light Oil'!F26+'Port GT''s Jet Fuel'!F26+'Lauderdale Jet Fuel'!F26+'Cape Canaveral Light Oil'!F26+'Riviera Light Oil'!F26+'PEEC Light Oil'!F26+'Cedar Bay Light Oil'!F25</f>
        <v>144085135.79431742</v>
      </c>
      <c r="D25" s="53">
        <f t="shared" si="6"/>
        <v>113.32543863617714</v>
      </c>
      <c r="E25" s="51">
        <f>'Putnam Light Oil'!H25+'Turkey Point Light Oil'!H25+'West County Light Oil'!H25+'Martin Light Oil'!H25+'Fort Myers Light Oil'!H26+'Port GT''s Jet Fuel'!H26+'Lauderdale Jet Fuel'!H26+'Cape Canaveral Light Oil'!H26+'Riviera Light Oil'!H26+'PEEC Light Oil'!H26+'Cedar Bay Light Oil'!H25</f>
        <v>2688</v>
      </c>
      <c r="F25" s="51">
        <f>'Putnam Light Oil'!I25+'Turkey Point Light Oil'!I25+'West County Light Oil'!I25+'Martin Light Oil'!I25+'Fort Myers Light Oil'!I26+'Port GT''s Jet Fuel'!I26+'Lauderdale Jet Fuel'!I26+'Cape Canaveral Light Oil'!I26+'Riviera Light Oil'!I26+'PEEC Light Oil'!I26+'Cedar Bay Light Oil'!I25</f>
        <v>218970.4</v>
      </c>
      <c r="G25" s="52">
        <f t="shared" si="0"/>
        <v>81.462202380952377</v>
      </c>
      <c r="H25" s="51">
        <f>'Putnam Light Oil'!K25+'Turkey Point Light Oil'!K25+'West County Light Oil'!K25+'Martin Light Oil'!K25+'Fort Myers Light Oil'!K26+'Port GT''s Jet Fuel'!K26+'Lauderdale Jet Fuel'!K26+'Cape Canaveral Light Oil'!K26+'Riviera Light Oil'!K26+'PEEC Light Oil'!K26+'Cedar Bay Light Oil'!K25</f>
        <v>6958</v>
      </c>
      <c r="I25" s="51">
        <f>'Putnam Light Oil'!L25+'Turkey Point Light Oil'!L25+'West County Light Oil'!L25+'Martin Light Oil'!L25+'Fort Myers Light Oil'!L26+'Port GT''s Jet Fuel'!L26+'Lauderdale Jet Fuel'!L26+'Cape Canaveral Light Oil'!L26+'Riviera Light Oil'!L26+'PEEC Light Oil'!L26+'Cedar Bay Light Oil'!L25</f>
        <v>793472.83</v>
      </c>
      <c r="J25" s="53">
        <f t="shared" si="1"/>
        <v>114.03748634665133</v>
      </c>
      <c r="K25" s="51">
        <f>'Putnam Light Oil'!N25+'Turkey Point Light Oil'!N25+'West County Light Oil'!N25+'Martin Light Oil'!N25+'Fort Myers Light Oil'!N26+'Port GT''s Jet Fuel'!N26+'Lauderdale Jet Fuel'!N26+'Cape Canaveral Light Oil'!N26+'Riviera Light Oil'!N26+'PEEC Light Oil'!N26+'Cedar Bay Light Oil'!N25</f>
        <v>1267158</v>
      </c>
      <c r="L25" s="51">
        <f>'Putnam Light Oil'!O25+'Turkey Point Light Oil'!O25+'West County Light Oil'!O25+'Martin Light Oil'!O25+'Fort Myers Light Oil'!O26+'Port GT''s Jet Fuel'!O26+'Lauderdale Jet Fuel'!O26+'Cape Canaveral Light Oil'!O26+'Riviera Light Oil'!O26+'PEEC Light Oil'!O26+'Cedar Bay Light Oil'!O25</f>
        <v>143510633.36431748</v>
      </c>
      <c r="M25" s="52">
        <f t="shared" si="2"/>
        <v>113.25393783909936</v>
      </c>
      <c r="N25" s="54">
        <f t="shared" si="4"/>
        <v>1165626.2307692308</v>
      </c>
      <c r="O25" s="54">
        <f t="shared" si="4"/>
        <v>136879917.8021749</v>
      </c>
      <c r="P25" s="56">
        <f t="shared" si="5"/>
        <v>117.43036849114475</v>
      </c>
      <c r="Q25" s="58">
        <f>'Turkey Point Light Oil'!A25+'West County Light Oil'!A25+'Martin Light Oil'!A25+'Fort Myers Light Oil'!A26+'Port GT''s Jet Fuel'!A26+'Lauderdale Jet Fuel'!A26+'Cape Canaveral Light Oil'!A26+'Riviera Light Oil'!A26+'PEEC Light Oil'!A26+'Cedar Bay Light Oil'!A25+K25</f>
        <v>1326836</v>
      </c>
    </row>
    <row r="26" spans="1:17">
      <c r="A26" s="49">
        <v>42248</v>
      </c>
      <c r="B26" s="50">
        <f>'Putnam Light Oil'!E26+'Turkey Point Light Oil'!E26+'West County Light Oil'!E26+'Martin Light Oil'!E26+'Fort Myers Light Oil'!E27+'Port GT''s Jet Fuel'!E27+'Lauderdale Jet Fuel'!E27+'Cape Canaveral Light Oil'!E27+'Riviera Light Oil'!E27+'PEEC Light Oil'!E27+'Cedar Bay Light Oil'!E26</f>
        <v>1267158</v>
      </c>
      <c r="C26" s="50">
        <f>'Putnam Light Oil'!F26+'Turkey Point Light Oil'!F26+'West County Light Oil'!F26+'Martin Light Oil'!F26+'Fort Myers Light Oil'!F27+'Port GT''s Jet Fuel'!F27+'Lauderdale Jet Fuel'!F27+'Cape Canaveral Light Oil'!F27+'Riviera Light Oil'!F27+'PEEC Light Oil'!F27+'Cedar Bay Light Oil'!F26</f>
        <v>143510633.36431748</v>
      </c>
      <c r="D26" s="53">
        <f t="shared" si="6"/>
        <v>113.25393783909936</v>
      </c>
      <c r="E26" s="51">
        <f>'Putnam Light Oil'!H26+'Turkey Point Light Oil'!H26+'West County Light Oil'!H26+'Martin Light Oil'!H26+'Fort Myers Light Oil'!H27+'Port GT''s Jet Fuel'!H27+'Lauderdale Jet Fuel'!H27+'Cape Canaveral Light Oil'!H27+'Riviera Light Oil'!H27+'PEEC Light Oil'!H27+'Cedar Bay Light Oil'!H26</f>
        <v>27476.936535162949</v>
      </c>
      <c r="F26" s="51">
        <f>'Putnam Light Oil'!I26+'Turkey Point Light Oil'!I26+'West County Light Oil'!I26+'Martin Light Oil'!I26+'Fort Myers Light Oil'!I27+'Port GT''s Jet Fuel'!I27+'Lauderdale Jet Fuel'!I27+'Cape Canaveral Light Oil'!I27+'Riviera Light Oil'!I27+'PEEC Light Oil'!I27+'Cedar Bay Light Oil'!I26</f>
        <v>3128532.2573241852</v>
      </c>
      <c r="G26" s="52">
        <f t="shared" si="0"/>
        <v>113.86030074060554</v>
      </c>
      <c r="H26" s="51">
        <f>'Putnam Light Oil'!K26+'Turkey Point Light Oil'!K26+'West County Light Oil'!K26+'Martin Light Oil'!K26+'Fort Myers Light Oil'!K27+'Port GT''s Jet Fuel'!K27+'Lauderdale Jet Fuel'!K27+'Cape Canaveral Light Oil'!K27+'Riviera Light Oil'!K27+'PEEC Light Oil'!K27+'Cedar Bay Light Oil'!K26</f>
        <v>19746</v>
      </c>
      <c r="I26" s="51">
        <f>'Putnam Light Oil'!L26+'Turkey Point Light Oil'!L26+'West County Light Oil'!L26+'Martin Light Oil'!L26+'Fort Myers Light Oil'!L27+'Port GT''s Jet Fuel'!L27+'Lauderdale Jet Fuel'!L27+'Cape Canaveral Light Oil'!L27+'Riviera Light Oil'!L27+'PEEC Light Oil'!L27+'Cedar Bay Light Oil'!L26</f>
        <v>2219244.5399999996</v>
      </c>
      <c r="J26" s="53">
        <f t="shared" si="1"/>
        <v>112.3895745973868</v>
      </c>
      <c r="K26" s="51">
        <f>'Putnam Light Oil'!N26+'Turkey Point Light Oil'!N26+'West County Light Oil'!N26+'Martin Light Oil'!N26+'Fort Myers Light Oil'!N27+'Port GT''s Jet Fuel'!N27+'Lauderdale Jet Fuel'!N27+'Cape Canaveral Light Oil'!N27+'Riviera Light Oil'!N27+'PEEC Light Oil'!N27+'Cedar Bay Light Oil'!N26</f>
        <v>1274888.9365351629</v>
      </c>
      <c r="L26" s="51">
        <f>'Putnam Light Oil'!O26+'Turkey Point Light Oil'!O26+'West County Light Oil'!O26+'Martin Light Oil'!O26+'Fort Myers Light Oil'!O27+'Port GT''s Jet Fuel'!O27+'Lauderdale Jet Fuel'!O27+'Cape Canaveral Light Oil'!O27+'Riviera Light Oil'!O27+'PEEC Light Oil'!O27+'Cedar Bay Light Oil'!O26</f>
        <v>144419921.08164167</v>
      </c>
      <c r="M26" s="52">
        <f t="shared" si="2"/>
        <v>113.28039403505986</v>
      </c>
      <c r="N26" s="54">
        <f t="shared" si="4"/>
        <v>1173068.7643488587</v>
      </c>
      <c r="O26" s="54">
        <f t="shared" si="4"/>
        <v>137191755.0565019</v>
      </c>
      <c r="P26" s="56">
        <f t="shared" si="5"/>
        <v>116.95116196590028</v>
      </c>
      <c r="Q26" s="58">
        <f>'Turkey Point Light Oil'!A26+'West County Light Oil'!A26+'Martin Light Oil'!A26+'Fort Myers Light Oil'!A27+'Port GT''s Jet Fuel'!A27+'Lauderdale Jet Fuel'!A27+'Cape Canaveral Light Oil'!A27+'Riviera Light Oil'!A27+'PEEC Light Oil'!A27+'Cedar Bay Light Oil'!A26+K26</f>
        <v>1334566.9365351629</v>
      </c>
    </row>
    <row r="27" spans="1:17">
      <c r="A27" s="49">
        <v>42278</v>
      </c>
      <c r="B27" s="50">
        <f>'Putnam Light Oil'!E27+'Turkey Point Light Oil'!E27+'West County Light Oil'!E27+'Martin Light Oil'!E27+'Fort Myers Light Oil'!E28+'Port GT''s Jet Fuel'!E28+'Lauderdale Jet Fuel'!E28+'Cape Canaveral Light Oil'!E28+'Riviera Light Oil'!E28+'PEEC Light Oil'!E28+'Cedar Bay Light Oil'!E27</f>
        <v>1274888.9365351629</v>
      </c>
      <c r="C27" s="50">
        <f>'Putnam Light Oil'!F27+'Turkey Point Light Oil'!F27+'West County Light Oil'!F27+'Martin Light Oil'!F27+'Fort Myers Light Oil'!F28+'Port GT''s Jet Fuel'!F28+'Lauderdale Jet Fuel'!F28+'Cape Canaveral Light Oil'!F28+'Riviera Light Oil'!F28+'PEEC Light Oil'!F28+'Cedar Bay Light Oil'!F27</f>
        <v>144419921.08164167</v>
      </c>
      <c r="D27" s="53">
        <f t="shared" si="6"/>
        <v>113.28039403505986</v>
      </c>
      <c r="E27" s="51">
        <f>'Putnam Light Oil'!H27+'Turkey Point Light Oil'!H27+'West County Light Oil'!H27+'Martin Light Oil'!H27+'Fort Myers Light Oil'!H28+'Port GT''s Jet Fuel'!H28+'Lauderdale Jet Fuel'!H28+'Cape Canaveral Light Oil'!H28+'Riviera Light Oil'!H28+'PEEC Light Oil'!H28+'Cedar Bay Light Oil'!H27</f>
        <v>14957</v>
      </c>
      <c r="F27" s="51">
        <f>'Putnam Light Oil'!I27+'Turkey Point Light Oil'!I27+'West County Light Oil'!I27+'Martin Light Oil'!I27+'Fort Myers Light Oil'!I28+'Port GT''s Jet Fuel'!I28+'Lauderdale Jet Fuel'!I28+'Cape Canaveral Light Oil'!I28+'Riviera Light Oil'!I28+'PEEC Light Oil'!I28+'Cedar Bay Light Oil'!I27</f>
        <v>1119888.6900000002</v>
      </c>
      <c r="G27" s="52">
        <f t="shared" si="0"/>
        <v>74.873884468810601</v>
      </c>
      <c r="H27" s="51">
        <f>'Putnam Light Oil'!K27+'Turkey Point Light Oil'!K27+'West County Light Oil'!K27+'Martin Light Oil'!K27+'Fort Myers Light Oil'!K28+'Port GT''s Jet Fuel'!K28+'Lauderdale Jet Fuel'!K28+'Cape Canaveral Light Oil'!K28+'Riviera Light Oil'!K28+'PEEC Light Oil'!K28+'Cedar Bay Light Oil'!K27</f>
        <v>18014</v>
      </c>
      <c r="I27" s="51">
        <f>'Putnam Light Oil'!L27+'Turkey Point Light Oil'!L27+'West County Light Oil'!L27+'Martin Light Oil'!L27+'Fort Myers Light Oil'!L28+'Port GT''s Jet Fuel'!L28+'Lauderdale Jet Fuel'!L28+'Cape Canaveral Light Oil'!L28+'Riviera Light Oil'!L28+'PEEC Light Oil'!L28+'Cedar Bay Light Oil'!L27</f>
        <v>1930588.8</v>
      </c>
      <c r="J27" s="53">
        <f t="shared" si="1"/>
        <v>107.17157766181859</v>
      </c>
      <c r="K27" s="51">
        <f>'Putnam Light Oil'!N27+'Turkey Point Light Oil'!N27+'West County Light Oil'!N27+'Martin Light Oil'!N27+'Fort Myers Light Oil'!N28+'Port GT''s Jet Fuel'!N28+'Lauderdale Jet Fuel'!N28+'Cape Canaveral Light Oil'!N28+'Riviera Light Oil'!N28+'PEEC Light Oil'!N28+'Cedar Bay Light Oil'!N27</f>
        <v>1271831.9365351629</v>
      </c>
      <c r="L27" s="51">
        <f>'Putnam Light Oil'!O27+'Turkey Point Light Oil'!O27+'West County Light Oil'!O27+'Martin Light Oil'!O27+'Fort Myers Light Oil'!O28+'Port GT''s Jet Fuel'!O28+'Lauderdale Jet Fuel'!O28+'Cape Canaveral Light Oil'!O28+'Riviera Light Oil'!O28+'PEEC Light Oil'!O28+'Cedar Bay Light Oil'!O27</f>
        <v>143609220.97164163</v>
      </c>
      <c r="M27" s="52">
        <f t="shared" si="2"/>
        <v>112.91524992120782</v>
      </c>
      <c r="N27" s="54">
        <f t="shared" si="4"/>
        <v>1179751.913313102</v>
      </c>
      <c r="O27" s="54">
        <f t="shared" si="4"/>
        <v>137363766.07775193</v>
      </c>
      <c r="P27" s="56">
        <f t="shared" si="5"/>
        <v>116.43445077532677</v>
      </c>
      <c r="Q27" s="58">
        <f>'Turkey Point Light Oil'!A27+'West County Light Oil'!A27+'Martin Light Oil'!A27+'Fort Myers Light Oil'!A28+'Port GT''s Jet Fuel'!A28+'Lauderdale Jet Fuel'!A28+'Cape Canaveral Light Oil'!A28+'Riviera Light Oil'!A28+'PEEC Light Oil'!A28+'Cedar Bay Light Oil'!A27+K27</f>
        <v>1331509.9365351629</v>
      </c>
    </row>
    <row r="28" spans="1:17">
      <c r="A28" s="49">
        <v>42309</v>
      </c>
      <c r="B28" s="50">
        <f>'Putnam Light Oil'!E28+'Turkey Point Light Oil'!E28+'West County Light Oil'!E28+'Martin Light Oil'!E28+'Fort Myers Light Oil'!E29+'Port GT''s Jet Fuel'!E29+'Lauderdale Jet Fuel'!E29+'Cape Canaveral Light Oil'!E29+'Riviera Light Oil'!E29+'PEEC Light Oil'!E29+'Cedar Bay Light Oil'!E28</f>
        <v>1271831.9365351629</v>
      </c>
      <c r="C28" s="50">
        <f>'Putnam Light Oil'!F28+'Turkey Point Light Oil'!F28+'West County Light Oil'!F28+'Martin Light Oil'!F28+'Fort Myers Light Oil'!F29+'Port GT''s Jet Fuel'!F29+'Lauderdale Jet Fuel'!F29+'Cape Canaveral Light Oil'!F29+'Riviera Light Oil'!F29+'PEEC Light Oil'!F29+'Cedar Bay Light Oil'!F28</f>
        <v>143609220.97164163</v>
      </c>
      <c r="D28" s="53">
        <f t="shared" si="6"/>
        <v>112.91524992120782</v>
      </c>
      <c r="E28" s="51">
        <f>'Putnam Light Oil'!H28+'Turkey Point Light Oil'!H28+'West County Light Oil'!H28+'Martin Light Oil'!H28+'Fort Myers Light Oil'!H29+'Port GT''s Jet Fuel'!H29+'Lauderdale Jet Fuel'!H29+'Cape Canaveral Light Oil'!H29+'Riviera Light Oil'!H29+'PEEC Light Oil'!H29+'Cedar Bay Light Oil'!H28</f>
        <v>13047</v>
      </c>
      <c r="F28" s="51">
        <f>'Putnam Light Oil'!I28+'Turkey Point Light Oil'!I28+'West County Light Oil'!I28+'Martin Light Oil'!I28+'Fort Myers Light Oil'!I29+'Port GT''s Jet Fuel'!I29+'Lauderdale Jet Fuel'!I29+'Cape Canaveral Light Oil'!I29+'Riviera Light Oil'!I29+'PEEC Light Oil'!I29+'Cedar Bay Light Oil'!I28</f>
        <v>1540444.44</v>
      </c>
      <c r="G28" s="52">
        <f t="shared" si="0"/>
        <v>118.06886180731202</v>
      </c>
      <c r="H28" s="51">
        <f>'Putnam Light Oil'!K28+'Turkey Point Light Oil'!K28+'West County Light Oil'!K28+'Martin Light Oil'!K28+'Fort Myers Light Oil'!K29+'Port GT''s Jet Fuel'!K29+'Lauderdale Jet Fuel'!K29+'Cape Canaveral Light Oil'!K29+'Riviera Light Oil'!K29+'PEEC Light Oil'!K29+'Cedar Bay Light Oil'!K28</f>
        <v>41018</v>
      </c>
      <c r="I28" s="51">
        <f>'Putnam Light Oil'!L28+'Turkey Point Light Oil'!L28+'West County Light Oil'!L28+'Martin Light Oil'!L28+'Fort Myers Light Oil'!L29+'Port GT''s Jet Fuel'!L29+'Lauderdale Jet Fuel'!L29+'Cape Canaveral Light Oil'!L29+'Riviera Light Oil'!L29+'PEEC Light Oil'!L29+'Cedar Bay Light Oil'!L28</f>
        <v>4073071.78</v>
      </c>
      <c r="J28" s="53">
        <f t="shared" si="1"/>
        <v>99.299619191574422</v>
      </c>
      <c r="K28" s="51">
        <f>'Putnam Light Oil'!N28+'Turkey Point Light Oil'!N28+'West County Light Oil'!N28+'Martin Light Oil'!N28+'Fort Myers Light Oil'!N29+'Port GT''s Jet Fuel'!N29+'Lauderdale Jet Fuel'!N29+'Cape Canaveral Light Oil'!N29+'Riviera Light Oil'!N29+'PEEC Light Oil'!N29+'Cedar Bay Light Oil'!N28</f>
        <v>1243860.9365351629</v>
      </c>
      <c r="L28" s="51">
        <f>'Putnam Light Oil'!O28+'Turkey Point Light Oil'!O28+'West County Light Oil'!O28+'Martin Light Oil'!O28+'Fort Myers Light Oil'!O29+'Port GT''s Jet Fuel'!O29+'Lauderdale Jet Fuel'!O29+'Cape Canaveral Light Oil'!O29+'Riviera Light Oil'!O29+'PEEC Light Oil'!O29+'Cedar Bay Light Oil'!O28</f>
        <v>141076593.63164163</v>
      </c>
      <c r="M28" s="52">
        <f t="shared" si="2"/>
        <v>113.4183006217862</v>
      </c>
      <c r="N28" s="54">
        <f t="shared" si="4"/>
        <v>1184279.0622773452</v>
      </c>
      <c r="O28" s="54">
        <f t="shared" si="4"/>
        <v>137371360.14369994</v>
      </c>
      <c r="P28" s="56">
        <f t="shared" si="5"/>
        <v>115.99576866582234</v>
      </c>
      <c r="Q28" s="58">
        <f>'Turkey Point Light Oil'!A28+'West County Light Oil'!A28+'Martin Light Oil'!A28+'Fort Myers Light Oil'!A29+'Port GT''s Jet Fuel'!A29+'Lauderdale Jet Fuel'!A29+'Cape Canaveral Light Oil'!A29+'Riviera Light Oil'!A29+'PEEC Light Oil'!A29+'Cedar Bay Light Oil'!A28+K28</f>
        <v>1303538.9365351629</v>
      </c>
    </row>
    <row r="29" spans="1:17">
      <c r="A29" s="49">
        <v>42339</v>
      </c>
      <c r="B29" s="50">
        <f>'Putnam Light Oil'!E29+'Turkey Point Light Oil'!E29+'West County Light Oil'!E29+'Martin Light Oil'!E29+'Fort Myers Light Oil'!E30+'Port GT''s Jet Fuel'!E30+'Lauderdale Jet Fuel'!E30+'Cape Canaveral Light Oil'!E30+'Riviera Light Oil'!E30+'PEEC Light Oil'!E30+'Cedar Bay Light Oil'!E29</f>
        <v>1243860.9365351629</v>
      </c>
      <c r="C29" s="50">
        <f>'Putnam Light Oil'!F29+'Turkey Point Light Oil'!F29+'West County Light Oil'!F29+'Martin Light Oil'!F29+'Fort Myers Light Oil'!F30+'Port GT''s Jet Fuel'!F30+'Lauderdale Jet Fuel'!F30+'Cape Canaveral Light Oil'!F30+'Riviera Light Oil'!F30+'PEEC Light Oil'!F30+'Cedar Bay Light Oil'!F29</f>
        <v>141076593.63164163</v>
      </c>
      <c r="D29" s="53">
        <f t="shared" si="6"/>
        <v>113.4183006217862</v>
      </c>
      <c r="E29" s="51">
        <f>'Putnam Light Oil'!H29+'Turkey Point Light Oil'!H29+'West County Light Oil'!H29+'Martin Light Oil'!H29+'Fort Myers Light Oil'!H30+'Port GT''s Jet Fuel'!H30+'Lauderdale Jet Fuel'!H30+'Cape Canaveral Light Oil'!H30+'Riviera Light Oil'!H30+'PEEC Light Oil'!H30+'Cedar Bay Light Oil'!H29</f>
        <v>0</v>
      </c>
      <c r="F29" s="51">
        <f>'Putnam Light Oil'!I29+'Turkey Point Light Oil'!I29+'West County Light Oil'!I29+'Martin Light Oil'!I29+'Fort Myers Light Oil'!I30+'Port GT''s Jet Fuel'!I30+'Lauderdale Jet Fuel'!I30+'Cape Canaveral Light Oil'!I30+'Riviera Light Oil'!I30+'PEEC Light Oil'!I30+'Cedar Bay Light Oil'!I29</f>
        <v>38534.800000000003</v>
      </c>
      <c r="G29" s="52">
        <f t="shared" si="0"/>
        <v>0</v>
      </c>
      <c r="H29" s="51">
        <f>'Putnam Light Oil'!K29+'Turkey Point Light Oil'!K29+'West County Light Oil'!K29+'Martin Light Oil'!K29+'Fort Myers Light Oil'!K30+'Port GT''s Jet Fuel'!K30+'Lauderdale Jet Fuel'!K30+'Cape Canaveral Light Oil'!K30+'Riviera Light Oil'!K30+'PEEC Light Oil'!K30+'Cedar Bay Light Oil'!K29</f>
        <v>12212</v>
      </c>
      <c r="I29" s="51">
        <f>'Putnam Light Oil'!L29+'Turkey Point Light Oil'!L29+'West County Light Oil'!L29+'Martin Light Oil'!L29+'Fort Myers Light Oil'!L30+'Port GT''s Jet Fuel'!L30+'Lauderdale Jet Fuel'!L30+'Cape Canaveral Light Oil'!L30+'Riviera Light Oil'!L30+'PEEC Light Oil'!L30+'Cedar Bay Light Oil'!L29</f>
        <v>1485103.6300000001</v>
      </c>
      <c r="J29" s="53">
        <f t="shared" si="1"/>
        <v>121.61018915820506</v>
      </c>
      <c r="K29" s="51">
        <f>'Putnam Light Oil'!N29+'Turkey Point Light Oil'!N29+'West County Light Oil'!N29+'Martin Light Oil'!N29+'Fort Myers Light Oil'!N30+'Port GT''s Jet Fuel'!N30+'Lauderdale Jet Fuel'!N30+'Cape Canaveral Light Oil'!N30+'Riviera Light Oil'!N30+'PEEC Light Oil'!N30+'Cedar Bay Light Oil'!N29</f>
        <v>1231648.9365351629</v>
      </c>
      <c r="L29" s="51">
        <f>'Putnam Light Oil'!O29+'Turkey Point Light Oil'!O29+'West County Light Oil'!O29+'Martin Light Oil'!O29+'Fort Myers Light Oil'!O30+'Port GT''s Jet Fuel'!O30+'Lauderdale Jet Fuel'!O30+'Cape Canaveral Light Oil'!O30+'Riviera Light Oil'!O30+'PEEC Light Oil'!O30+'Cedar Bay Light Oil'!O29</f>
        <v>139630024.82151777</v>
      </c>
      <c r="M29" s="52">
        <f t="shared" si="2"/>
        <v>113.36836388973036</v>
      </c>
      <c r="N29" s="54">
        <f t="shared" si="4"/>
        <v>1188121.6727800502</v>
      </c>
      <c r="O29" s="54">
        <f t="shared" si="4"/>
        <v>137326312.12886921</v>
      </c>
      <c r="P29" s="56">
        <f t="shared" si="5"/>
        <v>115.58270106086314</v>
      </c>
      <c r="Q29" s="58">
        <f>'Turkey Point Light Oil'!A29+'West County Light Oil'!A29+'Martin Light Oil'!A29+'Fort Myers Light Oil'!A30+'Port GT''s Jet Fuel'!A30+'Lauderdale Jet Fuel'!A30+'Cape Canaveral Light Oil'!A30+'Riviera Light Oil'!A30+'PEEC Light Oil'!A30+'Cedar Bay Light Oil'!A29+K29</f>
        <v>1291326.9365351629</v>
      </c>
    </row>
    <row r="30" spans="1:17">
      <c r="A30" s="13">
        <v>42370</v>
      </c>
      <c r="B30" s="16">
        <f>'Putnam Light Oil'!E30+'Turkey Point Light Oil'!E30+'West County Light Oil'!E30+'Martin Light Oil'!E30+'Fort Myers Light Oil'!E31+'Port GT''s Jet Fuel'!E31+'Lauderdale Jet Fuel'!E31+'Cape Canaveral Light Oil'!E31+'Riviera Light Oil'!E31+'PEEC Light Oil'!E31+'Cedar Bay Light Oil'!E30</f>
        <v>1231648.9365351629</v>
      </c>
      <c r="C30" s="16">
        <f>'Putnam Light Oil'!F30+'Turkey Point Light Oil'!F30+'West County Light Oil'!F30+'Martin Light Oil'!F30+'Fort Myers Light Oil'!F31+'Port GT''s Jet Fuel'!F31+'Lauderdale Jet Fuel'!F31+'Cape Canaveral Light Oil'!F31+'Riviera Light Oil'!F31+'PEEC Light Oil'!F31+'Cedar Bay Light Oil'!F30</f>
        <v>139630024.82151777</v>
      </c>
      <c r="D30" s="14">
        <f t="shared" si="6"/>
        <v>113.36836388973036</v>
      </c>
      <c r="E30" s="46">
        <f>'Putnam Light Oil'!H30+'Turkey Point Light Oil'!H30+'West County Light Oil'!H30+'Martin Light Oil'!H30+'Fort Myers Light Oil'!H31+'Port GT''s Jet Fuel'!H31+'Lauderdale Jet Fuel'!H31+'Cape Canaveral Light Oil'!H31+'Riviera Light Oil'!H31+'PEEC Light Oil'!H31+'Cedar Bay Light Oil'!H30</f>
        <v>0</v>
      </c>
      <c r="F30" s="46">
        <f>'Putnam Light Oil'!I30+'Turkey Point Light Oil'!I30+'West County Light Oil'!I30+'Martin Light Oil'!I30+'Fort Myers Light Oil'!I31+'Port GT''s Jet Fuel'!I31+'Lauderdale Jet Fuel'!I31+'Cape Canaveral Light Oil'!I31+'Riviera Light Oil'!I31+'PEEC Light Oil'!I31+'Cedar Bay Light Oil'!I30</f>
        <v>0</v>
      </c>
      <c r="G30" s="22">
        <f t="shared" si="0"/>
        <v>0</v>
      </c>
      <c r="H30" s="46">
        <f>'Putnam Light Oil'!K30+'Turkey Point Light Oil'!K30+'West County Light Oil'!K30+'Martin Light Oil'!K30+'Fort Myers Light Oil'!K31+'Port GT''s Jet Fuel'!K31+'Lauderdale Jet Fuel'!K31+'Cape Canaveral Light Oil'!K31+'Riviera Light Oil'!K31+'PEEC Light Oil'!K31+'Cedar Bay Light Oil'!K30</f>
        <v>4375.3001715265873</v>
      </c>
      <c r="I30" s="46">
        <f>'Putnam Light Oil'!L30+'Turkey Point Light Oil'!L30+'West County Light Oil'!L30+'Martin Light Oil'!L30+'Fort Myers Light Oil'!L31+'Port GT''s Jet Fuel'!L31+'Lauderdale Jet Fuel'!L31+'Cape Canaveral Light Oil'!L31+'Riviera Light Oil'!L31+'PEEC Light Oil'!L31+'Cedar Bay Light Oil'!L30</f>
        <v>519145.08739456552</v>
      </c>
      <c r="J30" s="14">
        <f t="shared" si="1"/>
        <v>118.653593363271</v>
      </c>
      <c r="K30" s="46">
        <f>'Putnam Light Oil'!N30+'Turkey Point Light Oil'!N30+'West County Light Oil'!N30+'Martin Light Oil'!N30+'Fort Myers Light Oil'!N31+'Port GT''s Jet Fuel'!N31+'Lauderdale Jet Fuel'!N31+'Cape Canaveral Light Oil'!N31+'Riviera Light Oil'!N31+'PEEC Light Oil'!N31+'Cedar Bay Light Oil'!N30</f>
        <v>1227273.6363636362</v>
      </c>
      <c r="L30" s="46">
        <f>'Putnam Light Oil'!O30+'Turkey Point Light Oil'!O30+'West County Light Oil'!O30+'Martin Light Oil'!O30+'Fort Myers Light Oil'!O31+'Port GT''s Jet Fuel'!O31+'Lauderdale Jet Fuel'!O31+'Cape Canaveral Light Oil'!O31+'Riviera Light Oil'!O31+'PEEC Light Oil'!O31+'Cedar Bay Light Oil'!O30</f>
        <v>139110879.73412323</v>
      </c>
      <c r="M30" s="22">
        <f t="shared" si="2"/>
        <v>113.3495217466769</v>
      </c>
      <c r="N30" s="31">
        <f t="shared" si="4"/>
        <v>1198284.1063464838</v>
      </c>
      <c r="O30" s="31">
        <f t="shared" si="4"/>
        <v>137934691.62962347</v>
      </c>
      <c r="P30" s="32">
        <f t="shared" si="5"/>
        <v>115.11017370511603</v>
      </c>
      <c r="Q30" s="45">
        <f>'Turkey Point Light Oil'!A30+'West County Light Oil'!A30+'Martin Light Oil'!A30+'Fort Myers Light Oil'!A31+'Port GT''s Jet Fuel'!A31+'Lauderdale Jet Fuel'!A31+'Cape Canaveral Light Oil'!A31+'Riviera Light Oil'!A31+'PEEC Light Oil'!A31+'Cedar Bay Light Oil'!A30+K30</f>
        <v>1286951.6363636362</v>
      </c>
    </row>
    <row r="31" spans="1:17">
      <c r="A31" s="13">
        <v>42401</v>
      </c>
      <c r="B31" s="16">
        <f>'Putnam Light Oil'!E31+'Turkey Point Light Oil'!E31+'West County Light Oil'!E31+'Martin Light Oil'!E31+'Fort Myers Light Oil'!E32+'Port GT''s Jet Fuel'!E32+'Lauderdale Jet Fuel'!E32+'Cape Canaveral Light Oil'!E32+'Riviera Light Oil'!E32+'PEEC Light Oil'!E32+'Cedar Bay Light Oil'!E31</f>
        <v>1227273.6363636362</v>
      </c>
      <c r="C31" s="16">
        <f>'Putnam Light Oil'!F31+'Turkey Point Light Oil'!F31+'West County Light Oil'!F31+'Martin Light Oil'!F31+'Fort Myers Light Oil'!F32+'Port GT''s Jet Fuel'!F32+'Lauderdale Jet Fuel'!F32+'Cape Canaveral Light Oil'!F32+'Riviera Light Oil'!F32+'PEEC Light Oil'!F32+'Cedar Bay Light Oil'!F31</f>
        <v>139110879.73412323</v>
      </c>
      <c r="D31" s="14">
        <f t="shared" si="6"/>
        <v>113.3495217466769</v>
      </c>
      <c r="E31" s="46">
        <f>'Putnam Light Oil'!H31+'Turkey Point Light Oil'!H31+'West County Light Oil'!H31+'Martin Light Oil'!H31+'Fort Myers Light Oil'!H32+'Port GT''s Jet Fuel'!H32+'Lauderdale Jet Fuel'!H32+'Cape Canaveral Light Oil'!H32+'Riviera Light Oil'!H32+'PEEC Light Oil'!H32+'Cedar Bay Light Oil'!H31</f>
        <v>30190.121783876501</v>
      </c>
      <c r="F31" s="46">
        <f>'Putnam Light Oil'!I31+'Turkey Point Light Oil'!I31+'West County Light Oil'!I31+'Martin Light Oil'!I31+'Fort Myers Light Oil'!I32+'Port GT''s Jet Fuel'!I32+'Lauderdale Jet Fuel'!I32+'Cape Canaveral Light Oil'!I32+'Riviera Light Oil'!I32+'PEEC Light Oil'!I32+'Cedar Bay Light Oil'!I31</f>
        <v>1728268.1470517262</v>
      </c>
      <c r="G31" s="22">
        <f t="shared" si="0"/>
        <v>57.246146916000001</v>
      </c>
      <c r="H31" s="46">
        <f>'Putnam Light Oil'!K31+'Turkey Point Light Oil'!K31+'West County Light Oil'!K31+'Martin Light Oil'!K31+'Fort Myers Light Oil'!K32+'Port GT''s Jet Fuel'!K32+'Lauderdale Jet Fuel'!K32+'Cape Canaveral Light Oil'!K32+'Riviera Light Oil'!K32+'PEEC Light Oil'!K32+'Cedar Bay Light Oil'!K31</f>
        <v>132.24699828473413</v>
      </c>
      <c r="I31" s="46">
        <f>'Putnam Light Oil'!L31+'Turkey Point Light Oil'!L31+'West County Light Oil'!L31+'Martin Light Oil'!L31+'Fort Myers Light Oil'!L32+'Port GT''s Jet Fuel'!L32+'Lauderdale Jet Fuel'!L32+'Cape Canaveral Light Oil'!L32+'Riviera Light Oil'!L32+'PEEC Light Oil'!L32+'Cedar Bay Light Oil'!L31</f>
        <v>14124.650638981617</v>
      </c>
      <c r="J31" s="14">
        <f t="shared" si="1"/>
        <v>106.80507551914764</v>
      </c>
      <c r="K31" s="46">
        <f>'Putnam Light Oil'!N31+'Turkey Point Light Oil'!N31+'West County Light Oil'!N31+'Martin Light Oil'!N31+'Fort Myers Light Oil'!N32+'Port GT''s Jet Fuel'!N32+'Lauderdale Jet Fuel'!N32+'Cape Canaveral Light Oil'!N32+'Riviera Light Oil'!N32+'PEEC Light Oil'!N32+'Cedar Bay Light Oil'!N31</f>
        <v>1257331.5111492279</v>
      </c>
      <c r="L31" s="46">
        <f>'Putnam Light Oil'!O31+'Turkey Point Light Oil'!O31+'West County Light Oil'!O31+'Martin Light Oil'!O31+'Fort Myers Light Oil'!O32+'Port GT''s Jet Fuel'!O32+'Lauderdale Jet Fuel'!O32+'Cape Canaveral Light Oil'!O32+'Riviera Light Oil'!O32+'PEEC Light Oil'!O32+'Cedar Bay Light Oil'!O31</f>
        <v>140825023.23053598</v>
      </c>
      <c r="M31" s="22">
        <f t="shared" si="2"/>
        <v>112.00309702078404</v>
      </c>
      <c r="N31" s="31">
        <f t="shared" si="4"/>
        <v>1212069.7610502704</v>
      </c>
      <c r="O31" s="31">
        <f t="shared" si="4"/>
        <v>138841501.56164029</v>
      </c>
      <c r="P31" s="32">
        <f t="shared" si="5"/>
        <v>114.54910106934172</v>
      </c>
      <c r="Q31" s="45">
        <f>'Turkey Point Light Oil'!A31+'West County Light Oil'!A31+'Martin Light Oil'!A31+'Fort Myers Light Oil'!A32+'Port GT''s Jet Fuel'!A32+'Lauderdale Jet Fuel'!A32+'Cape Canaveral Light Oil'!A32+'Riviera Light Oil'!A32+'PEEC Light Oil'!A32+'Cedar Bay Light Oil'!A31+K31</f>
        <v>1317009.5111492279</v>
      </c>
    </row>
    <row r="32" spans="1:17">
      <c r="A32" s="13">
        <v>42430</v>
      </c>
      <c r="B32" s="16">
        <f>'Putnam Light Oil'!E32+'Turkey Point Light Oil'!E32+'West County Light Oil'!E32+'Martin Light Oil'!E32+'Fort Myers Light Oil'!E33+'Port GT''s Jet Fuel'!E33+'Lauderdale Jet Fuel'!E33+'Cape Canaveral Light Oil'!E33+'Riviera Light Oil'!E33+'PEEC Light Oil'!E33+'Cedar Bay Light Oil'!E32</f>
        <v>1257331.5111492279</v>
      </c>
      <c r="C32" s="16">
        <f>'Putnam Light Oil'!F32+'Turkey Point Light Oil'!F32+'West County Light Oil'!F32+'Martin Light Oil'!F32+'Fort Myers Light Oil'!F33+'Port GT''s Jet Fuel'!F33+'Lauderdale Jet Fuel'!F33+'Cape Canaveral Light Oil'!F33+'Riviera Light Oil'!F33+'PEEC Light Oil'!F33+'Cedar Bay Light Oil'!F32</f>
        <v>140825023.23053598</v>
      </c>
      <c r="D32" s="14">
        <f t="shared" si="6"/>
        <v>112.00309702078404</v>
      </c>
      <c r="E32" s="46">
        <f>'Putnam Light Oil'!H32+'Turkey Point Light Oil'!H32+'West County Light Oil'!H32+'Martin Light Oil'!H32+'Fort Myers Light Oil'!H33+'Port GT''s Jet Fuel'!H33+'Lauderdale Jet Fuel'!H33+'Cape Canaveral Light Oil'!H33+'Riviera Light Oil'!H33+'PEEC Light Oil'!H33+'Cedar Bay Light Oil'!H32</f>
        <v>13372.780445969125</v>
      </c>
      <c r="F32" s="46">
        <f>'Putnam Light Oil'!I32+'Turkey Point Light Oil'!I32+'West County Light Oil'!I32+'Martin Light Oil'!I32+'Fort Myers Light Oil'!I33+'Port GT''s Jet Fuel'!I33+'Lauderdale Jet Fuel'!I33+'Cape Canaveral Light Oil'!I33+'Riviera Light Oil'!I33+'PEEC Light Oil'!I33+'Cedar Bay Light Oil'!I32</f>
        <v>778233.59728467418</v>
      </c>
      <c r="G32" s="22">
        <f t="shared" si="0"/>
        <v>58.195346915999984</v>
      </c>
      <c r="H32" s="46">
        <f>'Putnam Light Oil'!K32+'Turkey Point Light Oil'!K32+'West County Light Oil'!K32+'Martin Light Oil'!K32+'Fort Myers Light Oil'!K33+'Port GT''s Jet Fuel'!K33+'Lauderdale Jet Fuel'!K33+'Cape Canaveral Light Oil'!K33+'Riviera Light Oil'!K33+'PEEC Light Oil'!K33+'Cedar Bay Light Oil'!K32</f>
        <v>11974.785591766724</v>
      </c>
      <c r="I32" s="46">
        <f>'Putnam Light Oil'!L32+'Turkey Point Light Oil'!L32+'West County Light Oil'!L32+'Martin Light Oil'!L32+'Fort Myers Light Oil'!L33+'Port GT''s Jet Fuel'!L33+'Lauderdale Jet Fuel'!L33+'Cape Canaveral Light Oil'!L33+'Riviera Light Oil'!L33+'PEEC Light Oil'!L33+'Cedar Bay Light Oil'!L32</f>
        <v>1243206.0610293904</v>
      </c>
      <c r="J32" s="14">
        <f t="shared" si="1"/>
        <v>103.81864890208624</v>
      </c>
      <c r="K32" s="46">
        <f>'Putnam Light Oil'!N32+'Turkey Point Light Oil'!N32+'West County Light Oil'!N32+'Martin Light Oil'!N32+'Fort Myers Light Oil'!N33+'Port GT''s Jet Fuel'!N33+'Lauderdale Jet Fuel'!N33+'Cape Canaveral Light Oil'!N33+'Riviera Light Oil'!N33+'PEEC Light Oil'!N33+'Cedar Bay Light Oil'!N32</f>
        <v>1258729.5060034303</v>
      </c>
      <c r="L32" s="46">
        <f>'Putnam Light Oil'!O32+'Turkey Point Light Oil'!O32+'West County Light Oil'!O32+'Martin Light Oil'!O32+'Fort Myers Light Oil'!O33+'Port GT''s Jet Fuel'!O33+'Lauderdale Jet Fuel'!O33+'Cape Canaveral Light Oil'!O33+'Riviera Light Oil'!O33+'PEEC Light Oil'!O33+'Cedar Bay Light Oil'!O32</f>
        <v>140360050.76679122</v>
      </c>
      <c r="M32" s="22">
        <f t="shared" si="2"/>
        <v>111.50930370453135</v>
      </c>
      <c r="N32" s="31">
        <f t="shared" ref="N32:O47" si="8">AVERAGE(K20:K32)</f>
        <v>1225319.8768966882</v>
      </c>
      <c r="O32" s="31">
        <f t="shared" si="8"/>
        <v>139674005.76029211</v>
      </c>
      <c r="P32" s="32">
        <f t="shared" si="5"/>
        <v>113.98983105867677</v>
      </c>
      <c r="Q32" s="45">
        <f>'Turkey Point Light Oil'!A32+'West County Light Oil'!A32+'Martin Light Oil'!A32+'Fort Myers Light Oil'!A33+'Port GT''s Jet Fuel'!A33+'Lauderdale Jet Fuel'!A33+'Cape Canaveral Light Oil'!A33+'Riviera Light Oil'!A33+'PEEC Light Oil'!A33+'Cedar Bay Light Oil'!A32+K32</f>
        <v>1318407.5060034303</v>
      </c>
    </row>
    <row r="33" spans="1:17">
      <c r="A33" s="13">
        <v>42461</v>
      </c>
      <c r="B33" s="16">
        <f>'Putnam Light Oil'!E33+'Turkey Point Light Oil'!E33+'West County Light Oil'!E33+'Martin Light Oil'!E33+'Fort Myers Light Oil'!E34+'Port GT''s Jet Fuel'!E34+'Lauderdale Jet Fuel'!E34+'Cape Canaveral Light Oil'!E34+'Riviera Light Oil'!E34+'PEEC Light Oil'!E34+'Cedar Bay Light Oil'!E33</f>
        <v>1258729.5060034303</v>
      </c>
      <c r="C33" s="16">
        <f>'Putnam Light Oil'!F33+'Turkey Point Light Oil'!F33+'West County Light Oil'!F33+'Martin Light Oil'!F33+'Fort Myers Light Oil'!F34+'Port GT''s Jet Fuel'!F34+'Lauderdale Jet Fuel'!F34+'Cape Canaveral Light Oil'!F34+'Riviera Light Oil'!F34+'PEEC Light Oil'!F34+'Cedar Bay Light Oil'!F33</f>
        <v>140360050.76679122</v>
      </c>
      <c r="D33" s="14">
        <f t="shared" si="6"/>
        <v>111.50930370453135</v>
      </c>
      <c r="E33" s="46">
        <f>'Putnam Light Oil'!H33+'Turkey Point Light Oil'!H33+'West County Light Oil'!H33+'Martin Light Oil'!H33+'Fort Myers Light Oil'!H34+'Port GT''s Jet Fuel'!H34+'Lauderdale Jet Fuel'!H34+'Cape Canaveral Light Oil'!H34+'Riviera Light Oil'!H34+'PEEC Light Oil'!H34+'Cedar Bay Light Oil'!H33</f>
        <v>15000</v>
      </c>
      <c r="F33" s="46">
        <f>'Putnam Light Oil'!I33+'Turkey Point Light Oil'!I33+'West County Light Oil'!I33+'Martin Light Oil'!I33+'Fort Myers Light Oil'!I34+'Port GT''s Jet Fuel'!I34+'Lauderdale Jet Fuel'!I34+'Cape Canaveral Light Oil'!I34+'Riviera Light Oil'!I34+'PEEC Light Oil'!I34+'Cedar Bay Light Oil'!I33</f>
        <v>882632.20374000003</v>
      </c>
      <c r="G33" s="22">
        <f t="shared" si="0"/>
        <v>58.842146916000004</v>
      </c>
      <c r="H33" s="46">
        <f>'Putnam Light Oil'!K33+'Turkey Point Light Oil'!K33+'West County Light Oil'!K33+'Martin Light Oil'!K33+'Fort Myers Light Oil'!K34+'Port GT''s Jet Fuel'!K34+'Lauderdale Jet Fuel'!K34+'Cape Canaveral Light Oil'!K34+'Riviera Light Oil'!K34+'PEEC Light Oil'!K34+'Cedar Bay Light Oil'!K33</f>
        <v>17164.837049742709</v>
      </c>
      <c r="I33" s="46">
        <f>'Putnam Light Oil'!L33+'Turkey Point Light Oil'!L33+'West County Light Oil'!L33+'Martin Light Oil'!L33+'Fort Myers Light Oil'!L34+'Port GT''s Jet Fuel'!L34+'Lauderdale Jet Fuel'!L34+'Cape Canaveral Light Oil'!L34+'Riviera Light Oil'!L34+'PEEC Light Oil'!L34+'Cedar Bay Light Oil'!L33</f>
        <v>1774390.0490713362</v>
      </c>
      <c r="J33" s="14">
        <f t="shared" si="1"/>
        <v>103.37354464416154</v>
      </c>
      <c r="K33" s="46">
        <f>'Putnam Light Oil'!N33+'Turkey Point Light Oil'!N33+'West County Light Oil'!N33+'Martin Light Oil'!N33+'Fort Myers Light Oil'!N34+'Port GT''s Jet Fuel'!N34+'Lauderdale Jet Fuel'!N34+'Cape Canaveral Light Oil'!N34+'Riviera Light Oil'!N34+'PEEC Light Oil'!N34+'Cedar Bay Light Oil'!N33</f>
        <v>1256564.6689536879</v>
      </c>
      <c r="L33" s="46">
        <f>'Putnam Light Oil'!O33+'Turkey Point Light Oil'!O33+'West County Light Oil'!O33+'Martin Light Oil'!O33+'Fort Myers Light Oil'!O34+'Port GT''s Jet Fuel'!O34+'Lauderdale Jet Fuel'!O34+'Cape Canaveral Light Oil'!O34+'Riviera Light Oil'!O34+'PEEC Light Oil'!O34+'Cedar Bay Light Oil'!O33</f>
        <v>139468292.92145991</v>
      </c>
      <c r="M33" s="22">
        <f t="shared" si="2"/>
        <v>110.99173513894188</v>
      </c>
      <c r="N33" s="31">
        <f t="shared" si="8"/>
        <v>1238909.5437392795</v>
      </c>
      <c r="O33" s="31">
        <f t="shared" si="8"/>
        <v>140539505.1416108</v>
      </c>
      <c r="P33" s="32">
        <f t="shared" si="5"/>
        <v>113.4380680589756</v>
      </c>
      <c r="Q33" s="45">
        <f>'Turkey Point Light Oil'!A33+'West County Light Oil'!A33+'Martin Light Oil'!A33+'Fort Myers Light Oil'!A34+'Port GT''s Jet Fuel'!A34+'Lauderdale Jet Fuel'!A34+'Cape Canaveral Light Oil'!A34+'Riviera Light Oil'!A34+'PEEC Light Oil'!A34+'Cedar Bay Light Oil'!A33+K33</f>
        <v>1316242.6689536879</v>
      </c>
    </row>
    <row r="34" spans="1:17">
      <c r="A34" s="13">
        <v>42491</v>
      </c>
      <c r="B34" s="16">
        <f>'Putnam Light Oil'!E34+'Turkey Point Light Oil'!E34+'West County Light Oil'!E34+'Martin Light Oil'!E34+'Fort Myers Light Oil'!E35+'Port GT''s Jet Fuel'!E35+'Lauderdale Jet Fuel'!E35+'Cape Canaveral Light Oil'!E35+'Riviera Light Oil'!E35+'PEEC Light Oil'!E35+'Cedar Bay Light Oil'!E34</f>
        <v>1256564.6689536879</v>
      </c>
      <c r="C34" s="16">
        <f>'Putnam Light Oil'!F34+'Turkey Point Light Oil'!F34+'West County Light Oil'!F34+'Martin Light Oil'!F34+'Fort Myers Light Oil'!F35+'Port GT''s Jet Fuel'!F35+'Lauderdale Jet Fuel'!F35+'Cape Canaveral Light Oil'!F35+'Riviera Light Oil'!F35+'PEEC Light Oil'!F35+'Cedar Bay Light Oil'!F34</f>
        <v>139468292.92145991</v>
      </c>
      <c r="D34" s="14">
        <f t="shared" si="6"/>
        <v>110.99173513894188</v>
      </c>
      <c r="E34" s="46">
        <f>'Putnam Light Oil'!H34+'Turkey Point Light Oil'!H34+'West County Light Oil'!H34+'Martin Light Oil'!H34+'Fort Myers Light Oil'!H35+'Port GT''s Jet Fuel'!H35+'Lauderdale Jet Fuel'!H35+'Cape Canaveral Light Oil'!H35+'Riviera Light Oil'!H35+'PEEC Light Oil'!H35+'Cedar Bay Light Oil'!H34</f>
        <v>66915.852487135489</v>
      </c>
      <c r="F34" s="46">
        <f>'Putnam Light Oil'!I34+'Turkey Point Light Oil'!I34+'West County Light Oil'!I34+'Martin Light Oil'!I34+'Fort Myers Light Oil'!I35+'Port GT''s Jet Fuel'!I35+'Lauderdale Jet Fuel'!I35+'Cape Canaveral Light Oil'!I35+'Riviera Light Oil'!I35+'PEEC Light Oil'!I35+'Cedar Bay Light Oil'!I34</f>
        <v>3994805.9254683871</v>
      </c>
      <c r="G34" s="22">
        <f t="shared" si="0"/>
        <v>59.698946915999983</v>
      </c>
      <c r="H34" s="46">
        <f>'Putnam Light Oil'!K34+'Turkey Point Light Oil'!K34+'West County Light Oil'!K34+'Martin Light Oil'!K34+'Fort Myers Light Oil'!K35+'Port GT''s Jet Fuel'!K35+'Lauderdale Jet Fuel'!K35+'Cape Canaveral Light Oil'!K35+'Riviera Light Oil'!K35+'PEEC Light Oil'!K35+'Cedar Bay Light Oil'!K34</f>
        <v>19365.008576329332</v>
      </c>
      <c r="I34" s="46">
        <f>'Putnam Light Oil'!L34+'Turkey Point Light Oil'!L34+'West County Light Oil'!L34+'Martin Light Oil'!L34+'Fort Myers Light Oil'!L35+'Port GT''s Jet Fuel'!L35+'Lauderdale Jet Fuel'!L35+'Cape Canaveral Light Oil'!L35+'Riviera Light Oil'!L35+'PEEC Light Oil'!L35+'Cedar Bay Light Oil'!L34</f>
        <v>2250385.1546296631</v>
      </c>
      <c r="J34" s="14">
        <f t="shared" si="1"/>
        <v>116.20883852230274</v>
      </c>
      <c r="K34" s="46">
        <f>'Putnam Light Oil'!N34+'Turkey Point Light Oil'!N34+'West County Light Oil'!N34+'Martin Light Oil'!N34+'Fort Myers Light Oil'!N35+'Port GT''s Jet Fuel'!N35+'Lauderdale Jet Fuel'!N35+'Cape Canaveral Light Oil'!N35+'Riviera Light Oil'!N35+'PEEC Light Oil'!N35+'Cedar Bay Light Oil'!N34</f>
        <v>1304115.5128644942</v>
      </c>
      <c r="L34" s="46">
        <f>'Putnam Light Oil'!O34+'Turkey Point Light Oil'!O34+'West County Light Oil'!O34+'Martin Light Oil'!O34+'Fort Myers Light Oil'!O35+'Port GT''s Jet Fuel'!O35+'Lauderdale Jet Fuel'!O35+'Cape Canaveral Light Oil'!O35+'Riviera Light Oil'!O35+'PEEC Light Oil'!O35+'Cedar Bay Light Oil'!O34</f>
        <v>141212713.69229862</v>
      </c>
      <c r="M34" s="22">
        <f t="shared" si="2"/>
        <v>108.28236632361225</v>
      </c>
      <c r="N34" s="31">
        <f t="shared" si="8"/>
        <v>1256317.2754980868</v>
      </c>
      <c r="O34" s="31">
        <f t="shared" si="8"/>
        <v>141576768.24530166</v>
      </c>
      <c r="P34" s="32">
        <f t="shared" si="5"/>
        <v>112.6918900236975</v>
      </c>
      <c r="Q34" s="45">
        <f>'Turkey Point Light Oil'!A34+'West County Light Oil'!A34+'Martin Light Oil'!A34+'Fort Myers Light Oil'!A35+'Port GT''s Jet Fuel'!A35+'Lauderdale Jet Fuel'!A35+'Cape Canaveral Light Oil'!A35+'Riviera Light Oil'!A35+'PEEC Light Oil'!A35+'Cedar Bay Light Oil'!A34+K34</f>
        <v>1363793.5128644942</v>
      </c>
    </row>
    <row r="35" spans="1:17">
      <c r="A35" s="13">
        <v>42522</v>
      </c>
      <c r="B35" s="16">
        <f>'Putnam Light Oil'!E35+'Turkey Point Light Oil'!E35+'West County Light Oil'!E35+'Martin Light Oil'!E35+'Fort Myers Light Oil'!E36+'Port GT''s Jet Fuel'!E36+'Lauderdale Jet Fuel'!E36+'Cape Canaveral Light Oil'!E36+'Riviera Light Oil'!E36+'PEEC Light Oil'!E36+'Cedar Bay Light Oil'!E35</f>
        <v>1304115.5128644942</v>
      </c>
      <c r="C35" s="16">
        <f>'Putnam Light Oil'!F35+'Turkey Point Light Oil'!F35+'West County Light Oil'!F35+'Martin Light Oil'!F35+'Fort Myers Light Oil'!F36+'Port GT''s Jet Fuel'!F36+'Lauderdale Jet Fuel'!F36+'Cape Canaveral Light Oil'!F36+'Riviera Light Oil'!F36+'PEEC Light Oil'!F36+'Cedar Bay Light Oil'!F35</f>
        <v>141212713.69229862</v>
      </c>
      <c r="D35" s="14">
        <f t="shared" si="6"/>
        <v>108.28236632361225</v>
      </c>
      <c r="E35" s="46">
        <f>'Putnam Light Oil'!H35+'Turkey Point Light Oil'!H35+'West County Light Oil'!H35+'Martin Light Oil'!H35+'Fort Myers Light Oil'!H36+'Port GT''s Jet Fuel'!H36+'Lauderdale Jet Fuel'!H36+'Cape Canaveral Light Oil'!H36+'Riviera Light Oil'!H36+'PEEC Light Oil'!H36+'Cedar Bay Light Oil'!H35</f>
        <v>29202.401372212687</v>
      </c>
      <c r="F35" s="46">
        <f>'Putnam Light Oil'!I35+'Turkey Point Light Oil'!I35+'West County Light Oil'!I35+'Martin Light Oil'!I35+'Fort Myers Light Oil'!I36+'Port GT''s Jet Fuel'!I36+'Lauderdale Jet Fuel'!I36+'Cape Canaveral Light Oil'!I36+'Riviera Light Oil'!I36+'PEEC Light Oil'!I36+'Cedar Bay Light Oil'!I35</f>
        <v>1774628.3812090904</v>
      </c>
      <c r="G35" s="22">
        <f t="shared" si="0"/>
        <v>60.769946915999995</v>
      </c>
      <c r="H35" s="46">
        <f>'Putnam Light Oil'!K35+'Turkey Point Light Oil'!K35+'West County Light Oil'!K35+'Martin Light Oil'!K35+'Fort Myers Light Oil'!K36+'Port GT''s Jet Fuel'!K36+'Lauderdale Jet Fuel'!K36+'Cape Canaveral Light Oil'!K36+'Riviera Light Oil'!K36+'PEEC Light Oil'!K36+'Cedar Bay Light Oil'!K35</f>
        <v>13567.753001715266</v>
      </c>
      <c r="I35" s="46">
        <f>'Putnam Light Oil'!L35+'Turkey Point Light Oil'!L35+'West County Light Oil'!L35+'Martin Light Oil'!L35+'Fort Myers Light Oil'!L36+'Port GT''s Jet Fuel'!L36+'Lauderdale Jet Fuel'!L36+'Cape Canaveral Light Oil'!L36+'Riviera Light Oil'!L36+'PEEC Light Oil'!L36+'Cedar Bay Light Oil'!L35</f>
        <v>1363375.7556717456</v>
      </c>
      <c r="J35" s="14">
        <f t="shared" si="1"/>
        <v>100.48648110703257</v>
      </c>
      <c r="K35" s="46">
        <f>'Putnam Light Oil'!N35+'Turkey Point Light Oil'!N35+'West County Light Oil'!N35+'Martin Light Oil'!N35+'Fort Myers Light Oil'!N36+'Port GT''s Jet Fuel'!N36+'Lauderdale Jet Fuel'!N36+'Cape Canaveral Light Oil'!N36+'Riviera Light Oil'!N36+'PEEC Light Oil'!N36+'Cedar Bay Light Oil'!N35</f>
        <v>1319750.1612349916</v>
      </c>
      <c r="L35" s="46">
        <f>'Putnam Light Oil'!O35+'Turkey Point Light Oil'!O35+'West County Light Oil'!O35+'Martin Light Oil'!O35+'Fort Myers Light Oil'!O36+'Port GT''s Jet Fuel'!O36+'Lauderdale Jet Fuel'!O36+'Cape Canaveral Light Oil'!O36+'Riviera Light Oil'!O36+'PEEC Light Oil'!O36+'Cedar Bay Light Oil'!O35</f>
        <v>141623966.31783596</v>
      </c>
      <c r="M35" s="22">
        <f t="shared" si="2"/>
        <v>107.31119455617836</v>
      </c>
      <c r="N35" s="31">
        <f t="shared" si="8"/>
        <v>1265925.826362317</v>
      </c>
      <c r="O35" s="31">
        <f t="shared" si="8"/>
        <v>141810199.12403387</v>
      </c>
      <c r="P35" s="32">
        <f t="shared" si="5"/>
        <v>112.02093848699693</v>
      </c>
      <c r="Q35" s="45">
        <f>'Turkey Point Light Oil'!A35+'West County Light Oil'!A35+'Martin Light Oil'!A35+'Fort Myers Light Oil'!A36+'Port GT''s Jet Fuel'!A36+'Lauderdale Jet Fuel'!A36+'Cape Canaveral Light Oil'!A36+'Riviera Light Oil'!A36+'PEEC Light Oil'!A36+'Cedar Bay Light Oil'!A35+K35</f>
        <v>1379428.1612349916</v>
      </c>
    </row>
    <row r="36" spans="1:17">
      <c r="A36" s="13">
        <v>42552</v>
      </c>
      <c r="B36" s="16">
        <f>'Putnam Light Oil'!E36+'Turkey Point Light Oil'!E36+'West County Light Oil'!E36+'Martin Light Oil'!E36+'Fort Myers Light Oil'!E37+'Port GT''s Jet Fuel'!E37+'Lauderdale Jet Fuel'!E37+'Cape Canaveral Light Oil'!E37+'Riviera Light Oil'!E37+'PEEC Light Oil'!E37+'Cedar Bay Light Oil'!E36</f>
        <v>1319750.1612349916</v>
      </c>
      <c r="C36" s="16">
        <f>'Putnam Light Oil'!F36+'Turkey Point Light Oil'!F36+'West County Light Oil'!F36+'Martin Light Oil'!F36+'Fort Myers Light Oil'!F37+'Port GT''s Jet Fuel'!F37+'Lauderdale Jet Fuel'!F37+'Cape Canaveral Light Oil'!F37+'Riviera Light Oil'!F37+'PEEC Light Oil'!F37+'Cedar Bay Light Oil'!F36</f>
        <v>141623966.31783596</v>
      </c>
      <c r="D36" s="14">
        <f t="shared" si="6"/>
        <v>107.31119455617836</v>
      </c>
      <c r="E36" s="46">
        <f>'Putnam Light Oil'!H36+'Turkey Point Light Oil'!H36+'West County Light Oil'!H36+'Martin Light Oil'!H36+'Fort Myers Light Oil'!H37+'Port GT''s Jet Fuel'!H37+'Lauderdale Jet Fuel'!H37+'Cape Canaveral Light Oil'!H37+'Riviera Light Oil'!H37+'PEEC Light Oil'!H37+'Cedar Bay Light Oil'!H36</f>
        <v>20000</v>
      </c>
      <c r="F36" s="46">
        <f>'Putnam Light Oil'!I36+'Turkey Point Light Oil'!I36+'West County Light Oil'!I36+'Martin Light Oil'!I36+'Fort Myers Light Oil'!I37+'Port GT''s Jet Fuel'!I37+'Lauderdale Jet Fuel'!I37+'Cape Canaveral Light Oil'!I37+'Riviera Light Oil'!I37+'PEEC Light Oil'!I37+'Cedar Bay Light Oil'!I36</f>
        <v>1237490.9383199997</v>
      </c>
      <c r="G36" s="22">
        <f t="shared" si="0"/>
        <v>61.874546915999986</v>
      </c>
      <c r="H36" s="46">
        <f>'Putnam Light Oil'!K36+'Turkey Point Light Oil'!K36+'West County Light Oil'!K36+'Martin Light Oil'!K36+'Fort Myers Light Oil'!K37+'Port GT''s Jet Fuel'!K37+'Lauderdale Jet Fuel'!K37+'Cape Canaveral Light Oil'!K37+'Riviera Light Oil'!K37+'PEEC Light Oil'!K37+'Cedar Bay Light Oil'!K36</f>
        <v>14525.557461406517</v>
      </c>
      <c r="I36" s="46">
        <f>'Putnam Light Oil'!L36+'Turkey Point Light Oil'!L36+'West County Light Oil'!L36+'Martin Light Oil'!L36+'Fort Myers Light Oil'!L37+'Port GT''s Jet Fuel'!L37+'Lauderdale Jet Fuel'!L37+'Cape Canaveral Light Oil'!L37+'Riviera Light Oil'!L37+'PEEC Light Oil'!L37+'Cedar Bay Light Oil'!L36</f>
        <v>1617645.9725884818</v>
      </c>
      <c r="J36" s="14">
        <f t="shared" si="1"/>
        <v>111.36550021480858</v>
      </c>
      <c r="K36" s="46">
        <f>'Putnam Light Oil'!N36+'Turkey Point Light Oil'!N36+'West County Light Oil'!N36+'Martin Light Oil'!N36+'Fort Myers Light Oil'!N37+'Port GT''s Jet Fuel'!N37+'Lauderdale Jet Fuel'!N37+'Cape Canaveral Light Oil'!N37+'Riviera Light Oil'!N37+'PEEC Light Oil'!N37+'Cedar Bay Light Oil'!N36</f>
        <v>1325224.6037735851</v>
      </c>
      <c r="L36" s="46">
        <f>'Putnam Light Oil'!O36+'Turkey Point Light Oil'!O36+'West County Light Oil'!O36+'Martin Light Oil'!O36+'Fort Myers Light Oil'!O37+'Port GT''s Jet Fuel'!O37+'Lauderdale Jet Fuel'!O37+'Cape Canaveral Light Oil'!O37+'Riviera Light Oil'!O37+'PEEC Light Oil'!O37+'Cedar Bay Light Oil'!O36</f>
        <v>141243811.28356749</v>
      </c>
      <c r="M36" s="22">
        <f t="shared" si="2"/>
        <v>106.58103606088726</v>
      </c>
      <c r="N36" s="31">
        <f t="shared" si="8"/>
        <v>1269985.1035756697</v>
      </c>
      <c r="O36" s="31">
        <f t="shared" si="8"/>
        <v>141552020.58551463</v>
      </c>
      <c r="P36" s="32">
        <f t="shared" si="5"/>
        <v>111.45959128730877</v>
      </c>
      <c r="Q36" s="45">
        <f>'Turkey Point Light Oil'!A36+'West County Light Oil'!A36+'Martin Light Oil'!A36+'Fort Myers Light Oil'!A37+'Port GT''s Jet Fuel'!A37+'Lauderdale Jet Fuel'!A37+'Cape Canaveral Light Oil'!A37+'Riviera Light Oil'!A37+'PEEC Light Oil'!A37+'Cedar Bay Light Oil'!A36+K36</f>
        <v>1384902.6037735851</v>
      </c>
    </row>
    <row r="37" spans="1:17">
      <c r="A37" s="13">
        <v>42583</v>
      </c>
      <c r="B37" s="16">
        <f>'Putnam Light Oil'!E37+'Turkey Point Light Oil'!E37+'West County Light Oil'!E37+'Martin Light Oil'!E37+'Fort Myers Light Oil'!E38+'Port GT''s Jet Fuel'!E38+'Lauderdale Jet Fuel'!E38+'Cape Canaveral Light Oil'!E38+'Riviera Light Oil'!E38+'PEEC Light Oil'!E38+'Cedar Bay Light Oil'!E37</f>
        <v>1325224.6037735851</v>
      </c>
      <c r="C37" s="16">
        <f>'Putnam Light Oil'!F37+'Turkey Point Light Oil'!F37+'West County Light Oil'!F37+'Martin Light Oil'!F37+'Fort Myers Light Oil'!F38+'Port GT''s Jet Fuel'!F38+'Lauderdale Jet Fuel'!F38+'Cape Canaveral Light Oil'!F38+'Riviera Light Oil'!F38+'PEEC Light Oil'!F38+'Cedar Bay Light Oil'!F37</f>
        <v>141243811.28356749</v>
      </c>
      <c r="D37" s="14">
        <f t="shared" si="6"/>
        <v>106.58103606088726</v>
      </c>
      <c r="E37" s="46">
        <f>'Putnam Light Oil'!H37+'Turkey Point Light Oil'!H37+'West County Light Oil'!H37+'Martin Light Oil'!H37+'Fort Myers Light Oil'!H38+'Port GT''s Jet Fuel'!H38+'Lauderdale Jet Fuel'!H38+'Cape Canaveral Light Oil'!H38+'Riviera Light Oil'!H38+'PEEC Light Oil'!H38+'Cedar Bay Light Oil'!H37</f>
        <v>14202.401372212677</v>
      </c>
      <c r="F37" s="46">
        <f>'Putnam Light Oil'!I37+'Turkey Point Light Oil'!I37+'West County Light Oil'!I37+'Martin Light Oil'!I37+'Fort Myers Light Oil'!I38+'Port GT''s Jet Fuel'!I38+'Lauderdale Jet Fuel'!I38+'Cape Canaveral Light Oil'!I38+'Riviera Light Oil'!I38+'PEEC Light Oil'!I38+'Cedar Bay Light Oil'!I37</f>
        <v>892963.87043649971</v>
      </c>
      <c r="G37" s="22">
        <f t="shared" si="0"/>
        <v>62.874146915999994</v>
      </c>
      <c r="H37" s="46">
        <f>'Putnam Light Oil'!K37+'Turkey Point Light Oil'!K37+'West County Light Oil'!K37+'Martin Light Oil'!K37+'Fort Myers Light Oil'!K38+'Port GT''s Jet Fuel'!K38+'Lauderdale Jet Fuel'!K38+'Cape Canaveral Light Oil'!K38+'Riviera Light Oil'!K38+'PEEC Light Oil'!K38+'Cedar Bay Light Oil'!K37</f>
        <v>18923.670668953688</v>
      </c>
      <c r="I37" s="46">
        <f>'Putnam Light Oil'!L37+'Turkey Point Light Oil'!L37+'West County Light Oil'!L37+'Martin Light Oil'!L37+'Fort Myers Light Oil'!L38+'Port GT''s Jet Fuel'!L38+'Lauderdale Jet Fuel'!L38+'Cape Canaveral Light Oil'!L38+'Riviera Light Oil'!L38+'PEEC Light Oil'!L38+'Cedar Bay Light Oil'!L37</f>
        <v>2008988.2455982484</v>
      </c>
      <c r="J37" s="14">
        <f t="shared" si="1"/>
        <v>106.16271445128292</v>
      </c>
      <c r="K37" s="46">
        <f>'Putnam Light Oil'!N37+'Turkey Point Light Oil'!N37+'West County Light Oil'!N37+'Martin Light Oil'!N37+'Fort Myers Light Oil'!N38+'Port GT''s Jet Fuel'!N38+'Lauderdale Jet Fuel'!N38+'Cape Canaveral Light Oil'!N38+'Riviera Light Oil'!N38+'PEEC Light Oil'!N38+'Cedar Bay Light Oil'!N37</f>
        <v>1320503.3344768437</v>
      </c>
      <c r="L37" s="46">
        <f>'Putnam Light Oil'!O37+'Turkey Point Light Oil'!O37+'West County Light Oil'!O37+'Martin Light Oil'!O37+'Fort Myers Light Oil'!O38+'Port GT''s Jet Fuel'!O38+'Lauderdale Jet Fuel'!O38+'Cape Canaveral Light Oil'!O38+'Riviera Light Oil'!O38+'PEEC Light Oil'!O38+'Cedar Bay Light Oil'!O37</f>
        <v>140127786.90840572</v>
      </c>
      <c r="M37" s="22">
        <f t="shared" si="2"/>
        <v>106.11695044596118</v>
      </c>
      <c r="N37" s="31">
        <f t="shared" si="8"/>
        <v>1273760.1293046577</v>
      </c>
      <c r="O37" s="31">
        <f t="shared" si="8"/>
        <v>141247609.13275218</v>
      </c>
      <c r="P37" s="32">
        <f t="shared" si="5"/>
        <v>110.89027351630081</v>
      </c>
      <c r="Q37" s="45">
        <f>'Turkey Point Light Oil'!A37+'West County Light Oil'!A37+'Martin Light Oil'!A37+'Fort Myers Light Oil'!A38+'Port GT''s Jet Fuel'!A38+'Lauderdale Jet Fuel'!A38+'Cape Canaveral Light Oil'!A38+'Riviera Light Oil'!A38+'PEEC Light Oil'!A38+'Cedar Bay Light Oil'!A37+K37</f>
        <v>1380181.3344768437</v>
      </c>
    </row>
    <row r="38" spans="1:17">
      <c r="A38" s="13">
        <v>42614</v>
      </c>
      <c r="B38" s="16">
        <f>'Putnam Light Oil'!E38+'Turkey Point Light Oil'!E38+'West County Light Oil'!E38+'Martin Light Oil'!E38+'Fort Myers Light Oil'!E39+'Port GT''s Jet Fuel'!E39+'Lauderdale Jet Fuel'!E39+'Cape Canaveral Light Oil'!E39+'Riviera Light Oil'!E39+'PEEC Light Oil'!E39+'Cedar Bay Light Oil'!E38</f>
        <v>1320503.3344768437</v>
      </c>
      <c r="C38" s="16">
        <f>'Putnam Light Oil'!F38+'Turkey Point Light Oil'!F38+'West County Light Oil'!F38+'Martin Light Oil'!F38+'Fort Myers Light Oil'!F39+'Port GT''s Jet Fuel'!F39+'Lauderdale Jet Fuel'!F39+'Cape Canaveral Light Oil'!F39+'Riviera Light Oil'!F39+'PEEC Light Oil'!F39+'Cedar Bay Light Oil'!F38</f>
        <v>140127786.90840572</v>
      </c>
      <c r="D38" s="14">
        <f t="shared" si="6"/>
        <v>106.11695044596118</v>
      </c>
      <c r="E38" s="46">
        <f>'Putnam Light Oil'!H38+'Turkey Point Light Oil'!H38+'West County Light Oil'!H38+'Martin Light Oil'!H38+'Fort Myers Light Oil'!H39+'Port GT''s Jet Fuel'!H39+'Lauderdale Jet Fuel'!H39+'Cape Canaveral Light Oil'!H39+'Riviera Light Oil'!H39+'PEEC Light Oil'!H39+'Cedar Bay Light Oil'!H38</f>
        <v>25111.492281303617</v>
      </c>
      <c r="F38" s="46">
        <f>'Putnam Light Oil'!I38+'Turkey Point Light Oil'!I38+'West County Light Oil'!I38+'Martin Light Oil'!I38+'Fort Myers Light Oil'!I39+'Port GT''s Jet Fuel'!I39+'Lauderdale Jet Fuel'!I39+'Cape Canaveral Light Oil'!I39+'Riviera Light Oil'!I39+'PEEC Light Oil'!I39+'Cedar Bay Light Oil'!I38</f>
        <v>1602383.0786453523</v>
      </c>
      <c r="G38" s="22">
        <f t="shared" si="0"/>
        <v>63.810746915999985</v>
      </c>
      <c r="H38" s="46">
        <f>'Putnam Light Oil'!K38+'Turkey Point Light Oil'!K38+'West County Light Oil'!K38+'Martin Light Oil'!K38+'Fort Myers Light Oil'!K39+'Port GT''s Jet Fuel'!K39+'Lauderdale Jet Fuel'!K39+'Cape Canaveral Light Oil'!K39+'Riviera Light Oil'!K39+'PEEC Light Oil'!K39+'Cedar Bay Light Oil'!K38</f>
        <v>18331.56089193825</v>
      </c>
      <c r="I38" s="46">
        <f>'Putnam Light Oil'!L38+'Turkey Point Light Oil'!L38+'West County Light Oil'!L38+'Martin Light Oil'!L38+'Fort Myers Light Oil'!L39+'Port GT''s Jet Fuel'!L39+'Lauderdale Jet Fuel'!L39+'Cape Canaveral Light Oil'!L39+'Riviera Light Oil'!L39+'PEEC Light Oil'!L39+'Cedar Bay Light Oil'!L38</f>
        <v>1771487.9954841563</v>
      </c>
      <c r="J38" s="14">
        <f t="shared" si="1"/>
        <v>96.635960566959213</v>
      </c>
      <c r="K38" s="46">
        <f>'Putnam Light Oil'!N38+'Turkey Point Light Oil'!N38+'West County Light Oil'!N38+'Martin Light Oil'!N38+'Fort Myers Light Oil'!N39+'Port GT''s Jet Fuel'!N39+'Lauderdale Jet Fuel'!N39+'Cape Canaveral Light Oil'!N39+'Riviera Light Oil'!N39+'PEEC Light Oil'!N39+'Cedar Bay Light Oil'!N38</f>
        <v>1327283.2658662093</v>
      </c>
      <c r="L38" s="46">
        <f>'Putnam Light Oil'!O38+'Turkey Point Light Oil'!O38+'West County Light Oil'!O38+'Martin Light Oil'!O38+'Fort Myers Light Oil'!O39+'Port GT''s Jet Fuel'!O39+'Lauderdale Jet Fuel'!O39+'Cape Canaveral Light Oil'!O39+'Riviera Light Oil'!O39+'PEEC Light Oil'!O39+'Cedar Bay Light Oil'!O38</f>
        <v>139958681.99156693</v>
      </c>
      <c r="M38" s="22">
        <f t="shared" si="2"/>
        <v>105.44748479159597</v>
      </c>
      <c r="N38" s="31">
        <f t="shared" si="8"/>
        <v>1278385.1497559045</v>
      </c>
      <c r="O38" s="31">
        <f t="shared" si="8"/>
        <v>140974382.10407907</v>
      </c>
      <c r="P38" s="32">
        <f t="shared" si="5"/>
        <v>110.2753596058252</v>
      </c>
      <c r="Q38" s="45">
        <f>'Turkey Point Light Oil'!A38+'West County Light Oil'!A38+'Martin Light Oil'!A38+'Fort Myers Light Oil'!A39+'Port GT''s Jet Fuel'!A39+'Lauderdale Jet Fuel'!A39+'Cape Canaveral Light Oil'!A39+'Riviera Light Oil'!A39+'PEEC Light Oil'!A39+'Cedar Bay Light Oil'!A38+K38</f>
        <v>1386961.2658662093</v>
      </c>
    </row>
    <row r="39" spans="1:17">
      <c r="A39" s="13">
        <v>42644</v>
      </c>
      <c r="B39" s="16">
        <f>'Putnam Light Oil'!E39+'Turkey Point Light Oil'!E39+'West County Light Oil'!E39+'Martin Light Oil'!E39+'Fort Myers Light Oil'!E40+'Port GT''s Jet Fuel'!E40+'Lauderdale Jet Fuel'!E40+'Cape Canaveral Light Oil'!E40+'Riviera Light Oil'!E40+'PEEC Light Oil'!E40+'Cedar Bay Light Oil'!E39</f>
        <v>1327283.2658662093</v>
      </c>
      <c r="C39" s="16">
        <f>'Putnam Light Oil'!F39+'Turkey Point Light Oil'!F39+'West County Light Oil'!F39+'Martin Light Oil'!F39+'Fort Myers Light Oil'!F40+'Port GT''s Jet Fuel'!F40+'Lauderdale Jet Fuel'!F40+'Cape Canaveral Light Oil'!F40+'Riviera Light Oil'!F40+'PEEC Light Oil'!F40+'Cedar Bay Light Oil'!F39</f>
        <v>139958681.99156693</v>
      </c>
      <c r="D39" s="14">
        <f t="shared" si="6"/>
        <v>105.44748479159597</v>
      </c>
      <c r="E39" s="46">
        <f>'Putnam Light Oil'!H39+'Turkey Point Light Oil'!H39+'West County Light Oil'!H39+'Martin Light Oil'!H39+'Fort Myers Light Oil'!H40+'Port GT''s Jet Fuel'!H40+'Lauderdale Jet Fuel'!H40+'Cape Canaveral Light Oil'!H40+'Riviera Light Oil'!H40+'PEEC Light Oil'!H40+'Cedar Bay Light Oil'!H39</f>
        <v>28487.317324185242</v>
      </c>
      <c r="F39" s="46">
        <f>'Putnam Light Oil'!I39+'Turkey Point Light Oil'!I39+'West County Light Oil'!I39+'Martin Light Oil'!I39+'Fort Myers Light Oil'!I40+'Port GT''s Jet Fuel'!I40+'Lauderdale Jet Fuel'!I40+'Cape Canaveral Light Oil'!I40+'Riviera Light Oil'!I40+'PEEC Light Oil'!I40+'Cedar Bay Light Oil'!I39</f>
        <v>1845555.0380900525</v>
      </c>
      <c r="G39" s="22">
        <f t="shared" si="0"/>
        <v>64.785146915999988</v>
      </c>
      <c r="H39" s="46">
        <f>'Putnam Light Oil'!K39+'Turkey Point Light Oil'!K39+'West County Light Oil'!K39+'Martin Light Oil'!K39+'Fort Myers Light Oil'!K40+'Port GT''s Jet Fuel'!K40+'Lauderdale Jet Fuel'!K40+'Cape Canaveral Light Oil'!K40+'Riviera Light Oil'!K40+'PEEC Light Oil'!K40+'Cedar Bay Light Oil'!K39</f>
        <v>20739.622641509435</v>
      </c>
      <c r="I39" s="46">
        <f>'Putnam Light Oil'!L39+'Turkey Point Light Oil'!L39+'West County Light Oil'!L39+'Martin Light Oil'!L39+'Fort Myers Light Oil'!L40+'Port GT''s Jet Fuel'!L40+'Lauderdale Jet Fuel'!L40+'Cape Canaveral Light Oil'!L40+'Riviera Light Oil'!L40+'PEEC Light Oil'!L40+'Cedar Bay Light Oil'!L39</f>
        <v>2115983.3188878731</v>
      </c>
      <c r="J39" s="14">
        <f t="shared" si="1"/>
        <v>102.02612436413507</v>
      </c>
      <c r="K39" s="46">
        <f>'Putnam Light Oil'!N39+'Turkey Point Light Oil'!N39+'West County Light Oil'!N39+'Martin Light Oil'!N39+'Fort Myers Light Oil'!N40+'Port GT''s Jet Fuel'!N40+'Lauderdale Jet Fuel'!N40+'Cape Canaveral Light Oil'!N40+'Riviera Light Oil'!N40+'PEEC Light Oil'!N40+'Cedar Bay Light Oil'!N39</f>
        <v>1335030.9605488852</v>
      </c>
      <c r="L39" s="46">
        <f>'Putnam Light Oil'!O39+'Turkey Point Light Oil'!O39+'West County Light Oil'!O39+'Martin Light Oil'!O39+'Fort Myers Light Oil'!O40+'Port GT''s Jet Fuel'!O40+'Lauderdale Jet Fuel'!O40+'Cape Canaveral Light Oil'!O40+'Riviera Light Oil'!O40+'PEEC Light Oil'!O40+'Cedar Bay Light Oil'!O39</f>
        <v>139688253.71076909</v>
      </c>
      <c r="M39" s="22">
        <f t="shared" si="2"/>
        <v>104.63296945063927</v>
      </c>
      <c r="N39" s="31">
        <f t="shared" si="8"/>
        <v>1283011.4592954214</v>
      </c>
      <c r="O39" s="31">
        <f t="shared" si="8"/>
        <v>140610407.69093502</v>
      </c>
      <c r="P39" s="32">
        <f t="shared" si="5"/>
        <v>109.59403883122964</v>
      </c>
      <c r="Q39" s="45">
        <f>'Turkey Point Light Oil'!A39+'West County Light Oil'!A39+'Martin Light Oil'!A39+'Fort Myers Light Oil'!A40+'Port GT''s Jet Fuel'!A40+'Lauderdale Jet Fuel'!A40+'Cape Canaveral Light Oil'!A40+'Riviera Light Oil'!A40+'PEEC Light Oil'!A40+'Cedar Bay Light Oil'!A39+K39</f>
        <v>1394708.9605488852</v>
      </c>
    </row>
    <row r="40" spans="1:17">
      <c r="A40" s="13">
        <v>42675</v>
      </c>
      <c r="B40" s="16">
        <f>'Putnam Light Oil'!E40+'Turkey Point Light Oil'!E40+'West County Light Oil'!E40+'Martin Light Oil'!E40+'Fort Myers Light Oil'!E41+'Port GT''s Jet Fuel'!E41+'Lauderdale Jet Fuel'!E41+'Cape Canaveral Light Oil'!E41+'Riviera Light Oil'!E41+'PEEC Light Oil'!E41+'Cedar Bay Light Oil'!E40</f>
        <v>1335030.9605488852</v>
      </c>
      <c r="C40" s="16">
        <f>'Putnam Light Oil'!F40+'Turkey Point Light Oil'!F40+'West County Light Oil'!F40+'Martin Light Oil'!F40+'Fort Myers Light Oil'!F41+'Port GT''s Jet Fuel'!F41+'Lauderdale Jet Fuel'!F41+'Cape Canaveral Light Oil'!F41+'Riviera Light Oil'!F41+'PEEC Light Oil'!F41+'Cedar Bay Light Oil'!F40</f>
        <v>139688253.71076909</v>
      </c>
      <c r="D40" s="14">
        <f t="shared" si="6"/>
        <v>104.63296945063927</v>
      </c>
      <c r="E40" s="46">
        <f>'Putnam Light Oil'!H40+'Turkey Point Light Oil'!H40+'West County Light Oil'!H40+'Martin Light Oil'!H40+'Fort Myers Light Oil'!H41+'Port GT''s Jet Fuel'!H41+'Lauderdale Jet Fuel'!H41+'Cape Canaveral Light Oil'!H41+'Riviera Light Oil'!H41+'PEEC Light Oil'!H41+'Cedar Bay Light Oil'!H40</f>
        <v>40406.518010291569</v>
      </c>
      <c r="F40" s="46">
        <f>'Putnam Light Oil'!I40+'Turkey Point Light Oil'!I40+'West County Light Oil'!I40+'Martin Light Oil'!I40+'Fort Myers Light Oil'!I41+'Port GT''s Jet Fuel'!I41+'Lauderdale Jet Fuel'!I41+'Cape Canaveral Light Oil'!I41+'Riviera Light Oil'!I41+'PEEC Light Oil'!I41+'Cedar Bay Light Oil'!I40</f>
        <v>2653211.0471701729</v>
      </c>
      <c r="G40" s="22">
        <f t="shared" si="0"/>
        <v>65.662946915999996</v>
      </c>
      <c r="H40" s="46">
        <f>'Putnam Light Oil'!K40+'Turkey Point Light Oil'!K40+'West County Light Oil'!K40+'Martin Light Oil'!K40+'Fort Myers Light Oil'!K41+'Port GT''s Jet Fuel'!K41+'Lauderdale Jet Fuel'!K41+'Cape Canaveral Light Oil'!K41+'Riviera Light Oil'!K41+'PEEC Light Oil'!K41+'Cedar Bay Light Oil'!K40</f>
        <v>33877.015437392794</v>
      </c>
      <c r="I40" s="46">
        <f>'Putnam Light Oil'!L40+'Turkey Point Light Oil'!L40+'West County Light Oil'!L40+'Martin Light Oil'!L40+'Fort Myers Light Oil'!L41+'Port GT''s Jet Fuel'!L41+'Lauderdale Jet Fuel'!L41+'Cape Canaveral Light Oil'!L41+'Riviera Light Oil'!L41+'PEEC Light Oil'!L41+'Cedar Bay Light Oil'!L40</f>
        <v>3109089.9939036611</v>
      </c>
      <c r="J40" s="14">
        <f t="shared" si="1"/>
        <v>91.775794111777259</v>
      </c>
      <c r="K40" s="46">
        <f>'Putnam Light Oil'!N40+'Turkey Point Light Oil'!N40+'West County Light Oil'!N40+'Martin Light Oil'!N40+'Fort Myers Light Oil'!N41+'Port GT''s Jet Fuel'!N41+'Lauderdale Jet Fuel'!N41+'Cape Canaveral Light Oil'!N41+'Riviera Light Oil'!N41+'PEEC Light Oil'!N41+'Cedar Bay Light Oil'!N40</f>
        <v>1341560.4631217839</v>
      </c>
      <c r="L40" s="46">
        <f>'Putnam Light Oil'!O40+'Turkey Point Light Oil'!O40+'West County Light Oil'!O40+'Martin Light Oil'!O40+'Fort Myers Light Oil'!O41+'Port GT''s Jet Fuel'!O41+'Lauderdale Jet Fuel'!O41+'Cape Canaveral Light Oil'!O41+'Riviera Light Oil'!O41+'PEEC Light Oil'!O41+'Cedar Bay Light Oil'!O40</f>
        <v>139232374.76403564</v>
      </c>
      <c r="M40" s="22">
        <f t="shared" si="2"/>
        <v>103.78389837163563</v>
      </c>
      <c r="N40" s="31">
        <f t="shared" si="8"/>
        <v>1288375.1921097769</v>
      </c>
      <c r="O40" s="31">
        <f t="shared" si="8"/>
        <v>140273727.21342686</v>
      </c>
      <c r="P40" s="32">
        <f t="shared" si="5"/>
        <v>108.87645778379341</v>
      </c>
      <c r="Q40" s="45">
        <f>'Turkey Point Light Oil'!A40+'West County Light Oil'!A40+'Martin Light Oil'!A40+'Fort Myers Light Oil'!A41+'Port GT''s Jet Fuel'!A41+'Lauderdale Jet Fuel'!A41+'Cape Canaveral Light Oil'!A41+'Riviera Light Oil'!A41+'PEEC Light Oil'!A41+'Cedar Bay Light Oil'!A40+K40</f>
        <v>1401238.4631217839</v>
      </c>
    </row>
    <row r="41" spans="1:17">
      <c r="A41" s="13">
        <v>42705</v>
      </c>
      <c r="B41" s="16">
        <f>'Putnam Light Oil'!E41+'Turkey Point Light Oil'!E41+'West County Light Oil'!E41+'Martin Light Oil'!E41+'Fort Myers Light Oil'!E42+'Port GT''s Jet Fuel'!E42+'Lauderdale Jet Fuel'!E42+'Cape Canaveral Light Oil'!E42+'Riviera Light Oil'!E42+'PEEC Light Oil'!E42+'Cedar Bay Light Oil'!E41</f>
        <v>1341560.4631217839</v>
      </c>
      <c r="C41" s="16">
        <f>'Putnam Light Oil'!F41+'Turkey Point Light Oil'!F41+'West County Light Oil'!F41+'Martin Light Oil'!F41+'Fort Myers Light Oil'!F42+'Port GT''s Jet Fuel'!F42+'Lauderdale Jet Fuel'!F42+'Cape Canaveral Light Oil'!F42+'Riviera Light Oil'!F42+'PEEC Light Oil'!F42+'Cedar Bay Light Oil'!F41</f>
        <v>139232374.76403564</v>
      </c>
      <c r="D41" s="14">
        <f t="shared" si="6"/>
        <v>103.78389837163563</v>
      </c>
      <c r="E41" s="46">
        <f>'Putnam Light Oil'!H41+'Turkey Point Light Oil'!H41+'West County Light Oil'!H41+'Martin Light Oil'!H41+'Fort Myers Light Oil'!H42+'Port GT''s Jet Fuel'!H42+'Lauderdale Jet Fuel'!H42+'Cape Canaveral Light Oil'!H42+'Riviera Light Oil'!H42+'PEEC Light Oil'!H42+'Cedar Bay Light Oil'!H41</f>
        <v>11732.418524871355</v>
      </c>
      <c r="F41" s="46">
        <f>'Putnam Light Oil'!I41+'Turkey Point Light Oil'!I41+'West County Light Oil'!I41+'Martin Light Oil'!I41+'Fort Myers Light Oil'!I42+'Port GT''s Jet Fuel'!I42+'Lauderdale Jet Fuel'!I42+'Cape Canaveral Light Oil'!I42+'Riviera Light Oil'!I42+'PEEC Light Oil'!I42+'Cedar Bay Light Oil'!I41</f>
        <v>780043.30172459665</v>
      </c>
      <c r="G41" s="22">
        <f t="shared" si="0"/>
        <v>66.486146915999981</v>
      </c>
      <c r="H41" s="46">
        <f>'Putnam Light Oil'!K41+'Turkey Point Light Oil'!K41+'West County Light Oil'!K41+'Martin Light Oil'!K41+'Fort Myers Light Oil'!K42+'Port GT''s Jet Fuel'!K42+'Lauderdale Jet Fuel'!K42+'Cape Canaveral Light Oil'!K42+'Riviera Light Oil'!K42+'PEEC Light Oil'!K42+'Cedar Bay Light Oil'!K41</f>
        <v>45537.735849056604</v>
      </c>
      <c r="I41" s="46">
        <f>'Putnam Light Oil'!L41+'Turkey Point Light Oil'!L41+'West County Light Oil'!L41+'Martin Light Oil'!L41+'Fort Myers Light Oil'!L42+'Port GT''s Jet Fuel'!L42+'Lauderdale Jet Fuel'!L42+'Cape Canaveral Light Oil'!L42+'Riviera Light Oil'!L42+'PEEC Light Oil'!L42+'Cedar Bay Light Oil'!L41</f>
        <v>4324632.3608182697</v>
      </c>
      <c r="J41" s="14">
        <f t="shared" si="1"/>
        <v>94.968102392114474</v>
      </c>
      <c r="K41" s="46">
        <f>'Putnam Light Oil'!N41+'Turkey Point Light Oil'!N41+'West County Light Oil'!N41+'Martin Light Oil'!N41+'Fort Myers Light Oil'!N42+'Port GT''s Jet Fuel'!N42+'Lauderdale Jet Fuel'!N42+'Cape Canaveral Light Oil'!N42+'Riviera Light Oil'!N42+'PEEC Light Oil'!N42+'Cedar Bay Light Oil'!N41</f>
        <v>1307755.1457975986</v>
      </c>
      <c r="L41" s="46">
        <f>'Putnam Light Oil'!O41+'Turkey Point Light Oil'!O41+'West County Light Oil'!O41+'Martin Light Oil'!O41+'Fort Myers Light Oil'!O42+'Port GT''s Jet Fuel'!O42+'Lauderdale Jet Fuel'!O42+'Cape Canaveral Light Oil'!O42+'Riviera Light Oil'!O42+'PEEC Light Oil'!O42+'Cedar Bay Light Oil'!O41</f>
        <v>135687785.70494193</v>
      </c>
      <c r="M41" s="22">
        <f t="shared" si="2"/>
        <v>103.75626212671951</v>
      </c>
      <c r="N41" s="31">
        <f t="shared" si="8"/>
        <v>1293290.1312838106</v>
      </c>
      <c r="O41" s="31">
        <f t="shared" si="8"/>
        <v>139859203.52675769</v>
      </c>
      <c r="P41" s="32">
        <f t="shared" si="5"/>
        <v>108.14217177078713</v>
      </c>
      <c r="Q41" s="45">
        <f>'Turkey Point Light Oil'!A41+'West County Light Oil'!A41+'Martin Light Oil'!A41+'Fort Myers Light Oil'!A42+'Port GT''s Jet Fuel'!A42+'Lauderdale Jet Fuel'!A42+'Cape Canaveral Light Oil'!A42+'Riviera Light Oil'!A42+'PEEC Light Oil'!A42+'Cedar Bay Light Oil'!A41+K41</f>
        <v>1367433.1457975986</v>
      </c>
    </row>
    <row r="42" spans="1:17">
      <c r="A42" s="13">
        <v>42736</v>
      </c>
      <c r="B42" s="16">
        <f>'Turkey Point Light Oil'!E42+'West County Light Oil'!E42+'Martin Light Oil'!E42+'Fort Myers Light Oil'!E43+'Port GT''s Jet Fuel'!E43+'Lauderdale Jet Fuel'!E43+'Cape Canaveral Light Oil'!E43+'Riviera Light Oil'!E43+'PEEC Light Oil'!E43+'Cedar Bay Light Oil'!E42</f>
        <v>1282320.0051457977</v>
      </c>
      <c r="C42" s="16">
        <f>'Turkey Point Light Oil'!F42+'West County Light Oil'!F42+'Martin Light Oil'!F42+'Fort Myers Light Oil'!F43+'Port GT''s Jet Fuel'!F43+'Lauderdale Jet Fuel'!F43+'Cape Canaveral Light Oil'!F43+'Riviera Light Oil'!F43+'PEEC Light Oil'!F43+'Cedar Bay Light Oil'!F42</f>
        <v>133168704.695474</v>
      </c>
      <c r="D42" s="14">
        <f t="shared" si="6"/>
        <v>103.8498223228865</v>
      </c>
      <c r="E42" s="46">
        <f>'Turkey Point Light Oil'!H42+'West County Light Oil'!H42+'Martin Light Oil'!H42+'Fort Myers Light Oil'!H43+'Port GT''s Jet Fuel'!H43+'Lauderdale Jet Fuel'!H43+'Cape Canaveral Light Oil'!H43+'Riviera Light Oil'!H43+'PEEC Light Oil'!H43+'Cedar Bay Light Oil'!H42</f>
        <v>0</v>
      </c>
      <c r="F42" s="46">
        <f>'Turkey Point Light Oil'!I42+'West County Light Oil'!I42+'Martin Light Oil'!I42+'Fort Myers Light Oil'!I43+'Port GT''s Jet Fuel'!I43+'Lauderdale Jet Fuel'!I43+'Cape Canaveral Light Oil'!I43+'Riviera Light Oil'!I43+'PEEC Light Oil'!I43+'Cedar Bay Light Oil'!I42</f>
        <v>0</v>
      </c>
      <c r="G42" s="22">
        <f t="shared" si="0"/>
        <v>0</v>
      </c>
      <c r="H42" s="46">
        <f>'Turkey Point Light Oil'!K42+'West County Light Oil'!K42+'Martin Light Oil'!K42+'Fort Myers Light Oil'!K43+'Port GT''s Jet Fuel'!K43+'Lauderdale Jet Fuel'!K43+'Cape Canaveral Light Oil'!K43+'Riviera Light Oil'!K43+'PEEC Light Oil'!K43+'Cedar Bay Light Oil'!K42</f>
        <v>6161.0634648370497</v>
      </c>
      <c r="I42" s="46">
        <f>'Turkey Point Light Oil'!L42+'West County Light Oil'!L42+'Martin Light Oil'!L42+'Fort Myers Light Oil'!L43+'Port GT''s Jet Fuel'!L43+'Lauderdale Jet Fuel'!L43+'Cape Canaveral Light Oil'!L43+'Riviera Light Oil'!L43+'PEEC Light Oil'!L43+'Cedar Bay Light Oil'!L42</f>
        <v>706591.33897925296</v>
      </c>
      <c r="J42" s="14">
        <f t="shared" si="1"/>
        <v>114.68658666023678</v>
      </c>
      <c r="K42" s="46">
        <f>'Turkey Point Light Oil'!N42+'West County Light Oil'!N42+'Martin Light Oil'!N42+'Fort Myers Light Oil'!N43+'Port GT''s Jet Fuel'!N43+'Lauderdale Jet Fuel'!N43+'Cape Canaveral Light Oil'!N43+'Riviera Light Oil'!N43+'PEEC Light Oil'!N43+'Cedar Bay Light Oil'!N42</f>
        <v>1276158.9416809606</v>
      </c>
      <c r="L42" s="46">
        <f>'Turkey Point Light Oil'!O42+'West County Light Oil'!O42+'Martin Light Oil'!O42+'Fort Myers Light Oil'!O43+'Port GT''s Jet Fuel'!O43+'Lauderdale Jet Fuel'!O43+'Cape Canaveral Light Oil'!O43+'Riviera Light Oil'!O43+'PEEC Light Oil'!O43+'Cedar Bay Light Oil'!O42</f>
        <v>132462113.35649474</v>
      </c>
      <c r="M42" s="22">
        <f t="shared" si="2"/>
        <v>103.79750439393953</v>
      </c>
      <c r="N42" s="31">
        <f t="shared" si="8"/>
        <v>1296713.9778334871</v>
      </c>
      <c r="O42" s="31">
        <f t="shared" si="8"/>
        <v>139307825.72175589</v>
      </c>
      <c r="P42" s="32">
        <f t="shared" si="5"/>
        <v>107.43142134899128</v>
      </c>
      <c r="Q42" s="45">
        <f>'Turkey Point Light Oil'!A42+'West County Light Oil'!A42+'Martin Light Oil'!A42+'Fort Myers Light Oil'!A43+'Port GT''s Jet Fuel'!A43+'Lauderdale Jet Fuel'!A43+'Cape Canaveral Light Oil'!A43+'Riviera Light Oil'!A43+'PEEC Light Oil'!A43+'Cedar Bay Light Oil'!A42+K42</f>
        <v>1331836.9416809606</v>
      </c>
    </row>
    <row r="43" spans="1:17">
      <c r="A43" s="13">
        <v>42767</v>
      </c>
      <c r="B43" s="16">
        <f>'Turkey Point Light Oil'!E43+'West County Light Oil'!E43+'Martin Light Oil'!E43+'Fort Myers Light Oil'!E44+'Port GT''s Jet Fuel'!E44+'Lauderdale Jet Fuel'!E44+'Cape Canaveral Light Oil'!E44+'Riviera Light Oil'!E44+'PEEC Light Oil'!E44+'Cedar Bay Light Oil'!E43</f>
        <v>1276158.9416809606</v>
      </c>
      <c r="C43" s="16">
        <f>'Turkey Point Light Oil'!F43+'West County Light Oil'!F43+'Martin Light Oil'!F43+'Fort Myers Light Oil'!F44+'Port GT''s Jet Fuel'!F44+'Lauderdale Jet Fuel'!F44+'Cape Canaveral Light Oil'!F44+'Riviera Light Oil'!F44+'PEEC Light Oil'!F44+'Cedar Bay Light Oil'!F43</f>
        <v>132462113.35649474</v>
      </c>
      <c r="D43" s="14">
        <f t="shared" si="6"/>
        <v>103.79750439393953</v>
      </c>
      <c r="E43" s="46">
        <f>'Turkey Point Light Oil'!H43+'West County Light Oil'!H43+'Martin Light Oil'!H43+'Fort Myers Light Oil'!H44+'Port GT''s Jet Fuel'!H44+'Lauderdale Jet Fuel'!H44+'Cape Canaveral Light Oil'!H44+'Riviera Light Oil'!H44+'PEEC Light Oil'!H44+'Cedar Bay Light Oil'!H43</f>
        <v>0</v>
      </c>
      <c r="F43" s="46">
        <f>'Turkey Point Light Oil'!I43+'West County Light Oil'!I43+'Martin Light Oil'!I43+'Fort Myers Light Oil'!I44+'Port GT''s Jet Fuel'!I44+'Lauderdale Jet Fuel'!I44+'Cape Canaveral Light Oil'!I44+'Riviera Light Oil'!I44+'PEEC Light Oil'!I44+'Cedar Bay Light Oil'!I43</f>
        <v>0</v>
      </c>
      <c r="G43" s="22">
        <f t="shared" si="0"/>
        <v>0</v>
      </c>
      <c r="H43" s="46">
        <f>'Turkey Point Light Oil'!K43+'West County Light Oil'!K43+'Martin Light Oil'!K43+'Fort Myers Light Oil'!K44+'Port GT''s Jet Fuel'!K44+'Lauderdale Jet Fuel'!K44+'Cape Canaveral Light Oil'!K44+'Riviera Light Oil'!K44+'PEEC Light Oil'!K44+'Cedar Bay Light Oil'!K43</f>
        <v>9332.9331046312182</v>
      </c>
      <c r="I43" s="46">
        <f>'Turkey Point Light Oil'!L43+'West County Light Oil'!L43+'Martin Light Oil'!L43+'Fort Myers Light Oil'!L44+'Port GT''s Jet Fuel'!L44+'Lauderdale Jet Fuel'!L44+'Cape Canaveral Light Oil'!L44+'Riviera Light Oil'!L44+'PEEC Light Oil'!L44+'Cedar Bay Light Oil'!L43</f>
        <v>957740.90878411138</v>
      </c>
      <c r="J43" s="14">
        <f t="shared" si="1"/>
        <v>102.6194978627735</v>
      </c>
      <c r="K43" s="46">
        <f>'Turkey Point Light Oil'!N43+'West County Light Oil'!N43+'Martin Light Oil'!N43+'Fort Myers Light Oil'!N44+'Port GT''s Jet Fuel'!N44+'Lauderdale Jet Fuel'!N44+'Cape Canaveral Light Oil'!N44+'Riviera Light Oil'!N44+'PEEC Light Oil'!N44+'Cedar Bay Light Oil'!N43</f>
        <v>1266826.0085763293</v>
      </c>
      <c r="L43" s="46">
        <f>'Turkey Point Light Oil'!O43+'West County Light Oil'!O43+'Martin Light Oil'!O43+'Fort Myers Light Oil'!O44+'Port GT''s Jet Fuel'!O44+'Lauderdale Jet Fuel'!O44+'Cape Canaveral Light Oil'!O44+'Riviera Light Oil'!O44+'PEEC Light Oil'!O44+'Cedar Bay Light Oil'!O43</f>
        <v>131504372.44771065</v>
      </c>
      <c r="M43" s="22">
        <f t="shared" si="2"/>
        <v>103.80618297811588</v>
      </c>
      <c r="N43" s="31">
        <f t="shared" si="8"/>
        <v>1299756.4680036944</v>
      </c>
      <c r="O43" s="31">
        <f t="shared" si="8"/>
        <v>138722709.77664724</v>
      </c>
      <c r="P43" s="32">
        <f t="shared" si="5"/>
        <v>106.72977068520572</v>
      </c>
      <c r="Q43" s="45">
        <f>'Turkey Point Light Oil'!A43+'West County Light Oil'!A43+'Martin Light Oil'!A43+'Fort Myers Light Oil'!A44+'Port GT''s Jet Fuel'!A44+'Lauderdale Jet Fuel'!A44+'Cape Canaveral Light Oil'!A44+'Riviera Light Oil'!A44+'PEEC Light Oil'!A44+'Cedar Bay Light Oil'!A43+K43</f>
        <v>1322504.0085763293</v>
      </c>
    </row>
    <row r="44" spans="1:17">
      <c r="A44" s="13">
        <v>42795</v>
      </c>
      <c r="B44" s="16">
        <f>'Turkey Point Light Oil'!E44+'West County Light Oil'!E44+'Martin Light Oil'!E44+'Fort Myers Light Oil'!E45+'Port GT''s Jet Fuel'!E45+'Lauderdale Jet Fuel'!E45+'Cape Canaveral Light Oil'!E45+'Riviera Light Oil'!E45+'PEEC Light Oil'!E45+'Cedar Bay Light Oil'!E44</f>
        <v>1266826.0085763293</v>
      </c>
      <c r="C44" s="16">
        <f>'Turkey Point Light Oil'!F44+'West County Light Oil'!F44+'Martin Light Oil'!F44+'Fort Myers Light Oil'!F45+'Port GT''s Jet Fuel'!F45+'Lauderdale Jet Fuel'!F45+'Cape Canaveral Light Oil'!F45+'Riviera Light Oil'!F45+'PEEC Light Oil'!F45+'Cedar Bay Light Oil'!F44</f>
        <v>131504372.44771065</v>
      </c>
      <c r="D44" s="14">
        <f t="shared" si="6"/>
        <v>103.80618297811588</v>
      </c>
      <c r="E44" s="46">
        <f>'Turkey Point Light Oil'!H44+'West County Light Oil'!H44+'Martin Light Oil'!H44+'Fort Myers Light Oil'!H45+'Port GT''s Jet Fuel'!H45+'Lauderdale Jet Fuel'!H45+'Cape Canaveral Light Oil'!H45+'Riviera Light Oil'!H45+'PEEC Light Oil'!H45+'Cedar Bay Light Oil'!H44</f>
        <v>28377.701543739291</v>
      </c>
      <c r="F44" s="46">
        <f>'Turkey Point Light Oil'!I44+'West County Light Oil'!I44+'Martin Light Oil'!I44+'Fort Myers Light Oil'!I45+'Port GT''s Jet Fuel'!I45+'Lauderdale Jet Fuel'!I45+'Cape Canaveral Light Oil'!I45+'Riviera Light Oil'!I45+'PEEC Light Oil'!I45+'Cedar Bay Light Oil'!I44</f>
        <v>1940715.4489325685</v>
      </c>
      <c r="G44" s="22">
        <f t="shared" si="0"/>
        <v>68.388746915999988</v>
      </c>
      <c r="H44" s="46">
        <f>'Turkey Point Light Oil'!K44+'West County Light Oil'!K44+'Martin Light Oil'!K44+'Fort Myers Light Oil'!K45+'Port GT''s Jet Fuel'!K45+'Lauderdale Jet Fuel'!K45+'Cape Canaveral Light Oil'!K45+'Riviera Light Oil'!K45+'PEEC Light Oil'!K45+'Cedar Bay Light Oil'!K44</f>
        <v>35053.001715265869</v>
      </c>
      <c r="I44" s="46">
        <f>'Turkey Point Light Oil'!L44+'West County Light Oil'!L44+'Martin Light Oil'!L44+'Fort Myers Light Oil'!L45+'Port GT''s Jet Fuel'!L45+'Lauderdale Jet Fuel'!L45+'Cape Canaveral Light Oil'!L45+'Riviera Light Oil'!L45+'PEEC Light Oil'!L45+'Cedar Bay Light Oil'!L44</f>
        <v>3286469.527672485</v>
      </c>
      <c r="J44" s="14">
        <f t="shared" si="1"/>
        <v>93.757149654923865</v>
      </c>
      <c r="K44" s="46">
        <f>'Turkey Point Light Oil'!N44+'West County Light Oil'!N44+'Martin Light Oil'!N44+'Fort Myers Light Oil'!N45+'Port GT''s Jet Fuel'!N45+'Lauderdale Jet Fuel'!N45+'Cape Canaveral Light Oil'!N45+'Riviera Light Oil'!N45+'PEEC Light Oil'!N45+'Cedar Bay Light Oil'!N44</f>
        <v>1260150.7084048027</v>
      </c>
      <c r="L44" s="46">
        <f>'Turkey Point Light Oil'!O44+'West County Light Oil'!O44+'Martin Light Oil'!O44+'Fort Myers Light Oil'!O45+'Port GT''s Jet Fuel'!O45+'Lauderdale Jet Fuel'!O45+'Cape Canaveral Light Oil'!O45+'Riviera Light Oil'!O45+'PEEC Light Oil'!O45+'Cedar Bay Light Oil'!O44</f>
        <v>130158618.36897072</v>
      </c>
      <c r="M44" s="22">
        <f t="shared" si="2"/>
        <v>103.28813649101993</v>
      </c>
      <c r="N44" s="31">
        <f t="shared" si="8"/>
        <v>1299973.3293310462</v>
      </c>
      <c r="O44" s="31">
        <f t="shared" si="8"/>
        <v>137902217.09498838</v>
      </c>
      <c r="P44" s="32">
        <f t="shared" si="5"/>
        <v>106.08080487770586</v>
      </c>
      <c r="Q44" s="45">
        <f>'Turkey Point Light Oil'!A44+'West County Light Oil'!A44+'Martin Light Oil'!A44+'Fort Myers Light Oil'!A45+'Port GT''s Jet Fuel'!A45+'Lauderdale Jet Fuel'!A45+'Cape Canaveral Light Oil'!A45+'Riviera Light Oil'!A45+'PEEC Light Oil'!A45+'Cedar Bay Light Oil'!A44+K44</f>
        <v>1315828.7084048027</v>
      </c>
    </row>
    <row r="45" spans="1:17">
      <c r="A45" s="13">
        <v>42826</v>
      </c>
      <c r="B45" s="16">
        <f>'Turkey Point Light Oil'!E45+'West County Light Oil'!E45+'Martin Light Oil'!E45+'Fort Myers Light Oil'!E46+'Port GT''s Jet Fuel'!E46+'Lauderdale Jet Fuel'!E46+'Cape Canaveral Light Oil'!E46+'Riviera Light Oil'!E46+'PEEC Light Oil'!E46+'Cedar Bay Light Oil'!E45</f>
        <v>1260150.7084048027</v>
      </c>
      <c r="C45" s="16">
        <f>'Turkey Point Light Oil'!F45+'West County Light Oil'!F45+'Martin Light Oil'!F45+'Fort Myers Light Oil'!F46+'Port GT''s Jet Fuel'!F46+'Lauderdale Jet Fuel'!F46+'Cape Canaveral Light Oil'!F46+'Riviera Light Oil'!F46+'PEEC Light Oil'!F46+'Cedar Bay Light Oil'!F45</f>
        <v>130158618.36897072</v>
      </c>
      <c r="D45" s="14">
        <f t="shared" si="6"/>
        <v>103.28813649101993</v>
      </c>
      <c r="E45" s="46">
        <f>'Turkey Point Light Oil'!H45+'West County Light Oil'!H45+'Martin Light Oil'!H45+'Fort Myers Light Oil'!H46+'Port GT''s Jet Fuel'!H46+'Lauderdale Jet Fuel'!H46+'Cape Canaveral Light Oil'!H46+'Riviera Light Oil'!H46+'PEEC Light Oil'!H46+'Cedar Bay Light Oil'!H45</f>
        <v>47283.718696397969</v>
      </c>
      <c r="F45" s="46">
        <f>'Turkey Point Light Oil'!I45+'West County Light Oil'!I45+'Martin Light Oil'!I45+'Fort Myers Light Oil'!I46+'Port GT''s Jet Fuel'!I46+'Lauderdale Jet Fuel'!I46+'Cape Canaveral Light Oil'!I46+'Riviera Light Oil'!I46+'PEEC Light Oil'!I46+'Cedar Bay Light Oil'!I45</f>
        <v>3235263.0041234968</v>
      </c>
      <c r="G45" s="22">
        <f t="shared" si="0"/>
        <v>68.422346915999995</v>
      </c>
      <c r="H45" s="46">
        <f>'Turkey Point Light Oil'!K45+'West County Light Oil'!K45+'Martin Light Oil'!K45+'Fort Myers Light Oil'!K46+'Port GT''s Jet Fuel'!K46+'Lauderdale Jet Fuel'!K46+'Cape Canaveral Light Oil'!K46+'Riviera Light Oil'!K46+'PEEC Light Oil'!K46+'Cedar Bay Light Oil'!K45</f>
        <v>29334.476843910808</v>
      </c>
      <c r="I45" s="46">
        <f>'Turkey Point Light Oil'!L45+'West County Light Oil'!L45+'Martin Light Oil'!L45+'Fort Myers Light Oil'!L46+'Port GT''s Jet Fuel'!L46+'Lauderdale Jet Fuel'!L46+'Cape Canaveral Light Oil'!L46+'Riviera Light Oil'!L46+'PEEC Light Oil'!L46+'Cedar Bay Light Oil'!L45</f>
        <v>2685359.6727065509</v>
      </c>
      <c r="J45" s="14">
        <f t="shared" si="1"/>
        <v>91.542783837441178</v>
      </c>
      <c r="K45" s="46">
        <f>'Turkey Point Light Oil'!N45+'West County Light Oil'!N45+'Martin Light Oil'!N45+'Fort Myers Light Oil'!N46+'Port GT''s Jet Fuel'!N46+'Lauderdale Jet Fuel'!N46+'Cape Canaveral Light Oil'!N46+'Riviera Light Oil'!N46+'PEEC Light Oil'!N46+'Cedar Bay Light Oil'!N45</f>
        <v>1278099.9502572899</v>
      </c>
      <c r="L45" s="46">
        <f>'Turkey Point Light Oil'!O45+'West County Light Oil'!O45+'Martin Light Oil'!O45+'Fort Myers Light Oil'!O46+'Port GT''s Jet Fuel'!O46+'Lauderdale Jet Fuel'!O46+'Cape Canaveral Light Oil'!O46+'Riviera Light Oil'!O46+'PEEC Light Oil'!O46+'Cedar Bay Light Oil'!O45</f>
        <v>130708521.70038769</v>
      </c>
      <c r="M45" s="22">
        <f t="shared" si="2"/>
        <v>102.26784037827026</v>
      </c>
      <c r="N45" s="31">
        <f t="shared" si="8"/>
        <v>1301463.36350442</v>
      </c>
      <c r="O45" s="31">
        <f t="shared" si="8"/>
        <v>137159791.78218809</v>
      </c>
      <c r="P45" s="32">
        <f t="shared" si="5"/>
        <v>105.38889962515819</v>
      </c>
      <c r="Q45" s="45">
        <f>'Turkey Point Light Oil'!A45+'West County Light Oil'!A45+'Martin Light Oil'!A45+'Fort Myers Light Oil'!A46+'Port GT''s Jet Fuel'!A46+'Lauderdale Jet Fuel'!A46+'Cape Canaveral Light Oil'!A46+'Riviera Light Oil'!A46+'PEEC Light Oil'!A46+'Cedar Bay Light Oil'!A45+K45</f>
        <v>1333777.9502572899</v>
      </c>
    </row>
    <row r="46" spans="1:17">
      <c r="A46" s="13">
        <v>42856</v>
      </c>
      <c r="B46" s="16">
        <f>'Turkey Point Light Oil'!E46+'West County Light Oil'!E46+'Martin Light Oil'!E46+'Fort Myers Light Oil'!E47+'Port GT''s Jet Fuel'!E47+'Lauderdale Jet Fuel'!E47+'Cape Canaveral Light Oil'!E47+'Riviera Light Oil'!E47+'PEEC Light Oil'!E47+'Cedar Bay Light Oil'!E46</f>
        <v>1278099.9502572899</v>
      </c>
      <c r="C46" s="16">
        <f>'Turkey Point Light Oil'!F46+'West County Light Oil'!F46+'Martin Light Oil'!F46+'Fort Myers Light Oil'!F47+'Port GT''s Jet Fuel'!F47+'Lauderdale Jet Fuel'!F47+'Cape Canaveral Light Oil'!F47+'Riviera Light Oil'!F47+'PEEC Light Oil'!F47+'Cedar Bay Light Oil'!F46</f>
        <v>130708521.70038769</v>
      </c>
      <c r="D46" s="14">
        <f t="shared" si="6"/>
        <v>102.26784037827026</v>
      </c>
      <c r="E46" s="46">
        <f>'Turkey Point Light Oil'!H46+'West County Light Oil'!H46+'Martin Light Oil'!H46+'Fort Myers Light Oil'!H47+'Port GT''s Jet Fuel'!H47+'Lauderdale Jet Fuel'!H47+'Cape Canaveral Light Oil'!H47+'Riviera Light Oil'!H47+'PEEC Light Oil'!H47+'Cedar Bay Light Oil'!H46</f>
        <v>38944.123499142392</v>
      </c>
      <c r="F46" s="46">
        <f>'Turkey Point Light Oil'!I46+'West County Light Oil'!I46+'Martin Light Oil'!I46+'Fort Myers Light Oil'!I47+'Port GT''s Jet Fuel'!I47+'Lauderdale Jet Fuel'!I47+'Cape Canaveral Light Oil'!I47+'Riviera Light Oil'!I47+'PEEC Light Oil'!I47+'Cedar Bay Light Oil'!I46</f>
        <v>2679532.7723992402</v>
      </c>
      <c r="G46" s="22">
        <f t="shared" si="0"/>
        <v>68.804546915999978</v>
      </c>
      <c r="H46" s="46">
        <f>'Turkey Point Light Oil'!K46+'West County Light Oil'!K46+'Martin Light Oil'!K46+'Fort Myers Light Oil'!K47+'Port GT''s Jet Fuel'!K47+'Lauderdale Jet Fuel'!K47+'Cape Canaveral Light Oil'!K47+'Riviera Light Oil'!K47+'PEEC Light Oil'!K47+'Cedar Bay Light Oil'!K46</f>
        <v>20383.190394511144</v>
      </c>
      <c r="I46" s="46">
        <f>'Turkey Point Light Oil'!L46+'West County Light Oil'!L46+'Martin Light Oil'!L46+'Fort Myers Light Oil'!L47+'Port GT''s Jet Fuel'!L47+'Lauderdale Jet Fuel'!L47+'Cape Canaveral Light Oil'!L47+'Riviera Light Oil'!L47+'PEEC Light Oil'!L47+'Cedar Bay Light Oil'!L46</f>
        <v>1906510.2518934654</v>
      </c>
      <c r="J46" s="14">
        <f t="shared" si="1"/>
        <v>93.533456490052558</v>
      </c>
      <c r="K46" s="46">
        <f>'Turkey Point Light Oil'!N46+'West County Light Oil'!N46+'Martin Light Oil'!N46+'Fort Myers Light Oil'!N47+'Port GT''s Jet Fuel'!N47+'Lauderdale Jet Fuel'!N47+'Cape Canaveral Light Oil'!N47+'Riviera Light Oil'!N47+'PEEC Light Oil'!N47+'Cedar Bay Light Oil'!N46</f>
        <v>1296660.8833619212</v>
      </c>
      <c r="L46" s="46">
        <f>'Turkey Point Light Oil'!O46+'West County Light Oil'!O46+'Martin Light Oil'!O46+'Fort Myers Light Oil'!O47+'Port GT''s Jet Fuel'!O47+'Lauderdale Jet Fuel'!O47+'Cape Canaveral Light Oil'!O47+'Riviera Light Oil'!O47+'PEEC Light Oil'!O47+'Cedar Bay Light Oil'!O46</f>
        <v>131481544.22089347</v>
      </c>
      <c r="M46" s="22">
        <f t="shared" si="2"/>
        <v>101.40010075725762</v>
      </c>
      <c r="N46" s="31">
        <f t="shared" si="8"/>
        <v>1304547.687689669</v>
      </c>
      <c r="O46" s="31">
        <f t="shared" si="8"/>
        <v>136545426.49752912</v>
      </c>
      <c r="P46" s="32">
        <f t="shared" si="5"/>
        <v>104.66878887298377</v>
      </c>
      <c r="Q46" s="45">
        <f>'Turkey Point Light Oil'!A46+'West County Light Oil'!A46+'Martin Light Oil'!A46+'Fort Myers Light Oil'!A47+'Port GT''s Jet Fuel'!A47+'Lauderdale Jet Fuel'!A47+'Cape Canaveral Light Oil'!A47+'Riviera Light Oil'!A47+'PEEC Light Oil'!A47+'Cedar Bay Light Oil'!A46+K46</f>
        <v>1352338.8833619212</v>
      </c>
    </row>
    <row r="47" spans="1:17">
      <c r="A47" s="13">
        <v>42887</v>
      </c>
      <c r="B47" s="16">
        <f>'Turkey Point Light Oil'!E47+'West County Light Oil'!E47+'Martin Light Oil'!E47+'Fort Myers Light Oil'!E48+'Port GT''s Jet Fuel'!E48+'Lauderdale Jet Fuel'!E48+'Cape Canaveral Light Oil'!E48+'Riviera Light Oil'!E48+'PEEC Light Oil'!E48+'Cedar Bay Light Oil'!E47</f>
        <v>1296660.8833619212</v>
      </c>
      <c r="C47" s="16">
        <f>'Turkey Point Light Oil'!F47+'West County Light Oil'!F47+'Martin Light Oil'!F47+'Fort Myers Light Oil'!F48+'Port GT''s Jet Fuel'!F48+'Lauderdale Jet Fuel'!F48+'Cape Canaveral Light Oil'!F48+'Riviera Light Oil'!F48+'PEEC Light Oil'!F48+'Cedar Bay Light Oil'!F47</f>
        <v>131481544.22089347</v>
      </c>
      <c r="D47" s="14">
        <f t="shared" si="6"/>
        <v>101.40010075725762</v>
      </c>
      <c r="E47" s="46">
        <f>'Turkey Point Light Oil'!H47+'West County Light Oil'!H47+'Martin Light Oil'!H47+'Fort Myers Light Oil'!H48+'Port GT''s Jet Fuel'!H48+'Lauderdale Jet Fuel'!H48+'Cape Canaveral Light Oil'!H48+'Riviera Light Oil'!H48+'PEEC Light Oil'!H48+'Cedar Bay Light Oil'!H47</f>
        <v>0</v>
      </c>
      <c r="F47" s="46">
        <f>'Turkey Point Light Oil'!I47+'West County Light Oil'!I47+'Martin Light Oil'!I47+'Fort Myers Light Oil'!I48+'Port GT''s Jet Fuel'!I48+'Lauderdale Jet Fuel'!I48+'Cape Canaveral Light Oil'!I48+'Riviera Light Oil'!I48+'PEEC Light Oil'!I48+'Cedar Bay Light Oil'!I47</f>
        <v>0</v>
      </c>
      <c r="G47" s="22">
        <f t="shared" si="0"/>
        <v>0</v>
      </c>
      <c r="H47" s="46">
        <f>'Turkey Point Light Oil'!K47+'West County Light Oil'!K47+'Martin Light Oil'!K47+'Fort Myers Light Oil'!K48+'Port GT''s Jet Fuel'!K48+'Lauderdale Jet Fuel'!K48+'Cape Canaveral Light Oil'!K48+'Riviera Light Oil'!K48+'PEEC Light Oil'!K48+'Cedar Bay Light Oil'!K47</f>
        <v>7857.2898799313898</v>
      </c>
      <c r="I47" s="46">
        <f>'Turkey Point Light Oil'!L47+'West County Light Oil'!L47+'Martin Light Oil'!L47+'Fort Myers Light Oil'!L48+'Port GT''s Jet Fuel'!L48+'Lauderdale Jet Fuel'!L48+'Cape Canaveral Light Oil'!L48+'Riviera Light Oil'!L48+'PEEC Light Oil'!L48+'Cedar Bay Light Oil'!L47</f>
        <v>706361.89610133448</v>
      </c>
      <c r="J47" s="14">
        <f t="shared" si="1"/>
        <v>89.898922770493797</v>
      </c>
      <c r="K47" s="46">
        <f>'Turkey Point Light Oil'!N47+'West County Light Oil'!N47+'Martin Light Oil'!N47+'Fort Myers Light Oil'!N48+'Port GT''s Jet Fuel'!N48+'Lauderdale Jet Fuel'!N48+'Cape Canaveral Light Oil'!N48+'Riviera Light Oil'!N48+'PEEC Light Oil'!N48+'Cedar Bay Light Oil'!N47</f>
        <v>1288803.5934819898</v>
      </c>
      <c r="L47" s="46">
        <f>'Turkey Point Light Oil'!O47+'West County Light Oil'!O47+'Martin Light Oil'!O47+'Fort Myers Light Oil'!O48+'Port GT''s Jet Fuel'!O48+'Lauderdale Jet Fuel'!O48+'Cape Canaveral Light Oil'!O48+'Riviera Light Oil'!O48+'PEEC Light Oil'!O48+'Cedar Bay Light Oil'!O47</f>
        <v>130775182.32479213</v>
      </c>
      <c r="M47" s="22">
        <f t="shared" si="2"/>
        <v>101.47021857028957</v>
      </c>
      <c r="N47" s="31">
        <f t="shared" si="8"/>
        <v>1303369.8477371687</v>
      </c>
      <c r="O47" s="31">
        <f t="shared" si="8"/>
        <v>135742539.46925938</v>
      </c>
      <c r="P47" s="32">
        <f t="shared" si="5"/>
        <v>104.14736822777304</v>
      </c>
      <c r="Q47" s="45">
        <f>'Turkey Point Light Oil'!A47+'West County Light Oil'!A47+'Martin Light Oil'!A47+'Fort Myers Light Oil'!A48+'Port GT''s Jet Fuel'!A48+'Lauderdale Jet Fuel'!A48+'Cape Canaveral Light Oil'!A48+'Riviera Light Oil'!A48+'PEEC Light Oil'!A48+'Cedar Bay Light Oil'!A47+K47</f>
        <v>1344481.5934819898</v>
      </c>
    </row>
    <row r="48" spans="1:17">
      <c r="A48" s="13">
        <v>42917</v>
      </c>
      <c r="B48" s="16">
        <f>'Turkey Point Light Oil'!E48+'West County Light Oil'!E48+'Martin Light Oil'!E48+'Fort Myers Light Oil'!E49+'Port GT''s Jet Fuel'!E49+'Lauderdale Jet Fuel'!E49+'Cape Canaveral Light Oil'!E49+'Riviera Light Oil'!E49+'PEEC Light Oil'!E49+'Cedar Bay Light Oil'!E48</f>
        <v>1288803.5934819898</v>
      </c>
      <c r="C48" s="16">
        <f>'Turkey Point Light Oil'!F48+'West County Light Oil'!F48+'Martin Light Oil'!F48+'Fort Myers Light Oil'!F49+'Port GT''s Jet Fuel'!F49+'Lauderdale Jet Fuel'!F49+'Cape Canaveral Light Oil'!F49+'Riviera Light Oil'!F49+'PEEC Light Oil'!F49+'Cedar Bay Light Oil'!F48</f>
        <v>130775182.32479213</v>
      </c>
      <c r="D48" s="14">
        <f t="shared" si="6"/>
        <v>101.47021857028957</v>
      </c>
      <c r="E48" s="46">
        <f>'Turkey Point Light Oil'!H48+'West County Light Oil'!H48+'Martin Light Oil'!H48+'Fort Myers Light Oil'!H49+'Port GT''s Jet Fuel'!H49+'Lauderdale Jet Fuel'!H49+'Cape Canaveral Light Oil'!H49+'Riviera Light Oil'!H49+'PEEC Light Oil'!H49+'Cedar Bay Light Oil'!H48</f>
        <v>0</v>
      </c>
      <c r="F48" s="46">
        <f>'Turkey Point Light Oil'!I48+'West County Light Oil'!I48+'Martin Light Oil'!I48+'Fort Myers Light Oil'!I49+'Port GT''s Jet Fuel'!I49+'Lauderdale Jet Fuel'!I49+'Cape Canaveral Light Oil'!I49+'Riviera Light Oil'!I49+'PEEC Light Oil'!I49+'Cedar Bay Light Oil'!I48</f>
        <v>0</v>
      </c>
      <c r="G48" s="22">
        <f t="shared" si="0"/>
        <v>0</v>
      </c>
      <c r="H48" s="46">
        <f>'Turkey Point Light Oil'!K48+'West County Light Oil'!K48+'Martin Light Oil'!K48+'Fort Myers Light Oil'!K49+'Port GT''s Jet Fuel'!K49+'Lauderdale Jet Fuel'!K49+'Cape Canaveral Light Oil'!K49+'Riviera Light Oil'!K49+'PEEC Light Oil'!K49+'Cedar Bay Light Oil'!K48</f>
        <v>14442.881646655233</v>
      </c>
      <c r="I48" s="46">
        <f>'Turkey Point Light Oil'!L48+'West County Light Oil'!L48+'Martin Light Oil'!L48+'Fort Myers Light Oil'!L49+'Port GT''s Jet Fuel'!L49+'Lauderdale Jet Fuel'!L49+'Cape Canaveral Light Oil'!L49+'Riviera Light Oil'!L49+'PEEC Light Oil'!L49+'Cedar Bay Light Oil'!L48</f>
        <v>1351573.138756085</v>
      </c>
      <c r="J48" s="14">
        <f t="shared" si="1"/>
        <v>93.580572895512873</v>
      </c>
      <c r="K48" s="46">
        <f>'Turkey Point Light Oil'!N48+'West County Light Oil'!N48+'Martin Light Oil'!N48+'Fort Myers Light Oil'!N49+'Port GT''s Jet Fuel'!N49+'Lauderdale Jet Fuel'!N49+'Cape Canaveral Light Oil'!N49+'Riviera Light Oil'!N49+'PEEC Light Oil'!N49+'Cedar Bay Light Oil'!N48</f>
        <v>1274360.7118353345</v>
      </c>
      <c r="L48" s="46">
        <f>'Turkey Point Light Oil'!O48+'West County Light Oil'!O48+'Martin Light Oil'!O48+'Fort Myers Light Oil'!O49+'Port GT''s Jet Fuel'!O49+'Lauderdale Jet Fuel'!O49+'Cape Canaveral Light Oil'!O49+'Riviera Light Oil'!O49+'PEEC Light Oil'!O49+'Cedar Bay Light Oil'!O48</f>
        <v>129423609.18603607</v>
      </c>
      <c r="M48" s="22">
        <f t="shared" si="2"/>
        <v>101.55963534032696</v>
      </c>
      <c r="N48" s="31">
        <f t="shared" ref="N48:O53" si="9">AVERAGE(K36:K48)</f>
        <v>1299878.3516295026</v>
      </c>
      <c r="O48" s="31">
        <f t="shared" si="9"/>
        <v>134804050.45912093</v>
      </c>
      <c r="P48" s="32">
        <f t="shared" si="5"/>
        <v>103.70512770686054</v>
      </c>
      <c r="Q48" s="45">
        <f>'Turkey Point Light Oil'!A48+'West County Light Oil'!A48+'Martin Light Oil'!A48+'Fort Myers Light Oil'!A49+'Port GT''s Jet Fuel'!A49+'Lauderdale Jet Fuel'!A49+'Cape Canaveral Light Oil'!A49+'Riviera Light Oil'!A49+'PEEC Light Oil'!A49+'Cedar Bay Light Oil'!A48+K48</f>
        <v>1330038.7118353345</v>
      </c>
    </row>
    <row r="49" spans="1:17">
      <c r="A49" s="13">
        <v>42948</v>
      </c>
      <c r="B49" s="16">
        <f>'Turkey Point Light Oil'!E49+'West County Light Oil'!E49+'Martin Light Oil'!E49+'Fort Myers Light Oil'!E50+'Port GT''s Jet Fuel'!E50+'Lauderdale Jet Fuel'!E50+'Cape Canaveral Light Oil'!E50+'Riviera Light Oil'!E50+'PEEC Light Oil'!E50+'Cedar Bay Light Oil'!E49</f>
        <v>1274360.7118353345</v>
      </c>
      <c r="C49" s="16">
        <f>'Turkey Point Light Oil'!F49+'West County Light Oil'!F49+'Martin Light Oil'!F49+'Fort Myers Light Oil'!F50+'Port GT''s Jet Fuel'!F50+'Lauderdale Jet Fuel'!F50+'Cape Canaveral Light Oil'!F50+'Riviera Light Oil'!F50+'PEEC Light Oil'!F50+'Cedar Bay Light Oil'!F49</f>
        <v>129423609.18603607</v>
      </c>
      <c r="D49" s="14">
        <f t="shared" si="6"/>
        <v>101.55963534032696</v>
      </c>
      <c r="E49" s="46">
        <f>'Turkey Point Light Oil'!H49+'West County Light Oil'!H49+'Martin Light Oil'!H49+'Fort Myers Light Oil'!H50+'Port GT''s Jet Fuel'!H50+'Lauderdale Jet Fuel'!H50+'Cape Canaveral Light Oil'!H50+'Riviera Light Oil'!H50+'PEEC Light Oil'!H50+'Cedar Bay Light Oil'!H49</f>
        <v>30203.087478559173</v>
      </c>
      <c r="F49" s="46">
        <f>'Turkey Point Light Oil'!I49+'West County Light Oil'!I49+'Martin Light Oil'!I49+'Fort Myers Light Oil'!I50+'Port GT''s Jet Fuel'!I50+'Lauderdale Jet Fuel'!I50+'Cape Canaveral Light Oil'!I50+'Riviera Light Oil'!I50+'PEEC Light Oil'!I50+'Cedar Bay Light Oil'!I49</f>
        <v>2134813.0258588237</v>
      </c>
      <c r="G49" s="22">
        <f t="shared" si="0"/>
        <v>70.681946916000001</v>
      </c>
      <c r="H49" s="46">
        <f>'Turkey Point Light Oil'!K49+'West County Light Oil'!K49+'Martin Light Oil'!K49+'Fort Myers Light Oil'!K50+'Port GT''s Jet Fuel'!K50+'Lauderdale Jet Fuel'!K50+'Cape Canaveral Light Oil'!K50+'Riviera Light Oil'!K50+'PEEC Light Oil'!K50+'Cedar Bay Light Oil'!K49</f>
        <v>27555.231560891942</v>
      </c>
      <c r="I49" s="46">
        <f>'Turkey Point Light Oil'!L49+'West County Light Oil'!L49+'Martin Light Oil'!L49+'Fort Myers Light Oil'!L50+'Port GT''s Jet Fuel'!L50+'Lauderdale Jet Fuel'!L50+'Cape Canaveral Light Oil'!L50+'Riviera Light Oil'!L50+'PEEC Light Oil'!L50+'Cedar Bay Light Oil'!L49</f>
        <v>2581044.3548116274</v>
      </c>
      <c r="J49" s="14">
        <f t="shared" si="1"/>
        <v>93.668033567709244</v>
      </c>
      <c r="K49" s="46">
        <f>'Turkey Point Light Oil'!N49+'West County Light Oil'!N49+'Martin Light Oil'!N49+'Fort Myers Light Oil'!N50+'Port GT''s Jet Fuel'!N50+'Lauderdale Jet Fuel'!N50+'Cape Canaveral Light Oil'!N50+'Riviera Light Oil'!N50+'PEEC Light Oil'!N50+'Cedar Bay Light Oil'!N49</f>
        <v>1277008.5677530016</v>
      </c>
      <c r="L49" s="46">
        <f>'Turkey Point Light Oil'!O49+'West County Light Oil'!O49+'Martin Light Oil'!O49+'Fort Myers Light Oil'!O50+'Port GT''s Jet Fuel'!O50+'Lauderdale Jet Fuel'!O50+'Cape Canaveral Light Oil'!O50+'Riviera Light Oil'!O50+'PEEC Light Oil'!O50+'Cedar Bay Light Oil'!O49</f>
        <v>128977377.85708323</v>
      </c>
      <c r="M49" s="22">
        <f t="shared" si="2"/>
        <v>100.99961825943674</v>
      </c>
      <c r="N49" s="31">
        <f t="shared" si="9"/>
        <v>1296169.4257817655</v>
      </c>
      <c r="O49" s="31">
        <f t="shared" si="9"/>
        <v>133860478.65708369</v>
      </c>
      <c r="P49" s="32">
        <f t="shared" si="5"/>
        <v>103.27390539731927</v>
      </c>
      <c r="Q49" s="45">
        <f>'Turkey Point Light Oil'!A49+'West County Light Oil'!A49+'Martin Light Oil'!A49+'Fort Myers Light Oil'!A50+'Port GT''s Jet Fuel'!A50+'Lauderdale Jet Fuel'!A50+'Cape Canaveral Light Oil'!A50+'Riviera Light Oil'!A50+'PEEC Light Oil'!A50+'Cedar Bay Light Oil'!A49+K49</f>
        <v>1332686.5677530016</v>
      </c>
    </row>
    <row r="50" spans="1:17">
      <c r="A50" s="13">
        <v>42979</v>
      </c>
      <c r="B50" s="16">
        <f>'Turkey Point Light Oil'!E50+'West County Light Oil'!E50+'Martin Light Oil'!E50+'Fort Myers Light Oil'!E51+'Port GT''s Jet Fuel'!E51+'Lauderdale Jet Fuel'!E51+'Cape Canaveral Light Oil'!E51+'Riviera Light Oil'!E51+'PEEC Light Oil'!E51+'Cedar Bay Light Oil'!E50</f>
        <v>1277008.5677530016</v>
      </c>
      <c r="C50" s="16">
        <f>'Turkey Point Light Oil'!F50+'West County Light Oil'!F50+'Martin Light Oil'!F50+'Fort Myers Light Oil'!F51+'Port GT''s Jet Fuel'!F51+'Lauderdale Jet Fuel'!F51+'Cape Canaveral Light Oil'!F51+'Riviera Light Oil'!F51+'PEEC Light Oil'!F51+'Cedar Bay Light Oil'!F50</f>
        <v>128977377.85708323</v>
      </c>
      <c r="D50" s="14">
        <f t="shared" si="6"/>
        <v>100.99961825943674</v>
      </c>
      <c r="E50" s="46">
        <f>'Turkey Point Light Oil'!H50+'West County Light Oil'!H50+'Martin Light Oil'!H50+'Fort Myers Light Oil'!H51+'Port GT''s Jet Fuel'!H51+'Lauderdale Jet Fuel'!H51+'Cape Canaveral Light Oil'!H51+'Riviera Light Oil'!H51+'PEEC Light Oil'!H51+'Cedar Bay Light Oil'!H50</f>
        <v>23259.005145797608</v>
      </c>
      <c r="F50" s="46">
        <f>'Turkey Point Light Oil'!I50+'West County Light Oil'!I50+'Martin Light Oil'!I50+'Fort Myers Light Oil'!I51+'Port GT''s Jet Fuel'!I51+'Lauderdale Jet Fuel'!I51+'Cape Canaveral Light Oil'!I51+'Riviera Light Oil'!I51+'PEEC Light Oil'!I51+'Cedar Bay Light Oil'!I50</f>
        <v>1660598.6967083369</v>
      </c>
      <c r="G50" s="22">
        <f t="shared" si="0"/>
        <v>71.395946916</v>
      </c>
      <c r="H50" s="46">
        <f>'Turkey Point Light Oil'!K50+'West County Light Oil'!K50+'Martin Light Oil'!K50+'Fort Myers Light Oil'!K51+'Port GT''s Jet Fuel'!K51+'Lauderdale Jet Fuel'!K51+'Cape Canaveral Light Oil'!K51+'Riviera Light Oil'!K51+'PEEC Light Oil'!K51+'Cedar Bay Light Oil'!K50</f>
        <v>19547.512864493998</v>
      </c>
      <c r="I50" s="46">
        <f>'Turkey Point Light Oil'!L50+'West County Light Oil'!L50+'Martin Light Oil'!L50+'Fort Myers Light Oil'!L51+'Port GT''s Jet Fuel'!L51+'Lauderdale Jet Fuel'!L51+'Cape Canaveral Light Oil'!L51+'Riviera Light Oil'!L51+'PEEC Light Oil'!L51+'Cedar Bay Light Oil'!L50</f>
        <v>1764177.2328278841</v>
      </c>
      <c r="J50" s="14">
        <f t="shared" si="1"/>
        <v>90.250726271797305</v>
      </c>
      <c r="K50" s="46">
        <f>'Turkey Point Light Oil'!N50+'West County Light Oil'!N50+'Martin Light Oil'!N50+'Fort Myers Light Oil'!N51+'Port GT''s Jet Fuel'!N51+'Lauderdale Jet Fuel'!N51+'Cape Canaveral Light Oil'!N51+'Riviera Light Oil'!N51+'PEEC Light Oil'!N51+'Cedar Bay Light Oil'!N50</f>
        <v>1280720.0600343053</v>
      </c>
      <c r="L50" s="46">
        <f>'Turkey Point Light Oil'!O50+'West County Light Oil'!O50+'Martin Light Oil'!O50+'Fort Myers Light Oil'!O51+'Port GT''s Jet Fuel'!O51+'Lauderdale Jet Fuel'!O51+'Cape Canaveral Light Oil'!O51+'Riviera Light Oil'!O51+'PEEC Light Oil'!O51+'Cedar Bay Light Oil'!O50</f>
        <v>128873799.32096371</v>
      </c>
      <c r="M50" s="22">
        <f t="shared" si="2"/>
        <v>100.62604884748326</v>
      </c>
      <c r="N50" s="31">
        <f t="shared" si="9"/>
        <v>1293109.17390157</v>
      </c>
      <c r="O50" s="31">
        <f t="shared" si="9"/>
        <v>132994787.30420353</v>
      </c>
      <c r="P50" s="32">
        <f t="shared" si="5"/>
        <v>102.84884678602313</v>
      </c>
      <c r="Q50" s="45">
        <f>'Turkey Point Light Oil'!A50+'West County Light Oil'!A50+'Martin Light Oil'!A50+'Fort Myers Light Oil'!A51+'Port GT''s Jet Fuel'!A51+'Lauderdale Jet Fuel'!A51+'Cape Canaveral Light Oil'!A51+'Riviera Light Oil'!A51+'PEEC Light Oil'!A51+'Cedar Bay Light Oil'!A50+K50</f>
        <v>1336398.0600343053</v>
      </c>
    </row>
    <row r="51" spans="1:17">
      <c r="A51" s="13">
        <v>43009</v>
      </c>
      <c r="B51" s="16">
        <f>'Turkey Point Light Oil'!E51+'West County Light Oil'!E51+'Martin Light Oil'!E51+'Fort Myers Light Oil'!E52+'Port GT''s Jet Fuel'!E52+'Lauderdale Jet Fuel'!E52+'Cape Canaveral Light Oil'!E52+'Riviera Light Oil'!E52+'PEEC Light Oil'!E52+'Cedar Bay Light Oil'!E51</f>
        <v>1280720.0600343053</v>
      </c>
      <c r="C51" s="16">
        <f>'Turkey Point Light Oil'!F51+'West County Light Oil'!F51+'Martin Light Oil'!F51+'Fort Myers Light Oil'!F52+'Port GT''s Jet Fuel'!F52+'Lauderdale Jet Fuel'!F52+'Cape Canaveral Light Oil'!F52+'Riviera Light Oil'!F52+'PEEC Light Oil'!F52+'Cedar Bay Light Oil'!F51</f>
        <v>128873799.32096371</v>
      </c>
      <c r="D51" s="14">
        <f t="shared" si="6"/>
        <v>100.62604884748326</v>
      </c>
      <c r="E51" s="46">
        <f>'Turkey Point Light Oil'!H51+'West County Light Oil'!H51+'Martin Light Oil'!H51+'Fort Myers Light Oil'!H52+'Port GT''s Jet Fuel'!H52+'Lauderdale Jet Fuel'!H52+'Cape Canaveral Light Oil'!H52+'Riviera Light Oil'!H52+'PEEC Light Oil'!H52+'Cedar Bay Light Oil'!H51</f>
        <v>10252.830188679272</v>
      </c>
      <c r="F51" s="46">
        <f>'Turkey Point Light Oil'!I51+'West County Light Oil'!I51+'Martin Light Oil'!I51+'Fort Myers Light Oil'!I52+'Port GT''s Jet Fuel'!I52+'Lauderdale Jet Fuel'!I52+'Cape Canaveral Light Oil'!I52+'Riviera Light Oil'!I52+'PEEC Light Oil'!I52+'Cedar Bay Light Oil'!I51</f>
        <v>739331.04064442439</v>
      </c>
      <c r="G51" s="22">
        <f t="shared" si="0"/>
        <v>72.109946915999984</v>
      </c>
      <c r="H51" s="46">
        <f>'Turkey Point Light Oil'!K51+'West County Light Oil'!K51+'Martin Light Oil'!K51+'Fort Myers Light Oil'!K52+'Port GT''s Jet Fuel'!K52+'Lauderdale Jet Fuel'!K52+'Cape Canaveral Light Oil'!K52+'Riviera Light Oil'!K52+'PEEC Light Oil'!K52+'Cedar Bay Light Oil'!K51</f>
        <v>6595.7118353344758</v>
      </c>
      <c r="I51" s="46">
        <f>'Turkey Point Light Oil'!L51+'West County Light Oil'!L51+'Martin Light Oil'!L51+'Fort Myers Light Oil'!L52+'Port GT''s Jet Fuel'!L52+'Lauderdale Jet Fuel'!L52+'Cape Canaveral Light Oil'!L52+'Riviera Light Oil'!L52+'PEEC Light Oil'!L52+'Cedar Bay Light Oil'!L51</f>
        <v>559371.06752090028</v>
      </c>
      <c r="J51" s="14">
        <f t="shared" si="1"/>
        <v>84.808293856054121</v>
      </c>
      <c r="K51" s="46">
        <f>'Turkey Point Light Oil'!N51+'West County Light Oil'!N51+'Martin Light Oil'!N51+'Fort Myers Light Oil'!N52+'Port GT''s Jet Fuel'!N52+'Lauderdale Jet Fuel'!N52+'Cape Canaveral Light Oil'!N52+'Riviera Light Oil'!N52+'PEEC Light Oil'!N52+'Cedar Bay Light Oil'!N51</f>
        <v>1284377.1783876501</v>
      </c>
      <c r="L51" s="46">
        <f>'Turkey Point Light Oil'!O51+'West County Light Oil'!O51+'Martin Light Oil'!O51+'Fort Myers Light Oil'!O52+'Port GT''s Jet Fuel'!O52+'Lauderdale Jet Fuel'!O52+'Cape Canaveral Light Oil'!O52+'Riviera Light Oil'!O52+'PEEC Light Oil'!O52+'Cedar Bay Light Oil'!O51</f>
        <v>129053759.29408722</v>
      </c>
      <c r="M51" s="22">
        <f t="shared" si="2"/>
        <v>100.47964216874016</v>
      </c>
      <c r="N51" s="31">
        <f t="shared" si="9"/>
        <v>1289808.7056339884</v>
      </c>
      <c r="O51" s="31">
        <f t="shared" si="9"/>
        <v>132155947.09670511</v>
      </c>
      <c r="P51" s="32">
        <f t="shared" si="5"/>
        <v>102.46166467898479</v>
      </c>
      <c r="Q51" s="45">
        <f>'Turkey Point Light Oil'!A51+'West County Light Oil'!A51+'Martin Light Oil'!A51+'Fort Myers Light Oil'!A52+'Port GT''s Jet Fuel'!A52+'Lauderdale Jet Fuel'!A52+'Cape Canaveral Light Oil'!A52+'Riviera Light Oil'!A52+'PEEC Light Oil'!A52+'Cedar Bay Light Oil'!A51+K51</f>
        <v>1340055.1783876501</v>
      </c>
    </row>
    <row r="52" spans="1:17">
      <c r="A52" s="13">
        <v>43040</v>
      </c>
      <c r="B52" s="16">
        <f>'Turkey Point Light Oil'!E52+'West County Light Oil'!E52+'Martin Light Oil'!E52+'Fort Myers Light Oil'!E53+'Port GT''s Jet Fuel'!E53+'Lauderdale Jet Fuel'!E53+'Cape Canaveral Light Oil'!E53+'Riviera Light Oil'!E53+'PEEC Light Oil'!E53+'Cedar Bay Light Oil'!E52</f>
        <v>1284377.1783876501</v>
      </c>
      <c r="C52" s="16">
        <f>'Turkey Point Light Oil'!F52+'West County Light Oil'!F52+'Martin Light Oil'!F52+'Fort Myers Light Oil'!F53+'Port GT''s Jet Fuel'!F53+'Lauderdale Jet Fuel'!F53+'Cape Canaveral Light Oil'!F53+'Riviera Light Oil'!F53+'PEEC Light Oil'!F53+'Cedar Bay Light Oil'!F52</f>
        <v>129053759.29408722</v>
      </c>
      <c r="D52" s="14">
        <f t="shared" si="6"/>
        <v>100.47964216874016</v>
      </c>
      <c r="E52" s="46">
        <f>'Turkey Point Light Oil'!H52+'West County Light Oil'!H52+'Martin Light Oil'!H52+'Fort Myers Light Oil'!H53+'Port GT''s Jet Fuel'!H53+'Lauderdale Jet Fuel'!H53+'Cape Canaveral Light Oil'!H53+'Riviera Light Oil'!H53+'PEEC Light Oil'!H53+'Cedar Bay Light Oil'!H52</f>
        <v>69624.871355060051</v>
      </c>
      <c r="F52" s="46">
        <f>'Turkey Point Light Oil'!I52+'West County Light Oil'!I52+'Martin Light Oil'!I52+'Fort Myers Light Oil'!I53+'Port GT''s Jet Fuel'!I53+'Lauderdale Jet Fuel'!I53+'Cape Canaveral Light Oil'!I53+'Riviera Light Oil'!I53+'PEEC Light Oil'!I53+'Cedar Bay Light Oil'!I52</f>
        <v>5061585.201803484</v>
      </c>
      <c r="G52" s="22">
        <f t="shared" si="0"/>
        <v>72.697946915999992</v>
      </c>
      <c r="H52" s="46">
        <f>'Turkey Point Light Oil'!K52+'West County Light Oil'!K52+'Martin Light Oil'!K52+'Fort Myers Light Oil'!K53+'Port GT''s Jet Fuel'!K53+'Lauderdale Jet Fuel'!K53+'Cape Canaveral Light Oil'!K53+'Riviera Light Oil'!K53+'PEEC Light Oil'!K53+'Cedar Bay Light Oil'!K52</f>
        <v>78007.375643224703</v>
      </c>
      <c r="I52" s="46">
        <f>'Turkey Point Light Oil'!L52+'West County Light Oil'!L52+'Martin Light Oil'!L52+'Fort Myers Light Oil'!L53+'Port GT''s Jet Fuel'!L53+'Lauderdale Jet Fuel'!L53+'Cape Canaveral Light Oil'!L53+'Riviera Light Oil'!L53+'PEEC Light Oil'!L53+'Cedar Bay Light Oil'!L52</f>
        <v>6786394.0846032966</v>
      </c>
      <c r="J52" s="14">
        <f t="shared" si="1"/>
        <v>86.996825987860618</v>
      </c>
      <c r="K52" s="46">
        <f>'Turkey Point Light Oil'!N52+'West County Light Oil'!N52+'Martin Light Oil'!N52+'Fort Myers Light Oil'!N53+'Port GT''s Jet Fuel'!N53+'Lauderdale Jet Fuel'!N53+'Cape Canaveral Light Oil'!N53+'Riviera Light Oil'!N53+'PEEC Light Oil'!N53+'Cedar Bay Light Oil'!N52</f>
        <v>1275994.6740994854</v>
      </c>
      <c r="L52" s="46">
        <f>'Turkey Point Light Oil'!O52+'West County Light Oil'!O52+'Martin Light Oil'!O52+'Fort Myers Light Oil'!O53+'Port GT''s Jet Fuel'!O53+'Lauderdale Jet Fuel'!O53+'Cape Canaveral Light Oil'!O53+'Riviera Light Oil'!O53+'PEEC Light Oil'!O53+'Cedar Bay Light Oil'!O52</f>
        <v>127328950.4112874</v>
      </c>
      <c r="M52" s="22">
        <f t="shared" si="2"/>
        <v>99.787995197666433</v>
      </c>
      <c r="N52" s="31">
        <f t="shared" si="9"/>
        <v>1285267.4528301884</v>
      </c>
      <c r="O52" s="31">
        <f t="shared" si="9"/>
        <v>131205231.45828342</v>
      </c>
      <c r="P52" s="32">
        <f t="shared" si="5"/>
        <v>102.08399128863529</v>
      </c>
      <c r="Q52" s="45">
        <f>'Turkey Point Light Oil'!A52+'West County Light Oil'!A52+'Martin Light Oil'!A52+'Fort Myers Light Oil'!A53+'Port GT''s Jet Fuel'!A53+'Lauderdale Jet Fuel'!A53+'Cape Canaveral Light Oil'!A53+'Riviera Light Oil'!A53+'PEEC Light Oil'!A53+'Cedar Bay Light Oil'!A52+K52</f>
        <v>1331672.6740994854</v>
      </c>
    </row>
    <row r="53" spans="1:17">
      <c r="A53" s="13">
        <v>43070</v>
      </c>
      <c r="B53" s="16">
        <f>'Turkey Point Light Oil'!E53+'West County Light Oil'!E53+'Martin Light Oil'!E53+'Fort Myers Light Oil'!E54+'Port GT''s Jet Fuel'!E54+'Lauderdale Jet Fuel'!E54+'Cape Canaveral Light Oil'!E54+'Riviera Light Oil'!E54+'PEEC Light Oil'!E54+'Cedar Bay Light Oil'!E53</f>
        <v>1275994.6740994854</v>
      </c>
      <c r="C53" s="16">
        <f>'Turkey Point Light Oil'!F53+'West County Light Oil'!F53+'Martin Light Oil'!F53+'Fort Myers Light Oil'!F54+'Port GT''s Jet Fuel'!F54+'Lauderdale Jet Fuel'!F54+'Cape Canaveral Light Oil'!F54+'Riviera Light Oil'!F54+'PEEC Light Oil'!F54+'Cedar Bay Light Oil'!F53</f>
        <v>127328950.4112874</v>
      </c>
      <c r="D53" s="14">
        <f t="shared" si="6"/>
        <v>99.787995197666433</v>
      </c>
      <c r="E53" s="46">
        <f>'Turkey Point Light Oil'!H53+'West County Light Oil'!H53+'Martin Light Oil'!H53+'Fort Myers Light Oil'!H54+'Port GT''s Jet Fuel'!H54+'Lauderdale Jet Fuel'!H54+'Cape Canaveral Light Oil'!H54+'Riviera Light Oil'!H54+'PEEC Light Oil'!H54+'Cedar Bay Light Oil'!H53</f>
        <v>31903.945111492259</v>
      </c>
      <c r="F53" s="46">
        <f>'Turkey Point Light Oil'!I53+'West County Light Oil'!I53+'Martin Light Oil'!I53+'Fort Myers Light Oil'!I54+'Port GT''s Jet Fuel'!I54+'Lauderdale Jet Fuel'!I54+'Cape Canaveral Light Oil'!I54+'Riviera Light Oil'!I54+'PEEC Light Oil'!I54+'Cedar Bay Light Oil'!I53</f>
        <v>2335430.8964624335</v>
      </c>
      <c r="G53" s="22">
        <f t="shared" si="0"/>
        <v>73.201946915999983</v>
      </c>
      <c r="H53" s="46">
        <f>'Turkey Point Light Oil'!K53+'West County Light Oil'!K53+'Martin Light Oil'!K53+'Fort Myers Light Oil'!K54+'Port GT''s Jet Fuel'!K54+'Lauderdale Jet Fuel'!K54+'Cape Canaveral Light Oil'!K54+'Riviera Light Oil'!K54+'PEEC Light Oil'!K54+'Cedar Bay Light Oil'!K53</f>
        <v>16312.178387650085</v>
      </c>
      <c r="I53" s="46">
        <f>'Turkey Point Light Oil'!L53+'West County Light Oil'!L53+'Martin Light Oil'!L53+'Fort Myers Light Oil'!L54+'Port GT''s Jet Fuel'!L54+'Lauderdale Jet Fuel'!L54+'Cape Canaveral Light Oil'!L54+'Riviera Light Oil'!L54+'PEEC Light Oil'!L54+'Cedar Bay Light Oil'!L53</f>
        <v>1287406.4541142271</v>
      </c>
      <c r="J53" s="14">
        <f t="shared" si="1"/>
        <v>78.923024474089843</v>
      </c>
      <c r="K53" s="46">
        <f>'Turkey Point Light Oil'!N53+'West County Light Oil'!N53+'Martin Light Oil'!N53+'Fort Myers Light Oil'!N54+'Port GT''s Jet Fuel'!N54+'Lauderdale Jet Fuel'!N54+'Cape Canaveral Light Oil'!N54+'Riviera Light Oil'!N54+'PEEC Light Oil'!N54+'Cedar Bay Light Oil'!N53</f>
        <v>1291586.4408233277</v>
      </c>
      <c r="L53" s="46">
        <f>'Turkey Point Light Oil'!O53+'West County Light Oil'!O53+'Martin Light Oil'!O53+'Fort Myers Light Oil'!O54+'Port GT''s Jet Fuel'!O54+'Lauderdale Jet Fuel'!O54+'Cape Canaveral Light Oil'!O54+'Riviera Light Oil'!O54+'PEEC Light Oil'!O54+'Cedar Bay Light Oil'!O53</f>
        <v>128376974.85363561</v>
      </c>
      <c r="M53" s="22">
        <f t="shared" si="2"/>
        <v>99.394799136944414</v>
      </c>
      <c r="N53" s="31">
        <f t="shared" si="9"/>
        <v>1281423.297268769</v>
      </c>
      <c r="O53" s="31">
        <f t="shared" si="9"/>
        <v>130370200.69594495</v>
      </c>
      <c r="P53" s="32">
        <f t="shared" si="5"/>
        <v>101.73859096663573</v>
      </c>
      <c r="Q53" s="45">
        <f>'Turkey Point Light Oil'!A53+'West County Light Oil'!A53+'Martin Light Oil'!A53+'Fort Myers Light Oil'!A54+'Port GT''s Jet Fuel'!A54+'Lauderdale Jet Fuel'!A54+'Cape Canaveral Light Oil'!A54+'Riviera Light Oil'!A54+'PEEC Light Oil'!A54+'Cedar Bay Light Oil'!A53+K53</f>
        <v>1347264.4408233277</v>
      </c>
    </row>
    <row r="54" spans="1:17">
      <c r="A54" s="13">
        <v>43101</v>
      </c>
      <c r="B54" s="16">
        <f>'Turkey Point Light Oil'!E54+'West County Light Oil'!E54+'Martin Light Oil'!E54+'Fort Myers Light Oil'!E55+'Port GT''s Jet Fuel'!E55+'Lauderdale Jet Fuel'!E55+'Cape Canaveral Light Oil'!E55+'Riviera Light Oil'!E55+'PEEC Light Oil'!E55+'Cedar Bay Light Oil'!E54</f>
        <v>1291586.4408233277</v>
      </c>
      <c r="C54" s="16">
        <f>'Turkey Point Light Oil'!F54+'West County Light Oil'!F54+'Martin Light Oil'!F54+'Fort Myers Light Oil'!F55+'Port GT''s Jet Fuel'!F55+'Lauderdale Jet Fuel'!F55+'Cape Canaveral Light Oil'!F55+'Riviera Light Oil'!F55+'PEEC Light Oil'!F55+'Cedar Bay Light Oil'!F54</f>
        <v>128376974.85363561</v>
      </c>
      <c r="D54" s="14">
        <f t="shared" si="6"/>
        <v>99.394799136944414</v>
      </c>
      <c r="E54" s="46">
        <f>'Turkey Point Light Oil'!H54+'West County Light Oil'!H54+'Martin Light Oil'!H54+'Fort Myers Light Oil'!H55+'Port GT''s Jet Fuel'!H55+'Lauderdale Jet Fuel'!H55+'Cape Canaveral Light Oil'!H55+'Riviera Light Oil'!H55+'PEEC Light Oil'!H55+'Cedar Bay Light Oil'!H54</f>
        <v>12566.895368782134</v>
      </c>
      <c r="F54" s="46">
        <f>'Turkey Point Light Oil'!I54+'West County Light Oil'!I54+'Martin Light Oil'!I54+'Fort Myers Light Oil'!I55+'Port GT''s Jet Fuel'!I55+'Lauderdale Jet Fuel'!I55+'Cape Canaveral Light Oil'!I55+'Riviera Light Oil'!I55+'PEEC Light Oil'!I55+'Cedar Bay Light Oil'!I54</f>
        <v>926518.82775312662</v>
      </c>
      <c r="G54" s="22">
        <f t="shared" si="0"/>
        <v>73.726946916000003</v>
      </c>
      <c r="H54" s="46">
        <f>'Turkey Point Light Oil'!K54+'West County Light Oil'!K54+'Martin Light Oil'!K54+'Fort Myers Light Oil'!K55+'Port GT''s Jet Fuel'!K55+'Lauderdale Jet Fuel'!K55+'Cape Canaveral Light Oil'!K55+'Riviera Light Oil'!K55+'PEEC Light Oil'!K55+'Cedar Bay Light Oil'!K54</f>
        <v>3010.2915951972554</v>
      </c>
      <c r="I54" s="46">
        <f>'Turkey Point Light Oil'!L54+'West County Light Oil'!L54+'Martin Light Oil'!L54+'Fort Myers Light Oil'!L55+'Port GT''s Jet Fuel'!L55+'Lauderdale Jet Fuel'!L55+'Cape Canaveral Light Oil'!L55+'Riviera Light Oil'!L55+'PEEC Light Oil'!L55+'Cedar Bay Light Oil'!L54</f>
        <v>339766.42094274348</v>
      </c>
      <c r="J54" s="14">
        <f t="shared" si="1"/>
        <v>112.86827544707661</v>
      </c>
      <c r="K54" s="46">
        <f>'Turkey Point Light Oil'!N54+'West County Light Oil'!N54+'Martin Light Oil'!N54+'Fort Myers Light Oil'!N55+'Port GT''s Jet Fuel'!N55+'Lauderdale Jet Fuel'!N55+'Cape Canaveral Light Oil'!N55+'Riviera Light Oil'!N55+'PEEC Light Oil'!N55+'Cedar Bay Light Oil'!N54</f>
        <v>1301143.0445969126</v>
      </c>
      <c r="L54" s="46">
        <f>'Turkey Point Light Oil'!O54+'West County Light Oil'!O54+'Martin Light Oil'!O54+'Fort Myers Light Oil'!O55+'Port GT''s Jet Fuel'!O55+'Lauderdale Jet Fuel'!O55+'Cape Canaveral Light Oil'!O55+'Riviera Light Oil'!O55+'PEEC Light Oil'!O55+'Cedar Bay Light Oil'!O54</f>
        <v>128963727.26044598</v>
      </c>
      <c r="M54" s="22">
        <f t="shared" si="2"/>
        <v>99.115718134125899</v>
      </c>
      <c r="N54" s="23">
        <f t="shared" ref="N54:N65" si="10">AVERAGE(K42:K54)</f>
        <v>1280914.6740994854</v>
      </c>
      <c r="O54" s="23">
        <f t="shared" ref="O54:O65" si="11">AVERAGE(L42:L54)</f>
        <v>129852965.43098372</v>
      </c>
      <c r="P54" s="42">
        <f t="shared" ref="P54:P65" si="12">IF(N54=0,0,O54/N54)</f>
        <v>101.37518763478415</v>
      </c>
      <c r="Q54" s="45">
        <f>'Turkey Point Light Oil'!A54+'West County Light Oil'!A54+'Martin Light Oil'!A54+'Fort Myers Light Oil'!A55+'Port GT''s Jet Fuel'!A55+'Lauderdale Jet Fuel'!A55+'Cape Canaveral Light Oil'!A55+'Riviera Light Oil'!A55+'PEEC Light Oil'!A55+'Cedar Bay Light Oil'!A54+K54</f>
        <v>1356821.0445969126</v>
      </c>
    </row>
    <row r="55" spans="1:17">
      <c r="A55" s="13">
        <v>43132</v>
      </c>
      <c r="B55" s="16">
        <f>'Turkey Point Light Oil'!E55+'West County Light Oil'!E55+'Martin Light Oil'!E55+'Fort Myers Light Oil'!E56+'Port GT''s Jet Fuel'!E56+'Lauderdale Jet Fuel'!E56+'Cape Canaveral Light Oil'!E56+'Riviera Light Oil'!E56+'PEEC Light Oil'!E56+'Cedar Bay Light Oil'!E55</f>
        <v>1301143.0445969126</v>
      </c>
      <c r="C55" s="16">
        <f>'Turkey Point Light Oil'!F55+'West County Light Oil'!F55+'Martin Light Oil'!F55+'Fort Myers Light Oil'!F56+'Port GT''s Jet Fuel'!F56+'Lauderdale Jet Fuel'!F56+'Cape Canaveral Light Oil'!F56+'Riviera Light Oil'!F56+'PEEC Light Oil'!F56+'Cedar Bay Light Oil'!F55</f>
        <v>128963727.26044598</v>
      </c>
      <c r="D55" s="14">
        <f t="shared" si="6"/>
        <v>99.115718134125899</v>
      </c>
      <c r="E55" s="46">
        <f>'Turkey Point Light Oil'!H55+'West County Light Oil'!H55+'Martin Light Oil'!H55+'Fort Myers Light Oil'!H56+'Port GT''s Jet Fuel'!H56+'Lauderdale Jet Fuel'!H56+'Cape Canaveral Light Oil'!H56+'Riviera Light Oil'!H56+'PEEC Light Oil'!H56+'Cedar Bay Light Oil'!H55</f>
        <v>0</v>
      </c>
      <c r="F55" s="46">
        <f>'Turkey Point Light Oil'!I55+'West County Light Oil'!I55+'Martin Light Oil'!I55+'Fort Myers Light Oil'!I56+'Port GT''s Jet Fuel'!I56+'Lauderdale Jet Fuel'!I56+'Cape Canaveral Light Oil'!I56+'Riviera Light Oil'!I56+'PEEC Light Oil'!I56+'Cedar Bay Light Oil'!I55</f>
        <v>0</v>
      </c>
      <c r="G55" s="22">
        <f t="shared" si="0"/>
        <v>0</v>
      </c>
      <c r="H55" s="46">
        <f>'Turkey Point Light Oil'!K55+'West County Light Oil'!K55+'Martin Light Oil'!K55+'Fort Myers Light Oil'!K56+'Port GT''s Jet Fuel'!K56+'Lauderdale Jet Fuel'!K56+'Cape Canaveral Light Oil'!K56+'Riviera Light Oil'!K56+'PEEC Light Oil'!K56+'Cedar Bay Light Oil'!K55</f>
        <v>5511.6638078902233</v>
      </c>
      <c r="I55" s="46">
        <f>'Turkey Point Light Oil'!L55+'West County Light Oil'!L55+'Martin Light Oil'!L55+'Fort Myers Light Oil'!L56+'Port GT''s Jet Fuel'!L56+'Lauderdale Jet Fuel'!L56+'Cape Canaveral Light Oil'!L56+'Riviera Light Oil'!L56+'PEEC Light Oil'!L56+'Cedar Bay Light Oil'!L55</f>
        <v>520895.79447117005</v>
      </c>
      <c r="J55" s="14">
        <f t="shared" si="1"/>
        <v>94.507904078888402</v>
      </c>
      <c r="K55" s="46">
        <f>'Turkey Point Light Oil'!N55+'West County Light Oil'!N55+'Martin Light Oil'!N55+'Fort Myers Light Oil'!N56+'Port GT''s Jet Fuel'!N56+'Lauderdale Jet Fuel'!N56+'Cape Canaveral Light Oil'!N56+'Riviera Light Oil'!N56+'PEEC Light Oil'!N56+'Cedar Bay Light Oil'!N55</f>
        <v>1295631.3807890224</v>
      </c>
      <c r="L55" s="46">
        <f>'Turkey Point Light Oil'!O55+'West County Light Oil'!O55+'Martin Light Oil'!O55+'Fort Myers Light Oil'!O56+'Port GT''s Jet Fuel'!O56+'Lauderdale Jet Fuel'!O56+'Cape Canaveral Light Oil'!O56+'Riviera Light Oil'!O56+'PEEC Light Oil'!O56+'Cedar Bay Light Oil'!O55</f>
        <v>128442831.46597482</v>
      </c>
      <c r="M55" s="22">
        <f t="shared" si="2"/>
        <v>99.135319945519399</v>
      </c>
      <c r="N55" s="23">
        <f t="shared" si="10"/>
        <v>1282412.5540308747</v>
      </c>
      <c r="O55" s="23">
        <f t="shared" si="11"/>
        <v>129543789.90094376</v>
      </c>
      <c r="P55" s="42">
        <f t="shared" si="12"/>
        <v>101.01569069466933</v>
      </c>
      <c r="Q55" s="45">
        <f>'Turkey Point Light Oil'!A55+'West County Light Oil'!A55+'Martin Light Oil'!A55+'Fort Myers Light Oil'!A56+'Port GT''s Jet Fuel'!A56+'Lauderdale Jet Fuel'!A56+'Cape Canaveral Light Oil'!A56+'Riviera Light Oil'!A56+'PEEC Light Oil'!A56+'Cedar Bay Light Oil'!A55+K55</f>
        <v>1351309.3807890224</v>
      </c>
    </row>
    <row r="56" spans="1:17">
      <c r="A56" s="13">
        <v>43160</v>
      </c>
      <c r="B56" s="16">
        <f>'Turkey Point Light Oil'!E56+'West County Light Oil'!E56+'Martin Light Oil'!E56+'Fort Myers Light Oil'!E57+'Port GT''s Jet Fuel'!E57+'Lauderdale Jet Fuel'!E57+'Cape Canaveral Light Oil'!E57+'Riviera Light Oil'!E57+'PEEC Light Oil'!E57+'Cedar Bay Light Oil'!E56</f>
        <v>1295631.3807890224</v>
      </c>
      <c r="C56" s="16">
        <f>'Turkey Point Light Oil'!F56+'West County Light Oil'!F56+'Martin Light Oil'!F56+'Fort Myers Light Oil'!F57+'Port GT''s Jet Fuel'!F57+'Lauderdale Jet Fuel'!F57+'Cape Canaveral Light Oil'!F57+'Riviera Light Oil'!F57+'PEEC Light Oil'!F57+'Cedar Bay Light Oil'!F56</f>
        <v>128442831.46597482</v>
      </c>
      <c r="D56" s="14">
        <f t="shared" si="6"/>
        <v>99.135319945519399</v>
      </c>
      <c r="E56" s="46">
        <f>'Turkey Point Light Oil'!H56+'West County Light Oil'!H56+'Martin Light Oil'!H56+'Fort Myers Light Oil'!H57+'Port GT''s Jet Fuel'!H57+'Lauderdale Jet Fuel'!H57+'Cape Canaveral Light Oil'!H57+'Riviera Light Oil'!H57+'PEEC Light Oil'!H57+'Cedar Bay Light Oil'!H56</f>
        <v>0</v>
      </c>
      <c r="F56" s="46">
        <f>'Turkey Point Light Oil'!I56+'West County Light Oil'!I56+'Martin Light Oil'!I56+'Fort Myers Light Oil'!I57+'Port GT''s Jet Fuel'!I57+'Lauderdale Jet Fuel'!I57+'Cape Canaveral Light Oil'!I57+'Riviera Light Oil'!I57+'PEEC Light Oil'!I57+'Cedar Bay Light Oil'!I56</f>
        <v>0</v>
      </c>
      <c r="G56" s="22">
        <f t="shared" si="0"/>
        <v>0</v>
      </c>
      <c r="H56" s="46">
        <f>'Turkey Point Light Oil'!K56+'West County Light Oil'!K56+'Martin Light Oil'!K56+'Fort Myers Light Oil'!K57+'Port GT''s Jet Fuel'!K57+'Lauderdale Jet Fuel'!K57+'Cape Canaveral Light Oil'!K57+'Riviera Light Oil'!K57+'PEEC Light Oil'!K57+'Cedar Bay Light Oil'!K56</f>
        <v>11709.090909090908</v>
      </c>
      <c r="I56" s="46">
        <f>'Turkey Point Light Oil'!L56+'West County Light Oil'!L56+'Martin Light Oil'!L56+'Fort Myers Light Oil'!L57+'Port GT''s Jet Fuel'!L57+'Lauderdale Jet Fuel'!L57+'Cape Canaveral Light Oil'!L57+'Riviera Light Oil'!L57+'PEEC Light Oil'!L57+'Cedar Bay Light Oil'!L56</f>
        <v>959544.24971806118</v>
      </c>
      <c r="J56" s="14">
        <f t="shared" si="1"/>
        <v>81.948654867225727</v>
      </c>
      <c r="K56" s="46">
        <f>'Turkey Point Light Oil'!N56+'West County Light Oil'!N56+'Martin Light Oil'!N56+'Fort Myers Light Oil'!N57+'Port GT''s Jet Fuel'!N57+'Lauderdale Jet Fuel'!N57+'Cape Canaveral Light Oil'!N57+'Riviera Light Oil'!N57+'PEEC Light Oil'!N57+'Cedar Bay Light Oil'!N56</f>
        <v>1283922.2898799314</v>
      </c>
      <c r="L56" s="46">
        <f>'Turkey Point Light Oil'!O56+'West County Light Oil'!O56+'Martin Light Oil'!O56+'Fort Myers Light Oil'!O57+'Port GT''s Jet Fuel'!O57+'Lauderdale Jet Fuel'!O57+'Cape Canaveral Light Oil'!O57+'Riviera Light Oil'!O57+'PEEC Light Oil'!O57+'Cedar Bay Light Oil'!O56</f>
        <v>127483287.21625677</v>
      </c>
      <c r="M56" s="22">
        <f t="shared" si="2"/>
        <v>99.292058577921125</v>
      </c>
      <c r="N56" s="23">
        <f t="shared" si="10"/>
        <v>1283727.6525926902</v>
      </c>
      <c r="O56" s="23">
        <f t="shared" si="11"/>
        <v>129234475.65237038</v>
      </c>
      <c r="P56" s="42">
        <f t="shared" si="12"/>
        <v>100.67125639255414</v>
      </c>
      <c r="Q56" s="45">
        <f>'Turkey Point Light Oil'!A56+'West County Light Oil'!A56+'Martin Light Oil'!A56+'Fort Myers Light Oil'!A57+'Port GT''s Jet Fuel'!A57+'Lauderdale Jet Fuel'!A57+'Cape Canaveral Light Oil'!A57+'Riviera Light Oil'!A57+'PEEC Light Oil'!A57+'Cedar Bay Light Oil'!A56+K56</f>
        <v>1339600.2898799314</v>
      </c>
    </row>
    <row r="57" spans="1:17">
      <c r="A57" s="13">
        <v>43191</v>
      </c>
      <c r="B57" s="16">
        <f>'Turkey Point Light Oil'!E57+'West County Light Oil'!E57+'Martin Light Oil'!E57+'Fort Myers Light Oil'!E58+'Port GT''s Jet Fuel'!E58+'Lauderdale Jet Fuel'!E58+'Cape Canaveral Light Oil'!E58+'Riviera Light Oil'!E58+'PEEC Light Oil'!E58+'Cedar Bay Light Oil'!E57</f>
        <v>1283922.2898799314</v>
      </c>
      <c r="C57" s="16">
        <f>'Turkey Point Light Oil'!F57+'West County Light Oil'!F57+'Martin Light Oil'!F57+'Fort Myers Light Oil'!F58+'Port GT''s Jet Fuel'!F58+'Lauderdale Jet Fuel'!F58+'Cape Canaveral Light Oil'!F58+'Riviera Light Oil'!F58+'PEEC Light Oil'!F58+'Cedar Bay Light Oil'!F57</f>
        <v>127483287.21625677</v>
      </c>
      <c r="D57" s="14">
        <f t="shared" si="6"/>
        <v>99.292058577921125</v>
      </c>
      <c r="E57" s="46">
        <f>'Turkey Point Light Oil'!H57+'West County Light Oil'!H57+'Martin Light Oil'!H57+'Fort Myers Light Oil'!H58+'Port GT''s Jet Fuel'!H58+'Lauderdale Jet Fuel'!H58+'Cape Canaveral Light Oil'!H58+'Riviera Light Oil'!H58+'PEEC Light Oil'!H58+'Cedar Bay Light Oil'!H57</f>
        <v>13999.142367066896</v>
      </c>
      <c r="F57" s="46">
        <f>'Turkey Point Light Oil'!I57+'West County Light Oil'!I57+'Martin Light Oil'!I57+'Fort Myers Light Oil'!I58+'Port GT''s Jet Fuel'!I58+'Lauderdale Jet Fuel'!I58+'Cape Canaveral Light Oil'!I58+'Riviera Light Oil'!I58+'PEEC Light Oil'!I58+'Cedar Bay Light Oil'!I57</f>
        <v>1033289.9541251011</v>
      </c>
      <c r="G57" s="22">
        <f t="shared" si="0"/>
        <v>73.810946915999992</v>
      </c>
      <c r="H57" s="46">
        <f>'Turkey Point Light Oil'!K57+'West County Light Oil'!K57+'Martin Light Oil'!K57+'Fort Myers Light Oil'!K58+'Port GT''s Jet Fuel'!K58+'Lauderdale Jet Fuel'!K58+'Cape Canaveral Light Oil'!K58+'Riviera Light Oil'!K58+'PEEC Light Oil'!K58+'Cedar Bay Light Oil'!K57</f>
        <v>17643.567753001716</v>
      </c>
      <c r="I57" s="46">
        <f>'Turkey Point Light Oil'!L57+'West County Light Oil'!L57+'Martin Light Oil'!L57+'Fort Myers Light Oil'!L58+'Port GT''s Jet Fuel'!L58+'Lauderdale Jet Fuel'!L58+'Cape Canaveral Light Oil'!L58+'Riviera Light Oil'!L58+'PEEC Light Oil'!L58+'Cedar Bay Light Oil'!L57</f>
        <v>1555389.4026422359</v>
      </c>
      <c r="J57" s="14">
        <f t="shared" si="1"/>
        <v>88.156172516616778</v>
      </c>
      <c r="K57" s="46">
        <f>'Turkey Point Light Oil'!N57+'West County Light Oil'!N57+'Martin Light Oil'!N57+'Fort Myers Light Oil'!N58+'Port GT''s Jet Fuel'!N58+'Lauderdale Jet Fuel'!N58+'Cape Canaveral Light Oil'!N58+'Riviera Light Oil'!N58+'PEEC Light Oil'!N58+'Cedar Bay Light Oil'!N57</f>
        <v>1280277.8644939968</v>
      </c>
      <c r="L57" s="46">
        <f>'Turkey Point Light Oil'!O57+'West County Light Oil'!O57+'Martin Light Oil'!O57+'Fort Myers Light Oil'!O58+'Port GT''s Jet Fuel'!O58+'Lauderdale Jet Fuel'!O58+'Cape Canaveral Light Oil'!O58+'Riviera Light Oil'!O58+'PEEC Light Oil'!O58+'Cedar Bay Light Oil'!O57</f>
        <v>126961187.76773962</v>
      </c>
      <c r="M57" s="22">
        <f t="shared" si="2"/>
        <v>99.166900630527095</v>
      </c>
      <c r="N57" s="23">
        <f t="shared" si="10"/>
        <v>1285275.8953687821</v>
      </c>
      <c r="O57" s="23">
        <f t="shared" si="11"/>
        <v>128988519.45227568</v>
      </c>
      <c r="P57" s="42">
        <f t="shared" si="12"/>
        <v>100.35862332520071</v>
      </c>
      <c r="Q57" s="45">
        <f>'Turkey Point Light Oil'!A57+'West County Light Oil'!A57+'Martin Light Oil'!A57+'Fort Myers Light Oil'!A58+'Port GT''s Jet Fuel'!A58+'Lauderdale Jet Fuel'!A58+'Cape Canaveral Light Oil'!A58+'Riviera Light Oil'!A58+'PEEC Light Oil'!A58+'Cedar Bay Light Oil'!A57+K57</f>
        <v>1335955.8644939968</v>
      </c>
    </row>
    <row r="58" spans="1:17">
      <c r="A58" s="13">
        <v>43221</v>
      </c>
      <c r="B58" s="16">
        <f>'Turkey Point Light Oil'!E58+'West County Light Oil'!E58+'Martin Light Oil'!E58+'Fort Myers Light Oil'!E59+'Port GT''s Jet Fuel'!E59+'Lauderdale Jet Fuel'!E59+'Cape Canaveral Light Oil'!E59+'Riviera Light Oil'!E59+'PEEC Light Oil'!E59+'Cedar Bay Light Oil'!E58</f>
        <v>1280277.8644939968</v>
      </c>
      <c r="C58" s="16">
        <f>'Turkey Point Light Oil'!F58+'West County Light Oil'!F58+'Martin Light Oil'!F58+'Fort Myers Light Oil'!F59+'Port GT''s Jet Fuel'!F59+'Lauderdale Jet Fuel'!F59+'Cape Canaveral Light Oil'!F59+'Riviera Light Oil'!F59+'PEEC Light Oil'!F59+'Cedar Bay Light Oil'!F58</f>
        <v>126961187.76773962</v>
      </c>
      <c r="D58" s="14">
        <f t="shared" si="6"/>
        <v>99.166900630527095</v>
      </c>
      <c r="E58" s="46">
        <f>'Turkey Point Light Oil'!H58+'West County Light Oil'!H58+'Martin Light Oil'!H58+'Fort Myers Light Oil'!H59+'Port GT''s Jet Fuel'!H59+'Lauderdale Jet Fuel'!H59+'Cape Canaveral Light Oil'!H59+'Riviera Light Oil'!H59+'PEEC Light Oil'!H59+'Cedar Bay Light Oil'!H58</f>
        <v>11675.471698113208</v>
      </c>
      <c r="F58" s="46">
        <f>'Turkey Point Light Oil'!I58+'West County Light Oil'!I58+'Martin Light Oil'!I58+'Fort Myers Light Oil'!I59+'Port GT''s Jet Fuel'!I59+'Lauderdale Jet Fuel'!I59+'Cape Canaveral Light Oil'!I59+'Riviera Light Oil'!I59+'PEEC Light Oil'!I59+'Cedar Bay Light Oil'!I58</f>
        <v>866190.95003058109</v>
      </c>
      <c r="G58" s="22">
        <f t="shared" si="0"/>
        <v>74.188946915999992</v>
      </c>
      <c r="H58" s="46">
        <f>'Turkey Point Light Oil'!K58+'West County Light Oil'!K58+'Martin Light Oil'!K58+'Fort Myers Light Oil'!K59+'Port GT''s Jet Fuel'!K59+'Lauderdale Jet Fuel'!K59+'Cape Canaveral Light Oil'!K59+'Riviera Light Oil'!K59+'PEEC Light Oil'!K59+'Cedar Bay Light Oil'!K58</f>
        <v>11721.612349914238</v>
      </c>
      <c r="I58" s="46">
        <f>'Turkey Point Light Oil'!L58+'West County Light Oil'!L58+'Martin Light Oil'!L58+'Fort Myers Light Oil'!L59+'Port GT''s Jet Fuel'!L59+'Lauderdale Jet Fuel'!L59+'Cape Canaveral Light Oil'!L59+'Riviera Light Oil'!L59+'PEEC Light Oil'!L59+'Cedar Bay Light Oil'!L58</f>
        <v>1054820.1960676361</v>
      </c>
      <c r="J58" s="14">
        <f t="shared" si="1"/>
        <v>89.989343153406182</v>
      </c>
      <c r="K58" s="46">
        <f>'Turkey Point Light Oil'!N58+'West County Light Oil'!N58+'Martin Light Oil'!N58+'Fort Myers Light Oil'!N59+'Port GT''s Jet Fuel'!N59+'Lauderdale Jet Fuel'!N59+'Cape Canaveral Light Oil'!N59+'Riviera Light Oil'!N59+'PEEC Light Oil'!N59+'Cedar Bay Light Oil'!N58</f>
        <v>1280231.7238421957</v>
      </c>
      <c r="L58" s="46">
        <f>'Turkey Point Light Oil'!O58+'West County Light Oil'!O58+'Martin Light Oil'!O58+'Fort Myers Light Oil'!O59+'Port GT''s Jet Fuel'!O59+'Lauderdale Jet Fuel'!O59+'Cape Canaveral Light Oil'!O59+'Riviera Light Oil'!O59+'PEEC Light Oil'!O59+'Cedar Bay Light Oil'!O58</f>
        <v>126772558.52170256</v>
      </c>
      <c r="M58" s="22">
        <f t="shared" si="2"/>
        <v>99.023134765975257</v>
      </c>
      <c r="N58" s="23">
        <f t="shared" si="10"/>
        <v>1285439.8779522367</v>
      </c>
      <c r="O58" s="23">
        <f t="shared" si="11"/>
        <v>128685753.05391528</v>
      </c>
      <c r="P58" s="42">
        <f t="shared" si="12"/>
        <v>100.11028540589346</v>
      </c>
      <c r="Q58" s="45">
        <f>'Turkey Point Light Oil'!A58+'West County Light Oil'!A58+'Martin Light Oil'!A58+'Fort Myers Light Oil'!A59+'Port GT''s Jet Fuel'!A59+'Lauderdale Jet Fuel'!A59+'Cape Canaveral Light Oil'!A59+'Riviera Light Oil'!A59+'PEEC Light Oil'!A59+'Cedar Bay Light Oil'!A58+K58</f>
        <v>1335909.7238421957</v>
      </c>
    </row>
    <row r="59" spans="1:17">
      <c r="A59" s="13">
        <v>43252</v>
      </c>
      <c r="B59" s="16">
        <f>'Turkey Point Light Oil'!E59+'West County Light Oil'!E59+'Martin Light Oil'!E59+'Fort Myers Light Oil'!E60+'Port GT''s Jet Fuel'!E60+'Lauderdale Jet Fuel'!E60+'Cape Canaveral Light Oil'!E60+'Riviera Light Oil'!E60+'PEEC Light Oil'!E60+'Cedar Bay Light Oil'!E59</f>
        <v>1280231.7238421957</v>
      </c>
      <c r="C59" s="16">
        <f>'Turkey Point Light Oil'!F59+'West County Light Oil'!F59+'Martin Light Oil'!F59+'Fort Myers Light Oil'!F60+'Port GT''s Jet Fuel'!F60+'Lauderdale Jet Fuel'!F60+'Cape Canaveral Light Oil'!F60+'Riviera Light Oil'!F60+'PEEC Light Oil'!F60+'Cedar Bay Light Oil'!F59</f>
        <v>126772558.52170256</v>
      </c>
      <c r="D59" s="14">
        <f t="shared" si="6"/>
        <v>99.023134765975257</v>
      </c>
      <c r="E59" s="46">
        <f>'Turkey Point Light Oil'!H59+'West County Light Oil'!H59+'Martin Light Oil'!H59+'Fort Myers Light Oil'!H60+'Port GT''s Jet Fuel'!H60+'Lauderdale Jet Fuel'!H60+'Cape Canaveral Light Oil'!H60+'Riviera Light Oil'!H60+'PEEC Light Oil'!H60+'Cedar Bay Light Oil'!H59</f>
        <v>10139.45111492282</v>
      </c>
      <c r="F59" s="46">
        <f>'Turkey Point Light Oil'!I59+'West County Light Oil'!I59+'Martin Light Oil'!I59+'Fort Myers Light Oil'!I60+'Port GT''s Jet Fuel'!I60+'Lauderdale Jet Fuel'!I60+'Cape Canaveral Light Oil'!I60+'Riviera Light Oil'!I60+'PEEC Light Oil'!I60+'Cedar Bay Light Oil'!I59</f>
        <v>756706.69846406707</v>
      </c>
      <c r="G59" s="22">
        <f t="shared" si="0"/>
        <v>74.629946915999994</v>
      </c>
      <c r="H59" s="46">
        <f>'Turkey Point Light Oil'!K59+'West County Light Oil'!K59+'Martin Light Oil'!K59+'Fort Myers Light Oil'!K60+'Port GT''s Jet Fuel'!K60+'Lauderdale Jet Fuel'!K60+'Cape Canaveral Light Oil'!K60+'Riviera Light Oil'!K60+'PEEC Light Oil'!K60+'Cedar Bay Light Oil'!K59</f>
        <v>5575.8147512864489</v>
      </c>
      <c r="I59" s="46">
        <f>'Turkey Point Light Oil'!L59+'West County Light Oil'!L59+'Martin Light Oil'!L59+'Fort Myers Light Oil'!L60+'Port GT''s Jet Fuel'!L60+'Lauderdale Jet Fuel'!L60+'Cape Canaveral Light Oil'!L60+'Riviera Light Oil'!L60+'PEEC Light Oil'!L60+'Cedar Bay Light Oil'!L59</f>
        <v>489803.60067412327</v>
      </c>
      <c r="J59" s="14">
        <f t="shared" si="1"/>
        <v>87.844310207959481</v>
      </c>
      <c r="K59" s="46">
        <f>'Turkey Point Light Oil'!N59+'West County Light Oil'!N59+'Martin Light Oil'!N59+'Fort Myers Light Oil'!N60+'Port GT''s Jet Fuel'!N60+'Lauderdale Jet Fuel'!N60+'Cape Canaveral Light Oil'!N60+'Riviera Light Oil'!N60+'PEEC Light Oil'!N60+'Cedar Bay Light Oil'!N59</f>
        <v>1284795.3602058319</v>
      </c>
      <c r="L59" s="46">
        <f>'Turkey Point Light Oil'!O59+'West County Light Oil'!O59+'Martin Light Oil'!O59+'Fort Myers Light Oil'!O60+'Port GT''s Jet Fuel'!O60+'Lauderdale Jet Fuel'!O60+'Cape Canaveral Light Oil'!O60+'Riviera Light Oil'!O60+'PEEC Light Oil'!O60+'Cedar Bay Light Oil'!O59</f>
        <v>127039461.61949252</v>
      </c>
      <c r="M59" s="22">
        <f t="shared" si="2"/>
        <v>98.879141032343099</v>
      </c>
      <c r="N59" s="23">
        <f t="shared" si="10"/>
        <v>1284527.1454017682</v>
      </c>
      <c r="O59" s="23">
        <f t="shared" si="11"/>
        <v>128344054.39226906</v>
      </c>
      <c r="P59" s="42">
        <f t="shared" si="12"/>
        <v>99.915408445592817</v>
      </c>
      <c r="Q59" s="45">
        <f>'Turkey Point Light Oil'!A59+'West County Light Oil'!A59+'Martin Light Oil'!A59+'Fort Myers Light Oil'!A60+'Port GT''s Jet Fuel'!A60+'Lauderdale Jet Fuel'!A60+'Cape Canaveral Light Oil'!A60+'Riviera Light Oil'!A60+'PEEC Light Oil'!A60+'Cedar Bay Light Oil'!A59+K59</f>
        <v>1340473.3602058319</v>
      </c>
    </row>
    <row r="60" spans="1:17">
      <c r="A60" s="13">
        <v>43282</v>
      </c>
      <c r="B60" s="16">
        <f>'Turkey Point Light Oil'!E60+'West County Light Oil'!E60+'Martin Light Oil'!E60+'Fort Myers Light Oil'!E61+'Port GT''s Jet Fuel'!E61+'Lauderdale Jet Fuel'!E61+'Cape Canaveral Light Oil'!E61+'Riviera Light Oil'!E61+'PEEC Light Oil'!E61+'Cedar Bay Light Oil'!E60</f>
        <v>1284795.3602058319</v>
      </c>
      <c r="C60" s="16">
        <f>'Turkey Point Light Oil'!F60+'West County Light Oil'!F60+'Martin Light Oil'!F60+'Fort Myers Light Oil'!F61+'Port GT''s Jet Fuel'!F61+'Lauderdale Jet Fuel'!F61+'Cape Canaveral Light Oil'!F61+'Riviera Light Oil'!F61+'PEEC Light Oil'!F61+'Cedar Bay Light Oil'!F60</f>
        <v>127039461.61949252</v>
      </c>
      <c r="D60" s="14">
        <f t="shared" si="6"/>
        <v>98.879141032343099</v>
      </c>
      <c r="E60" s="46">
        <f>'Turkey Point Light Oil'!H60+'West County Light Oil'!H60+'Martin Light Oil'!H60+'Fort Myers Light Oil'!H61+'Port GT''s Jet Fuel'!H61+'Lauderdale Jet Fuel'!H61+'Cape Canaveral Light Oil'!H61+'Riviera Light Oil'!H61+'PEEC Light Oil'!H61+'Cedar Bay Light Oil'!H60</f>
        <v>0</v>
      </c>
      <c r="F60" s="46">
        <f>'Turkey Point Light Oil'!I60+'West County Light Oil'!I60+'Martin Light Oil'!I60+'Fort Myers Light Oil'!I61+'Port GT''s Jet Fuel'!I61+'Lauderdale Jet Fuel'!I61+'Cape Canaveral Light Oil'!I61+'Riviera Light Oil'!I61+'PEEC Light Oil'!I61+'Cedar Bay Light Oil'!I60</f>
        <v>0</v>
      </c>
      <c r="G60" s="22">
        <f t="shared" si="0"/>
        <v>0</v>
      </c>
      <c r="H60" s="46">
        <f>'Turkey Point Light Oil'!K60+'West County Light Oil'!K60+'Martin Light Oil'!K60+'Fort Myers Light Oil'!K61+'Port GT''s Jet Fuel'!K61+'Lauderdale Jet Fuel'!K61+'Cape Canaveral Light Oil'!K61+'Riviera Light Oil'!K61+'PEEC Light Oil'!K61+'Cedar Bay Light Oil'!K60</f>
        <v>10181.646655231561</v>
      </c>
      <c r="I60" s="46">
        <f>'Turkey Point Light Oil'!L60+'West County Light Oil'!L60+'Martin Light Oil'!L60+'Fort Myers Light Oil'!L61+'Port GT''s Jet Fuel'!L61+'Lauderdale Jet Fuel'!L61+'Cape Canaveral Light Oil'!L61+'Riviera Light Oil'!L61+'PEEC Light Oil'!L61+'Cedar Bay Light Oil'!L60</f>
        <v>878556.43576771219</v>
      </c>
      <c r="J60" s="14">
        <f t="shared" si="1"/>
        <v>86.288246441580242</v>
      </c>
      <c r="K60" s="46">
        <f>'Turkey Point Light Oil'!N60+'West County Light Oil'!N60+'Martin Light Oil'!N60+'Fort Myers Light Oil'!N61+'Port GT''s Jet Fuel'!N61+'Lauderdale Jet Fuel'!N61+'Cape Canaveral Light Oil'!N61+'Riviera Light Oil'!N61+'PEEC Light Oil'!N61+'Cedar Bay Light Oil'!N60</f>
        <v>1274613.7135506005</v>
      </c>
      <c r="L60" s="46">
        <f>'Turkey Point Light Oil'!O60+'West County Light Oil'!O60+'Martin Light Oil'!O60+'Fort Myers Light Oil'!O61+'Port GT''s Jet Fuel'!O61+'Lauderdale Jet Fuel'!O61+'Cape Canaveral Light Oil'!O61+'Riviera Light Oil'!O61+'PEEC Light Oil'!O61+'Cedar Bay Light Oil'!O60</f>
        <v>126160905.18372481</v>
      </c>
      <c r="M60" s="22">
        <f t="shared" si="2"/>
        <v>98.979717417512617</v>
      </c>
      <c r="N60" s="23">
        <f t="shared" si="10"/>
        <v>1283435.6161762769</v>
      </c>
      <c r="O60" s="23">
        <f t="shared" si="11"/>
        <v>127989109.99680233</v>
      </c>
      <c r="P60" s="42">
        <f t="shared" si="12"/>
        <v>99.723825943149862</v>
      </c>
      <c r="Q60" s="45">
        <f>'Turkey Point Light Oil'!A60+'West County Light Oil'!A60+'Martin Light Oil'!A60+'Fort Myers Light Oil'!A61+'Port GT''s Jet Fuel'!A61+'Lauderdale Jet Fuel'!A61+'Cape Canaveral Light Oil'!A61+'Riviera Light Oil'!A61+'PEEC Light Oil'!A61+'Cedar Bay Light Oil'!A60+K60</f>
        <v>1330291.7135506005</v>
      </c>
    </row>
    <row r="61" spans="1:17">
      <c r="A61" s="13">
        <v>43313</v>
      </c>
      <c r="B61" s="16">
        <f>'Turkey Point Light Oil'!E61+'West County Light Oil'!E61+'Martin Light Oil'!E61+'Fort Myers Light Oil'!E62+'Port GT''s Jet Fuel'!E62+'Lauderdale Jet Fuel'!E62+'Cape Canaveral Light Oil'!E62+'Riviera Light Oil'!E62+'PEEC Light Oil'!E62+'Cedar Bay Light Oil'!E61</f>
        <v>1274613.7135506005</v>
      </c>
      <c r="C61" s="16">
        <f>'Turkey Point Light Oil'!F61+'West County Light Oil'!F61+'Martin Light Oil'!F61+'Fort Myers Light Oil'!F62+'Port GT''s Jet Fuel'!F62+'Lauderdale Jet Fuel'!F62+'Cape Canaveral Light Oil'!F62+'Riviera Light Oil'!F62+'PEEC Light Oil'!F62+'Cedar Bay Light Oil'!F61</f>
        <v>126160905.18372481</v>
      </c>
      <c r="D61" s="14">
        <f t="shared" si="6"/>
        <v>98.979717417512617</v>
      </c>
      <c r="E61" s="46">
        <f>'Turkey Point Light Oil'!H61+'West County Light Oil'!H61+'Martin Light Oil'!H61+'Fort Myers Light Oil'!H62+'Port GT''s Jet Fuel'!H62+'Lauderdale Jet Fuel'!H62+'Cape Canaveral Light Oil'!H62+'Riviera Light Oil'!H62+'PEEC Light Oil'!H62+'Cedar Bay Light Oil'!H61</f>
        <v>31172.38421955402</v>
      </c>
      <c r="F61" s="46">
        <f>'Turkey Point Light Oil'!I61+'West County Light Oil'!I61+'Martin Light Oil'!I61+'Fort Myers Light Oil'!I62+'Port GT''s Jet Fuel'!I62+'Lauderdale Jet Fuel'!I62+'Cape Canaveral Light Oil'!I62+'Riviera Light Oil'!I62+'PEEC Light Oil'!I62+'Cedar Bay Light Oil'!I61</f>
        <v>2359779.0030496144</v>
      </c>
      <c r="G61" s="22">
        <f t="shared" si="0"/>
        <v>75.700946915999978</v>
      </c>
      <c r="H61" s="46">
        <f>'Turkey Point Light Oil'!K61+'West County Light Oil'!K61+'Martin Light Oil'!K61+'Fort Myers Light Oil'!K62+'Port GT''s Jet Fuel'!K62+'Lauderdale Jet Fuel'!K62+'Cape Canaveral Light Oil'!K62+'Riviera Light Oil'!K62+'PEEC Light Oil'!K62+'Cedar Bay Light Oil'!K61</f>
        <v>21855.746140651801</v>
      </c>
      <c r="I61" s="46">
        <f>'Turkey Point Light Oil'!L61+'West County Light Oil'!L61+'Martin Light Oil'!L61+'Fort Myers Light Oil'!L62+'Port GT''s Jet Fuel'!L62+'Lauderdale Jet Fuel'!L62+'Cape Canaveral Light Oil'!L62+'Riviera Light Oil'!L62+'PEEC Light Oil'!L62+'Cedar Bay Light Oil'!L61</f>
        <v>1885828.5776303899</v>
      </c>
      <c r="J61" s="14">
        <f t="shared" si="1"/>
        <v>86.285252651372033</v>
      </c>
      <c r="K61" s="46">
        <f>'Turkey Point Light Oil'!N61+'West County Light Oil'!N61+'Martin Light Oil'!N61+'Fort Myers Light Oil'!N62+'Port GT''s Jet Fuel'!N62+'Lauderdale Jet Fuel'!N62+'Cape Canaveral Light Oil'!N62+'Riviera Light Oil'!N62+'PEEC Light Oil'!N62+'Cedar Bay Light Oil'!N61</f>
        <v>1283930.3516295028</v>
      </c>
      <c r="L61" s="46">
        <f>'Turkey Point Light Oil'!O61+'West County Light Oil'!O61+'Martin Light Oil'!O61+'Fort Myers Light Oil'!O62+'Port GT''s Jet Fuel'!O62+'Lauderdale Jet Fuel'!O62+'Cape Canaveral Light Oil'!O62+'Riviera Light Oil'!O62+'PEEC Light Oil'!O62+'Cedar Bay Light Oil'!O61</f>
        <v>126634855.60914405</v>
      </c>
      <c r="M61" s="22">
        <f t="shared" si="2"/>
        <v>98.630627002800551</v>
      </c>
      <c r="N61" s="23">
        <f t="shared" si="10"/>
        <v>1284171.7423142898</v>
      </c>
      <c r="O61" s="23">
        <f t="shared" si="11"/>
        <v>127774590.49088755</v>
      </c>
      <c r="P61" s="42">
        <f t="shared" si="12"/>
        <v>99.499612303115015</v>
      </c>
      <c r="Q61" s="45">
        <f>'Turkey Point Light Oil'!A61+'West County Light Oil'!A61+'Martin Light Oil'!A61+'Fort Myers Light Oil'!A62+'Port GT''s Jet Fuel'!A62+'Lauderdale Jet Fuel'!A62+'Cape Canaveral Light Oil'!A62+'Riviera Light Oil'!A62+'PEEC Light Oil'!A62+'Cedar Bay Light Oil'!A61+K61</f>
        <v>1339608.3516295028</v>
      </c>
    </row>
    <row r="62" spans="1:17">
      <c r="A62" s="13">
        <v>43344</v>
      </c>
      <c r="B62" s="16">
        <f>'Turkey Point Light Oil'!E62+'West County Light Oil'!E62+'Martin Light Oil'!E62+'Fort Myers Light Oil'!E63+'Port GT''s Jet Fuel'!E63+'Lauderdale Jet Fuel'!E63+'Cape Canaveral Light Oil'!E63+'Riviera Light Oil'!E63+'PEEC Light Oil'!E63+'Cedar Bay Light Oil'!E62</f>
        <v>1283930.3516295028</v>
      </c>
      <c r="C62" s="16">
        <f>'Turkey Point Light Oil'!F62+'West County Light Oil'!F62+'Martin Light Oil'!F62+'Fort Myers Light Oil'!F63+'Port GT''s Jet Fuel'!F63+'Lauderdale Jet Fuel'!F63+'Cape Canaveral Light Oil'!F63+'Riviera Light Oil'!F63+'PEEC Light Oil'!F63+'Cedar Bay Light Oil'!F62</f>
        <v>126634855.60914405</v>
      </c>
      <c r="D62" s="14">
        <f t="shared" si="6"/>
        <v>98.630627002800551</v>
      </c>
      <c r="E62" s="46">
        <f>'Turkey Point Light Oil'!H62+'West County Light Oil'!H62+'Martin Light Oil'!H62+'Fort Myers Light Oil'!H63+'Port GT''s Jet Fuel'!H63+'Lauderdale Jet Fuel'!H63+'Cape Canaveral Light Oil'!H63+'Riviera Light Oil'!H63+'PEEC Light Oil'!H63+'Cedar Bay Light Oil'!H62</f>
        <v>12761.578044596918</v>
      </c>
      <c r="F62" s="46">
        <f>'Turkey Point Light Oil'!I62+'West County Light Oil'!I62+'Martin Light Oil'!I62+'Fort Myers Light Oil'!I63+'Port GT''s Jet Fuel'!I63+'Lauderdale Jet Fuel'!I63+'Cape Canaveral Light Oil'!I63+'Riviera Light Oil'!I63+'PEEC Light Oil'!I63+'Cedar Bay Light Oil'!I62</f>
        <v>973031.36373077205</v>
      </c>
      <c r="G62" s="22">
        <f t="shared" si="0"/>
        <v>76.246946915999985</v>
      </c>
      <c r="H62" s="46">
        <f>'Turkey Point Light Oil'!K62+'West County Light Oil'!K62+'Martin Light Oil'!K62+'Fort Myers Light Oil'!K63+'Port GT''s Jet Fuel'!K63+'Lauderdale Jet Fuel'!K63+'Cape Canaveral Light Oil'!K63+'Riviera Light Oil'!K63+'PEEC Light Oil'!K63+'Cedar Bay Light Oil'!K62</f>
        <v>19763.979416809605</v>
      </c>
      <c r="I62" s="46">
        <f>'Turkey Point Light Oil'!L62+'West County Light Oil'!L62+'Martin Light Oil'!L62+'Fort Myers Light Oil'!L63+'Port GT''s Jet Fuel'!L63+'Lauderdale Jet Fuel'!L63+'Cape Canaveral Light Oil'!L63+'Riviera Light Oil'!L63+'PEEC Light Oil'!L63+'Cedar Bay Light Oil'!L62</f>
        <v>1690880.7358454869</v>
      </c>
      <c r="J62" s="14">
        <f t="shared" si="1"/>
        <v>85.553658005096068</v>
      </c>
      <c r="K62" s="46">
        <f>'Turkey Point Light Oil'!N62+'West County Light Oil'!N62+'Martin Light Oil'!N62+'Fort Myers Light Oil'!N63+'Port GT''s Jet Fuel'!N63+'Lauderdale Jet Fuel'!N63+'Cape Canaveral Light Oil'!N63+'Riviera Light Oil'!N63+'PEEC Light Oil'!N63+'Cedar Bay Light Oil'!N62</f>
        <v>1276927.9502572902</v>
      </c>
      <c r="L62" s="46">
        <f>'Turkey Point Light Oil'!O62+'West County Light Oil'!O62+'Martin Light Oil'!O62+'Fort Myers Light Oil'!O63+'Port GT''s Jet Fuel'!O63+'Lauderdale Jet Fuel'!O63+'Cape Canaveral Light Oil'!O63+'Riviera Light Oil'!O63+'PEEC Light Oil'!O63+'Cedar Bay Light Oil'!O62</f>
        <v>125917006.23702931</v>
      </c>
      <c r="M62" s="22">
        <f t="shared" si="2"/>
        <v>98.609327340401705</v>
      </c>
      <c r="N62" s="23">
        <f t="shared" si="10"/>
        <v>1284165.5409684656</v>
      </c>
      <c r="O62" s="23">
        <f t="shared" si="11"/>
        <v>127539177.28934495</v>
      </c>
      <c r="P62" s="42">
        <f t="shared" si="12"/>
        <v>99.316772815099895</v>
      </c>
      <c r="Q62" s="45">
        <f>'Turkey Point Light Oil'!A62+'West County Light Oil'!A62+'Martin Light Oil'!A62+'Fort Myers Light Oil'!A63+'Port GT''s Jet Fuel'!A63+'Lauderdale Jet Fuel'!A63+'Cape Canaveral Light Oil'!A63+'Riviera Light Oil'!A63+'PEEC Light Oil'!A63+'Cedar Bay Light Oil'!A62+K62</f>
        <v>1332605.9502572902</v>
      </c>
    </row>
    <row r="63" spans="1:17">
      <c r="A63" s="13">
        <v>43374</v>
      </c>
      <c r="B63" s="16">
        <f>'Turkey Point Light Oil'!E63+'West County Light Oil'!E63+'Martin Light Oil'!E63+'Fort Myers Light Oil'!E64+'Port GT''s Jet Fuel'!E64+'Lauderdale Jet Fuel'!E64+'Cape Canaveral Light Oil'!E64+'Riviera Light Oil'!E64+'PEEC Light Oil'!E64+'Cedar Bay Light Oil'!E63</f>
        <v>1276927.9502572902</v>
      </c>
      <c r="C63" s="16">
        <f>'Turkey Point Light Oil'!F63+'West County Light Oil'!F63+'Martin Light Oil'!F63+'Fort Myers Light Oil'!F64+'Port GT''s Jet Fuel'!F64+'Lauderdale Jet Fuel'!F64+'Cape Canaveral Light Oil'!F64+'Riviera Light Oil'!F64+'PEEC Light Oil'!F64+'Cedar Bay Light Oil'!F63</f>
        <v>125917006.23702931</v>
      </c>
      <c r="D63" s="14">
        <f t="shared" si="6"/>
        <v>98.609327340401705</v>
      </c>
      <c r="E63" s="46">
        <f>'Turkey Point Light Oil'!H63+'West County Light Oil'!H63+'Martin Light Oil'!H63+'Fort Myers Light Oil'!H64+'Port GT''s Jet Fuel'!H64+'Lauderdale Jet Fuel'!H64+'Cape Canaveral Light Oil'!H64+'Riviera Light Oil'!H64+'PEEC Light Oil'!H64+'Cedar Bay Light Oil'!H63</f>
        <v>24582.161234991407</v>
      </c>
      <c r="F63" s="46">
        <f>'Turkey Point Light Oil'!I63+'West County Light Oil'!I63+'Martin Light Oil'!I63+'Fort Myers Light Oil'!I64+'Port GT''s Jet Fuel'!I64+'Lauderdale Jet Fuel'!I64+'Cape Canaveral Light Oil'!I64+'Riviera Light Oil'!I64+'PEEC Light Oil'!I64+'Cedar Bay Light Oil'!I63</f>
        <v>1887220.3774133129</v>
      </c>
      <c r="G63" s="22">
        <f t="shared" si="0"/>
        <v>76.77194691599999</v>
      </c>
      <c r="H63" s="46">
        <f>'Turkey Point Light Oil'!K63+'West County Light Oil'!K63+'Martin Light Oil'!K63+'Fort Myers Light Oil'!K64+'Port GT''s Jet Fuel'!K64+'Lauderdale Jet Fuel'!K64+'Cape Canaveral Light Oil'!K64+'Riviera Light Oil'!K64+'PEEC Light Oil'!K64+'Cedar Bay Light Oil'!K63</f>
        <v>19075.643224699827</v>
      </c>
      <c r="I63" s="46">
        <f>'Turkey Point Light Oil'!L63+'West County Light Oil'!L63+'Martin Light Oil'!L63+'Fort Myers Light Oil'!L64+'Port GT''s Jet Fuel'!L64+'Lauderdale Jet Fuel'!L64+'Cape Canaveral Light Oil'!L64+'Riviera Light Oil'!L64+'PEEC Light Oil'!L64+'Cedar Bay Light Oil'!L63</f>
        <v>1704545.3860025739</v>
      </c>
      <c r="J63" s="14">
        <f t="shared" si="1"/>
        <v>89.357164312837824</v>
      </c>
      <c r="K63" s="46">
        <f>'Turkey Point Light Oil'!N63+'West County Light Oil'!N63+'Martin Light Oil'!N63+'Fort Myers Light Oil'!N64+'Port GT''s Jet Fuel'!N64+'Lauderdale Jet Fuel'!N64+'Cape Canaveral Light Oil'!N64+'Riviera Light Oil'!N64+'PEEC Light Oil'!N64+'Cedar Bay Light Oil'!N63</f>
        <v>1282434.4682675817</v>
      </c>
      <c r="L63" s="46">
        <f>'Turkey Point Light Oil'!O63+'West County Light Oil'!O63+'Martin Light Oil'!O63+'Fort Myers Light Oil'!O64+'Port GT''s Jet Fuel'!O64+'Lauderdale Jet Fuel'!O64+'Cape Canaveral Light Oil'!O64+'Riviera Light Oil'!O64+'PEEC Light Oil'!O64+'Cedar Bay Light Oil'!O63</f>
        <v>126099681.22844005</v>
      </c>
      <c r="M63" s="22">
        <f t="shared" si="2"/>
        <v>98.328362461113443</v>
      </c>
      <c r="N63" s="23">
        <f t="shared" si="10"/>
        <v>1284297.4185248716</v>
      </c>
      <c r="O63" s="23">
        <f t="shared" si="11"/>
        <v>127325783.58992004</v>
      </c>
      <c r="P63" s="42">
        <f t="shared" si="12"/>
        <v>99.140418530284748</v>
      </c>
      <c r="Q63" s="45">
        <f>'Turkey Point Light Oil'!A63+'West County Light Oil'!A63+'Martin Light Oil'!A63+'Fort Myers Light Oil'!A64+'Port GT''s Jet Fuel'!A64+'Lauderdale Jet Fuel'!A64+'Cape Canaveral Light Oil'!A64+'Riviera Light Oil'!A64+'PEEC Light Oil'!A64+'Cedar Bay Light Oil'!A63+K63</f>
        <v>1338112.4682675817</v>
      </c>
    </row>
    <row r="64" spans="1:17">
      <c r="A64" s="13">
        <v>43405</v>
      </c>
      <c r="B64" s="16">
        <f>'Turkey Point Light Oil'!E64+'West County Light Oil'!E64+'Martin Light Oil'!E64+'Fort Myers Light Oil'!E65+'Port GT''s Jet Fuel'!E65+'Lauderdale Jet Fuel'!E65+'Cape Canaveral Light Oil'!E65+'Riviera Light Oil'!E65+'PEEC Light Oil'!E65+'Cedar Bay Light Oil'!E64</f>
        <v>1282434.4682675817</v>
      </c>
      <c r="C64" s="16">
        <f>'Turkey Point Light Oil'!F64+'West County Light Oil'!F64+'Martin Light Oil'!F64+'Fort Myers Light Oil'!F65+'Port GT''s Jet Fuel'!F65+'Lauderdale Jet Fuel'!F65+'Cape Canaveral Light Oil'!F65+'Riviera Light Oil'!F65+'PEEC Light Oil'!F65+'Cedar Bay Light Oil'!F64</f>
        <v>126099681.22844005</v>
      </c>
      <c r="D64" s="14">
        <f t="shared" si="6"/>
        <v>98.328362461113443</v>
      </c>
      <c r="E64" s="46">
        <f>'Turkey Point Light Oil'!H64+'West County Light Oil'!H64+'Martin Light Oil'!H64+'Fort Myers Light Oil'!H65+'Port GT''s Jet Fuel'!H65+'Lauderdale Jet Fuel'!H65+'Cape Canaveral Light Oil'!H65+'Riviera Light Oil'!H65+'PEEC Light Oil'!H65+'Cedar Bay Light Oil'!H64</f>
        <v>10291.595197255574</v>
      </c>
      <c r="F64" s="46">
        <f>'Turkey Point Light Oil'!I64+'West County Light Oil'!I64+'Martin Light Oil'!I64+'Fort Myers Light Oil'!I65+'Port GT''s Jet Fuel'!I65+'Lauderdale Jet Fuel'!I65+'Cape Canaveral Light Oil'!I65+'Riviera Light Oil'!I65+'PEEC Light Oil'!I65+'Cedar Bay Light Oil'!I64</f>
        <v>794212.14664837054</v>
      </c>
      <c r="G64" s="22">
        <f t="shared" si="0"/>
        <v>77.170946916000005</v>
      </c>
      <c r="H64" s="46">
        <f>'Turkey Point Light Oil'!K64+'West County Light Oil'!K64+'Martin Light Oil'!K64+'Fort Myers Light Oil'!K65+'Port GT''s Jet Fuel'!K65+'Lauderdale Jet Fuel'!K65+'Cape Canaveral Light Oil'!K65+'Riviera Light Oil'!K65+'PEEC Light Oil'!K65+'Cedar Bay Light Oil'!K64</f>
        <v>16822.641509433961</v>
      </c>
      <c r="I64" s="46">
        <f>'Turkey Point Light Oil'!L64+'West County Light Oil'!L64+'Martin Light Oil'!L64+'Fort Myers Light Oil'!L65+'Port GT''s Jet Fuel'!L65+'Lauderdale Jet Fuel'!L65+'Cape Canaveral Light Oil'!L65+'Riviera Light Oil'!L65+'PEEC Light Oil'!L65+'Cedar Bay Light Oil'!L64</f>
        <v>1326581.9156840243</v>
      </c>
      <c r="J64" s="14">
        <f t="shared" si="1"/>
        <v>78.856933076775789</v>
      </c>
      <c r="K64" s="46">
        <f>'Turkey Point Light Oil'!N64+'West County Light Oil'!N64+'Martin Light Oil'!N64+'Fort Myers Light Oil'!N65+'Port GT''s Jet Fuel'!N65+'Lauderdale Jet Fuel'!N65+'Cape Canaveral Light Oil'!N65+'Riviera Light Oil'!N65+'PEEC Light Oil'!N65+'Cedar Bay Light Oil'!N64</f>
        <v>1275903.4219554032</v>
      </c>
      <c r="L64" s="46">
        <f>'Turkey Point Light Oil'!O64+'West County Light Oil'!O64+'Martin Light Oil'!O64+'Fort Myers Light Oil'!O65+'Port GT''s Jet Fuel'!O65+'Lauderdale Jet Fuel'!O65+'Cape Canaveral Light Oil'!O65+'Riviera Light Oil'!O65+'PEEC Light Oil'!O65+'Cedar Bay Light Oil'!O64</f>
        <v>125567311.45940441</v>
      </c>
      <c r="M64" s="22">
        <f t="shared" si="2"/>
        <v>98.414432706015091</v>
      </c>
      <c r="N64" s="23">
        <f t="shared" si="10"/>
        <v>1283645.5911070062</v>
      </c>
      <c r="O64" s="23">
        <f t="shared" si="11"/>
        <v>127057595.29494445</v>
      </c>
      <c r="P64" s="42">
        <f t="shared" si="12"/>
        <v>98.981834374837803</v>
      </c>
      <c r="Q64" s="45">
        <f>'Turkey Point Light Oil'!A64+'West County Light Oil'!A64+'Martin Light Oil'!A64+'Fort Myers Light Oil'!A65+'Port GT''s Jet Fuel'!A65+'Lauderdale Jet Fuel'!A65+'Cape Canaveral Light Oil'!A65+'Riviera Light Oil'!A65+'PEEC Light Oil'!A65+'Cedar Bay Light Oil'!A64+K64</f>
        <v>1331581.4219554032</v>
      </c>
    </row>
    <row r="65" spans="1:17">
      <c r="A65" s="13">
        <v>43435</v>
      </c>
      <c r="B65" s="16">
        <f>'Turkey Point Light Oil'!E65+'West County Light Oil'!E65+'Martin Light Oil'!E65+'Fort Myers Light Oil'!E66+'Port GT''s Jet Fuel'!E66+'Lauderdale Jet Fuel'!E66+'Cape Canaveral Light Oil'!E66+'Riviera Light Oil'!E66+'PEEC Light Oil'!E66+'Cedar Bay Light Oil'!E65</f>
        <v>1275903.4219554032</v>
      </c>
      <c r="C65" s="16">
        <f>'Turkey Point Light Oil'!F65+'West County Light Oil'!F65+'Martin Light Oil'!F65+'Fort Myers Light Oil'!F66+'Port GT''s Jet Fuel'!F66+'Lauderdale Jet Fuel'!F66+'Cape Canaveral Light Oil'!F66+'Riviera Light Oil'!F66+'PEEC Light Oil'!F66+'Cedar Bay Light Oil'!F65</f>
        <v>125567311.45940441</v>
      </c>
      <c r="D65" s="14">
        <f t="shared" si="6"/>
        <v>98.414432706015091</v>
      </c>
      <c r="E65" s="46">
        <f>'Turkey Point Light Oil'!H65+'West County Light Oil'!H65+'Martin Light Oil'!H65+'Fort Myers Light Oil'!H66+'Port GT''s Jet Fuel'!H66+'Lauderdale Jet Fuel'!H66+'Cape Canaveral Light Oil'!H66+'Riviera Light Oil'!H66+'PEEC Light Oil'!H66+'Cedar Bay Light Oil'!H65</f>
        <v>0</v>
      </c>
      <c r="F65" s="46">
        <f>'Turkey Point Light Oil'!I65+'West County Light Oil'!I65+'Martin Light Oil'!I65+'Fort Myers Light Oil'!I66+'Port GT''s Jet Fuel'!I66+'Lauderdale Jet Fuel'!I66+'Cape Canaveral Light Oil'!I66+'Riviera Light Oil'!I66+'PEEC Light Oil'!I66+'Cedar Bay Light Oil'!I65</f>
        <v>0</v>
      </c>
      <c r="G65" s="22">
        <f t="shared" si="0"/>
        <v>0</v>
      </c>
      <c r="H65" s="46">
        <f>'Turkey Point Light Oil'!K65+'West County Light Oil'!K65+'Martin Light Oil'!K65+'Fort Myers Light Oil'!K66+'Port GT''s Jet Fuel'!K66+'Lauderdale Jet Fuel'!K66+'Cape Canaveral Light Oil'!K66+'Riviera Light Oil'!K66+'PEEC Light Oil'!K66+'Cedar Bay Light Oil'!K65</f>
        <v>17551.286449399657</v>
      </c>
      <c r="I65" s="46">
        <f>'Turkey Point Light Oil'!L65+'West County Light Oil'!L65+'Martin Light Oil'!L65+'Fort Myers Light Oil'!L66+'Port GT''s Jet Fuel'!L66+'Lauderdale Jet Fuel'!L66+'Cape Canaveral Light Oil'!L66+'Riviera Light Oil'!L66+'PEEC Light Oil'!L66+'Cedar Bay Light Oil'!L65</f>
        <v>1414130.3213261764</v>
      </c>
      <c r="J65" s="14">
        <f t="shared" si="1"/>
        <v>80.57132025069005</v>
      </c>
      <c r="K65" s="46">
        <f>'Turkey Point Light Oil'!N65+'West County Light Oil'!N65+'Martin Light Oil'!N65+'Fort Myers Light Oil'!N66+'Port GT''s Jet Fuel'!N66+'Lauderdale Jet Fuel'!N66+'Cape Canaveral Light Oil'!N66+'Riviera Light Oil'!N66+'PEEC Light Oil'!N66+'Cedar Bay Light Oil'!N65</f>
        <v>1258352.1355060036</v>
      </c>
      <c r="L65" s="46">
        <f>'Turkey Point Light Oil'!O65+'West County Light Oil'!O65+'Martin Light Oil'!O65+'Fort Myers Light Oil'!O66+'Port GT''s Jet Fuel'!O66+'Lauderdale Jet Fuel'!O66+'Cape Canaveral Light Oil'!O66+'Riviera Light Oil'!O66+'PEEC Light Oil'!O66+'Cedar Bay Light Oil'!O65</f>
        <v>124153181.13807824</v>
      </c>
      <c r="M65" s="22">
        <f t="shared" si="2"/>
        <v>98.663305473037767</v>
      </c>
      <c r="N65" s="23">
        <f t="shared" si="10"/>
        <v>1282288.4727536617</v>
      </c>
      <c r="O65" s="23">
        <f t="shared" si="11"/>
        <v>126813305.35085145</v>
      </c>
      <c r="P65" s="42">
        <f t="shared" si="12"/>
        <v>98.896081533451749</v>
      </c>
      <c r="Q65" s="45">
        <f>'Turkey Point Light Oil'!A65+'West County Light Oil'!A65+'Martin Light Oil'!A65+'Fort Myers Light Oil'!A66+'Port GT''s Jet Fuel'!A66+'Lauderdale Jet Fuel'!A66+'Cape Canaveral Light Oil'!A66+'Riviera Light Oil'!A66+'PEEC Light Oil'!A66+'Cedar Bay Light Oil'!A65+K65</f>
        <v>1314030.1355060036</v>
      </c>
    </row>
    <row r="66" spans="1:17">
      <c r="A66" s="13">
        <v>43466</v>
      </c>
      <c r="B66" s="16">
        <f>'Turkey Point Light Oil'!E66+'West County Light Oil'!E66+'Martin Light Oil'!E66+'Fort Myers Light Oil'!E67+'Port GT''s Jet Fuel'!E67+'Lauderdale Jet Fuel'!E67+'Cape Canaveral Light Oil'!E67+'Riviera Light Oil'!E67+'PEEC Light Oil'!E67+'Cedar Bay Light Oil'!E66</f>
        <v>1258352.1355060036</v>
      </c>
      <c r="C66" s="16">
        <f>'Turkey Point Light Oil'!F66+'West County Light Oil'!F66+'Martin Light Oil'!F66+'Fort Myers Light Oil'!F67+'Port GT''s Jet Fuel'!F67+'Lauderdale Jet Fuel'!F67+'Cape Canaveral Light Oil'!F67+'Riviera Light Oil'!F67+'PEEC Light Oil'!F67+'Cedar Bay Light Oil'!F66</f>
        <v>124153181.13807824</v>
      </c>
      <c r="D66" s="14">
        <f t="shared" ref="D66:D89" si="13">C66/B66</f>
        <v>98.663305473037767</v>
      </c>
      <c r="E66" s="46">
        <f>'Turkey Point Light Oil'!H66+'West County Light Oil'!H66+'Martin Light Oil'!H66+'Fort Myers Light Oil'!H67+'Port GT''s Jet Fuel'!H67+'Lauderdale Jet Fuel'!H67+'Cape Canaveral Light Oil'!H67+'Riviera Light Oil'!H67+'PEEC Light Oil'!H67+'Cedar Bay Light Oil'!H66</f>
        <v>26649.399656946811</v>
      </c>
      <c r="F66" s="46">
        <f>'Turkey Point Light Oil'!I66+'West County Light Oil'!I66+'Martin Light Oil'!I66+'Fort Myers Light Oil'!I67+'Port GT''s Jet Fuel'!I67+'Lauderdale Jet Fuel'!I67+'Cape Canaveral Light Oil'!I67+'Riviera Light Oil'!I67+'PEEC Light Oil'!I67+'Cedar Bay Light Oil'!I66</f>
        <v>2218515.1777546029</v>
      </c>
      <c r="G66" s="22">
        <f t="shared" ref="G66:G89" si="14">IF(E66=0,0,F66/E66)</f>
        <v>83.248223461435202</v>
      </c>
      <c r="H66" s="46">
        <f>'Turkey Point Light Oil'!K66+'West County Light Oil'!K66+'Martin Light Oil'!K66+'Fort Myers Light Oil'!K67+'Port GT''s Jet Fuel'!K67+'Lauderdale Jet Fuel'!K67+'Cape Canaveral Light Oil'!K67+'Riviera Light Oil'!K67+'PEEC Light Oil'!K67+'Cedar Bay Light Oil'!K66</f>
        <v>3913.8936535162952</v>
      </c>
      <c r="I66" s="46">
        <f>'Turkey Point Light Oil'!L66+'West County Light Oil'!L66+'Martin Light Oil'!L66+'Fort Myers Light Oil'!L67+'Port GT''s Jet Fuel'!L67+'Lauderdale Jet Fuel'!L67+'Cape Canaveral Light Oil'!L67+'Riviera Light Oil'!L67+'PEEC Light Oil'!L67+'Cedar Bay Light Oil'!L66</f>
        <v>378770.24884830287</v>
      </c>
      <c r="J66" s="14">
        <f t="shared" ref="J66:J89" si="15">IF(H66=0,0,I66/H66)</f>
        <v>96.775815180366621</v>
      </c>
      <c r="K66" s="46">
        <f>'Turkey Point Light Oil'!N66+'West County Light Oil'!N66+'Martin Light Oil'!N66+'Fort Myers Light Oil'!N67+'Port GT''s Jet Fuel'!N67+'Lauderdale Jet Fuel'!N67+'Cape Canaveral Light Oil'!N67+'Riviera Light Oil'!N67+'PEEC Light Oil'!N67+'Cedar Bay Light Oil'!N66</f>
        <v>1281087.641509434</v>
      </c>
      <c r="L66" s="46">
        <f>'Turkey Point Light Oil'!O66+'West County Light Oil'!O66+'Martin Light Oil'!O66+'Fort Myers Light Oil'!O67+'Port GT''s Jet Fuel'!O67+'Lauderdale Jet Fuel'!O67+'Cape Canaveral Light Oil'!O67+'Riviera Light Oil'!O67+'PEEC Light Oil'!O67+'Cedar Bay Light Oil'!O66</f>
        <v>125992926.06698453</v>
      </c>
      <c r="M66" s="22">
        <f t="shared" ref="M66:M89" si="16">IF(K66=0,0,L66/K66)</f>
        <v>98.348404890186984</v>
      </c>
      <c r="N66" s="74">
        <f t="shared" ref="N66:N89" si="17">AVERAGE(K54:K66)</f>
        <v>1281480.8728064389</v>
      </c>
      <c r="O66" s="74">
        <f t="shared" ref="O66:O89" si="18">AVERAGE(L54:L66)</f>
        <v>126629916.98264752</v>
      </c>
      <c r="P66" s="42">
        <f t="shared" ref="P66:P89" si="19">IF(N66=0,0,O66/N66)</f>
        <v>98.815300071805538</v>
      </c>
      <c r="Q66" s="45">
        <f>'Turkey Point Light Oil'!A66+'West County Light Oil'!A66+'Martin Light Oil'!A66+'Fort Myers Light Oil'!A67+'Port GT''s Jet Fuel'!A67+'Lauderdale Jet Fuel'!A67+'Cape Canaveral Light Oil'!A67+'Riviera Light Oil'!A67+'PEEC Light Oil'!A67+'Cedar Bay Light Oil'!A66+K66</f>
        <v>1336765.641509434</v>
      </c>
    </row>
    <row r="67" spans="1:17">
      <c r="A67" s="13">
        <v>43497</v>
      </c>
      <c r="B67" s="16">
        <f>'Turkey Point Light Oil'!E67+'West County Light Oil'!E67+'Martin Light Oil'!E67+'Fort Myers Light Oil'!E68+'Port GT''s Jet Fuel'!E68+'Lauderdale Jet Fuel'!E68+'Cape Canaveral Light Oil'!E68+'Riviera Light Oil'!E68+'PEEC Light Oil'!E68+'Cedar Bay Light Oil'!E67</f>
        <v>1281087.641509434</v>
      </c>
      <c r="C67" s="16">
        <f>'Turkey Point Light Oil'!F67+'West County Light Oil'!F67+'Martin Light Oil'!F67+'Fort Myers Light Oil'!F68+'Port GT''s Jet Fuel'!F68+'Lauderdale Jet Fuel'!F68+'Cape Canaveral Light Oil'!F68+'Riviera Light Oil'!F68+'PEEC Light Oil'!F68+'Cedar Bay Light Oil'!F67</f>
        <v>125992926.06698453</v>
      </c>
      <c r="D67" s="14">
        <f t="shared" si="13"/>
        <v>98.348404890186984</v>
      </c>
      <c r="E67" s="46">
        <f>'Turkey Point Light Oil'!H67+'West County Light Oil'!H67+'Martin Light Oil'!H67+'Fort Myers Light Oil'!H68+'Port GT''s Jet Fuel'!H68+'Lauderdale Jet Fuel'!H68+'Cape Canaveral Light Oil'!H68+'Riviera Light Oil'!H68+'PEEC Light Oil'!H68+'Cedar Bay Light Oil'!H67</f>
        <v>0</v>
      </c>
      <c r="F67" s="46">
        <f>'Turkey Point Light Oil'!I67+'West County Light Oil'!I67+'Martin Light Oil'!I67+'Fort Myers Light Oil'!I68+'Port GT''s Jet Fuel'!I68+'Lauderdale Jet Fuel'!I68+'Cape Canaveral Light Oil'!I68+'Riviera Light Oil'!I68+'PEEC Light Oil'!I68+'Cedar Bay Light Oil'!I67</f>
        <v>0</v>
      </c>
      <c r="G67" s="22">
        <f t="shared" si="14"/>
        <v>0</v>
      </c>
      <c r="H67" s="46">
        <f>'Turkey Point Light Oil'!K67+'West County Light Oil'!K67+'Martin Light Oil'!K67+'Fort Myers Light Oil'!K68+'Port GT''s Jet Fuel'!K68+'Lauderdale Jet Fuel'!K68+'Cape Canaveral Light Oil'!K68+'Riviera Light Oil'!K68+'PEEC Light Oil'!K68+'Cedar Bay Light Oil'!K67</f>
        <v>2586.9639794168097</v>
      </c>
      <c r="I67" s="46">
        <f>'Turkey Point Light Oil'!L67+'West County Light Oil'!L67+'Martin Light Oil'!L67+'Fort Myers Light Oil'!L68+'Port GT''s Jet Fuel'!L68+'Lauderdale Jet Fuel'!L68+'Cape Canaveral Light Oil'!L68+'Riviera Light Oil'!L68+'PEEC Light Oil'!L68+'Cedar Bay Light Oil'!L67</f>
        <v>282829.17844475212</v>
      </c>
      <c r="J67" s="14">
        <f t="shared" si="15"/>
        <v>109.32861094900575</v>
      </c>
      <c r="K67" s="46">
        <f>'Turkey Point Light Oil'!N67+'West County Light Oil'!N67+'Martin Light Oil'!N67+'Fort Myers Light Oil'!N68+'Port GT''s Jet Fuel'!N68+'Lauderdale Jet Fuel'!N68+'Cape Canaveral Light Oil'!N68+'Riviera Light Oil'!N68+'PEEC Light Oil'!N68+'Cedar Bay Light Oil'!N67</f>
        <v>1278500.6775300172</v>
      </c>
      <c r="L67" s="46">
        <f>'Turkey Point Light Oil'!O67+'West County Light Oil'!O67+'Martin Light Oil'!O67+'Fort Myers Light Oil'!O68+'Port GT''s Jet Fuel'!O68+'Lauderdale Jet Fuel'!O68+'Cape Canaveral Light Oil'!O68+'Riviera Light Oil'!O68+'PEEC Light Oil'!O68+'Cedar Bay Light Oil'!O67</f>
        <v>125710096.88853978</v>
      </c>
      <c r="M67" s="22">
        <f t="shared" si="16"/>
        <v>98.32618714868714</v>
      </c>
      <c r="N67" s="74">
        <f t="shared" si="17"/>
        <v>1279739.1522628316</v>
      </c>
      <c r="O67" s="74">
        <f t="shared" si="18"/>
        <v>126379637.72327012</v>
      </c>
      <c r="P67" s="42">
        <f t="shared" si="19"/>
        <v>98.754216825988294</v>
      </c>
      <c r="Q67" s="45">
        <f>'Turkey Point Light Oil'!A67+'West County Light Oil'!A67+'Martin Light Oil'!A67+'Fort Myers Light Oil'!A68+'Port GT''s Jet Fuel'!A68+'Lauderdale Jet Fuel'!A68+'Cape Canaveral Light Oil'!A68+'Riviera Light Oil'!A68+'PEEC Light Oil'!A68+'Cedar Bay Light Oil'!A67+K67</f>
        <v>1334178.6775300172</v>
      </c>
    </row>
    <row r="68" spans="1:17">
      <c r="A68" s="13">
        <v>43525</v>
      </c>
      <c r="B68" s="16">
        <f>'Turkey Point Light Oil'!E68+'West County Light Oil'!E68+'Martin Light Oil'!E68+'Fort Myers Light Oil'!E69+'Port GT''s Jet Fuel'!E69+'Lauderdale Jet Fuel'!E69+'Cape Canaveral Light Oil'!E69+'Riviera Light Oil'!E69+'PEEC Light Oil'!E69+'Cedar Bay Light Oil'!E68</f>
        <v>1278500.6775300172</v>
      </c>
      <c r="C68" s="16">
        <f>'Turkey Point Light Oil'!F68+'West County Light Oil'!F68+'Martin Light Oil'!F68+'Fort Myers Light Oil'!F69+'Port GT''s Jet Fuel'!F69+'Lauderdale Jet Fuel'!F69+'Cape Canaveral Light Oil'!F69+'Riviera Light Oil'!F69+'PEEC Light Oil'!F69+'Cedar Bay Light Oil'!F68</f>
        <v>125710096.88853978</v>
      </c>
      <c r="D68" s="14">
        <f t="shared" si="13"/>
        <v>98.32618714868714</v>
      </c>
      <c r="E68" s="46">
        <f>'Turkey Point Light Oil'!H68+'West County Light Oil'!H68+'Martin Light Oil'!H68+'Fort Myers Light Oil'!H69+'Port GT''s Jet Fuel'!H69+'Lauderdale Jet Fuel'!H69+'Cape Canaveral Light Oil'!H69+'Riviera Light Oil'!H69+'PEEC Light Oil'!H69+'Cedar Bay Light Oil'!H68</f>
        <v>29228.130360205832</v>
      </c>
      <c r="F68" s="46">
        <f>'Turkey Point Light Oil'!I68+'West County Light Oil'!I68+'Martin Light Oil'!I68+'Fort Myers Light Oil'!I69+'Port GT''s Jet Fuel'!I69+'Lauderdale Jet Fuel'!I69+'Cape Canaveral Light Oil'!I69+'Riviera Light Oil'!I69+'PEEC Light Oil'!I69+'Cedar Bay Light Oil'!I68</f>
        <v>2627201.8669133806</v>
      </c>
      <c r="G68" s="22">
        <f t="shared" si="14"/>
        <v>89.886073263527038</v>
      </c>
      <c r="H68" s="46">
        <f>'Turkey Point Light Oil'!K68+'West County Light Oil'!K68+'Martin Light Oil'!K68+'Fort Myers Light Oil'!K69+'Port GT''s Jet Fuel'!K69+'Lauderdale Jet Fuel'!K69+'Cape Canaveral Light Oil'!K69+'Riviera Light Oil'!K69+'PEEC Light Oil'!K69+'Cedar Bay Light Oil'!K68</f>
        <v>10461.749571183533</v>
      </c>
      <c r="I68" s="46">
        <f>'Turkey Point Light Oil'!L68+'West County Light Oil'!L68+'Martin Light Oil'!L68+'Fort Myers Light Oil'!L69+'Port GT''s Jet Fuel'!L69+'Lauderdale Jet Fuel'!L69+'Cape Canaveral Light Oil'!L69+'Riviera Light Oil'!L69+'PEEC Light Oil'!L69+'Cedar Bay Light Oil'!L68</f>
        <v>835071.20139768242</v>
      </c>
      <c r="J68" s="14">
        <f t="shared" si="15"/>
        <v>79.821371723315991</v>
      </c>
      <c r="K68" s="46">
        <f>'Turkey Point Light Oil'!N68+'West County Light Oil'!N68+'Martin Light Oil'!N68+'Fort Myers Light Oil'!N69+'Port GT''s Jet Fuel'!N69+'Lauderdale Jet Fuel'!N69+'Cape Canaveral Light Oil'!N69+'Riviera Light Oil'!N69+'PEEC Light Oil'!N69+'Cedar Bay Light Oil'!N68</f>
        <v>1297267.0583190394</v>
      </c>
      <c r="L68" s="46">
        <f>'Turkey Point Light Oil'!O68+'West County Light Oil'!O68+'Martin Light Oil'!O68+'Fort Myers Light Oil'!O69+'Port GT''s Jet Fuel'!O69+'Lauderdale Jet Fuel'!O69+'Cape Canaveral Light Oil'!O69+'Riviera Light Oil'!O69+'PEEC Light Oil'!O69+'Cedar Bay Light Oil'!O68</f>
        <v>127502227.55405547</v>
      </c>
      <c r="M68" s="22">
        <f t="shared" si="16"/>
        <v>98.285258024873542</v>
      </c>
      <c r="N68" s="74">
        <f t="shared" si="17"/>
        <v>1279864.9736112945</v>
      </c>
      <c r="O68" s="74">
        <f t="shared" si="18"/>
        <v>126307283.5761994</v>
      </c>
      <c r="P68" s="42">
        <f t="shared" si="19"/>
        <v>98.687975825924866</v>
      </c>
      <c r="Q68" s="45">
        <f>'Turkey Point Light Oil'!A68+'West County Light Oil'!A68+'Martin Light Oil'!A68+'Fort Myers Light Oil'!A69+'Port GT''s Jet Fuel'!A69+'Lauderdale Jet Fuel'!A69+'Cape Canaveral Light Oil'!A69+'Riviera Light Oil'!A69+'PEEC Light Oil'!A69+'Cedar Bay Light Oil'!A68+K68</f>
        <v>1352945.0583190394</v>
      </c>
    </row>
    <row r="69" spans="1:17">
      <c r="A69" s="13">
        <v>43556</v>
      </c>
      <c r="B69" s="16">
        <f>'Turkey Point Light Oil'!E69+'West County Light Oil'!E69+'Martin Light Oil'!E69+'Fort Myers Light Oil'!E70+'Port GT''s Jet Fuel'!E70+'Lauderdale Jet Fuel'!E70+'Cape Canaveral Light Oil'!E70+'Riviera Light Oil'!E70+'PEEC Light Oil'!E70+'Cedar Bay Light Oil'!E69</f>
        <v>1297267.0583190394</v>
      </c>
      <c r="C69" s="16">
        <f>'Turkey Point Light Oil'!F69+'West County Light Oil'!F69+'Martin Light Oil'!F69+'Fort Myers Light Oil'!F70+'Port GT''s Jet Fuel'!F70+'Lauderdale Jet Fuel'!F70+'Cape Canaveral Light Oil'!F70+'Riviera Light Oil'!F70+'PEEC Light Oil'!F70+'Cedar Bay Light Oil'!F69</f>
        <v>127502227.55405547</v>
      </c>
      <c r="D69" s="14">
        <f t="shared" si="13"/>
        <v>98.285258024873542</v>
      </c>
      <c r="E69" s="46">
        <f>'Turkey Point Light Oil'!H69+'West County Light Oil'!H69+'Martin Light Oil'!H69+'Fort Myers Light Oil'!H70+'Port GT''s Jet Fuel'!H70+'Lauderdale Jet Fuel'!H70+'Cape Canaveral Light Oil'!H70+'Riviera Light Oil'!H70+'PEEC Light Oil'!H70+'Cedar Bay Light Oil'!H69</f>
        <v>0</v>
      </c>
      <c r="F69" s="46">
        <f>'Turkey Point Light Oil'!I69+'West County Light Oil'!I69+'Martin Light Oil'!I69+'Fort Myers Light Oil'!I70+'Port GT''s Jet Fuel'!I70+'Lauderdale Jet Fuel'!I70+'Cape Canaveral Light Oil'!I70+'Riviera Light Oil'!I70+'PEEC Light Oil'!I70+'Cedar Bay Light Oil'!I69</f>
        <v>0</v>
      </c>
      <c r="G69" s="22">
        <f t="shared" si="14"/>
        <v>0</v>
      </c>
      <c r="H69" s="46">
        <f>'Turkey Point Light Oil'!K69+'West County Light Oil'!K69+'Martin Light Oil'!K69+'Fort Myers Light Oil'!K70+'Port GT''s Jet Fuel'!K70+'Lauderdale Jet Fuel'!K70+'Cape Canaveral Light Oil'!K70+'Riviera Light Oil'!K70+'PEEC Light Oil'!K70+'Cedar Bay Light Oil'!K69</f>
        <v>22363.979416809605</v>
      </c>
      <c r="I69" s="46">
        <f>'Turkey Point Light Oil'!L69+'West County Light Oil'!L69+'Martin Light Oil'!L69+'Fort Myers Light Oil'!L70+'Port GT''s Jet Fuel'!L70+'Lauderdale Jet Fuel'!L70+'Cape Canaveral Light Oil'!L70+'Riviera Light Oil'!L70+'PEEC Light Oil'!L70+'Cedar Bay Light Oil'!L69</f>
        <v>1905313.3687085554</v>
      </c>
      <c r="J69" s="14">
        <f t="shared" si="15"/>
        <v>85.195632369275501</v>
      </c>
      <c r="K69" s="46">
        <f>'Turkey Point Light Oil'!N69+'West County Light Oil'!N69+'Martin Light Oil'!N69+'Fort Myers Light Oil'!N70+'Port GT''s Jet Fuel'!N70+'Lauderdale Jet Fuel'!N70+'Cape Canaveral Light Oil'!N70+'Riviera Light Oil'!N70+'PEEC Light Oil'!N70+'Cedar Bay Light Oil'!N69</f>
        <v>1274903.0789022301</v>
      </c>
      <c r="L69" s="46">
        <f>'Turkey Point Light Oil'!O69+'West County Light Oil'!O69+'Martin Light Oil'!O69+'Fort Myers Light Oil'!O70+'Port GT''s Jet Fuel'!O70+'Lauderdale Jet Fuel'!O70+'Cape Canaveral Light Oil'!O70+'Riviera Light Oil'!O70+'PEEC Light Oil'!O70+'Cedar Bay Light Oil'!O69</f>
        <v>125596914.1853469</v>
      </c>
      <c r="M69" s="22">
        <f t="shared" si="16"/>
        <v>98.514872435239198</v>
      </c>
      <c r="N69" s="74">
        <f t="shared" si="17"/>
        <v>1279171.1881514713</v>
      </c>
      <c r="O69" s="74">
        <f t="shared" si="18"/>
        <v>126162177.95843707</v>
      </c>
      <c r="P69" s="42">
        <f t="shared" si="19"/>
        <v>98.628064114509868</v>
      </c>
      <c r="Q69" s="45">
        <f>'Turkey Point Light Oil'!A69+'West County Light Oil'!A69+'Martin Light Oil'!A69+'Fort Myers Light Oil'!A70+'Port GT''s Jet Fuel'!A70+'Lauderdale Jet Fuel'!A70+'Cape Canaveral Light Oil'!A70+'Riviera Light Oil'!A70+'PEEC Light Oil'!A70+'Cedar Bay Light Oil'!A69+K69</f>
        <v>1330581.0789022301</v>
      </c>
    </row>
    <row r="70" spans="1:17">
      <c r="A70" s="13">
        <v>43586</v>
      </c>
      <c r="B70" s="16">
        <f>'Turkey Point Light Oil'!E70+'West County Light Oil'!E70+'Martin Light Oil'!E70+'Fort Myers Light Oil'!E71+'Port GT''s Jet Fuel'!E71+'Lauderdale Jet Fuel'!E71+'Cape Canaveral Light Oil'!E71+'Riviera Light Oil'!E71+'PEEC Light Oil'!E71+'Cedar Bay Light Oil'!E70</f>
        <v>1274903.0789022301</v>
      </c>
      <c r="C70" s="16">
        <f>'Turkey Point Light Oil'!F70+'West County Light Oil'!F70+'Martin Light Oil'!F70+'Fort Myers Light Oil'!F71+'Port GT''s Jet Fuel'!F71+'Lauderdale Jet Fuel'!F71+'Cape Canaveral Light Oil'!F71+'Riviera Light Oil'!F71+'PEEC Light Oil'!F71+'Cedar Bay Light Oil'!F70</f>
        <v>125596914.1853469</v>
      </c>
      <c r="D70" s="14">
        <f t="shared" si="13"/>
        <v>98.514872435239198</v>
      </c>
      <c r="E70" s="46">
        <f>'Turkey Point Light Oil'!H70+'West County Light Oil'!H70+'Martin Light Oil'!H70+'Fort Myers Light Oil'!H71+'Port GT''s Jet Fuel'!H71+'Lauderdale Jet Fuel'!H71+'Cape Canaveral Light Oil'!H71+'Riviera Light Oil'!H71+'PEEC Light Oil'!H71+'Cedar Bay Light Oil'!H70</f>
        <v>29410.634648370484</v>
      </c>
      <c r="F70" s="46">
        <f>'Turkey Point Light Oil'!I70+'West County Light Oil'!I70+'Martin Light Oil'!I70+'Fort Myers Light Oil'!I71+'Port GT''s Jet Fuel'!I71+'Lauderdale Jet Fuel'!I71+'Cape Canaveral Light Oil'!I71+'Riviera Light Oil'!I71+'PEEC Light Oil'!I71+'Cedar Bay Light Oil'!I70</f>
        <v>2685111.1963421153</v>
      </c>
      <c r="G70" s="22">
        <f t="shared" si="14"/>
        <v>91.297288495978975</v>
      </c>
      <c r="H70" s="46">
        <f>'Turkey Point Light Oil'!K70+'West County Light Oil'!K70+'Martin Light Oil'!K70+'Fort Myers Light Oil'!K71+'Port GT''s Jet Fuel'!K71+'Lauderdale Jet Fuel'!K71+'Cape Canaveral Light Oil'!K71+'Riviera Light Oil'!K71+'PEEC Light Oil'!K71+'Cedar Bay Light Oil'!K70</f>
        <v>24788.164665523156</v>
      </c>
      <c r="I70" s="46">
        <f>'Turkey Point Light Oil'!L70+'West County Light Oil'!L70+'Martin Light Oil'!L70+'Fort Myers Light Oil'!L71+'Port GT''s Jet Fuel'!L71+'Lauderdale Jet Fuel'!L71+'Cape Canaveral Light Oil'!L71+'Riviera Light Oil'!L71+'PEEC Light Oil'!L71+'Cedar Bay Light Oil'!L70</f>
        <v>2179929.6914155269</v>
      </c>
      <c r="J70" s="14">
        <f t="shared" si="15"/>
        <v>87.942359623239952</v>
      </c>
      <c r="K70" s="46">
        <f>'Turkey Point Light Oil'!N70+'West County Light Oil'!N70+'Martin Light Oil'!N70+'Fort Myers Light Oil'!N71+'Port GT''s Jet Fuel'!N71+'Lauderdale Jet Fuel'!N71+'Cape Canaveral Light Oil'!N71+'Riviera Light Oil'!N71+'PEEC Light Oil'!N71+'Cedar Bay Light Oil'!N70</f>
        <v>1279525.5488850772</v>
      </c>
      <c r="L70" s="46">
        <f>'Turkey Point Light Oil'!O70+'West County Light Oil'!O70+'Martin Light Oil'!O70+'Fort Myers Light Oil'!O71+'Port GT''s Jet Fuel'!O71+'Lauderdale Jet Fuel'!O71+'Cape Canaveral Light Oil'!O71+'Riviera Light Oil'!O71+'PEEC Light Oil'!O71+'Cedar Bay Light Oil'!O70</f>
        <v>126102095.69027352</v>
      </c>
      <c r="M70" s="22">
        <f t="shared" si="16"/>
        <v>98.55379269304423</v>
      </c>
      <c r="N70" s="74">
        <f t="shared" si="17"/>
        <v>1279113.317720016</v>
      </c>
      <c r="O70" s="74">
        <f t="shared" si="18"/>
        <v>126096093.95247817</v>
      </c>
      <c r="P70" s="42">
        <f t="shared" si="19"/>
        <v>98.580862387736659</v>
      </c>
      <c r="Q70" s="45">
        <f>'Turkey Point Light Oil'!A70+'West County Light Oil'!A70+'Martin Light Oil'!A70+'Fort Myers Light Oil'!A71+'Port GT''s Jet Fuel'!A71+'Lauderdale Jet Fuel'!A71+'Cape Canaveral Light Oil'!A71+'Riviera Light Oil'!A71+'PEEC Light Oil'!A71+'Cedar Bay Light Oil'!A70+K70</f>
        <v>1335203.5488850772</v>
      </c>
    </row>
    <row r="71" spans="1:17">
      <c r="A71" s="13">
        <v>43617</v>
      </c>
      <c r="B71" s="16">
        <f>'Turkey Point Light Oil'!E71+'West County Light Oil'!E71+'Martin Light Oil'!E71+'Fort Myers Light Oil'!E72+'Port GT''s Jet Fuel'!E72+'Lauderdale Jet Fuel'!E72+'Cape Canaveral Light Oil'!E72+'Riviera Light Oil'!E72+'PEEC Light Oil'!E72+'Cedar Bay Light Oil'!E71</f>
        <v>1279525.5488850772</v>
      </c>
      <c r="C71" s="16">
        <f>'Turkey Point Light Oil'!F71+'West County Light Oil'!F71+'Martin Light Oil'!F71+'Fort Myers Light Oil'!F72+'Port GT''s Jet Fuel'!F72+'Lauderdale Jet Fuel'!F72+'Cape Canaveral Light Oil'!F72+'Riviera Light Oil'!F72+'PEEC Light Oil'!F72+'Cedar Bay Light Oil'!F71</f>
        <v>126102095.69027352</v>
      </c>
      <c r="D71" s="14">
        <f t="shared" si="13"/>
        <v>98.55379269304423</v>
      </c>
      <c r="E71" s="46">
        <f>'Turkey Point Light Oil'!H71+'West County Light Oil'!H71+'Martin Light Oil'!H71+'Fort Myers Light Oil'!H72+'Port GT''s Jet Fuel'!H72+'Lauderdale Jet Fuel'!H72+'Cape Canaveral Light Oil'!H72+'Riviera Light Oil'!H72+'PEEC Light Oil'!H72+'Cedar Bay Light Oil'!H71</f>
        <v>22770.497427101189</v>
      </c>
      <c r="F71" s="46">
        <f>'Turkey Point Light Oil'!I71+'West County Light Oil'!I71+'Martin Light Oil'!I71+'Fort Myers Light Oil'!I72+'Port GT''s Jet Fuel'!I72+'Lauderdale Jet Fuel'!I72+'Cape Canaveral Light Oil'!I72+'Riviera Light Oil'!I72+'PEEC Light Oil'!I72+'Cedar Bay Light Oil'!I71</f>
        <v>2095982.131934636</v>
      </c>
      <c r="G71" s="22">
        <f t="shared" si="14"/>
        <v>92.048148646942678</v>
      </c>
      <c r="H71" s="46">
        <f>'Turkey Point Light Oil'!K71+'West County Light Oil'!K71+'Martin Light Oil'!K71+'Fort Myers Light Oil'!K72+'Port GT''s Jet Fuel'!K72+'Lauderdale Jet Fuel'!K72+'Cape Canaveral Light Oil'!K72+'Riviera Light Oil'!K72+'PEEC Light Oil'!K72+'Cedar Bay Light Oil'!K71</f>
        <v>22045.626072041166</v>
      </c>
      <c r="I71" s="46">
        <f>'Turkey Point Light Oil'!L71+'West County Light Oil'!L71+'Martin Light Oil'!L71+'Fort Myers Light Oil'!L72+'Port GT''s Jet Fuel'!L72+'Lauderdale Jet Fuel'!L72+'Cape Canaveral Light Oil'!L72+'Riviera Light Oil'!L72+'PEEC Light Oil'!L72+'Cedar Bay Light Oil'!L71</f>
        <v>1972961.135799536</v>
      </c>
      <c r="J71" s="14">
        <f t="shared" si="15"/>
        <v>89.494447984931412</v>
      </c>
      <c r="K71" s="46">
        <f>'Turkey Point Light Oil'!N71+'West County Light Oil'!N71+'Martin Light Oil'!N71+'Fort Myers Light Oil'!N72+'Port GT''s Jet Fuel'!N72+'Lauderdale Jet Fuel'!N72+'Cape Canaveral Light Oil'!N72+'Riviera Light Oil'!N72+'PEEC Light Oil'!N72+'Cedar Bay Light Oil'!N71</f>
        <v>1280250.4202401373</v>
      </c>
      <c r="L71" s="46">
        <f>'Turkey Point Light Oil'!O71+'West County Light Oil'!O71+'Martin Light Oil'!O71+'Fort Myers Light Oil'!O72+'Port GT''s Jet Fuel'!O72+'Lauderdale Jet Fuel'!O72+'Cape Canaveral Light Oil'!O72+'Riviera Light Oil'!O72+'PEEC Light Oil'!O72+'Cedar Bay Light Oil'!O71</f>
        <v>126225116.68640861</v>
      </c>
      <c r="M71" s="22">
        <f t="shared" si="16"/>
        <v>98.594083384665083</v>
      </c>
      <c r="N71" s="74">
        <f t="shared" si="17"/>
        <v>1279114.7559044729</v>
      </c>
      <c r="O71" s="74">
        <f t="shared" si="18"/>
        <v>126053983.04207093</v>
      </c>
      <c r="P71" s="42">
        <f t="shared" si="19"/>
        <v>98.547829629982715</v>
      </c>
      <c r="Q71" s="45">
        <f>'Turkey Point Light Oil'!A71+'West County Light Oil'!A71+'Martin Light Oil'!A71+'Fort Myers Light Oil'!A72+'Port GT''s Jet Fuel'!A72+'Lauderdale Jet Fuel'!A72+'Cape Canaveral Light Oil'!A72+'Riviera Light Oil'!A72+'PEEC Light Oil'!A72+'Cedar Bay Light Oil'!A71+K71</f>
        <v>1335928.4202401373</v>
      </c>
    </row>
    <row r="72" spans="1:17">
      <c r="A72" s="13">
        <v>43647</v>
      </c>
      <c r="B72" s="16">
        <f>'Turkey Point Light Oil'!E72+'West County Light Oil'!E72+'Martin Light Oil'!E72+'Fort Myers Light Oil'!E73+'Port GT''s Jet Fuel'!E73+'Lauderdale Jet Fuel'!E73+'Cape Canaveral Light Oil'!E73+'Riviera Light Oil'!E73+'PEEC Light Oil'!E73+'Cedar Bay Light Oil'!E72</f>
        <v>1280250.4202401373</v>
      </c>
      <c r="C72" s="16">
        <f>'Turkey Point Light Oil'!F72+'West County Light Oil'!F72+'Martin Light Oil'!F72+'Fort Myers Light Oil'!F73+'Port GT''s Jet Fuel'!F73+'Lauderdale Jet Fuel'!F73+'Cape Canaveral Light Oil'!F73+'Riviera Light Oil'!F73+'PEEC Light Oil'!F73+'Cedar Bay Light Oil'!F72</f>
        <v>126225116.68640861</v>
      </c>
      <c r="D72" s="14">
        <f t="shared" si="13"/>
        <v>98.594083384665083</v>
      </c>
      <c r="E72" s="46">
        <f>'Turkey Point Light Oil'!H72+'West County Light Oil'!H72+'Martin Light Oil'!H72+'Fort Myers Light Oil'!H73+'Port GT''s Jet Fuel'!H73+'Lauderdale Jet Fuel'!H73+'Cape Canaveral Light Oil'!H73+'Riviera Light Oil'!H73+'PEEC Light Oil'!H73+'Cedar Bay Light Oil'!H72</f>
        <v>21139.2795883361</v>
      </c>
      <c r="F72" s="46">
        <f>'Turkey Point Light Oil'!I72+'West County Light Oil'!I72+'Martin Light Oil'!I72+'Fort Myers Light Oil'!I73+'Port GT''s Jet Fuel'!I73+'Lauderdale Jet Fuel'!I73+'Cape Canaveral Light Oil'!I73+'Riviera Light Oil'!I73+'PEEC Light Oil'!I73+'Cedar Bay Light Oil'!I72</f>
        <v>1974471.7248830795</v>
      </c>
      <c r="G72" s="22">
        <f t="shared" si="14"/>
        <v>93.402980770097884</v>
      </c>
      <c r="H72" s="46">
        <f>'Turkey Point Light Oil'!K72+'West County Light Oil'!K72+'Martin Light Oil'!K72+'Fort Myers Light Oil'!K73+'Port GT''s Jet Fuel'!K73+'Lauderdale Jet Fuel'!K73+'Cape Canaveral Light Oil'!K73+'Riviera Light Oil'!K73+'PEEC Light Oil'!K73+'Cedar Bay Light Oil'!K72</f>
        <v>21042.024013722126</v>
      </c>
      <c r="I72" s="46">
        <f>'Turkey Point Light Oil'!L72+'West County Light Oil'!L72+'Martin Light Oil'!L72+'Fort Myers Light Oil'!L73+'Port GT''s Jet Fuel'!L73+'Lauderdale Jet Fuel'!L73+'Cape Canaveral Light Oil'!L73+'Riviera Light Oil'!L73+'PEEC Light Oil'!L73+'Cedar Bay Light Oil'!L72</f>
        <v>1893984.6738501773</v>
      </c>
      <c r="J72" s="14">
        <f t="shared" si="15"/>
        <v>90.009624198463698</v>
      </c>
      <c r="K72" s="46">
        <f>'Turkey Point Light Oil'!N72+'West County Light Oil'!N72+'Martin Light Oil'!N72+'Fort Myers Light Oil'!N73+'Port GT''s Jet Fuel'!N73+'Lauderdale Jet Fuel'!N73+'Cape Canaveral Light Oil'!N73+'Riviera Light Oil'!N73+'PEEC Light Oil'!N73+'Cedar Bay Light Oil'!N72</f>
        <v>1280347.6758147513</v>
      </c>
      <c r="L72" s="46">
        <f>'Turkey Point Light Oil'!O72+'West County Light Oil'!O72+'Martin Light Oil'!O72+'Fort Myers Light Oil'!O73+'Port GT''s Jet Fuel'!O73+'Lauderdale Jet Fuel'!O73+'Cape Canaveral Light Oil'!O73+'Riviera Light Oil'!O73+'PEEC Light Oil'!O73+'Cedar Bay Light Oil'!O72</f>
        <v>126305603.73744152</v>
      </c>
      <c r="M72" s="22">
        <f t="shared" si="16"/>
        <v>98.649457583516721</v>
      </c>
      <c r="N72" s="74">
        <f t="shared" si="17"/>
        <v>1278772.6263359284</v>
      </c>
      <c r="O72" s="74">
        <f t="shared" si="18"/>
        <v>125997532.43575932</v>
      </c>
      <c r="P72" s="42">
        <f t="shared" si="19"/>
        <v>98.530051270162446</v>
      </c>
      <c r="Q72" s="45">
        <f>'Turkey Point Light Oil'!A72+'West County Light Oil'!A72+'Martin Light Oil'!A72+'Fort Myers Light Oil'!A73+'Port GT''s Jet Fuel'!A73+'Lauderdale Jet Fuel'!A73+'Cape Canaveral Light Oil'!A73+'Riviera Light Oil'!A73+'PEEC Light Oil'!A73+'Cedar Bay Light Oil'!A72+K72</f>
        <v>1336025.6758147513</v>
      </c>
    </row>
    <row r="73" spans="1:17">
      <c r="A73" s="13">
        <v>43678</v>
      </c>
      <c r="B73" s="16">
        <f>'Turkey Point Light Oil'!E73+'West County Light Oil'!E73+'Martin Light Oil'!E73+'Fort Myers Light Oil'!E74+'Port GT''s Jet Fuel'!E74+'Lauderdale Jet Fuel'!E74+'Cape Canaveral Light Oil'!E74+'Riviera Light Oil'!E74+'PEEC Light Oil'!E74+'Cedar Bay Light Oil'!E73</f>
        <v>1280347.6758147513</v>
      </c>
      <c r="C73" s="16">
        <f>'Turkey Point Light Oil'!F73+'West County Light Oil'!F73+'Martin Light Oil'!F73+'Fort Myers Light Oil'!F74+'Port GT''s Jet Fuel'!F74+'Lauderdale Jet Fuel'!F74+'Cape Canaveral Light Oil'!F74+'Riviera Light Oil'!F74+'PEEC Light Oil'!F74+'Cedar Bay Light Oil'!F73</f>
        <v>126305603.73744152</v>
      </c>
      <c r="D73" s="14">
        <f t="shared" si="13"/>
        <v>98.649457583516721</v>
      </c>
      <c r="E73" s="46">
        <f>'Turkey Point Light Oil'!H73+'West County Light Oil'!H73+'Martin Light Oil'!H73+'Fort Myers Light Oil'!H74+'Port GT''s Jet Fuel'!H74+'Lauderdale Jet Fuel'!H74+'Cape Canaveral Light Oil'!H74+'Riviera Light Oil'!H74+'PEEC Light Oil'!H74+'Cedar Bay Light Oil'!H73</f>
        <v>26650.771869639808</v>
      </c>
      <c r="F73" s="46">
        <f>'Turkey Point Light Oil'!I73+'West County Light Oil'!I73+'Martin Light Oil'!I73+'Fort Myers Light Oil'!I74+'Port GT''s Jet Fuel'!I74+'Lauderdale Jet Fuel'!I74+'Cape Canaveral Light Oil'!I74+'Riviera Light Oil'!I74+'PEEC Light Oil'!I74+'Cedar Bay Light Oil'!I73</f>
        <v>2465416.050935288</v>
      </c>
      <c r="G73" s="22">
        <f t="shared" si="14"/>
        <v>92.508241899884936</v>
      </c>
      <c r="H73" s="46">
        <f>'Turkey Point Light Oil'!K73+'West County Light Oil'!K73+'Martin Light Oil'!K73+'Fort Myers Light Oil'!K74+'Port GT''s Jet Fuel'!K74+'Lauderdale Jet Fuel'!K74+'Cape Canaveral Light Oil'!K74+'Riviera Light Oil'!K74+'PEEC Light Oil'!K74+'Cedar Bay Light Oil'!K73</f>
        <v>33330.531732418531</v>
      </c>
      <c r="I73" s="46">
        <f>'Turkey Point Light Oil'!L73+'West County Light Oil'!L73+'Martin Light Oil'!L73+'Fort Myers Light Oil'!L74+'Port GT''s Jet Fuel'!L74+'Lauderdale Jet Fuel'!L74+'Cape Canaveral Light Oil'!L74+'Riviera Light Oil'!L74+'PEEC Light Oil'!L74+'Cedar Bay Light Oil'!L73</f>
        <v>2939136.4393004607</v>
      </c>
      <c r="J73" s="14">
        <f t="shared" si="15"/>
        <v>88.181504660537584</v>
      </c>
      <c r="K73" s="46">
        <f>'Turkey Point Light Oil'!N73+'West County Light Oil'!N73+'Martin Light Oil'!N73+'Fort Myers Light Oil'!N74+'Port GT''s Jet Fuel'!N74+'Lauderdale Jet Fuel'!N74+'Cape Canaveral Light Oil'!N74+'Riviera Light Oil'!N74+'PEEC Light Oil'!N74+'Cedar Bay Light Oil'!N73</f>
        <v>1273667.9159519726</v>
      </c>
      <c r="L73" s="46">
        <f>'Turkey Point Light Oil'!O73+'West County Light Oil'!O73+'Martin Light Oil'!O73+'Fort Myers Light Oil'!O74+'Port GT''s Jet Fuel'!O74+'Lauderdale Jet Fuel'!O74+'Cape Canaveral Light Oil'!O74+'Riviera Light Oil'!O74+'PEEC Light Oil'!O74+'Cedar Bay Light Oil'!O73</f>
        <v>125831883.34907633</v>
      </c>
      <c r="M73" s="22">
        <f t="shared" si="16"/>
        <v>98.794891331643782</v>
      </c>
      <c r="N73" s="74">
        <f t="shared" si="17"/>
        <v>1278699.8726744954</v>
      </c>
      <c r="O73" s="74">
        <f t="shared" si="18"/>
        <v>125972223.06386328</v>
      </c>
      <c r="P73" s="42">
        <f t="shared" si="19"/>
        <v>98.515864242938449</v>
      </c>
      <c r="Q73" s="45">
        <f>'Turkey Point Light Oil'!A73+'West County Light Oil'!A73+'Martin Light Oil'!A73+'Fort Myers Light Oil'!A74+'Port GT''s Jet Fuel'!A74+'Lauderdale Jet Fuel'!A74+'Cape Canaveral Light Oil'!A74+'Riviera Light Oil'!A74+'PEEC Light Oil'!A74+'Cedar Bay Light Oil'!A73+K73</f>
        <v>1329345.9159519726</v>
      </c>
    </row>
    <row r="74" spans="1:17">
      <c r="A74" s="13">
        <v>43709</v>
      </c>
      <c r="B74" s="16">
        <f>'Turkey Point Light Oil'!E74+'West County Light Oil'!E74+'Martin Light Oil'!E74+'Fort Myers Light Oil'!E75+'Port GT''s Jet Fuel'!E75+'Lauderdale Jet Fuel'!E75+'Cape Canaveral Light Oil'!E75+'Riviera Light Oil'!E75+'PEEC Light Oil'!E75+'Cedar Bay Light Oil'!E74</f>
        <v>1273667.9159519726</v>
      </c>
      <c r="C74" s="16">
        <f>'Turkey Point Light Oil'!F74+'West County Light Oil'!F74+'Martin Light Oil'!F74+'Fort Myers Light Oil'!F75+'Port GT''s Jet Fuel'!F75+'Lauderdale Jet Fuel'!F75+'Cape Canaveral Light Oil'!F75+'Riviera Light Oil'!F75+'PEEC Light Oil'!F75+'Cedar Bay Light Oil'!F74</f>
        <v>125831883.34907633</v>
      </c>
      <c r="D74" s="14">
        <f t="shared" si="13"/>
        <v>98.794891331643782</v>
      </c>
      <c r="E74" s="46">
        <f>'Turkey Point Light Oil'!H74+'West County Light Oil'!H74+'Martin Light Oil'!H74+'Fort Myers Light Oil'!H75+'Port GT''s Jet Fuel'!H75+'Lauderdale Jet Fuel'!H75+'Cape Canaveral Light Oil'!H75+'Riviera Light Oil'!H75+'PEEC Light Oil'!H75+'Cedar Bay Light Oil'!H74</f>
        <v>24153.516295025736</v>
      </c>
      <c r="F74" s="46">
        <f>'Turkey Point Light Oil'!I74+'West County Light Oil'!I74+'Martin Light Oil'!I74+'Fort Myers Light Oil'!I75+'Port GT''s Jet Fuel'!I75+'Lauderdale Jet Fuel'!I75+'Cape Canaveral Light Oil'!I75+'Riviera Light Oil'!I75+'PEEC Light Oil'!I75+'Cedar Bay Light Oil'!I74</f>
        <v>2224188.6574032931</v>
      </c>
      <c r="G74" s="22">
        <f t="shared" si="14"/>
        <v>92.085501350432793</v>
      </c>
      <c r="H74" s="46">
        <f>'Turkey Point Light Oil'!K74+'West County Light Oil'!K74+'Martin Light Oil'!K74+'Fort Myers Light Oil'!K75+'Port GT''s Jet Fuel'!K75+'Lauderdale Jet Fuel'!K75+'Cape Canaveral Light Oil'!K75+'Riviera Light Oil'!K75+'PEEC Light Oil'!K75+'Cedar Bay Light Oil'!K74</f>
        <v>33148.542024013725</v>
      </c>
      <c r="I74" s="46">
        <f>'Turkey Point Light Oil'!L74+'West County Light Oil'!L74+'Martin Light Oil'!L74+'Fort Myers Light Oil'!L75+'Port GT''s Jet Fuel'!L75+'Lauderdale Jet Fuel'!L75+'Cape Canaveral Light Oil'!L75+'Riviera Light Oil'!L75+'PEEC Light Oil'!L75+'Cedar Bay Light Oil'!L74</f>
        <v>3035698.7646635547</v>
      </c>
      <c r="J74" s="14">
        <f t="shared" si="15"/>
        <v>91.578651105210312</v>
      </c>
      <c r="K74" s="46">
        <f>'Turkey Point Light Oil'!N74+'West County Light Oil'!N74+'Martin Light Oil'!N74+'Fort Myers Light Oil'!N75+'Port GT''s Jet Fuel'!N75+'Lauderdale Jet Fuel'!N75+'Cape Canaveral Light Oil'!N75+'Riviera Light Oil'!N75+'PEEC Light Oil'!N75+'Cedar Bay Light Oil'!N74</f>
        <v>1264672.8902229846</v>
      </c>
      <c r="L74" s="46">
        <f>'Turkey Point Light Oil'!O74+'West County Light Oil'!O74+'Martin Light Oil'!O74+'Fort Myers Light Oil'!O75+'Port GT''s Jet Fuel'!O75+'Lauderdale Jet Fuel'!O75+'Cape Canaveral Light Oil'!O75+'Riviera Light Oil'!O75+'PEEC Light Oil'!O75+'Cedar Bay Light Oil'!O74</f>
        <v>125020373.24181607</v>
      </c>
      <c r="M74" s="22">
        <f t="shared" si="16"/>
        <v>98.85589721131187</v>
      </c>
      <c r="N74" s="74">
        <f t="shared" si="17"/>
        <v>1277218.5294893787</v>
      </c>
      <c r="O74" s="74">
        <f t="shared" si="18"/>
        <v>125848032.11253037</v>
      </c>
      <c r="P74" s="42">
        <f t="shared" si="19"/>
        <v>98.532889405263603</v>
      </c>
      <c r="Q74" s="45">
        <f>'Turkey Point Light Oil'!A74+'West County Light Oil'!A74+'Martin Light Oil'!A74+'Fort Myers Light Oil'!A75+'Port GT''s Jet Fuel'!A75+'Lauderdale Jet Fuel'!A75+'Cape Canaveral Light Oil'!A75+'Riviera Light Oil'!A75+'PEEC Light Oil'!A75+'Cedar Bay Light Oil'!A74+K74</f>
        <v>1320350.8902229846</v>
      </c>
    </row>
    <row r="75" spans="1:17">
      <c r="A75" s="13">
        <v>43739</v>
      </c>
      <c r="B75" s="16">
        <f>'Turkey Point Light Oil'!E75+'West County Light Oil'!E75+'Martin Light Oil'!E75+'Fort Myers Light Oil'!E76+'Port GT''s Jet Fuel'!E76+'Lauderdale Jet Fuel'!E76+'Cape Canaveral Light Oil'!E76+'Riviera Light Oil'!E76+'PEEC Light Oil'!E76+'Cedar Bay Light Oil'!E75</f>
        <v>1264672.8902229846</v>
      </c>
      <c r="C75" s="16">
        <f>'Turkey Point Light Oil'!F75+'West County Light Oil'!F75+'Martin Light Oil'!F75+'Fort Myers Light Oil'!F76+'Port GT''s Jet Fuel'!F76+'Lauderdale Jet Fuel'!F76+'Cape Canaveral Light Oil'!F76+'Riviera Light Oil'!F76+'PEEC Light Oil'!F76+'Cedar Bay Light Oil'!F75</f>
        <v>125020373.24181607</v>
      </c>
      <c r="D75" s="14">
        <f t="shared" si="13"/>
        <v>98.85589721131187</v>
      </c>
      <c r="E75" s="46">
        <f>'Turkey Point Light Oil'!H75+'West County Light Oil'!H75+'Martin Light Oil'!H75+'Fort Myers Light Oil'!H76+'Port GT''s Jet Fuel'!H76+'Lauderdale Jet Fuel'!H76+'Cape Canaveral Light Oil'!H76+'Riviera Light Oil'!H76+'PEEC Light Oil'!H76+'Cedar Bay Light Oil'!H75</f>
        <v>39346.312178387627</v>
      </c>
      <c r="F75" s="46">
        <f>'Turkey Point Light Oil'!I75+'West County Light Oil'!I75+'Martin Light Oil'!I75+'Fort Myers Light Oil'!I76+'Port GT''s Jet Fuel'!I76+'Lauderdale Jet Fuel'!I76+'Cape Canaveral Light Oil'!I76+'Riviera Light Oil'!I76+'PEEC Light Oil'!I76+'Cedar Bay Light Oil'!I75</f>
        <v>3578688.3661783552</v>
      </c>
      <c r="G75" s="22">
        <f t="shared" si="14"/>
        <v>90.953590515760666</v>
      </c>
      <c r="H75" s="46">
        <f>'Turkey Point Light Oil'!K75+'West County Light Oil'!K75+'Martin Light Oil'!K75+'Fort Myers Light Oil'!K76+'Port GT''s Jet Fuel'!K76+'Lauderdale Jet Fuel'!K76+'Cape Canaveral Light Oil'!K76+'Riviera Light Oil'!K76+'PEEC Light Oil'!K76+'Cedar Bay Light Oil'!K75</f>
        <v>20930.531732418523</v>
      </c>
      <c r="I75" s="46">
        <f>'Turkey Point Light Oil'!L75+'West County Light Oil'!L75+'Martin Light Oil'!L75+'Fort Myers Light Oil'!L76+'Port GT''s Jet Fuel'!L76+'Lauderdale Jet Fuel'!L76+'Cape Canaveral Light Oil'!L76+'Riviera Light Oil'!L76+'PEEC Light Oil'!L76+'Cedar Bay Light Oil'!L75</f>
        <v>1938049.9437398808</v>
      </c>
      <c r="J75" s="14">
        <f t="shared" si="15"/>
        <v>92.594396000848235</v>
      </c>
      <c r="K75" s="46">
        <f>'Turkey Point Light Oil'!N75+'West County Light Oil'!N75+'Martin Light Oil'!N75+'Fort Myers Light Oil'!N76+'Port GT''s Jet Fuel'!N76+'Lauderdale Jet Fuel'!N76+'Cape Canaveral Light Oil'!N76+'Riviera Light Oil'!N76+'PEEC Light Oil'!N76+'Cedar Bay Light Oil'!N75</f>
        <v>1283088.6706689536</v>
      </c>
      <c r="L75" s="46">
        <f>'Turkey Point Light Oil'!O75+'West County Light Oil'!O75+'Martin Light Oil'!O75+'Fort Myers Light Oil'!O76+'Port GT''s Jet Fuel'!O76+'Lauderdale Jet Fuel'!O76+'Cape Canaveral Light Oil'!O76+'Riviera Light Oil'!O76+'PEEC Light Oil'!O76+'Cedar Bay Light Oil'!O75</f>
        <v>126661011.66425455</v>
      </c>
      <c r="M75" s="22">
        <f t="shared" si="16"/>
        <v>98.715711984440105</v>
      </c>
      <c r="N75" s="74">
        <f t="shared" si="17"/>
        <v>1277692.4310595067</v>
      </c>
      <c r="O75" s="74">
        <f t="shared" si="18"/>
        <v>125905263.29924001</v>
      </c>
      <c r="P75" s="42">
        <f t="shared" si="19"/>
        <v>98.541135752706154</v>
      </c>
      <c r="Q75" s="45">
        <f>'Turkey Point Light Oil'!A75+'West County Light Oil'!A75+'Martin Light Oil'!A75+'Fort Myers Light Oil'!A76+'Port GT''s Jet Fuel'!A76+'Lauderdale Jet Fuel'!A76+'Cape Canaveral Light Oil'!A76+'Riviera Light Oil'!A76+'PEEC Light Oil'!A76+'Cedar Bay Light Oil'!A75+K75</f>
        <v>1338766.6706689536</v>
      </c>
    </row>
    <row r="76" spans="1:17">
      <c r="A76" s="13">
        <v>43770</v>
      </c>
      <c r="B76" s="16">
        <f>'Turkey Point Light Oil'!E76+'West County Light Oil'!E76+'Martin Light Oil'!E76+'Fort Myers Light Oil'!E77+'Port GT''s Jet Fuel'!E77+'Lauderdale Jet Fuel'!E77+'Cape Canaveral Light Oil'!E77+'Riviera Light Oil'!E77+'PEEC Light Oil'!E77+'Cedar Bay Light Oil'!E76</f>
        <v>1283088.6706689536</v>
      </c>
      <c r="C76" s="16">
        <f>'Turkey Point Light Oil'!F76+'West County Light Oil'!F76+'Martin Light Oil'!F76+'Fort Myers Light Oil'!F77+'Port GT''s Jet Fuel'!F77+'Lauderdale Jet Fuel'!F77+'Cape Canaveral Light Oil'!F77+'Riviera Light Oil'!F77+'PEEC Light Oil'!F77+'Cedar Bay Light Oil'!F76</f>
        <v>126661011.66425455</v>
      </c>
      <c r="D76" s="14">
        <f t="shared" si="13"/>
        <v>98.715711984440105</v>
      </c>
      <c r="E76" s="46">
        <f>'Turkey Point Light Oil'!H76+'West County Light Oil'!H76+'Martin Light Oil'!H76+'Fort Myers Light Oil'!H77+'Port GT''s Jet Fuel'!H77+'Lauderdale Jet Fuel'!H77+'Cape Canaveral Light Oil'!H77+'Riviera Light Oil'!H77+'PEEC Light Oil'!H77+'Cedar Bay Light Oil'!H76</f>
        <v>23739.27958833619</v>
      </c>
      <c r="F76" s="46">
        <f>'Turkey Point Light Oil'!I76+'West County Light Oil'!I76+'Martin Light Oil'!I76+'Fort Myers Light Oil'!I77+'Port GT''s Jet Fuel'!I77+'Lauderdale Jet Fuel'!I77+'Cape Canaveral Light Oil'!I77+'Riviera Light Oil'!I77+'PEEC Light Oil'!I77+'Cedar Bay Light Oil'!I76</f>
        <v>2149934.5819901661</v>
      </c>
      <c r="G76" s="22">
        <f t="shared" si="14"/>
        <v>90.564440845395012</v>
      </c>
      <c r="H76" s="46">
        <f>'Turkey Point Light Oil'!K76+'West County Light Oil'!K76+'Martin Light Oil'!K76+'Fort Myers Light Oil'!K77+'Port GT''s Jet Fuel'!K77+'Lauderdale Jet Fuel'!K77+'Cape Canaveral Light Oil'!K77+'Riviera Light Oil'!K77+'PEEC Light Oil'!K77+'Cedar Bay Light Oil'!K76</f>
        <v>19839.622641509435</v>
      </c>
      <c r="I76" s="46">
        <f>'Turkey Point Light Oil'!L76+'West County Light Oil'!L76+'Martin Light Oil'!L76+'Fort Myers Light Oil'!L77+'Port GT''s Jet Fuel'!L77+'Lauderdale Jet Fuel'!L77+'Cape Canaveral Light Oil'!L77+'Riviera Light Oil'!L77+'PEEC Light Oil'!L77+'Cedar Bay Light Oil'!L76</f>
        <v>1640153.1739769818</v>
      </c>
      <c r="J76" s="14">
        <f t="shared" si="15"/>
        <v>82.67058318666669</v>
      </c>
      <c r="K76" s="46">
        <f>'Turkey Point Light Oil'!N76+'West County Light Oil'!N76+'Martin Light Oil'!N76+'Fort Myers Light Oil'!N77+'Port GT''s Jet Fuel'!N77+'Lauderdale Jet Fuel'!N77+'Cape Canaveral Light Oil'!N77+'Riviera Light Oil'!N77+'PEEC Light Oil'!N77+'Cedar Bay Light Oil'!N76</f>
        <v>1286988.3276157805</v>
      </c>
      <c r="L76" s="46">
        <f>'Turkey Point Light Oil'!O76+'West County Light Oil'!O76+'Martin Light Oil'!O76+'Fort Myers Light Oil'!O77+'Port GT''s Jet Fuel'!O77+'Lauderdale Jet Fuel'!O77+'Cape Canaveral Light Oil'!O77+'Riviera Light Oil'!O77+'PEEC Light Oil'!O77+'Cedar Bay Light Oil'!O76</f>
        <v>127170793.07226773</v>
      </c>
      <c r="M76" s="22">
        <f t="shared" si="16"/>
        <v>98.812701205968892</v>
      </c>
      <c r="N76" s="74">
        <f t="shared" si="17"/>
        <v>1278042.7279324452</v>
      </c>
      <c r="O76" s="74">
        <f t="shared" si="18"/>
        <v>125987656.51799597</v>
      </c>
      <c r="P76" s="42">
        <f t="shared" si="19"/>
        <v>98.578595037908173</v>
      </c>
      <c r="Q76" s="45">
        <f>'Turkey Point Light Oil'!A76+'West County Light Oil'!A76+'Martin Light Oil'!A76+'Fort Myers Light Oil'!A77+'Port GT''s Jet Fuel'!A77+'Lauderdale Jet Fuel'!A77+'Cape Canaveral Light Oil'!A77+'Riviera Light Oil'!A77+'PEEC Light Oil'!A77+'Cedar Bay Light Oil'!A76+K76</f>
        <v>1342666.3276157805</v>
      </c>
    </row>
    <row r="77" spans="1:17">
      <c r="A77" s="13">
        <v>43800</v>
      </c>
      <c r="B77" s="16">
        <f>'Turkey Point Light Oil'!E77+'West County Light Oil'!E77+'Martin Light Oil'!E77+'Fort Myers Light Oil'!E78+'Port GT''s Jet Fuel'!E78+'Lauderdale Jet Fuel'!E78+'Cape Canaveral Light Oil'!E78+'Riviera Light Oil'!E78+'PEEC Light Oil'!E78+'Cedar Bay Light Oil'!E77</f>
        <v>1286988.3276157805</v>
      </c>
      <c r="C77" s="16">
        <f>'Turkey Point Light Oil'!F77+'West County Light Oil'!F77+'Martin Light Oil'!F77+'Fort Myers Light Oil'!F78+'Port GT''s Jet Fuel'!F78+'Lauderdale Jet Fuel'!F78+'Cape Canaveral Light Oil'!F78+'Riviera Light Oil'!F78+'PEEC Light Oil'!F78+'Cedar Bay Light Oil'!F77</f>
        <v>127170793.07226773</v>
      </c>
      <c r="D77" s="14">
        <f t="shared" si="13"/>
        <v>98.812701205968892</v>
      </c>
      <c r="E77" s="46">
        <f>'Turkey Point Light Oil'!H77+'West County Light Oil'!H77+'Martin Light Oil'!H77+'Fort Myers Light Oil'!H78+'Port GT''s Jet Fuel'!H78+'Lauderdale Jet Fuel'!H78+'Cape Canaveral Light Oil'!H78+'Riviera Light Oil'!H78+'PEEC Light Oil'!H78+'Cedar Bay Light Oil'!H77</f>
        <v>0</v>
      </c>
      <c r="F77" s="46">
        <f>'Turkey Point Light Oil'!I77+'West County Light Oil'!I77+'Martin Light Oil'!I77+'Fort Myers Light Oil'!I78+'Port GT''s Jet Fuel'!I78+'Lauderdale Jet Fuel'!I78+'Cape Canaveral Light Oil'!I78+'Riviera Light Oil'!I78+'PEEC Light Oil'!I78+'Cedar Bay Light Oil'!I77</f>
        <v>0</v>
      </c>
      <c r="G77" s="22">
        <f t="shared" si="14"/>
        <v>0</v>
      </c>
      <c r="H77" s="46">
        <f>'Turkey Point Light Oil'!K77+'West County Light Oil'!K77+'Martin Light Oil'!K77+'Fort Myers Light Oil'!K78+'Port GT''s Jet Fuel'!K78+'Lauderdale Jet Fuel'!K78+'Cape Canaveral Light Oil'!K78+'Riviera Light Oil'!K78+'PEEC Light Oil'!K78+'Cedar Bay Light Oil'!K77</f>
        <v>17764.837049742709</v>
      </c>
      <c r="I77" s="46">
        <f>'Turkey Point Light Oil'!L77+'West County Light Oil'!L77+'Martin Light Oil'!L77+'Fort Myers Light Oil'!L78+'Port GT''s Jet Fuel'!L78+'Lauderdale Jet Fuel'!L78+'Cape Canaveral Light Oil'!L78+'Riviera Light Oil'!L78+'PEEC Light Oil'!L78+'Cedar Bay Light Oil'!L77</f>
        <v>1495634.2680730002</v>
      </c>
      <c r="J77" s="14">
        <f t="shared" si="15"/>
        <v>84.190711340899227</v>
      </c>
      <c r="K77" s="46">
        <f>'Turkey Point Light Oil'!N77+'West County Light Oil'!N77+'Martin Light Oil'!N77+'Fort Myers Light Oil'!N78+'Port GT''s Jet Fuel'!N78+'Lauderdale Jet Fuel'!N78+'Cape Canaveral Light Oil'!N78+'Riviera Light Oil'!N78+'PEEC Light Oil'!N78+'Cedar Bay Light Oil'!N77</f>
        <v>1269223.4905660378</v>
      </c>
      <c r="L77" s="46">
        <f>'Turkey Point Light Oil'!O77+'West County Light Oil'!O77+'Martin Light Oil'!O77+'Fort Myers Light Oil'!O78+'Port GT''s Jet Fuel'!O78+'Lauderdale Jet Fuel'!O78+'Cape Canaveral Light Oil'!O78+'Riviera Light Oil'!O78+'PEEC Light Oil'!O78+'Cedar Bay Light Oil'!O77</f>
        <v>125675158.80419472</v>
      </c>
      <c r="M77" s="22">
        <f t="shared" si="16"/>
        <v>99.017359620524473</v>
      </c>
      <c r="N77" s="74">
        <f t="shared" si="17"/>
        <v>1277528.88705634</v>
      </c>
      <c r="O77" s="74">
        <f t="shared" si="18"/>
        <v>125995952.46759525</v>
      </c>
      <c r="P77" s="42">
        <f t="shared" si="19"/>
        <v>98.624738543417948</v>
      </c>
      <c r="Q77" s="45">
        <f>'Turkey Point Light Oil'!A77+'West County Light Oil'!A77+'Martin Light Oil'!A77+'Fort Myers Light Oil'!A78+'Port GT''s Jet Fuel'!A78+'Lauderdale Jet Fuel'!A78+'Cape Canaveral Light Oil'!A78+'Riviera Light Oil'!A78+'PEEC Light Oil'!A78+'Cedar Bay Light Oil'!A77+K77</f>
        <v>1324901.4905660378</v>
      </c>
    </row>
    <row r="78" spans="1:17">
      <c r="A78" s="13">
        <v>43831</v>
      </c>
      <c r="B78" s="16">
        <f>'Turkey Point Light Oil'!E78+'West County Light Oil'!E78+'Martin Light Oil'!E78+'Fort Myers Light Oil'!E79+'Port GT''s Jet Fuel'!E79+'Lauderdale Jet Fuel'!E79+'Cape Canaveral Light Oil'!E79+'Riviera Light Oil'!E79+'PEEC Light Oil'!E79+'Cedar Bay Light Oil'!E78</f>
        <v>1269223.4905660378</v>
      </c>
      <c r="C78" s="16">
        <f>'Turkey Point Light Oil'!F78+'West County Light Oil'!F78+'Martin Light Oil'!F78+'Fort Myers Light Oil'!F79+'Port GT''s Jet Fuel'!F79+'Lauderdale Jet Fuel'!F79+'Cape Canaveral Light Oil'!F79+'Riviera Light Oil'!F79+'PEEC Light Oil'!F79+'Cedar Bay Light Oil'!F78</f>
        <v>125675158.80419472</v>
      </c>
      <c r="D78" s="14">
        <f t="shared" si="13"/>
        <v>99.017359620524473</v>
      </c>
      <c r="E78" s="46">
        <f>'Turkey Point Light Oil'!H78+'West County Light Oil'!H78+'Martin Light Oil'!H78+'Fort Myers Light Oil'!H79+'Port GT''s Jet Fuel'!H79+'Lauderdale Jet Fuel'!H79+'Cape Canaveral Light Oil'!H79+'Riviera Light Oil'!H79+'PEEC Light Oil'!H79+'Cedar Bay Light Oil'!H78</f>
        <v>21421.097770154378</v>
      </c>
      <c r="F78" s="46">
        <f>'Turkey Point Light Oil'!I78+'West County Light Oil'!I78+'Martin Light Oil'!I78+'Fort Myers Light Oil'!I79+'Port GT''s Jet Fuel'!I79+'Lauderdale Jet Fuel'!I79+'Cape Canaveral Light Oil'!I79+'Riviera Light Oil'!I79+'PEEC Light Oil'!I79+'Cedar Bay Light Oil'!I78</f>
        <v>1857098.3904222108</v>
      </c>
      <c r="G78" s="22">
        <f t="shared" si="14"/>
        <v>86.694828171209409</v>
      </c>
      <c r="H78" s="46">
        <f>'Turkey Point Light Oil'!K78+'West County Light Oil'!K78+'Martin Light Oil'!K78+'Fort Myers Light Oil'!K79+'Port GT''s Jet Fuel'!K79+'Lauderdale Jet Fuel'!K79+'Cape Canaveral Light Oil'!K79+'Riviera Light Oil'!K79+'PEEC Light Oil'!K79+'Cedar Bay Light Oil'!K78</f>
        <v>4192.281303602058</v>
      </c>
      <c r="I78" s="46">
        <f>'Turkey Point Light Oil'!L78+'West County Light Oil'!L78+'Martin Light Oil'!L78+'Fort Myers Light Oil'!L79+'Port GT''s Jet Fuel'!L79+'Lauderdale Jet Fuel'!L79+'Cape Canaveral Light Oil'!L79+'Riviera Light Oil'!L79+'PEEC Light Oil'!L79+'Cedar Bay Light Oil'!L78</f>
        <v>424080.06406843482</v>
      </c>
      <c r="J78" s="14">
        <f t="shared" si="15"/>
        <v>101.15734927044619</v>
      </c>
      <c r="K78" s="46">
        <f>'Turkey Point Light Oil'!N78+'West County Light Oil'!N78+'Martin Light Oil'!N78+'Fort Myers Light Oil'!N79+'Port GT''s Jet Fuel'!N79+'Lauderdale Jet Fuel'!N79+'Cape Canaveral Light Oil'!N79+'Riviera Light Oil'!N79+'PEEC Light Oil'!N79+'Cedar Bay Light Oil'!N78</f>
        <v>1286452.30703259</v>
      </c>
      <c r="L78" s="46">
        <f>'Turkey Point Light Oil'!O78+'West County Light Oil'!O78+'Martin Light Oil'!O78+'Fort Myers Light Oil'!O79+'Port GT''s Jet Fuel'!O79+'Lauderdale Jet Fuel'!O79+'Cape Canaveral Light Oil'!O79+'Riviera Light Oil'!O79+'PEEC Light Oil'!O79+'Cedar Bay Light Oil'!O78</f>
        <v>127108177.13054851</v>
      </c>
      <c r="M78" s="22">
        <f t="shared" si="16"/>
        <v>98.805199723061662</v>
      </c>
      <c r="N78" s="74">
        <f t="shared" si="17"/>
        <v>1279690.4387122313</v>
      </c>
      <c r="O78" s="74">
        <f t="shared" si="18"/>
        <v>126223259.85163142</v>
      </c>
      <c r="P78" s="42">
        <f t="shared" si="19"/>
        <v>98.635776304347075</v>
      </c>
      <c r="Q78" s="45">
        <f>'Turkey Point Light Oil'!A78+'West County Light Oil'!A78+'Martin Light Oil'!A78+'Fort Myers Light Oil'!A79+'Port GT''s Jet Fuel'!A79+'Lauderdale Jet Fuel'!A79+'Cape Canaveral Light Oil'!A79+'Riviera Light Oil'!A79+'PEEC Light Oil'!A79+'Cedar Bay Light Oil'!A78+K78</f>
        <v>1342130.30703259</v>
      </c>
    </row>
    <row r="79" spans="1:17">
      <c r="A79" s="13">
        <v>43862</v>
      </c>
      <c r="B79" s="16">
        <f>'Turkey Point Light Oil'!E79+'West County Light Oil'!E79+'Martin Light Oil'!E79+'Fort Myers Light Oil'!E80+'Port GT''s Jet Fuel'!E80+'Lauderdale Jet Fuel'!E80+'Cape Canaveral Light Oil'!E80+'Riviera Light Oil'!E80+'PEEC Light Oil'!E80+'Cedar Bay Light Oil'!E79</f>
        <v>1286452.30703259</v>
      </c>
      <c r="C79" s="16">
        <f>'Turkey Point Light Oil'!F79+'West County Light Oil'!F79+'Martin Light Oil'!F79+'Fort Myers Light Oil'!F80+'Port GT''s Jet Fuel'!F80+'Lauderdale Jet Fuel'!F80+'Cape Canaveral Light Oil'!F80+'Riviera Light Oil'!F80+'PEEC Light Oil'!F80+'Cedar Bay Light Oil'!F79</f>
        <v>127108177.13054851</v>
      </c>
      <c r="D79" s="14">
        <f t="shared" si="13"/>
        <v>98.805199723061662</v>
      </c>
      <c r="E79" s="46">
        <f>'Turkey Point Light Oil'!H79+'West County Light Oil'!H79+'Martin Light Oil'!H79+'Fort Myers Light Oil'!H80+'Port GT''s Jet Fuel'!H80+'Lauderdale Jet Fuel'!H80+'Cape Canaveral Light Oil'!H80+'Riviera Light Oil'!H80+'PEEC Light Oil'!H80+'Cedar Bay Light Oil'!H79</f>
        <v>0</v>
      </c>
      <c r="F79" s="46">
        <f>'Turkey Point Light Oil'!I79+'West County Light Oil'!I79+'Martin Light Oil'!I79+'Fort Myers Light Oil'!I80+'Port GT''s Jet Fuel'!I80+'Lauderdale Jet Fuel'!I80+'Cape Canaveral Light Oil'!I80+'Riviera Light Oil'!I80+'PEEC Light Oil'!I80+'Cedar Bay Light Oil'!I79</f>
        <v>0</v>
      </c>
      <c r="G79" s="22">
        <f t="shared" si="14"/>
        <v>0</v>
      </c>
      <c r="H79" s="46">
        <f>'Turkey Point Light Oil'!K79+'West County Light Oil'!K79+'Martin Light Oil'!K79+'Fort Myers Light Oil'!K80+'Port GT''s Jet Fuel'!K80+'Lauderdale Jet Fuel'!K80+'Cape Canaveral Light Oil'!K80+'Riviera Light Oil'!K80+'PEEC Light Oil'!K80+'Cedar Bay Light Oil'!K79</f>
        <v>0</v>
      </c>
      <c r="I79" s="46">
        <f>'Turkey Point Light Oil'!L79+'West County Light Oil'!L79+'Martin Light Oil'!L79+'Fort Myers Light Oil'!L80+'Port GT''s Jet Fuel'!L80+'Lauderdale Jet Fuel'!L80+'Cape Canaveral Light Oil'!L80+'Riviera Light Oil'!L80+'PEEC Light Oil'!L80+'Cedar Bay Light Oil'!L79</f>
        <v>0</v>
      </c>
      <c r="J79" s="14">
        <f t="shared" si="15"/>
        <v>0</v>
      </c>
      <c r="K79" s="46">
        <f>'Turkey Point Light Oil'!N79+'West County Light Oil'!N79+'Martin Light Oil'!N79+'Fort Myers Light Oil'!N80+'Port GT''s Jet Fuel'!N80+'Lauderdale Jet Fuel'!N80+'Cape Canaveral Light Oil'!N80+'Riviera Light Oil'!N80+'PEEC Light Oil'!N80+'Cedar Bay Light Oil'!N79</f>
        <v>1286452.30703259</v>
      </c>
      <c r="L79" s="46">
        <f>'Turkey Point Light Oil'!O79+'West County Light Oil'!O79+'Martin Light Oil'!O79+'Fort Myers Light Oil'!O80+'Port GT''s Jet Fuel'!O80+'Lauderdale Jet Fuel'!O80+'Cape Canaveral Light Oil'!O80+'Riviera Light Oil'!O80+'PEEC Light Oil'!O80+'Cedar Bay Light Oil'!O79</f>
        <v>127108177.13054851</v>
      </c>
      <c r="M79" s="22">
        <f t="shared" si="16"/>
        <v>98.805199723061662</v>
      </c>
      <c r="N79" s="74">
        <f t="shared" si="17"/>
        <v>1280103.1052909358</v>
      </c>
      <c r="O79" s="74">
        <f t="shared" si="18"/>
        <v>126309048.39498249</v>
      </c>
      <c r="P79" s="42">
        <f t="shared" si="19"/>
        <v>98.670996010337433</v>
      </c>
      <c r="Q79" s="45">
        <f>'Turkey Point Light Oil'!A79+'West County Light Oil'!A79+'Martin Light Oil'!A79+'Fort Myers Light Oil'!A80+'Port GT''s Jet Fuel'!A80+'Lauderdale Jet Fuel'!A80+'Cape Canaveral Light Oil'!A80+'Riviera Light Oil'!A80+'PEEC Light Oil'!A80+'Cedar Bay Light Oil'!A79+K79</f>
        <v>1342130.30703259</v>
      </c>
    </row>
    <row r="80" spans="1:17">
      <c r="A80" s="13">
        <v>43891</v>
      </c>
      <c r="B80" s="16">
        <f>'Turkey Point Light Oil'!E80+'West County Light Oil'!E80+'Martin Light Oil'!E80+'Fort Myers Light Oil'!E81+'Port GT''s Jet Fuel'!E81+'Lauderdale Jet Fuel'!E81+'Cape Canaveral Light Oil'!E81+'Riviera Light Oil'!E81+'PEEC Light Oil'!E81+'Cedar Bay Light Oil'!E80</f>
        <v>1286452.30703259</v>
      </c>
      <c r="C80" s="16">
        <f>'Turkey Point Light Oil'!F80+'West County Light Oil'!F80+'Martin Light Oil'!F80+'Fort Myers Light Oil'!F81+'Port GT''s Jet Fuel'!F81+'Lauderdale Jet Fuel'!F81+'Cape Canaveral Light Oil'!F81+'Riviera Light Oil'!F81+'PEEC Light Oil'!F81+'Cedar Bay Light Oil'!F80</f>
        <v>127108177.13054851</v>
      </c>
      <c r="D80" s="14">
        <f t="shared" si="13"/>
        <v>98.805199723061662</v>
      </c>
      <c r="E80" s="46">
        <f>'Turkey Point Light Oil'!H80+'West County Light Oil'!H80+'Martin Light Oil'!H80+'Fort Myers Light Oil'!H81+'Port GT''s Jet Fuel'!H81+'Lauderdale Jet Fuel'!H81+'Cape Canaveral Light Oil'!H81+'Riviera Light Oil'!H81+'PEEC Light Oil'!H81+'Cedar Bay Light Oil'!H80</f>
        <v>22485.248713550616</v>
      </c>
      <c r="F80" s="46">
        <f>'Turkey Point Light Oil'!I80+'West County Light Oil'!I80+'Martin Light Oil'!I80+'Fort Myers Light Oil'!I81+'Port GT''s Jet Fuel'!I81+'Lauderdale Jet Fuel'!I81+'Cape Canaveral Light Oil'!I81+'Riviera Light Oil'!I81+'PEEC Light Oil'!I81+'Cedar Bay Light Oil'!I80</f>
        <v>2105625.4240989825</v>
      </c>
      <c r="G80" s="22">
        <f t="shared" si="14"/>
        <v>93.644746870424356</v>
      </c>
      <c r="H80" s="46">
        <f>'Turkey Point Light Oil'!K80+'West County Light Oil'!K80+'Martin Light Oil'!K80+'Fort Myers Light Oil'!K81+'Port GT''s Jet Fuel'!K81+'Lauderdale Jet Fuel'!K81+'Cape Canaveral Light Oil'!K81+'Riviera Light Oil'!K81+'PEEC Light Oil'!K81+'Cedar Bay Light Oil'!K80</f>
        <v>23559.862778730705</v>
      </c>
      <c r="I80" s="46">
        <f>'Turkey Point Light Oil'!L80+'West County Light Oil'!L80+'Martin Light Oil'!L80+'Fort Myers Light Oil'!L81+'Port GT''s Jet Fuel'!L81+'Lauderdale Jet Fuel'!L81+'Cape Canaveral Light Oil'!L81+'Riviera Light Oil'!L81+'PEEC Light Oil'!L81+'Cedar Bay Light Oil'!L80</f>
        <v>2002172.9931715191</v>
      </c>
      <c r="J80" s="14">
        <f t="shared" si="15"/>
        <v>84.982370736854804</v>
      </c>
      <c r="K80" s="46">
        <f>'Turkey Point Light Oil'!N80+'West County Light Oil'!N80+'Martin Light Oil'!N80+'Fort Myers Light Oil'!N81+'Port GT''s Jet Fuel'!N81+'Lauderdale Jet Fuel'!N81+'Cape Canaveral Light Oil'!N81+'Riviera Light Oil'!N81+'PEEC Light Oil'!N81+'Cedar Bay Light Oil'!N80</f>
        <v>1285377.6929674097</v>
      </c>
      <c r="L80" s="46">
        <f>'Turkey Point Light Oil'!O80+'West County Light Oil'!O80+'Martin Light Oil'!O80+'Fort Myers Light Oil'!O81+'Port GT''s Jet Fuel'!O81+'Lauderdale Jet Fuel'!O81+'Cape Canaveral Light Oil'!O81+'Riviera Light Oil'!O81+'PEEC Light Oil'!O81+'Cedar Bay Light Oil'!O80</f>
        <v>127211629.56147599</v>
      </c>
      <c r="M80" s="22">
        <f t="shared" si="16"/>
        <v>98.968287887271899</v>
      </c>
      <c r="N80" s="74">
        <f t="shared" si="17"/>
        <v>1280632.1064784275</v>
      </c>
      <c r="O80" s="74">
        <f t="shared" si="18"/>
        <v>126424550.90828525</v>
      </c>
      <c r="P80" s="42">
        <f t="shared" si="19"/>
        <v>98.720428973107971</v>
      </c>
      <c r="Q80" s="45">
        <f>'Turkey Point Light Oil'!A80+'West County Light Oil'!A80+'Martin Light Oil'!A80+'Fort Myers Light Oil'!A81+'Port GT''s Jet Fuel'!A81+'Lauderdale Jet Fuel'!A81+'Cape Canaveral Light Oil'!A81+'Riviera Light Oil'!A81+'PEEC Light Oil'!A81+'Cedar Bay Light Oil'!A80+K80</f>
        <v>1341055.6929674097</v>
      </c>
    </row>
    <row r="81" spans="1:17">
      <c r="A81" s="13">
        <v>43922</v>
      </c>
      <c r="B81" s="16">
        <f>'Turkey Point Light Oil'!E81+'West County Light Oil'!E81+'Martin Light Oil'!E81+'Fort Myers Light Oil'!E82+'Port GT''s Jet Fuel'!E82+'Lauderdale Jet Fuel'!E82+'Cape Canaveral Light Oil'!E82+'Riviera Light Oil'!E82+'PEEC Light Oil'!E82+'Cedar Bay Light Oil'!E81</f>
        <v>1285377.6929674097</v>
      </c>
      <c r="C81" s="16">
        <f>'Turkey Point Light Oil'!F81+'West County Light Oil'!F81+'Martin Light Oil'!F81+'Fort Myers Light Oil'!F82+'Port GT''s Jet Fuel'!F82+'Lauderdale Jet Fuel'!F82+'Cape Canaveral Light Oil'!F82+'Riviera Light Oil'!F82+'PEEC Light Oil'!F82+'Cedar Bay Light Oil'!F81</f>
        <v>127211629.56147599</v>
      </c>
      <c r="D81" s="14">
        <f t="shared" si="13"/>
        <v>98.968287887271899</v>
      </c>
      <c r="E81" s="46">
        <f>'Turkey Point Light Oil'!H81+'West County Light Oil'!H81+'Martin Light Oil'!H81+'Fort Myers Light Oil'!H82+'Port GT''s Jet Fuel'!H82+'Lauderdale Jet Fuel'!H82+'Cape Canaveral Light Oil'!H82+'Riviera Light Oil'!H82+'PEEC Light Oil'!H82+'Cedar Bay Light Oil'!H81</f>
        <v>20315.437392795873</v>
      </c>
      <c r="F81" s="46">
        <f>'Turkey Point Light Oil'!I81+'West County Light Oil'!I81+'Martin Light Oil'!I81+'Fort Myers Light Oil'!I82+'Port GT''s Jet Fuel'!I82+'Lauderdale Jet Fuel'!I82+'Cape Canaveral Light Oil'!I82+'Riviera Light Oil'!I82+'PEEC Light Oil'!I82+'Cedar Bay Light Oil'!I81</f>
        <v>1952061.8167011957</v>
      </c>
      <c r="G81" s="22">
        <f t="shared" si="14"/>
        <v>96.087609582721711</v>
      </c>
      <c r="H81" s="46">
        <f>'Turkey Point Light Oil'!K81+'West County Light Oil'!K81+'Martin Light Oil'!K81+'Fort Myers Light Oil'!K82+'Port GT''s Jet Fuel'!K82+'Lauderdale Jet Fuel'!K82+'Cape Canaveral Light Oil'!K82+'Riviera Light Oil'!K82+'PEEC Light Oil'!K82+'Cedar Bay Light Oil'!K81</f>
        <v>13046.655231560893</v>
      </c>
      <c r="I81" s="46">
        <f>'Turkey Point Light Oil'!L81+'West County Light Oil'!L81+'Martin Light Oil'!L81+'Fort Myers Light Oil'!L82+'Port GT''s Jet Fuel'!L82+'Lauderdale Jet Fuel'!L82+'Cape Canaveral Light Oil'!L82+'Riviera Light Oil'!L82+'PEEC Light Oil'!L82+'Cedar Bay Light Oil'!L81</f>
        <v>1116298.6670891475</v>
      </c>
      <c r="J81" s="14">
        <f t="shared" si="15"/>
        <v>85.56205765204345</v>
      </c>
      <c r="K81" s="46">
        <f>'Turkey Point Light Oil'!N81+'West County Light Oil'!N81+'Martin Light Oil'!N81+'Fort Myers Light Oil'!N82+'Port GT''s Jet Fuel'!N82+'Lauderdale Jet Fuel'!N82+'Cape Canaveral Light Oil'!N82+'Riviera Light Oil'!N82+'PEEC Light Oil'!N82+'Cedar Bay Light Oil'!N81</f>
        <v>1292646.4751286448</v>
      </c>
      <c r="L81" s="46">
        <f>'Turkey Point Light Oil'!O81+'West County Light Oil'!O81+'Martin Light Oil'!O81+'Fort Myers Light Oil'!O82+'Port GT''s Jet Fuel'!O82+'Lauderdale Jet Fuel'!O82+'Cape Canaveral Light Oil'!O82+'Riviera Light Oil'!O82+'PEEC Light Oil'!O82+'Cedar Bay Light Oil'!O81</f>
        <v>128047392.71108802</v>
      </c>
      <c r="M81" s="22">
        <f t="shared" si="16"/>
        <v>99.058323505152231</v>
      </c>
      <c r="N81" s="74">
        <f t="shared" si="17"/>
        <v>1280276.6770022432</v>
      </c>
      <c r="O81" s="74">
        <f t="shared" si="18"/>
        <v>126466486.68959546</v>
      </c>
      <c r="P81" s="42">
        <f t="shared" si="19"/>
        <v>98.780590915485277</v>
      </c>
      <c r="Q81" s="45">
        <f>'Turkey Point Light Oil'!A81+'West County Light Oil'!A81+'Martin Light Oil'!A81+'Fort Myers Light Oil'!A82+'Port GT''s Jet Fuel'!A82+'Lauderdale Jet Fuel'!A82+'Cape Canaveral Light Oil'!A82+'Riviera Light Oil'!A82+'PEEC Light Oil'!A82+'Cedar Bay Light Oil'!A81+K81</f>
        <v>1348324.4751286448</v>
      </c>
    </row>
    <row r="82" spans="1:17">
      <c r="A82" s="13">
        <v>43952</v>
      </c>
      <c r="B82" s="16">
        <f>'Turkey Point Light Oil'!E82+'West County Light Oil'!E82+'Martin Light Oil'!E82+'Fort Myers Light Oil'!E83+'Port GT''s Jet Fuel'!E83+'Lauderdale Jet Fuel'!E83+'Cape Canaveral Light Oil'!E83+'Riviera Light Oil'!E83+'PEEC Light Oil'!E83+'Cedar Bay Light Oil'!E82</f>
        <v>1292646.4751286448</v>
      </c>
      <c r="C82" s="16">
        <f>'Turkey Point Light Oil'!F82+'West County Light Oil'!F82+'Martin Light Oil'!F82+'Fort Myers Light Oil'!F83+'Port GT''s Jet Fuel'!F83+'Lauderdale Jet Fuel'!F83+'Cape Canaveral Light Oil'!F83+'Riviera Light Oil'!F83+'PEEC Light Oil'!F83+'Cedar Bay Light Oil'!F82</f>
        <v>128047392.71108802</v>
      </c>
      <c r="D82" s="14">
        <f t="shared" si="13"/>
        <v>99.058323505152231</v>
      </c>
      <c r="E82" s="46">
        <f>'Turkey Point Light Oil'!H82+'West County Light Oil'!H82+'Martin Light Oil'!H82+'Fort Myers Light Oil'!H83+'Port GT''s Jet Fuel'!H83+'Lauderdale Jet Fuel'!H83+'Cape Canaveral Light Oil'!H83+'Riviera Light Oil'!H83+'PEEC Light Oil'!H83+'Cedar Bay Light Oil'!H82</f>
        <v>11114.922813036028</v>
      </c>
      <c r="F82" s="46">
        <f>'Turkey Point Light Oil'!I82+'West County Light Oil'!I82+'Martin Light Oil'!I82+'Fort Myers Light Oil'!I83+'Port GT''s Jet Fuel'!I83+'Lauderdale Jet Fuel'!I83+'Cape Canaveral Light Oil'!I83+'Riviera Light Oil'!I83+'PEEC Light Oil'!I83+'Cedar Bay Light Oil'!I82</f>
        <v>1057277.1150374918</v>
      </c>
      <c r="G82" s="22">
        <f t="shared" si="14"/>
        <v>95.122308343650815</v>
      </c>
      <c r="H82" s="46">
        <f>'Turkey Point Light Oil'!K82+'West County Light Oil'!K82+'Martin Light Oil'!K82+'Fort Myers Light Oil'!K83+'Port GT''s Jet Fuel'!K83+'Lauderdale Jet Fuel'!K83+'Cape Canaveral Light Oil'!K83+'Riviera Light Oil'!K83+'PEEC Light Oil'!K83+'Cedar Bay Light Oil'!K82</f>
        <v>16099.656946826755</v>
      </c>
      <c r="I82" s="46">
        <f>'Turkey Point Light Oil'!L82+'West County Light Oil'!L82+'Martin Light Oil'!L82+'Fort Myers Light Oil'!L83+'Port GT''s Jet Fuel'!L83+'Lauderdale Jet Fuel'!L83+'Cape Canaveral Light Oil'!L83+'Riviera Light Oil'!L83+'PEEC Light Oil'!L83+'Cedar Bay Light Oil'!L82</f>
        <v>1417242.6323744252</v>
      </c>
      <c r="J82" s="14">
        <f t="shared" si="15"/>
        <v>88.02936839308019</v>
      </c>
      <c r="K82" s="46">
        <f>'Turkey Point Light Oil'!N82+'West County Light Oil'!N82+'Martin Light Oil'!N82+'Fort Myers Light Oil'!N83+'Port GT''s Jet Fuel'!N83+'Lauderdale Jet Fuel'!N83+'Cape Canaveral Light Oil'!N83+'Riviera Light Oil'!N83+'PEEC Light Oil'!N83+'Cedar Bay Light Oil'!N82</f>
        <v>1287661.7409948541</v>
      </c>
      <c r="L82" s="46">
        <f>'Turkey Point Light Oil'!O82+'West County Light Oil'!O82+'Martin Light Oil'!O82+'Fort Myers Light Oil'!O83+'Port GT''s Jet Fuel'!O83+'Lauderdale Jet Fuel'!O83+'Cape Canaveral Light Oil'!O83+'Riviera Light Oil'!O83+'PEEC Light Oil'!O83+'Cedar Bay Light Oil'!O82</f>
        <v>127687427.1937511</v>
      </c>
      <c r="M82" s="22">
        <f t="shared" si="16"/>
        <v>99.16224356801898</v>
      </c>
      <c r="N82" s="74">
        <f t="shared" si="17"/>
        <v>1281258.1125478295</v>
      </c>
      <c r="O82" s="74">
        <f t="shared" si="18"/>
        <v>126627295.38254961</v>
      </c>
      <c r="P82" s="42">
        <f t="shared" si="19"/>
        <v>98.83043404169868</v>
      </c>
      <c r="Q82" s="45">
        <f>'Turkey Point Light Oil'!A82+'West County Light Oil'!A82+'Martin Light Oil'!A82+'Fort Myers Light Oil'!A83+'Port GT''s Jet Fuel'!A83+'Lauderdale Jet Fuel'!A83+'Cape Canaveral Light Oil'!A83+'Riviera Light Oil'!A83+'PEEC Light Oil'!A83+'Cedar Bay Light Oil'!A82+K82</f>
        <v>1343339.7409948541</v>
      </c>
    </row>
    <row r="83" spans="1:17">
      <c r="A83" s="13">
        <v>43983</v>
      </c>
      <c r="B83" s="16">
        <f>'Turkey Point Light Oil'!E83+'West County Light Oil'!E83+'Martin Light Oil'!E83+'Fort Myers Light Oil'!E84+'Port GT''s Jet Fuel'!E84+'Lauderdale Jet Fuel'!E84+'Cape Canaveral Light Oil'!E84+'Riviera Light Oil'!E84+'PEEC Light Oil'!E84+'Cedar Bay Light Oil'!E83</f>
        <v>1287661.7409948541</v>
      </c>
      <c r="C83" s="16">
        <f>'Turkey Point Light Oil'!F83+'West County Light Oil'!F83+'Martin Light Oil'!F83+'Fort Myers Light Oil'!F84+'Port GT''s Jet Fuel'!F84+'Lauderdale Jet Fuel'!F84+'Cape Canaveral Light Oil'!F84+'Riviera Light Oil'!F84+'PEEC Light Oil'!F84+'Cedar Bay Light Oil'!F83</f>
        <v>127687427.1937511</v>
      </c>
      <c r="D83" s="14">
        <f t="shared" si="13"/>
        <v>99.16224356801898</v>
      </c>
      <c r="E83" s="46">
        <f>'Turkey Point Light Oil'!H83+'West County Light Oil'!H83+'Martin Light Oil'!H83+'Fort Myers Light Oil'!H84+'Port GT''s Jet Fuel'!H84+'Lauderdale Jet Fuel'!H84+'Cape Canaveral Light Oil'!H84+'Riviera Light Oil'!H84+'PEEC Light Oil'!H84+'Cedar Bay Light Oil'!H83</f>
        <v>0</v>
      </c>
      <c r="F83" s="46">
        <f>'Turkey Point Light Oil'!I83+'West County Light Oil'!I83+'Martin Light Oil'!I83+'Fort Myers Light Oil'!I84+'Port GT''s Jet Fuel'!I84+'Lauderdale Jet Fuel'!I84+'Cape Canaveral Light Oil'!I84+'Riviera Light Oil'!I84+'PEEC Light Oil'!I84+'Cedar Bay Light Oil'!I83</f>
        <v>0</v>
      </c>
      <c r="G83" s="22">
        <f t="shared" si="14"/>
        <v>0</v>
      </c>
      <c r="H83" s="46">
        <f>'Turkey Point Light Oil'!K83+'West County Light Oil'!K83+'Martin Light Oil'!K83+'Fort Myers Light Oil'!K84+'Port GT''s Jet Fuel'!K84+'Lauderdale Jet Fuel'!K84+'Cape Canaveral Light Oil'!K84+'Riviera Light Oil'!K84+'PEEC Light Oil'!K84+'Cedar Bay Light Oil'!K83</f>
        <v>2327.1012006861065</v>
      </c>
      <c r="I83" s="46">
        <f>'Turkey Point Light Oil'!L83+'West County Light Oil'!L83+'Martin Light Oil'!L83+'Fort Myers Light Oil'!L84+'Port GT''s Jet Fuel'!L84+'Lauderdale Jet Fuel'!L84+'Cape Canaveral Light Oil'!L84+'Riviera Light Oil'!L84+'PEEC Light Oil'!L84+'Cedar Bay Light Oil'!L83</f>
        <v>225241.09349084768</v>
      </c>
      <c r="J83" s="14">
        <f t="shared" si="15"/>
        <v>96.79041608694935</v>
      </c>
      <c r="K83" s="46">
        <f>'Turkey Point Light Oil'!N83+'West County Light Oil'!N83+'Martin Light Oil'!N83+'Fort Myers Light Oil'!N84+'Port GT''s Jet Fuel'!N84+'Lauderdale Jet Fuel'!N84+'Cape Canaveral Light Oil'!N84+'Riviera Light Oil'!N84+'PEEC Light Oil'!N84+'Cedar Bay Light Oil'!N83</f>
        <v>1285334.6397941681</v>
      </c>
      <c r="L83" s="46">
        <f>'Turkey Point Light Oil'!O83+'West County Light Oil'!O83+'Martin Light Oil'!O83+'Fort Myers Light Oil'!O84+'Port GT''s Jet Fuel'!O84+'Lauderdale Jet Fuel'!O84+'Cape Canaveral Light Oil'!O84+'Riviera Light Oil'!O84+'PEEC Light Oil'!O84+'Cedar Bay Light Oil'!O83</f>
        <v>127462186.10026023</v>
      </c>
      <c r="M83" s="22">
        <f t="shared" si="16"/>
        <v>99.166537766905492</v>
      </c>
      <c r="N83" s="74">
        <f t="shared" si="17"/>
        <v>1281704.9656946829</v>
      </c>
      <c r="O83" s="74">
        <f t="shared" si="18"/>
        <v>126731917.72177936</v>
      </c>
      <c r="P83" s="42">
        <f t="shared" si="19"/>
        <v>98.877605309963656</v>
      </c>
      <c r="Q83" s="45">
        <f>'Turkey Point Light Oil'!A83+'West County Light Oil'!A83+'Martin Light Oil'!A83+'Fort Myers Light Oil'!A84+'Port GT''s Jet Fuel'!A84+'Lauderdale Jet Fuel'!A84+'Cape Canaveral Light Oil'!A84+'Riviera Light Oil'!A84+'PEEC Light Oil'!A84+'Cedar Bay Light Oil'!A83+K83</f>
        <v>1341012.6397941681</v>
      </c>
    </row>
    <row r="84" spans="1:17">
      <c r="A84" s="13">
        <v>44013</v>
      </c>
      <c r="B84" s="16">
        <f>'Turkey Point Light Oil'!E84+'West County Light Oil'!E84+'Martin Light Oil'!E84+'Fort Myers Light Oil'!E85+'Port GT''s Jet Fuel'!E85+'Lauderdale Jet Fuel'!E85+'Cape Canaveral Light Oil'!E85+'Riviera Light Oil'!E85+'PEEC Light Oil'!E85+'Cedar Bay Light Oil'!E84</f>
        <v>1285334.6397941681</v>
      </c>
      <c r="C84" s="16">
        <f>'Turkey Point Light Oil'!F84+'West County Light Oil'!F84+'Martin Light Oil'!F84+'Fort Myers Light Oil'!F85+'Port GT''s Jet Fuel'!F85+'Lauderdale Jet Fuel'!F85+'Cape Canaveral Light Oil'!F85+'Riviera Light Oil'!F85+'PEEC Light Oil'!F85+'Cedar Bay Light Oil'!F84</f>
        <v>127462186.10026023</v>
      </c>
      <c r="D84" s="14">
        <f t="shared" si="13"/>
        <v>99.166537766905492</v>
      </c>
      <c r="E84" s="46">
        <f>'Turkey Point Light Oil'!H84+'West County Light Oil'!H84+'Martin Light Oil'!H84+'Fort Myers Light Oil'!H85+'Port GT''s Jet Fuel'!H85+'Lauderdale Jet Fuel'!H85+'Cape Canaveral Light Oil'!H85+'Riviera Light Oil'!H85+'PEEC Light Oil'!H85+'Cedar Bay Light Oil'!H84</f>
        <v>11801.029159519716</v>
      </c>
      <c r="F84" s="46">
        <f>'Turkey Point Light Oil'!I84+'West County Light Oil'!I84+'Martin Light Oil'!I84+'Fort Myers Light Oil'!I85+'Port GT''s Jet Fuel'!I85+'Lauderdale Jet Fuel'!I85+'Cape Canaveral Light Oil'!I85+'Riviera Light Oil'!I85+'PEEC Light Oil'!I85+'Cedar Bay Light Oil'!I84</f>
        <v>1148558.7259599755</v>
      </c>
      <c r="G84" s="22">
        <f t="shared" si="14"/>
        <v>97.326996691085213</v>
      </c>
      <c r="H84" s="46">
        <f>'Turkey Point Light Oil'!K84+'West County Light Oil'!K84+'Martin Light Oil'!K84+'Fort Myers Light Oil'!K85+'Port GT''s Jet Fuel'!K85+'Lauderdale Jet Fuel'!K85+'Cape Canaveral Light Oil'!K85+'Riviera Light Oil'!K85+'PEEC Light Oil'!K85+'Cedar Bay Light Oil'!K84</f>
        <v>7036.363636363636</v>
      </c>
      <c r="I84" s="46">
        <f>'Turkey Point Light Oil'!L84+'West County Light Oil'!L84+'Martin Light Oil'!L84+'Fort Myers Light Oil'!L85+'Port GT''s Jet Fuel'!L85+'Lauderdale Jet Fuel'!L85+'Cape Canaveral Light Oil'!L85+'Riviera Light Oil'!L85+'PEEC Light Oil'!L85+'Cedar Bay Light Oil'!L84</f>
        <v>620122.00647371484</v>
      </c>
      <c r="J84" s="14">
        <f t="shared" si="15"/>
        <v>88.131034511768263</v>
      </c>
      <c r="K84" s="46">
        <f>'Turkey Point Light Oil'!N84+'West County Light Oil'!N84+'Martin Light Oil'!N84+'Fort Myers Light Oil'!N85+'Port GT''s Jet Fuel'!N85+'Lauderdale Jet Fuel'!N85+'Cape Canaveral Light Oil'!N85+'Riviera Light Oil'!N85+'PEEC Light Oil'!N85+'Cedar Bay Light Oil'!N84</f>
        <v>1290099.3053173241</v>
      </c>
      <c r="L84" s="46">
        <f>'Turkey Point Light Oil'!O84+'West County Light Oil'!O84+'Martin Light Oil'!O84+'Fort Myers Light Oil'!O85+'Port GT''s Jet Fuel'!O85+'Lauderdale Jet Fuel'!O85+'Cape Canaveral Light Oil'!O85+'Riviera Light Oil'!O85+'PEEC Light Oil'!O85+'Cedar Bay Light Oil'!O84</f>
        <v>127990622.81974649</v>
      </c>
      <c r="M84" s="22">
        <f t="shared" si="16"/>
        <v>99.20989980555396</v>
      </c>
      <c r="N84" s="74">
        <f t="shared" si="17"/>
        <v>1282462.5722390818</v>
      </c>
      <c r="O84" s="74">
        <f t="shared" si="18"/>
        <v>126867725.88588229</v>
      </c>
      <c r="P84" s="42">
        <f t="shared" si="19"/>
        <v>98.925090394163249</v>
      </c>
      <c r="Q84" s="45">
        <f>'Turkey Point Light Oil'!A84+'West County Light Oil'!A84+'Martin Light Oil'!A84+'Fort Myers Light Oil'!A85+'Port GT''s Jet Fuel'!A85+'Lauderdale Jet Fuel'!A85+'Cape Canaveral Light Oil'!A85+'Riviera Light Oil'!A85+'PEEC Light Oil'!A85+'Cedar Bay Light Oil'!A84+K84</f>
        <v>1345777.3053173241</v>
      </c>
    </row>
    <row r="85" spans="1:17">
      <c r="A85" s="13">
        <v>44044</v>
      </c>
      <c r="B85" s="16">
        <f>'Turkey Point Light Oil'!E85+'West County Light Oil'!E85+'Martin Light Oil'!E85+'Fort Myers Light Oil'!E86+'Port GT''s Jet Fuel'!E86+'Lauderdale Jet Fuel'!E86+'Cape Canaveral Light Oil'!E86+'Riviera Light Oil'!E86+'PEEC Light Oil'!E86+'Cedar Bay Light Oil'!E85</f>
        <v>1290099.3053173241</v>
      </c>
      <c r="C85" s="16">
        <f>'Turkey Point Light Oil'!F85+'West County Light Oil'!F85+'Martin Light Oil'!F85+'Fort Myers Light Oil'!F86+'Port GT''s Jet Fuel'!F86+'Lauderdale Jet Fuel'!F86+'Cape Canaveral Light Oil'!F86+'Riviera Light Oil'!F86+'PEEC Light Oil'!F86+'Cedar Bay Light Oil'!F85</f>
        <v>127990622.81974649</v>
      </c>
      <c r="D85" s="14">
        <f t="shared" si="13"/>
        <v>99.20989980555396</v>
      </c>
      <c r="E85" s="46">
        <f>'Turkey Point Light Oil'!H85+'West County Light Oil'!H85+'Martin Light Oil'!H85+'Fort Myers Light Oil'!H86+'Port GT''s Jet Fuel'!H86+'Lauderdale Jet Fuel'!H86+'Cape Canaveral Light Oil'!H86+'Riviera Light Oil'!H86+'PEEC Light Oil'!H86+'Cedar Bay Light Oil'!H85</f>
        <v>0</v>
      </c>
      <c r="F85" s="46">
        <f>'Turkey Point Light Oil'!I85+'West County Light Oil'!I85+'Martin Light Oil'!I85+'Fort Myers Light Oil'!I86+'Port GT''s Jet Fuel'!I86+'Lauderdale Jet Fuel'!I86+'Cape Canaveral Light Oil'!I86+'Riviera Light Oil'!I86+'PEEC Light Oil'!I86+'Cedar Bay Light Oil'!I85</f>
        <v>0</v>
      </c>
      <c r="G85" s="22">
        <f t="shared" si="14"/>
        <v>0</v>
      </c>
      <c r="H85" s="46">
        <f>'Turkey Point Light Oil'!K85+'West County Light Oil'!K85+'Martin Light Oil'!K85+'Fort Myers Light Oil'!K86+'Port GT''s Jet Fuel'!K86+'Lauderdale Jet Fuel'!K86+'Cape Canaveral Light Oil'!K86+'Riviera Light Oil'!K86+'PEEC Light Oil'!K86+'Cedar Bay Light Oil'!K85</f>
        <v>13300.857632933104</v>
      </c>
      <c r="I85" s="46">
        <f>'Turkey Point Light Oil'!L85+'West County Light Oil'!L85+'Martin Light Oil'!L85+'Fort Myers Light Oil'!L86+'Port GT''s Jet Fuel'!L86+'Lauderdale Jet Fuel'!L86+'Cape Canaveral Light Oil'!L86+'Riviera Light Oil'!L86+'PEEC Light Oil'!L86+'Cedar Bay Light Oil'!L85</f>
        <v>1187995.3903133525</v>
      </c>
      <c r="J85" s="14">
        <f t="shared" si="15"/>
        <v>89.317202175885242</v>
      </c>
      <c r="K85" s="46">
        <f>'Turkey Point Light Oil'!N85+'West County Light Oil'!N85+'Martin Light Oil'!N85+'Fort Myers Light Oil'!N86+'Port GT''s Jet Fuel'!N86+'Lauderdale Jet Fuel'!N86+'Cape Canaveral Light Oil'!N86+'Riviera Light Oil'!N86+'PEEC Light Oil'!N86+'Cedar Bay Light Oil'!N85</f>
        <v>1276798.4476843909</v>
      </c>
      <c r="L85" s="46">
        <f>'Turkey Point Light Oil'!O85+'West County Light Oil'!O85+'Martin Light Oil'!O85+'Fort Myers Light Oil'!O86+'Port GT''s Jet Fuel'!O86+'Lauderdale Jet Fuel'!O86+'Cape Canaveral Light Oil'!O86+'Riviera Light Oil'!O86+'PEEC Light Oil'!O86+'Cedar Bay Light Oil'!O85</f>
        <v>126802627.42943317</v>
      </c>
      <c r="M85" s="22">
        <f t="shared" si="16"/>
        <v>99.31295550946443</v>
      </c>
      <c r="N85" s="74">
        <f t="shared" si="17"/>
        <v>1282189.5546905922</v>
      </c>
      <c r="O85" s="74">
        <f t="shared" si="18"/>
        <v>126905958.47757395</v>
      </c>
      <c r="P85" s="42">
        <f t="shared" si="19"/>
        <v>98.975972790698549</v>
      </c>
      <c r="Q85" s="45">
        <f>'Turkey Point Light Oil'!A85+'West County Light Oil'!A85+'Martin Light Oil'!A85+'Fort Myers Light Oil'!A86+'Port GT''s Jet Fuel'!A86+'Lauderdale Jet Fuel'!A86+'Cape Canaveral Light Oil'!A86+'Riviera Light Oil'!A86+'PEEC Light Oil'!A86+'Cedar Bay Light Oil'!A85+K85</f>
        <v>1332476.4476843909</v>
      </c>
    </row>
    <row r="86" spans="1:17">
      <c r="A86" s="13">
        <v>44075</v>
      </c>
      <c r="B86" s="16">
        <f>'Turkey Point Light Oil'!E86+'West County Light Oil'!E86+'Martin Light Oil'!E86+'Fort Myers Light Oil'!E87+'Port GT''s Jet Fuel'!E87+'Lauderdale Jet Fuel'!E87+'Cape Canaveral Light Oil'!E87+'Riviera Light Oil'!E87+'PEEC Light Oil'!E87+'Cedar Bay Light Oil'!E86</f>
        <v>1276798.4476843909</v>
      </c>
      <c r="C86" s="16">
        <f>'Turkey Point Light Oil'!F86+'West County Light Oil'!F86+'Martin Light Oil'!F86+'Fort Myers Light Oil'!F87+'Port GT''s Jet Fuel'!F87+'Lauderdale Jet Fuel'!F87+'Cape Canaveral Light Oil'!F87+'Riviera Light Oil'!F87+'PEEC Light Oil'!F87+'Cedar Bay Light Oil'!F86</f>
        <v>126802627.42943317</v>
      </c>
      <c r="D86" s="14">
        <f t="shared" si="13"/>
        <v>99.31295550946443</v>
      </c>
      <c r="E86" s="46">
        <f>'Turkey Point Light Oil'!H86+'West County Light Oil'!H86+'Martin Light Oil'!H86+'Fort Myers Light Oil'!H87+'Port GT''s Jet Fuel'!H87+'Lauderdale Jet Fuel'!H87+'Cape Canaveral Light Oil'!H87+'Riviera Light Oil'!H87+'PEEC Light Oil'!H87+'Cedar Bay Light Oil'!H86</f>
        <v>50212.69296741001</v>
      </c>
      <c r="F86" s="46">
        <f>'Turkey Point Light Oil'!I86+'West County Light Oil'!I86+'Martin Light Oil'!I86+'Fort Myers Light Oil'!I87+'Port GT''s Jet Fuel'!I87+'Lauderdale Jet Fuel'!I87+'Cape Canaveral Light Oil'!I87+'Riviera Light Oil'!I87+'PEEC Light Oil'!I87+'Cedar Bay Light Oil'!I86</f>
        <v>4817786.2692639017</v>
      </c>
      <c r="G86" s="22">
        <f t="shared" si="14"/>
        <v>95.947577884158335</v>
      </c>
      <c r="H86" s="46">
        <f>'Turkey Point Light Oil'!K86+'West County Light Oil'!K86+'Martin Light Oil'!K86+'Fort Myers Light Oil'!K87+'Port GT''s Jet Fuel'!K87+'Lauderdale Jet Fuel'!K87+'Cape Canaveral Light Oil'!K87+'Riviera Light Oil'!K87+'PEEC Light Oil'!K87+'Cedar Bay Light Oil'!K86</f>
        <v>34977.015437392794</v>
      </c>
      <c r="I86" s="46">
        <f>'Turkey Point Light Oil'!L86+'West County Light Oil'!L86+'Martin Light Oil'!L86+'Fort Myers Light Oil'!L87+'Port GT''s Jet Fuel'!L87+'Lauderdale Jet Fuel'!L87+'Cape Canaveral Light Oil'!L87+'Riviera Light Oil'!L87+'PEEC Light Oil'!L87+'Cedar Bay Light Oil'!L86</f>
        <v>3163890.9055998111</v>
      </c>
      <c r="J86" s="14">
        <f t="shared" si="15"/>
        <v>90.456285821842812</v>
      </c>
      <c r="K86" s="46">
        <f>'Turkey Point Light Oil'!N86+'West County Light Oil'!N86+'Martin Light Oil'!N86+'Fort Myers Light Oil'!N87+'Port GT''s Jet Fuel'!N87+'Lauderdale Jet Fuel'!N87+'Cape Canaveral Light Oil'!N87+'Riviera Light Oil'!N87+'PEEC Light Oil'!N87+'Cedar Bay Light Oil'!N86</f>
        <v>1292034.1252144084</v>
      </c>
      <c r="L86" s="46">
        <f>'Turkey Point Light Oil'!O86+'West County Light Oil'!O86+'Martin Light Oil'!O86+'Fort Myers Light Oil'!O87+'Port GT''s Jet Fuel'!O87+'Lauderdale Jet Fuel'!O87+'Cape Canaveral Light Oil'!O87+'Riviera Light Oil'!O87+'PEEC Light Oil'!O87+'Cedar Bay Light Oil'!O86</f>
        <v>128456522.79309726</v>
      </c>
      <c r="M86" s="22">
        <f t="shared" si="16"/>
        <v>99.421927243431256</v>
      </c>
      <c r="N86" s="74">
        <f t="shared" si="17"/>
        <v>1283602.3400184719</v>
      </c>
      <c r="O86" s="74">
        <f t="shared" si="18"/>
        <v>127107853.81942171</v>
      </c>
      <c r="P86" s="42">
        <f t="shared" si="19"/>
        <v>99.024323855309063</v>
      </c>
      <c r="Q86" s="45">
        <f>'Turkey Point Light Oil'!A86+'West County Light Oil'!A86+'Martin Light Oil'!A86+'Fort Myers Light Oil'!A87+'Port GT''s Jet Fuel'!A87+'Lauderdale Jet Fuel'!A87+'Cape Canaveral Light Oil'!A87+'Riviera Light Oil'!A87+'PEEC Light Oil'!A87+'Cedar Bay Light Oil'!A86+K86</f>
        <v>1347712.1252144084</v>
      </c>
    </row>
    <row r="87" spans="1:17">
      <c r="A87" s="13">
        <v>44105</v>
      </c>
      <c r="B87" s="16">
        <f>'Turkey Point Light Oil'!E87+'West County Light Oil'!E87+'Martin Light Oil'!E87+'Fort Myers Light Oil'!E88+'Port GT''s Jet Fuel'!E88+'Lauderdale Jet Fuel'!E88+'Cape Canaveral Light Oil'!E88+'Riviera Light Oil'!E88+'PEEC Light Oil'!E88+'Cedar Bay Light Oil'!E87</f>
        <v>1292034.1252144084</v>
      </c>
      <c r="C87" s="16">
        <f>'Turkey Point Light Oil'!F87+'West County Light Oil'!F87+'Martin Light Oil'!F87+'Fort Myers Light Oil'!F88+'Port GT''s Jet Fuel'!F88+'Lauderdale Jet Fuel'!F88+'Cape Canaveral Light Oil'!F88+'Riviera Light Oil'!F88+'PEEC Light Oil'!F88+'Cedar Bay Light Oil'!F87</f>
        <v>128456522.79309726</v>
      </c>
      <c r="D87" s="14">
        <f t="shared" si="13"/>
        <v>99.421927243431256</v>
      </c>
      <c r="E87" s="46">
        <f>'Turkey Point Light Oil'!H87+'West County Light Oil'!H87+'Martin Light Oil'!H87+'Fort Myers Light Oil'!H88+'Port GT''s Jet Fuel'!H88+'Lauderdale Jet Fuel'!H88+'Cape Canaveral Light Oil'!H88+'Riviera Light Oil'!H88+'PEEC Light Oil'!H88+'Cedar Bay Light Oil'!H87</f>
        <v>0</v>
      </c>
      <c r="F87" s="46">
        <f>'Turkey Point Light Oil'!I87+'West County Light Oil'!I87+'Martin Light Oil'!I87+'Fort Myers Light Oil'!I88+'Port GT''s Jet Fuel'!I88+'Lauderdale Jet Fuel'!I88+'Cape Canaveral Light Oil'!I88+'Riviera Light Oil'!I88+'PEEC Light Oil'!I88+'Cedar Bay Light Oil'!I87</f>
        <v>0</v>
      </c>
      <c r="G87" s="22">
        <f t="shared" si="14"/>
        <v>0</v>
      </c>
      <c r="H87" s="46">
        <f>'Turkey Point Light Oil'!K87+'West County Light Oil'!K87+'Martin Light Oil'!K87+'Fort Myers Light Oil'!K88+'Port GT''s Jet Fuel'!K88+'Lauderdale Jet Fuel'!K88+'Cape Canaveral Light Oil'!K88+'Riviera Light Oil'!K88+'PEEC Light Oil'!K88+'Cedar Bay Light Oil'!K87</f>
        <v>9442.5385934819897</v>
      </c>
      <c r="I87" s="46">
        <f>'Turkey Point Light Oil'!L87+'West County Light Oil'!L87+'Martin Light Oil'!L87+'Fort Myers Light Oil'!L88+'Port GT''s Jet Fuel'!L88+'Lauderdale Jet Fuel'!L88+'Cape Canaveral Light Oil'!L88+'Riviera Light Oil'!L88+'PEEC Light Oil'!L88+'Cedar Bay Light Oil'!L87</f>
        <v>833307.81822030002</v>
      </c>
      <c r="J87" s="14">
        <f t="shared" si="15"/>
        <v>88.250401093993631</v>
      </c>
      <c r="K87" s="46">
        <f>'Turkey Point Light Oil'!N87+'West County Light Oil'!N87+'Martin Light Oil'!N87+'Fort Myers Light Oil'!N88+'Port GT''s Jet Fuel'!N88+'Lauderdale Jet Fuel'!N88+'Cape Canaveral Light Oil'!N88+'Riviera Light Oil'!N88+'PEEC Light Oil'!N88+'Cedar Bay Light Oil'!N87</f>
        <v>1282591.5866209264</v>
      </c>
      <c r="L87" s="46">
        <f>'Turkey Point Light Oil'!O87+'West County Light Oil'!O87+'Martin Light Oil'!O87+'Fort Myers Light Oil'!O88+'Port GT''s Jet Fuel'!O88+'Lauderdale Jet Fuel'!O88+'Cape Canaveral Light Oil'!O88+'Riviera Light Oil'!O88+'PEEC Light Oil'!O88+'Cedar Bay Light Oil'!O87</f>
        <v>127623214.97487696</v>
      </c>
      <c r="M87" s="22">
        <f t="shared" si="16"/>
        <v>99.504172884143799</v>
      </c>
      <c r="N87" s="74">
        <f t="shared" si="17"/>
        <v>1284980.7012798521</v>
      </c>
      <c r="O87" s="74">
        <f t="shared" si="18"/>
        <v>127308072.41427255</v>
      </c>
      <c r="P87" s="42">
        <f t="shared" si="19"/>
        <v>99.073917831974114</v>
      </c>
      <c r="Q87" s="45">
        <f>'Turkey Point Light Oil'!A87+'West County Light Oil'!A87+'Martin Light Oil'!A87+'Fort Myers Light Oil'!A88+'Port GT''s Jet Fuel'!A88+'Lauderdale Jet Fuel'!A88+'Cape Canaveral Light Oil'!A88+'Riviera Light Oil'!A88+'PEEC Light Oil'!A88+'Cedar Bay Light Oil'!A87+K87</f>
        <v>1338269.5866209264</v>
      </c>
    </row>
    <row r="88" spans="1:17">
      <c r="A88" s="13">
        <v>44136</v>
      </c>
      <c r="B88" s="16">
        <f>'Turkey Point Light Oil'!E88+'West County Light Oil'!E88+'Martin Light Oil'!E88+'Fort Myers Light Oil'!E89+'Port GT''s Jet Fuel'!E89+'Lauderdale Jet Fuel'!E89+'Cape Canaveral Light Oil'!E89+'Riviera Light Oil'!E89+'PEEC Light Oil'!E89+'Cedar Bay Light Oil'!E88</f>
        <v>1282591.5866209264</v>
      </c>
      <c r="C88" s="16">
        <f>'Turkey Point Light Oil'!F88+'West County Light Oil'!F88+'Martin Light Oil'!F88+'Fort Myers Light Oil'!F89+'Port GT''s Jet Fuel'!F89+'Lauderdale Jet Fuel'!F89+'Cape Canaveral Light Oil'!F89+'Riviera Light Oil'!F89+'PEEC Light Oil'!F89+'Cedar Bay Light Oil'!F88</f>
        <v>127623214.97487696</v>
      </c>
      <c r="D88" s="14">
        <f t="shared" si="13"/>
        <v>99.504172884143799</v>
      </c>
      <c r="E88" s="46">
        <f>'Turkey Point Light Oil'!H88+'West County Light Oil'!H88+'Martin Light Oil'!H88+'Fort Myers Light Oil'!H89+'Port GT''s Jet Fuel'!H89+'Lauderdale Jet Fuel'!H89+'Cape Canaveral Light Oil'!H89+'Riviera Light Oil'!H89+'PEEC Light Oil'!H89+'Cedar Bay Light Oil'!H88</f>
        <v>13584.905660377335</v>
      </c>
      <c r="F88" s="46">
        <f>'Turkey Point Light Oil'!I88+'West County Light Oil'!I88+'Martin Light Oil'!I88+'Fort Myers Light Oil'!I89+'Port GT''s Jet Fuel'!I89+'Lauderdale Jet Fuel'!I89+'Cape Canaveral Light Oil'!I89+'Riviera Light Oil'!I89+'PEEC Light Oil'!I89+'Cedar Bay Light Oil'!I88</f>
        <v>1281803.8676183524</v>
      </c>
      <c r="G88" s="22">
        <f t="shared" si="14"/>
        <v>94.355006921906664</v>
      </c>
      <c r="H88" s="46">
        <f>'Turkey Point Light Oil'!K88+'West County Light Oil'!K88+'Martin Light Oil'!K88+'Fort Myers Light Oil'!K89+'Port GT''s Jet Fuel'!K89+'Lauderdale Jet Fuel'!K89+'Cape Canaveral Light Oil'!K89+'Riviera Light Oil'!K89+'PEEC Light Oil'!K89+'Cedar Bay Light Oil'!K88</f>
        <v>14202.401372212693</v>
      </c>
      <c r="I88" s="46">
        <f>'Turkey Point Light Oil'!L88+'West County Light Oil'!L88+'Martin Light Oil'!L88+'Fort Myers Light Oil'!L89+'Port GT''s Jet Fuel'!L89+'Lauderdale Jet Fuel'!L89+'Cape Canaveral Light Oil'!L89+'Riviera Light Oil'!L89+'PEEC Light Oil'!L89+'Cedar Bay Light Oil'!L88</f>
        <v>1201787.8251736166</v>
      </c>
      <c r="J88" s="14">
        <f t="shared" si="15"/>
        <v>84.618635516451505</v>
      </c>
      <c r="K88" s="46">
        <f>'Turkey Point Light Oil'!N88+'West County Light Oil'!N88+'Martin Light Oil'!N88+'Fort Myers Light Oil'!N89+'Port GT''s Jet Fuel'!N89+'Lauderdale Jet Fuel'!N89+'Cape Canaveral Light Oil'!N89+'Riviera Light Oil'!N89+'PEEC Light Oil'!N89+'Cedar Bay Light Oil'!N88</f>
        <v>1281974.0909090908</v>
      </c>
      <c r="L88" s="46">
        <f>'Turkey Point Light Oil'!O88+'West County Light Oil'!O88+'Martin Light Oil'!O88+'Fort Myers Light Oil'!O89+'Port GT''s Jet Fuel'!O89+'Lauderdale Jet Fuel'!O89+'Cape Canaveral Light Oil'!O89+'Riviera Light Oil'!O89+'PEEC Light Oil'!O89+'Cedar Bay Light Oil'!O88</f>
        <v>127703231.01732169</v>
      </c>
      <c r="M88" s="22">
        <f t="shared" si="16"/>
        <v>99.61451789307462</v>
      </c>
      <c r="N88" s="74">
        <f t="shared" si="17"/>
        <v>1284894.9643752475</v>
      </c>
      <c r="O88" s="74">
        <f t="shared" si="18"/>
        <v>127388243.13373925</v>
      </c>
      <c r="P88" s="42">
        <f t="shared" si="19"/>
        <v>99.142923480659007</v>
      </c>
      <c r="Q88" s="45">
        <f>'Turkey Point Light Oil'!A88+'West County Light Oil'!A88+'Martin Light Oil'!A88+'Fort Myers Light Oil'!A89+'Port GT''s Jet Fuel'!A89+'Lauderdale Jet Fuel'!A89+'Cape Canaveral Light Oil'!A89+'Riviera Light Oil'!A89+'PEEC Light Oil'!A89+'Cedar Bay Light Oil'!A88+K88</f>
        <v>1337652.0909090908</v>
      </c>
    </row>
    <row r="89" spans="1:17">
      <c r="A89" s="13">
        <v>44166</v>
      </c>
      <c r="B89" s="16">
        <f>'Turkey Point Light Oil'!E89+'West County Light Oil'!E89+'Martin Light Oil'!E89+'Fort Myers Light Oil'!E90+'Port GT''s Jet Fuel'!E90+'Lauderdale Jet Fuel'!E90+'Cape Canaveral Light Oil'!E90+'Riviera Light Oil'!E90+'PEEC Light Oil'!E90+'Cedar Bay Light Oil'!E89</f>
        <v>1281974.0909090908</v>
      </c>
      <c r="C89" s="16">
        <f>'Turkey Point Light Oil'!F89+'West County Light Oil'!F89+'Martin Light Oil'!F89+'Fort Myers Light Oil'!F90+'Port GT''s Jet Fuel'!F90+'Lauderdale Jet Fuel'!F90+'Cape Canaveral Light Oil'!F90+'Riviera Light Oil'!F90+'PEEC Light Oil'!F90+'Cedar Bay Light Oil'!F89</f>
        <v>127703231.01732169</v>
      </c>
      <c r="D89" s="14">
        <f t="shared" si="13"/>
        <v>99.61451789307462</v>
      </c>
      <c r="E89" s="46">
        <f>'Turkey Point Light Oil'!H89+'West County Light Oil'!H89+'Martin Light Oil'!H89+'Fort Myers Light Oil'!H90+'Port GT''s Jet Fuel'!H90+'Lauderdale Jet Fuel'!H90+'Cape Canaveral Light Oil'!H90+'Riviera Light Oil'!H90+'PEEC Light Oil'!H90+'Cedar Bay Light Oil'!H89</f>
        <v>16878.216123499125</v>
      </c>
      <c r="F89" s="46">
        <f>'Turkey Point Light Oil'!I89+'West County Light Oil'!I89+'Martin Light Oil'!I89+'Fort Myers Light Oil'!I90+'Port GT''s Jet Fuel'!I90+'Lauderdale Jet Fuel'!I90+'Cape Canaveral Light Oil'!I90+'Riviera Light Oil'!I90+'PEEC Light Oil'!I90+'Cedar Bay Light Oil'!I89</f>
        <v>1541915.4039554282</v>
      </c>
      <c r="G89" s="22">
        <f t="shared" si="14"/>
        <v>91.355353709960923</v>
      </c>
      <c r="H89" s="46">
        <f>'Turkey Point Light Oil'!K89+'West County Light Oil'!K89+'Martin Light Oil'!K89+'Fort Myers Light Oil'!K90+'Port GT''s Jet Fuel'!K90+'Lauderdale Jet Fuel'!K90+'Cape Canaveral Light Oil'!K90+'Riviera Light Oil'!K90+'PEEC Light Oil'!K90+'Cedar Bay Light Oil'!K89</f>
        <v>22775.471698113208</v>
      </c>
      <c r="I89" s="46">
        <f>'Turkey Point Light Oil'!L89+'West County Light Oil'!L89+'Martin Light Oil'!L89+'Fort Myers Light Oil'!L90+'Port GT''s Jet Fuel'!L90+'Lauderdale Jet Fuel'!L90+'Cape Canaveral Light Oil'!L90+'Riviera Light Oil'!L90+'PEEC Light Oil'!L90+'Cedar Bay Light Oil'!L89</f>
        <v>1964135.3488978182</v>
      </c>
      <c r="J89" s="14">
        <f t="shared" si="15"/>
        <v>86.239063450902464</v>
      </c>
      <c r="K89" s="46">
        <f>'Turkey Point Light Oil'!N89+'West County Light Oil'!N89+'Martin Light Oil'!N89+'Fort Myers Light Oil'!N90+'Port GT''s Jet Fuel'!N90+'Lauderdale Jet Fuel'!N90+'Cape Canaveral Light Oil'!N90+'Riviera Light Oil'!N90+'PEEC Light Oil'!N90+'Cedar Bay Light Oil'!N89</f>
        <v>1276076.8353344768</v>
      </c>
      <c r="L89" s="46">
        <f>'Turkey Point Light Oil'!O89+'West County Light Oil'!O89+'Martin Light Oil'!O89+'Fort Myers Light Oil'!O90+'Port GT''s Jet Fuel'!O90+'Lauderdale Jet Fuel'!O90+'Cape Canaveral Light Oil'!O90+'Riviera Light Oil'!O90+'PEEC Light Oil'!O90+'Cedar Bay Light Oil'!O89</f>
        <v>127281011.07237929</v>
      </c>
      <c r="M89" s="22">
        <f t="shared" si="16"/>
        <v>99.744002514564286</v>
      </c>
      <c r="N89" s="74">
        <f t="shared" si="17"/>
        <v>1284055.6188151473</v>
      </c>
      <c r="O89" s="74">
        <f t="shared" si="18"/>
        <v>127396721.44144014</v>
      </c>
      <c r="P89" s="42">
        <f t="shared" si="19"/>
        <v>99.214332755301129</v>
      </c>
      <c r="Q89" s="45">
        <f>'Turkey Point Light Oil'!A89+'West County Light Oil'!A89+'Martin Light Oil'!A89+'Fort Myers Light Oil'!A90+'Port GT''s Jet Fuel'!A90+'Lauderdale Jet Fuel'!A90+'Cape Canaveral Light Oil'!A90+'Riviera Light Oil'!A90+'PEEC Light Oil'!A90+'Cedar Bay Light Oil'!A89+K89</f>
        <v>1331754.8353344768</v>
      </c>
    </row>
  </sheetData>
  <mergeCells count="8">
    <mergeCell ref="N6:P17"/>
    <mergeCell ref="Q6:Q17"/>
    <mergeCell ref="Q4:Q5"/>
    <mergeCell ref="B4:D4"/>
    <mergeCell ref="E4:G4"/>
    <mergeCell ref="H4:J4"/>
    <mergeCell ref="K4:M4"/>
    <mergeCell ref="N4:P4"/>
  </mergeCells>
  <conditionalFormatting sqref="E30:E8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59999389629810485"/>
    <pageSetUpPr fitToPage="1"/>
  </sheetPr>
  <dimension ref="A1:R90"/>
  <sheetViews>
    <sheetView workbookViewId="0">
      <selection activeCell="A2" sqref="A2"/>
    </sheetView>
  </sheetViews>
  <sheetFormatPr defaultColWidth="9.109375" defaultRowHeight="10.199999999999999"/>
  <cols>
    <col min="1" max="1" width="7.88671875" style="1" bestFit="1" customWidth="1"/>
    <col min="2" max="2" width="6.109375" style="1" bestFit="1" customWidth="1"/>
    <col min="3" max="3" width="8.6640625" style="1" customWidth="1"/>
    <col min="4" max="4" width="8.6640625" style="1" bestFit="1" customWidth="1"/>
    <col min="5" max="5" width="7.6640625" style="1" bestFit="1" customWidth="1"/>
    <col min="6" max="6" width="8.44140625" style="1" bestFit="1" customWidth="1"/>
    <col min="7" max="7" width="9.33203125" style="1" bestFit="1" customWidth="1"/>
    <col min="8" max="8" width="7.6640625" style="1" bestFit="1" customWidth="1"/>
    <col min="9" max="9" width="8.44140625" style="1" bestFit="1" customWidth="1"/>
    <col min="10" max="10" width="9.33203125" style="1" bestFit="1" customWidth="1"/>
    <col min="11" max="11" width="7.6640625" style="1" bestFit="1" customWidth="1"/>
    <col min="12" max="13" width="9.33203125" style="1" bestFit="1" customWidth="1"/>
    <col min="14" max="14" width="7.6640625" style="1" bestFit="1" customWidth="1"/>
    <col min="15" max="16" width="9.33203125" style="1" bestFit="1" customWidth="1"/>
    <col min="17" max="17" width="7.6640625" style="1" bestFit="1" customWidth="1"/>
    <col min="18" max="18" width="6" style="1" bestFit="1" customWidth="1"/>
    <col min="19" max="16384" width="9.109375" style="1"/>
  </cols>
  <sheetData>
    <row r="1" spans="1:18" s="120" customFormat="1">
      <c r="A1" s="120" t="s">
        <v>76</v>
      </c>
    </row>
    <row r="2" spans="1:18" s="120" customFormat="1">
      <c r="A2" s="120" t="s">
        <v>59</v>
      </c>
    </row>
    <row r="3" spans="1:18" s="44" customFormat="1"/>
    <row r="5" spans="1:18">
      <c r="A5" s="18"/>
      <c r="B5" s="19"/>
      <c r="C5" s="106" t="s">
        <v>0</v>
      </c>
      <c r="D5" s="106"/>
      <c r="E5" s="106"/>
      <c r="F5" s="106" t="s">
        <v>1</v>
      </c>
      <c r="G5" s="106"/>
      <c r="H5" s="106"/>
      <c r="I5" s="106" t="s">
        <v>40</v>
      </c>
      <c r="J5" s="106"/>
      <c r="K5" s="106"/>
      <c r="L5" s="106" t="s">
        <v>2</v>
      </c>
      <c r="M5" s="106"/>
      <c r="N5" s="106"/>
      <c r="O5" s="106" t="s">
        <v>29</v>
      </c>
      <c r="P5" s="106"/>
      <c r="Q5" s="106"/>
    </row>
    <row r="6" spans="1:18">
      <c r="A6" s="12" t="s">
        <v>12</v>
      </c>
      <c r="B6" s="9" t="s">
        <v>26</v>
      </c>
      <c r="C6" s="34" t="s">
        <v>30</v>
      </c>
      <c r="D6" s="34" t="s">
        <v>27</v>
      </c>
      <c r="E6" s="34" t="s">
        <v>31</v>
      </c>
      <c r="F6" s="34" t="s">
        <v>30</v>
      </c>
      <c r="G6" s="34" t="s">
        <v>27</v>
      </c>
      <c r="H6" s="34" t="s">
        <v>31</v>
      </c>
      <c r="I6" s="90" t="s">
        <v>30</v>
      </c>
      <c r="J6" s="90" t="s">
        <v>27</v>
      </c>
      <c r="K6" s="90" t="s">
        <v>31</v>
      </c>
      <c r="L6" s="90" t="s">
        <v>30</v>
      </c>
      <c r="M6" s="90" t="s">
        <v>27</v>
      </c>
      <c r="N6" s="90" t="s">
        <v>31</v>
      </c>
      <c r="O6" s="34" t="s">
        <v>30</v>
      </c>
      <c r="P6" s="34" t="s">
        <v>27</v>
      </c>
      <c r="Q6" s="34" t="s">
        <v>31</v>
      </c>
      <c r="R6" s="3" t="s">
        <v>36</v>
      </c>
    </row>
    <row r="7" spans="1:18">
      <c r="A7" s="21">
        <v>5035415</v>
      </c>
      <c r="B7" s="49">
        <v>41640</v>
      </c>
      <c r="C7" s="50">
        <v>4086154</v>
      </c>
      <c r="D7" s="50">
        <v>10639447.550000004</v>
      </c>
      <c r="E7" s="53">
        <f>D7/C7</f>
        <v>2.6037803641272466</v>
      </c>
      <c r="F7" s="51">
        <v>4071009</v>
      </c>
      <c r="G7" s="54">
        <v>10040423.27</v>
      </c>
      <c r="H7" s="52">
        <f t="shared" ref="H7:H13" si="0">IF(F7=0,0,G7/F7)</f>
        <v>2.466323034412353</v>
      </c>
      <c r="I7" s="54">
        <v>3287989</v>
      </c>
      <c r="J7" s="54">
        <v>8353253</v>
      </c>
      <c r="K7" s="53">
        <f t="shared" ref="K7:K47" si="1">IF(I7=0,0,J7/I7)</f>
        <v>2.5405355674851711</v>
      </c>
      <c r="L7" s="51">
        <f t="shared" ref="L7:M54" si="2">+C7+F7-I7</f>
        <v>4869174</v>
      </c>
      <c r="M7" s="51">
        <f t="shared" si="2"/>
        <v>12326617.820000004</v>
      </c>
      <c r="N7" s="52">
        <f t="shared" ref="N7:N54" si="3">IF(L7=0,0,M7/L7)</f>
        <v>2.5315624005221427</v>
      </c>
      <c r="O7" s="54">
        <f>AVERAGE(L7:L7)</f>
        <v>4869174</v>
      </c>
      <c r="P7" s="54">
        <f>AVERAGE(M7:M7)</f>
        <v>12326617.820000004</v>
      </c>
      <c r="Q7" s="56">
        <f t="shared" ref="Q7:Q54" si="4">IF(O7=0,0,P7/O7)</f>
        <v>2.5315624005221427</v>
      </c>
      <c r="R7" s="35">
        <f t="shared" ref="R7:R66" si="5">L7/159854</f>
        <v>30.460132370788344</v>
      </c>
    </row>
    <row r="8" spans="1:18">
      <c r="A8" s="21">
        <v>5035415</v>
      </c>
      <c r="B8" s="49">
        <v>41671</v>
      </c>
      <c r="C8" s="50">
        <f t="shared" ref="C8:E48" si="6">L7</f>
        <v>4869174</v>
      </c>
      <c r="D8" s="50">
        <f t="shared" si="6"/>
        <v>12326617.820000004</v>
      </c>
      <c r="E8" s="53">
        <f t="shared" si="6"/>
        <v>2.5315624005221427</v>
      </c>
      <c r="F8" s="51">
        <v>2422404</v>
      </c>
      <c r="G8" s="54">
        <v>6378885.3399999999</v>
      </c>
      <c r="H8" s="52">
        <f t="shared" si="0"/>
        <v>2.6332871560648017</v>
      </c>
      <c r="I8" s="54">
        <v>2897107</v>
      </c>
      <c r="J8" s="54">
        <v>7431751.9400000004</v>
      </c>
      <c r="K8" s="53">
        <f t="shared" si="1"/>
        <v>2.5652321229419557</v>
      </c>
      <c r="L8" s="51">
        <f t="shared" si="2"/>
        <v>4394471</v>
      </c>
      <c r="M8" s="51">
        <f t="shared" si="2"/>
        <v>11273751.220000003</v>
      </c>
      <c r="N8" s="52">
        <f t="shared" si="3"/>
        <v>2.5654398948132786</v>
      </c>
      <c r="O8" s="54">
        <f>AVERAGE(L7:L8)</f>
        <v>4631822.5</v>
      </c>
      <c r="P8" s="54">
        <f>AVERAGE(M7:M8)</f>
        <v>11800184.520000003</v>
      </c>
      <c r="Q8" s="56">
        <f t="shared" si="4"/>
        <v>2.5476331444048221</v>
      </c>
      <c r="R8" s="35">
        <f t="shared" si="5"/>
        <v>27.490528857582543</v>
      </c>
    </row>
    <row r="9" spans="1:18">
      <c r="A9" s="21">
        <v>5035415</v>
      </c>
      <c r="B9" s="49">
        <v>41699</v>
      </c>
      <c r="C9" s="50">
        <f t="shared" si="6"/>
        <v>4394471</v>
      </c>
      <c r="D9" s="50">
        <f t="shared" si="6"/>
        <v>11273751.220000003</v>
      </c>
      <c r="E9" s="53">
        <f t="shared" si="6"/>
        <v>2.5654398948132786</v>
      </c>
      <c r="F9" s="51">
        <v>550234</v>
      </c>
      <c r="G9" s="54">
        <v>2015828.22</v>
      </c>
      <c r="H9" s="52">
        <f t="shared" si="0"/>
        <v>3.6635835299163628</v>
      </c>
      <c r="I9" s="54">
        <v>1418</v>
      </c>
      <c r="J9" s="54">
        <v>3637.55</v>
      </c>
      <c r="K9" s="53">
        <f t="shared" si="1"/>
        <v>2.5652679830747531</v>
      </c>
      <c r="L9" s="51">
        <f t="shared" si="2"/>
        <v>4943287</v>
      </c>
      <c r="M9" s="51">
        <f t="shared" si="2"/>
        <v>13285941.890000002</v>
      </c>
      <c r="N9" s="52">
        <f t="shared" si="3"/>
        <v>2.6876735843983979</v>
      </c>
      <c r="O9" s="54">
        <f>AVERAGE(L7:L9)</f>
        <v>4735644</v>
      </c>
      <c r="P9" s="54">
        <f>AVERAGE(M7:M9)</f>
        <v>12295436.976666668</v>
      </c>
      <c r="Q9" s="56">
        <f t="shared" si="4"/>
        <v>2.5963600677472098</v>
      </c>
      <c r="R9" s="35">
        <f t="shared" si="5"/>
        <v>30.923761682535314</v>
      </c>
    </row>
    <row r="10" spans="1:18">
      <c r="A10" s="21">
        <v>5035415</v>
      </c>
      <c r="B10" s="49">
        <v>41730</v>
      </c>
      <c r="C10" s="50">
        <f t="shared" si="6"/>
        <v>4943287</v>
      </c>
      <c r="D10" s="50">
        <f t="shared" si="6"/>
        <v>13285941.890000002</v>
      </c>
      <c r="E10" s="53">
        <f t="shared" si="6"/>
        <v>2.6876735843983979</v>
      </c>
      <c r="F10" s="51">
        <v>2560753</v>
      </c>
      <c r="G10" s="54">
        <v>6949708.3799999999</v>
      </c>
      <c r="H10" s="52">
        <f t="shared" si="0"/>
        <v>2.7139315584127011</v>
      </c>
      <c r="I10" s="54">
        <v>-47799</v>
      </c>
      <c r="J10" s="54">
        <v>-128468.31</v>
      </c>
      <c r="K10" s="53">
        <f t="shared" si="1"/>
        <v>2.6876777756856836</v>
      </c>
      <c r="L10" s="51">
        <f t="shared" si="2"/>
        <v>7551839</v>
      </c>
      <c r="M10" s="51">
        <v>20364118.359999999</v>
      </c>
      <c r="N10" s="52">
        <f t="shared" si="3"/>
        <v>2.6965773979026828</v>
      </c>
      <c r="O10" s="54">
        <f>AVERAGE(L7:L10)</f>
        <v>5439692.75</v>
      </c>
      <c r="P10" s="54">
        <f>AVERAGE(M7:M10)</f>
        <v>14312607.322500002</v>
      </c>
      <c r="Q10" s="56">
        <f t="shared" si="4"/>
        <v>2.6311425994602362</v>
      </c>
      <c r="R10" s="35">
        <f t="shared" si="5"/>
        <v>47.242102168228506</v>
      </c>
    </row>
    <row r="11" spans="1:18">
      <c r="A11" s="21">
        <v>5035415</v>
      </c>
      <c r="B11" s="49">
        <v>41760</v>
      </c>
      <c r="C11" s="50">
        <f t="shared" si="6"/>
        <v>7551839</v>
      </c>
      <c r="D11" s="50">
        <f t="shared" si="6"/>
        <v>20364118.359999999</v>
      </c>
      <c r="E11" s="53">
        <f t="shared" si="6"/>
        <v>2.6965773979026828</v>
      </c>
      <c r="F11" s="51">
        <v>3366527</v>
      </c>
      <c r="G11" s="54">
        <v>9103859.3399999999</v>
      </c>
      <c r="H11" s="52">
        <f t="shared" si="0"/>
        <v>2.7042288209778209</v>
      </c>
      <c r="I11" s="54">
        <v>3366931</v>
      </c>
      <c r="J11" s="54">
        <v>9087130.3900000006</v>
      </c>
      <c r="K11" s="53">
        <f t="shared" si="1"/>
        <v>2.6989357340557323</v>
      </c>
      <c r="L11" s="51">
        <f t="shared" si="2"/>
        <v>7551435</v>
      </c>
      <c r="M11" s="51">
        <f t="shared" si="2"/>
        <v>20380847.309999999</v>
      </c>
      <c r="N11" s="52">
        <f t="shared" si="3"/>
        <v>2.6989369980672544</v>
      </c>
      <c r="O11" s="54">
        <f>AVERAGE(L7:L11)</f>
        <v>5862041.2000000002</v>
      </c>
      <c r="P11" s="54">
        <f>AVERAGE(M7:M11)</f>
        <v>15526255.320000002</v>
      </c>
      <c r="Q11" s="56">
        <f t="shared" si="4"/>
        <v>2.6486090408235277</v>
      </c>
      <c r="R11" s="35">
        <f t="shared" si="5"/>
        <v>47.23957486206163</v>
      </c>
    </row>
    <row r="12" spans="1:18">
      <c r="A12" s="21">
        <v>5035415</v>
      </c>
      <c r="B12" s="49">
        <v>41791</v>
      </c>
      <c r="C12" s="50">
        <f t="shared" si="6"/>
        <v>7551435</v>
      </c>
      <c r="D12" s="50">
        <f t="shared" si="6"/>
        <v>20380847.309999999</v>
      </c>
      <c r="E12" s="53">
        <f t="shared" si="6"/>
        <v>2.6989369980672544</v>
      </c>
      <c r="F12" s="51">
        <v>3057934</v>
      </c>
      <c r="G12" s="54">
        <v>8398781.2400000002</v>
      </c>
      <c r="H12" s="52">
        <f t="shared" si="0"/>
        <v>2.7465541244513454</v>
      </c>
      <c r="I12" s="54">
        <v>4354791</v>
      </c>
      <c r="J12" s="54">
        <v>11812756.25</v>
      </c>
      <c r="K12" s="53">
        <f t="shared" si="1"/>
        <v>2.7125885605072666</v>
      </c>
      <c r="L12" s="51">
        <f t="shared" si="2"/>
        <v>6254578</v>
      </c>
      <c r="M12" s="51">
        <f t="shared" si="2"/>
        <v>16966872.299999997</v>
      </c>
      <c r="N12" s="52">
        <f t="shared" si="3"/>
        <v>2.712712560303828</v>
      </c>
      <c r="O12" s="54">
        <f>AVERAGE(L7:L12)</f>
        <v>5927464</v>
      </c>
      <c r="P12" s="54">
        <f>AVERAGE(M7:M12)</f>
        <v>15766358.15</v>
      </c>
      <c r="Q12" s="56">
        <f t="shared" si="4"/>
        <v>2.6598825652926785</v>
      </c>
      <c r="R12" s="35">
        <f t="shared" si="5"/>
        <v>39.126815719343902</v>
      </c>
    </row>
    <row r="13" spans="1:18">
      <c r="A13" s="21">
        <v>5035415</v>
      </c>
      <c r="B13" s="49">
        <v>41821</v>
      </c>
      <c r="C13" s="50">
        <f t="shared" si="6"/>
        <v>6254578</v>
      </c>
      <c r="D13" s="50">
        <f t="shared" si="6"/>
        <v>16966872.299999997</v>
      </c>
      <c r="E13" s="26">
        <f t="shared" si="6"/>
        <v>2.712712560303828</v>
      </c>
      <c r="F13" s="51">
        <v>3195636</v>
      </c>
      <c r="G13" s="59">
        <v>8652845.1999999993</v>
      </c>
      <c r="H13" s="52">
        <f t="shared" si="0"/>
        <v>2.7077067600940778</v>
      </c>
      <c r="I13" s="54">
        <v>4134765</v>
      </c>
      <c r="J13" s="54">
        <v>11209196.82</v>
      </c>
      <c r="K13" s="53">
        <f t="shared" si="1"/>
        <v>2.7109634574153549</v>
      </c>
      <c r="L13" s="51">
        <f t="shared" si="2"/>
        <v>5315449</v>
      </c>
      <c r="M13" s="51">
        <f t="shared" si="2"/>
        <v>14410520.679999996</v>
      </c>
      <c r="N13" s="52">
        <f t="shared" si="3"/>
        <v>2.7110636711969196</v>
      </c>
      <c r="O13" s="54">
        <f>AVERAGE(L7:L13)</f>
        <v>5840033.2857142854</v>
      </c>
      <c r="P13" s="54">
        <f>AVERAGE(M7:M13)</f>
        <v>15572667.082857143</v>
      </c>
      <c r="Q13" s="56">
        <f t="shared" si="4"/>
        <v>2.6665373844615807</v>
      </c>
      <c r="R13" s="35">
        <f t="shared" si="5"/>
        <v>33.251898607479326</v>
      </c>
    </row>
    <row r="14" spans="1:18">
      <c r="A14" s="21">
        <v>5035415</v>
      </c>
      <c r="B14" s="49">
        <v>41852</v>
      </c>
      <c r="C14" s="50">
        <f t="shared" si="6"/>
        <v>5315449</v>
      </c>
      <c r="D14" s="50">
        <f t="shared" si="6"/>
        <v>14410520.679999996</v>
      </c>
      <c r="E14" s="53">
        <f t="shared" si="6"/>
        <v>2.7110636711969196</v>
      </c>
      <c r="F14" s="51">
        <v>3391134</v>
      </c>
      <c r="G14" s="59">
        <v>9316379.3800000008</v>
      </c>
      <c r="H14" s="52">
        <f t="shared" ref="H14:H17" si="7">IF(F14=0,0,G14/F14)</f>
        <v>2.7472755072491979</v>
      </c>
      <c r="I14" s="54">
        <v>3451007</v>
      </c>
      <c r="J14" s="54">
        <v>9404348.5099999998</v>
      </c>
      <c r="K14" s="53">
        <f t="shared" si="1"/>
        <v>2.7251027048047134</v>
      </c>
      <c r="L14" s="51">
        <f t="shared" si="2"/>
        <v>5255576</v>
      </c>
      <c r="M14" s="51">
        <f t="shared" si="2"/>
        <v>14322551.549999995</v>
      </c>
      <c r="N14" s="52">
        <f t="shared" si="3"/>
        <v>2.725210623916388</v>
      </c>
      <c r="O14" s="54">
        <f>AVERAGE(L7:L14)</f>
        <v>5766976.125</v>
      </c>
      <c r="P14" s="54">
        <f>AVERAGE(M7:M14)</f>
        <v>15416402.641249999</v>
      </c>
      <c r="Q14" s="56">
        <f t="shared" si="4"/>
        <v>2.6732211660144509</v>
      </c>
      <c r="R14" s="35">
        <f t="shared" si="5"/>
        <v>32.877350582406443</v>
      </c>
    </row>
    <row r="15" spans="1:18">
      <c r="A15" s="21">
        <v>5035415</v>
      </c>
      <c r="B15" s="49">
        <v>41883</v>
      </c>
      <c r="C15" s="50">
        <f t="shared" si="6"/>
        <v>5255576</v>
      </c>
      <c r="D15" s="50">
        <f t="shared" si="6"/>
        <v>14322551.549999995</v>
      </c>
      <c r="E15" s="53">
        <f t="shared" si="6"/>
        <v>2.725210623916388</v>
      </c>
      <c r="F15" s="51">
        <v>4060370</v>
      </c>
      <c r="G15" s="54">
        <v>11037028.109999999</v>
      </c>
      <c r="H15" s="52">
        <f t="shared" si="7"/>
        <v>2.7182321093890458</v>
      </c>
      <c r="I15" s="54">
        <v>3150968</v>
      </c>
      <c r="J15" s="54">
        <v>8577406.3599999994</v>
      </c>
      <c r="K15" s="53">
        <f t="shared" si="1"/>
        <v>2.7221496251310708</v>
      </c>
      <c r="L15" s="51">
        <f t="shared" si="2"/>
        <v>6164978</v>
      </c>
      <c r="M15" s="51">
        <f t="shared" si="2"/>
        <v>16782173.299999997</v>
      </c>
      <c r="N15" s="52">
        <f t="shared" si="3"/>
        <v>2.7221789437042592</v>
      </c>
      <c r="O15" s="54">
        <f>AVERAGE(L7:L15)</f>
        <v>5811198.555555556</v>
      </c>
      <c r="P15" s="54">
        <f>AVERAGE(M7:M15)</f>
        <v>15568154.936666667</v>
      </c>
      <c r="Q15" s="56">
        <f t="shared" si="4"/>
        <v>2.6789920853389835</v>
      </c>
      <c r="R15" s="35">
        <f t="shared" si="5"/>
        <v>38.566304252630523</v>
      </c>
    </row>
    <row r="16" spans="1:18">
      <c r="A16" s="21">
        <v>5035415</v>
      </c>
      <c r="B16" s="49">
        <v>41913</v>
      </c>
      <c r="C16" s="50">
        <f t="shared" si="6"/>
        <v>6164978</v>
      </c>
      <c r="D16" s="50">
        <f t="shared" si="6"/>
        <v>16782173.299999997</v>
      </c>
      <c r="E16" s="53">
        <f t="shared" si="6"/>
        <v>2.7221789437042592</v>
      </c>
      <c r="F16" s="51">
        <v>4483695</v>
      </c>
      <c r="G16" s="54">
        <v>11651358.109999999</v>
      </c>
      <c r="H16" s="52">
        <f t="shared" si="7"/>
        <v>2.5986063079669779</v>
      </c>
      <c r="I16" s="54">
        <v>3090333</v>
      </c>
      <c r="J16" s="54">
        <v>8255656.9800000004</v>
      </c>
      <c r="K16" s="53">
        <f t="shared" si="1"/>
        <v>2.6714457568164987</v>
      </c>
      <c r="L16" s="51">
        <f t="shared" si="2"/>
        <v>7558340</v>
      </c>
      <c r="M16" s="51">
        <f t="shared" si="2"/>
        <v>20177874.429999996</v>
      </c>
      <c r="N16" s="52">
        <f t="shared" si="3"/>
        <v>2.6696171950454723</v>
      </c>
      <c r="O16" s="54">
        <f>AVERAGE(L7:L16)</f>
        <v>5985912.7000000002</v>
      </c>
      <c r="P16" s="54">
        <f>AVERAGE(M7:M16)</f>
        <v>16029126.886000002</v>
      </c>
      <c r="Q16" s="56">
        <f t="shared" si="4"/>
        <v>2.6778083292126866</v>
      </c>
      <c r="R16" s="35">
        <f t="shared" si="5"/>
        <v>47.282770528106894</v>
      </c>
    </row>
    <row r="17" spans="1:18">
      <c r="A17" s="21">
        <v>5035415</v>
      </c>
      <c r="B17" s="49">
        <v>41944</v>
      </c>
      <c r="C17" s="50">
        <f t="shared" si="6"/>
        <v>7558340</v>
      </c>
      <c r="D17" s="50">
        <f t="shared" si="6"/>
        <v>20177874.429999996</v>
      </c>
      <c r="E17" s="53">
        <f t="shared" si="6"/>
        <v>2.6696171950454723</v>
      </c>
      <c r="F17" s="51">
        <v>3616939</v>
      </c>
      <c r="G17" s="54">
        <v>9685805.3200000003</v>
      </c>
      <c r="H17" s="52">
        <f t="shared" si="7"/>
        <v>2.67790120872926</v>
      </c>
      <c r="I17" s="54">
        <v>2975003</v>
      </c>
      <c r="J17" s="54">
        <v>7950085.04</v>
      </c>
      <c r="K17" s="53">
        <f t="shared" si="1"/>
        <v>2.6722947976859182</v>
      </c>
      <c r="L17" s="51">
        <f t="shared" si="2"/>
        <v>8200276</v>
      </c>
      <c r="M17" s="51">
        <f t="shared" si="2"/>
        <v>21913594.709999997</v>
      </c>
      <c r="N17" s="52">
        <f t="shared" si="3"/>
        <v>2.6722996530848468</v>
      </c>
      <c r="O17" s="54">
        <f>AVERAGE(L7:L17)</f>
        <v>6187218.4545454541</v>
      </c>
      <c r="P17" s="54">
        <f>AVERAGE(M7:M17)</f>
        <v>16564078.506363638</v>
      </c>
      <c r="Q17" s="56">
        <f t="shared" si="4"/>
        <v>2.6771446051326668</v>
      </c>
      <c r="R17" s="35">
        <f t="shared" si="5"/>
        <v>51.298534913108213</v>
      </c>
    </row>
    <row r="18" spans="1:18">
      <c r="A18" s="21">
        <v>5035415</v>
      </c>
      <c r="B18" s="49">
        <v>41974</v>
      </c>
      <c r="C18" s="50">
        <f t="shared" si="6"/>
        <v>8200276</v>
      </c>
      <c r="D18" s="50">
        <f t="shared" si="6"/>
        <v>21913594.709999997</v>
      </c>
      <c r="E18" s="53">
        <f t="shared" si="6"/>
        <v>2.6722996530848468</v>
      </c>
      <c r="F18" s="51">
        <v>4164144</v>
      </c>
      <c r="G18" s="54">
        <v>10957438.220000001</v>
      </c>
      <c r="H18" s="52">
        <f t="shared" ref="H18" si="8">IF(F18=0,0,G18/F18)</f>
        <v>2.6313783144867231</v>
      </c>
      <c r="I18" s="54">
        <v>3362140</v>
      </c>
      <c r="J18" s="54">
        <v>8898649.0600000005</v>
      </c>
      <c r="K18" s="53">
        <f t="shared" si="1"/>
        <v>2.6467217486481824</v>
      </c>
      <c r="L18" s="51">
        <f t="shared" si="2"/>
        <v>9002280</v>
      </c>
      <c r="M18" s="51">
        <f t="shared" si="2"/>
        <v>23972383.869999997</v>
      </c>
      <c r="N18" s="52">
        <f t="shared" si="3"/>
        <v>2.6629236004656596</v>
      </c>
      <c r="O18" s="54">
        <f>AVERAGE(L7:L18)</f>
        <v>6421806.916666667</v>
      </c>
      <c r="P18" s="54">
        <f>AVERAGE(M7:M18)</f>
        <v>17181437.286666669</v>
      </c>
      <c r="Q18" s="56">
        <f t="shared" si="4"/>
        <v>2.6754833195117218</v>
      </c>
      <c r="R18" s="35">
        <f t="shared" si="5"/>
        <v>56.315638019692969</v>
      </c>
    </row>
    <row r="19" spans="1:18">
      <c r="A19" s="21">
        <v>5035415</v>
      </c>
      <c r="B19" s="49">
        <v>42005</v>
      </c>
      <c r="C19" s="50">
        <f t="shared" si="6"/>
        <v>9002280</v>
      </c>
      <c r="D19" s="50">
        <f t="shared" si="6"/>
        <v>23972383.869999997</v>
      </c>
      <c r="E19" s="53">
        <f t="shared" si="6"/>
        <v>2.6629236004656596</v>
      </c>
      <c r="F19" s="51">
        <v>3379866</v>
      </c>
      <c r="G19" s="54">
        <v>8035901.7800000003</v>
      </c>
      <c r="H19" s="52">
        <f t="shared" ref="H19:H21" si="9">IF(F19=0,0,G19/F19)</f>
        <v>2.3775799928162833</v>
      </c>
      <c r="I19" s="54">
        <v>2891584</v>
      </c>
      <c r="J19" s="54">
        <v>7466842.2300000004</v>
      </c>
      <c r="K19" s="53">
        <f t="shared" si="1"/>
        <v>2.5822670999701205</v>
      </c>
      <c r="L19" s="51">
        <f t="shared" si="2"/>
        <v>9490562</v>
      </c>
      <c r="M19" s="51">
        <f t="shared" si="2"/>
        <v>24541443.419999998</v>
      </c>
      <c r="N19" s="52">
        <f t="shared" si="3"/>
        <v>2.5858788362585901</v>
      </c>
      <c r="O19" s="54">
        <f t="shared" ref="O19:P32" si="10">AVERAGE(L7:L19)</f>
        <v>6657865</v>
      </c>
      <c r="P19" s="54">
        <f t="shared" si="10"/>
        <v>17747591.604615387</v>
      </c>
      <c r="Q19" s="56">
        <f t="shared" si="4"/>
        <v>2.6656580757668391</v>
      </c>
      <c r="R19" s="35">
        <f t="shared" si="5"/>
        <v>59.370187796364185</v>
      </c>
    </row>
    <row r="20" spans="1:18">
      <c r="A20" s="21">
        <v>5035415</v>
      </c>
      <c r="B20" s="49">
        <v>42036</v>
      </c>
      <c r="C20" s="50">
        <f t="shared" si="6"/>
        <v>9490562</v>
      </c>
      <c r="D20" s="50">
        <f t="shared" si="6"/>
        <v>24541443.419999998</v>
      </c>
      <c r="E20" s="53">
        <f t="shared" si="6"/>
        <v>2.5858788362585901</v>
      </c>
      <c r="F20" s="51">
        <v>3272864</v>
      </c>
      <c r="G20" s="54">
        <v>8240451.9900000002</v>
      </c>
      <c r="H20" s="52">
        <f t="shared" si="9"/>
        <v>2.5178106972975351</v>
      </c>
      <c r="I20" s="54">
        <v>3540998</v>
      </c>
      <c r="J20" s="54">
        <v>9094963.4900000002</v>
      </c>
      <c r="K20" s="53">
        <f t="shared" si="1"/>
        <v>2.5684746193022421</v>
      </c>
      <c r="L20" s="51">
        <f t="shared" si="2"/>
        <v>9222428</v>
      </c>
      <c r="M20" s="51">
        <f t="shared" si="2"/>
        <v>23686931.919999994</v>
      </c>
      <c r="N20" s="52">
        <f t="shared" si="3"/>
        <v>2.5684051878746024</v>
      </c>
      <c r="O20" s="54">
        <f t="shared" si="10"/>
        <v>6992730.692307692</v>
      </c>
      <c r="P20" s="54">
        <f t="shared" si="10"/>
        <v>18621461.919999998</v>
      </c>
      <c r="Q20" s="56">
        <f t="shared" si="4"/>
        <v>2.6629742713364344</v>
      </c>
      <c r="R20" s="35">
        <f t="shared" si="5"/>
        <v>57.6928196979744</v>
      </c>
    </row>
    <row r="21" spans="1:18">
      <c r="A21" s="21">
        <v>5035415</v>
      </c>
      <c r="B21" s="49">
        <v>42064</v>
      </c>
      <c r="C21" s="50">
        <f t="shared" si="6"/>
        <v>9222428</v>
      </c>
      <c r="D21" s="50">
        <f t="shared" si="6"/>
        <v>23686931.919999994</v>
      </c>
      <c r="E21" s="53">
        <f t="shared" si="6"/>
        <v>2.5684051878746024</v>
      </c>
      <c r="F21" s="51">
        <v>4099563</v>
      </c>
      <c r="G21" s="54">
        <v>9654200.6600000001</v>
      </c>
      <c r="H21" s="52">
        <f t="shared" si="9"/>
        <v>2.3549340893163491</v>
      </c>
      <c r="I21" s="54">
        <v>4162271</v>
      </c>
      <c r="J21" s="54">
        <v>10379033.93</v>
      </c>
      <c r="K21" s="53">
        <f t="shared" si="1"/>
        <v>2.4935987901796879</v>
      </c>
      <c r="L21" s="51">
        <f t="shared" si="2"/>
        <v>9159720</v>
      </c>
      <c r="M21" s="51">
        <f t="shared" si="2"/>
        <v>22962098.649999995</v>
      </c>
      <c r="N21" s="52">
        <f t="shared" si="3"/>
        <v>2.506855957387343</v>
      </c>
      <c r="O21" s="54">
        <f t="shared" si="10"/>
        <v>7359288.307692308</v>
      </c>
      <c r="P21" s="54">
        <f t="shared" si="10"/>
        <v>19520565.568461537</v>
      </c>
      <c r="Q21" s="56">
        <f t="shared" si="4"/>
        <v>2.6525072469382174</v>
      </c>
      <c r="R21" s="35">
        <f t="shared" si="5"/>
        <v>57.300536739775048</v>
      </c>
    </row>
    <row r="22" spans="1:18">
      <c r="A22" s="21">
        <v>5035415</v>
      </c>
      <c r="B22" s="49">
        <v>42095</v>
      </c>
      <c r="C22" s="50">
        <f t="shared" si="6"/>
        <v>9159720</v>
      </c>
      <c r="D22" s="50">
        <f t="shared" si="6"/>
        <v>22962098.649999995</v>
      </c>
      <c r="E22" s="53">
        <f t="shared" si="6"/>
        <v>2.506855957387343</v>
      </c>
      <c r="F22" s="51">
        <v>4266218</v>
      </c>
      <c r="G22" s="54">
        <v>9304089.7899999991</v>
      </c>
      <c r="H22" s="52">
        <f t="shared" ref="H22:H23" si="11">IF(F22=0,0,G22/F22)</f>
        <v>2.1808753772076344</v>
      </c>
      <c r="I22" s="54">
        <v>3698513</v>
      </c>
      <c r="J22" s="54">
        <v>8877977.6199999992</v>
      </c>
      <c r="K22" s="53">
        <f t="shared" si="1"/>
        <v>2.4004181193901437</v>
      </c>
      <c r="L22" s="51">
        <f t="shared" si="2"/>
        <v>9727425</v>
      </c>
      <c r="M22" s="51">
        <f t="shared" si="2"/>
        <v>23388210.819999993</v>
      </c>
      <c r="N22" s="52">
        <f t="shared" si="3"/>
        <v>2.4043578665474157</v>
      </c>
      <c r="O22" s="54">
        <f t="shared" si="10"/>
        <v>7727298.923076923</v>
      </c>
      <c r="P22" s="54">
        <f t="shared" si="10"/>
        <v>20297663.178461537</v>
      </c>
      <c r="Q22" s="56">
        <f t="shared" si="4"/>
        <v>2.626747506537412</v>
      </c>
      <c r="R22" s="35">
        <f t="shared" si="5"/>
        <v>60.851933639445996</v>
      </c>
    </row>
    <row r="23" spans="1:18">
      <c r="A23" s="21">
        <v>5035415</v>
      </c>
      <c r="B23" s="49">
        <v>42125</v>
      </c>
      <c r="C23" s="50">
        <f t="shared" si="6"/>
        <v>9727425</v>
      </c>
      <c r="D23" s="50">
        <f t="shared" si="6"/>
        <v>23388210.819999993</v>
      </c>
      <c r="E23" s="53">
        <f t="shared" si="6"/>
        <v>2.4043578665474157</v>
      </c>
      <c r="F23" s="51">
        <v>4123460</v>
      </c>
      <c r="G23" s="54">
        <v>9673335.5</v>
      </c>
      <c r="H23" s="52">
        <f t="shared" si="11"/>
        <v>2.3459268429910805</v>
      </c>
      <c r="I23" s="54">
        <v>3571915</v>
      </c>
      <c r="J23" s="54">
        <v>8505934.1300000008</v>
      </c>
      <c r="K23" s="53">
        <f t="shared" si="1"/>
        <v>2.3813372182708719</v>
      </c>
      <c r="L23" s="51">
        <f t="shared" si="2"/>
        <v>10278970</v>
      </c>
      <c r="M23" s="51">
        <f t="shared" si="2"/>
        <v>24555612.18999999</v>
      </c>
      <c r="N23" s="52">
        <f t="shared" si="3"/>
        <v>2.3889175851276918</v>
      </c>
      <c r="O23" s="54">
        <f t="shared" si="10"/>
        <v>7937078.230769231</v>
      </c>
      <c r="P23" s="54">
        <f t="shared" si="10"/>
        <v>20620085.780769225</v>
      </c>
      <c r="Q23" s="56">
        <f t="shared" si="4"/>
        <v>2.5979441277058957</v>
      </c>
      <c r="R23" s="35">
        <f t="shared" si="5"/>
        <v>64.302238292441857</v>
      </c>
    </row>
    <row r="24" spans="1:18">
      <c r="A24" s="21">
        <v>5035415</v>
      </c>
      <c r="B24" s="49">
        <v>42156</v>
      </c>
      <c r="C24" s="50">
        <f t="shared" si="6"/>
        <v>10278970</v>
      </c>
      <c r="D24" s="50">
        <f t="shared" si="6"/>
        <v>24555612.18999999</v>
      </c>
      <c r="E24" s="53">
        <f t="shared" si="6"/>
        <v>2.3889175851276918</v>
      </c>
      <c r="F24" s="51">
        <v>3722093</v>
      </c>
      <c r="G24" s="54">
        <v>8923753.8200000003</v>
      </c>
      <c r="H24" s="52">
        <f t="shared" ref="H24:H30" si="12">IF(F24=0,0,G24/F24)</f>
        <v>2.3975096323493261</v>
      </c>
      <c r="I24" s="54">
        <v>4009802</v>
      </c>
      <c r="J24" s="54">
        <v>9588269.4600000009</v>
      </c>
      <c r="K24" s="53">
        <f t="shared" si="1"/>
        <v>2.3912077105054066</v>
      </c>
      <c r="L24" s="51">
        <f t="shared" si="2"/>
        <v>9991261</v>
      </c>
      <c r="M24" s="51">
        <f t="shared" si="2"/>
        <v>23891096.54999999</v>
      </c>
      <c r="N24" s="52">
        <f t="shared" si="3"/>
        <v>2.3911993240893206</v>
      </c>
      <c r="O24" s="54">
        <f t="shared" si="10"/>
        <v>8124757.153846154</v>
      </c>
      <c r="P24" s="54">
        <f t="shared" si="10"/>
        <v>20890104.953076918</v>
      </c>
      <c r="Q24" s="56">
        <f t="shared" si="4"/>
        <v>2.5711666893561014</v>
      </c>
      <c r="R24" s="35">
        <f t="shared" si="5"/>
        <v>62.502414703416868</v>
      </c>
    </row>
    <row r="25" spans="1:18">
      <c r="A25" s="21">
        <v>5035415</v>
      </c>
      <c r="B25" s="49">
        <v>42186</v>
      </c>
      <c r="C25" s="50">
        <f t="shared" si="6"/>
        <v>9991261</v>
      </c>
      <c r="D25" s="50">
        <f t="shared" si="6"/>
        <v>23891096.54999999</v>
      </c>
      <c r="E25" s="53">
        <f t="shared" si="6"/>
        <v>2.3911993240893206</v>
      </c>
      <c r="F25" s="51">
        <v>3481655</v>
      </c>
      <c r="G25" s="54">
        <v>8377262.8899999997</v>
      </c>
      <c r="H25" s="52">
        <f t="shared" si="12"/>
        <v>2.406115163621898</v>
      </c>
      <c r="I25" s="54">
        <v>3862164</v>
      </c>
      <c r="J25" s="54">
        <v>9250911.8900000006</v>
      </c>
      <c r="K25" s="53">
        <f t="shared" si="1"/>
        <v>2.3952664594253377</v>
      </c>
      <c r="L25" s="51">
        <f t="shared" si="2"/>
        <v>9610752</v>
      </c>
      <c r="M25" s="51">
        <f t="shared" si="2"/>
        <v>23017447.54999999</v>
      </c>
      <c r="N25" s="52">
        <f t="shared" si="3"/>
        <v>2.3949684218258871</v>
      </c>
      <c r="O25" s="54">
        <f t="shared" si="10"/>
        <v>8382924.384615385</v>
      </c>
      <c r="P25" s="54">
        <f t="shared" si="10"/>
        <v>21355533.818461534</v>
      </c>
      <c r="Q25" s="56">
        <f t="shared" si="4"/>
        <v>2.5475040497387647</v>
      </c>
      <c r="R25" s="35">
        <f t="shared" si="5"/>
        <v>60.12206138101017</v>
      </c>
    </row>
    <row r="26" spans="1:18">
      <c r="A26" s="21">
        <v>5035415</v>
      </c>
      <c r="B26" s="49">
        <v>42217</v>
      </c>
      <c r="C26" s="50">
        <f t="shared" si="6"/>
        <v>9610752</v>
      </c>
      <c r="D26" s="50">
        <f t="shared" si="6"/>
        <v>23017447.54999999</v>
      </c>
      <c r="E26" s="53">
        <f t="shared" si="6"/>
        <v>2.3949684218258871</v>
      </c>
      <c r="F26" s="51">
        <v>3702007</v>
      </c>
      <c r="G26" s="54">
        <v>9030775.5800000001</v>
      </c>
      <c r="H26" s="52">
        <f t="shared" si="12"/>
        <v>2.4394269324720348</v>
      </c>
      <c r="I26" s="54">
        <v>4144739</v>
      </c>
      <c r="J26" s="54">
        <v>9977613.25</v>
      </c>
      <c r="K26" s="53">
        <f t="shared" si="1"/>
        <v>2.4072959117570489</v>
      </c>
      <c r="L26" s="51">
        <f t="shared" si="2"/>
        <v>9168020</v>
      </c>
      <c r="M26" s="51">
        <f t="shared" si="2"/>
        <v>22070609.879999988</v>
      </c>
      <c r="N26" s="52">
        <f t="shared" si="3"/>
        <v>2.4073474839714559</v>
      </c>
      <c r="O26" s="54">
        <f t="shared" si="10"/>
        <v>8679276</v>
      </c>
      <c r="P26" s="54">
        <f t="shared" si="10"/>
        <v>21944771.449230764</v>
      </c>
      <c r="Q26" s="56">
        <f t="shared" si="4"/>
        <v>2.5284103707764061</v>
      </c>
      <c r="R26" s="35">
        <f t="shared" si="5"/>
        <v>57.352459118946037</v>
      </c>
    </row>
    <row r="27" spans="1:18">
      <c r="A27" s="21">
        <v>5035415</v>
      </c>
      <c r="B27" s="49">
        <v>42248</v>
      </c>
      <c r="C27" s="50">
        <f t="shared" si="6"/>
        <v>9168020</v>
      </c>
      <c r="D27" s="50">
        <f t="shared" si="6"/>
        <v>22070609.879999988</v>
      </c>
      <c r="E27" s="53">
        <f t="shared" si="6"/>
        <v>2.4073474839714559</v>
      </c>
      <c r="F27" s="51">
        <v>3591261</v>
      </c>
      <c r="G27" s="54">
        <v>8786344.1199999992</v>
      </c>
      <c r="H27" s="52">
        <f t="shared" si="12"/>
        <v>2.4465902422575243</v>
      </c>
      <c r="I27" s="54">
        <v>4008824</v>
      </c>
      <c r="J27" s="54">
        <v>9694770.1500000004</v>
      </c>
      <c r="K27" s="53">
        <f t="shared" si="1"/>
        <v>2.4183576405449578</v>
      </c>
      <c r="L27" s="51">
        <f t="shared" si="2"/>
        <v>8750457</v>
      </c>
      <c r="M27" s="51">
        <f t="shared" si="2"/>
        <v>21162183.849999987</v>
      </c>
      <c r="N27" s="52">
        <f t="shared" si="3"/>
        <v>2.4184089870963295</v>
      </c>
      <c r="O27" s="54">
        <f t="shared" si="10"/>
        <v>8948113</v>
      </c>
      <c r="P27" s="54">
        <f t="shared" si="10"/>
        <v>22470897.010769222</v>
      </c>
      <c r="Q27" s="56">
        <f t="shared" si="4"/>
        <v>2.5112442154864629</v>
      </c>
      <c r="R27" s="35">
        <f t="shared" si="5"/>
        <v>54.740306779936695</v>
      </c>
    </row>
    <row r="28" spans="1:18">
      <c r="A28" s="21">
        <v>5035415</v>
      </c>
      <c r="B28" s="49">
        <v>42278</v>
      </c>
      <c r="C28" s="50">
        <f t="shared" si="6"/>
        <v>8750457</v>
      </c>
      <c r="D28" s="50">
        <f t="shared" si="6"/>
        <v>21162183.849999987</v>
      </c>
      <c r="E28" s="53">
        <f t="shared" si="6"/>
        <v>2.4184089870963295</v>
      </c>
      <c r="F28" s="51">
        <v>4224522</v>
      </c>
      <c r="G28" s="54">
        <v>9945972.6999999993</v>
      </c>
      <c r="H28" s="52">
        <f t="shared" si="12"/>
        <v>2.3543427398413357</v>
      </c>
      <c r="I28" s="54">
        <v>4090007</v>
      </c>
      <c r="J28" s="54">
        <v>9807634.4100000001</v>
      </c>
      <c r="K28" s="53">
        <f t="shared" si="1"/>
        <v>2.397950519400089</v>
      </c>
      <c r="L28" s="51">
        <f t="shared" si="2"/>
        <v>8884972</v>
      </c>
      <c r="M28" s="51">
        <f t="shared" si="2"/>
        <v>21300522.139999986</v>
      </c>
      <c r="N28" s="52">
        <f t="shared" si="3"/>
        <v>2.3973651396988065</v>
      </c>
      <c r="O28" s="54">
        <f t="shared" si="10"/>
        <v>9157343.307692308</v>
      </c>
      <c r="P28" s="54">
        <f t="shared" si="10"/>
        <v>22818462.306153838</v>
      </c>
      <c r="Q28" s="56">
        <f t="shared" si="4"/>
        <v>2.491821212707618</v>
      </c>
      <c r="R28" s="35">
        <f t="shared" si="5"/>
        <v>55.581793386465151</v>
      </c>
    </row>
    <row r="29" spans="1:18">
      <c r="A29" s="21">
        <v>5035415</v>
      </c>
      <c r="B29" s="49">
        <v>42309</v>
      </c>
      <c r="C29" s="50">
        <f t="shared" si="6"/>
        <v>8884972</v>
      </c>
      <c r="D29" s="50">
        <f t="shared" si="6"/>
        <v>21300522.139999986</v>
      </c>
      <c r="E29" s="53">
        <f t="shared" si="6"/>
        <v>2.3973651396988065</v>
      </c>
      <c r="F29" s="51">
        <v>3551729</v>
      </c>
      <c r="G29" s="54">
        <v>8634300.0500000007</v>
      </c>
      <c r="H29" s="52">
        <f t="shared" si="12"/>
        <v>2.4310131910401949</v>
      </c>
      <c r="I29" s="54">
        <v>3698836</v>
      </c>
      <c r="J29" s="54">
        <v>8903076.8100000005</v>
      </c>
      <c r="K29" s="53">
        <f t="shared" si="1"/>
        <v>2.4069942030411733</v>
      </c>
      <c r="L29" s="51">
        <f t="shared" si="2"/>
        <v>8737865</v>
      </c>
      <c r="M29" s="51">
        <f t="shared" si="2"/>
        <v>21031745.379999988</v>
      </c>
      <c r="N29" s="52">
        <f t="shared" si="3"/>
        <v>2.4069661616424591</v>
      </c>
      <c r="O29" s="54">
        <f t="shared" si="10"/>
        <v>9248076</v>
      </c>
      <c r="P29" s="54">
        <f t="shared" si="10"/>
        <v>22884144.686923072</v>
      </c>
      <c r="Q29" s="56">
        <f t="shared" si="4"/>
        <v>2.474476278841466</v>
      </c>
      <c r="R29" s="35">
        <f t="shared" si="5"/>
        <v>54.661534900596791</v>
      </c>
    </row>
    <row r="30" spans="1:18">
      <c r="A30" s="21">
        <v>5035415</v>
      </c>
      <c r="B30" s="49">
        <v>42339</v>
      </c>
      <c r="C30" s="50">
        <f t="shared" si="6"/>
        <v>8737865</v>
      </c>
      <c r="D30" s="50">
        <f t="shared" si="6"/>
        <v>21031745.379999988</v>
      </c>
      <c r="E30" s="53">
        <f t="shared" si="6"/>
        <v>2.4069661616424591</v>
      </c>
      <c r="F30" s="51">
        <v>2722022</v>
      </c>
      <c r="G30" s="54">
        <v>6388861.7199999997</v>
      </c>
      <c r="H30" s="52">
        <f t="shared" si="12"/>
        <v>2.3471014268069839</v>
      </c>
      <c r="I30" s="54">
        <v>3628450</v>
      </c>
      <c r="J30" s="54">
        <v>8681877.5700000003</v>
      </c>
      <c r="K30" s="53">
        <f t="shared" si="1"/>
        <v>2.3927234962587329</v>
      </c>
      <c r="L30" s="51">
        <f t="shared" si="2"/>
        <v>7831437</v>
      </c>
      <c r="M30" s="51">
        <f t="shared" si="2"/>
        <v>18738729.529999986</v>
      </c>
      <c r="N30" s="52">
        <f t="shared" si="3"/>
        <v>2.3927574888235692</v>
      </c>
      <c r="O30" s="54">
        <f t="shared" si="10"/>
        <v>9219703.7692307699</v>
      </c>
      <c r="P30" s="54">
        <f t="shared" si="10"/>
        <v>22639924.288461525</v>
      </c>
      <c r="Q30" s="56">
        <f t="shared" si="4"/>
        <v>2.4556021381097417</v>
      </c>
      <c r="R30" s="35">
        <f t="shared" si="5"/>
        <v>48.991185706957602</v>
      </c>
    </row>
    <row r="31" spans="1:18">
      <c r="A31" s="21">
        <v>5035415</v>
      </c>
      <c r="B31" s="13">
        <v>42370</v>
      </c>
      <c r="C31" s="16">
        <f t="shared" si="6"/>
        <v>7831437</v>
      </c>
      <c r="D31" s="16">
        <f t="shared" si="6"/>
        <v>18738729.529999986</v>
      </c>
      <c r="E31" s="14">
        <f t="shared" si="6"/>
        <v>2.3927574888235692</v>
      </c>
      <c r="F31" s="46">
        <f>SUM(I31:I42)/12</f>
        <v>2758788.5833333335</v>
      </c>
      <c r="G31" s="23">
        <f t="shared" ref="G31:G54" si="13">F31*H31</f>
        <v>7194365.1040989403</v>
      </c>
      <c r="H31" s="22">
        <f>IF(F31=0,0,VLOOKUP(B31,Data!$A$5:$V$197,4,FALSE))</f>
        <v>2.6077986358078507</v>
      </c>
      <c r="I31" s="71">
        <f>VLOOKUP(B31,Data!$A$5:$V$197,9,FALSE)</f>
        <v>3164166</v>
      </c>
      <c r="J31" s="23">
        <f t="shared" ref="J31:J54" si="14">IF(C31+G31&gt;0,((D31+G31)/(C31+F31)*I31),0)</f>
        <v>7748335.0727804303</v>
      </c>
      <c r="K31" s="14">
        <f t="shared" si="1"/>
        <v>2.4487764146319853</v>
      </c>
      <c r="L31" s="15">
        <f t="shared" si="2"/>
        <v>7426059.583333334</v>
      </c>
      <c r="M31" s="15">
        <f t="shared" si="2"/>
        <v>18184759.561318494</v>
      </c>
      <c r="N31" s="22">
        <f t="shared" si="3"/>
        <v>2.4487764146319853</v>
      </c>
      <c r="O31" s="31">
        <f t="shared" si="10"/>
        <v>9098456.0448717941</v>
      </c>
      <c r="P31" s="31">
        <f t="shared" si="10"/>
        <v>22194722.418562952</v>
      </c>
      <c r="Q31" s="32">
        <f t="shared" si="4"/>
        <v>2.4393943663741355</v>
      </c>
      <c r="R31" s="35">
        <f t="shared" si="5"/>
        <v>46.455262823159472</v>
      </c>
    </row>
    <row r="32" spans="1:18">
      <c r="A32" s="21">
        <v>5035415</v>
      </c>
      <c r="B32" s="13">
        <v>42401</v>
      </c>
      <c r="C32" s="16">
        <f t="shared" si="6"/>
        <v>7426059.583333334</v>
      </c>
      <c r="D32" s="16">
        <f t="shared" si="6"/>
        <v>18184759.561318494</v>
      </c>
      <c r="E32" s="14">
        <f t="shared" si="6"/>
        <v>2.4487764146319853</v>
      </c>
      <c r="F32" s="46">
        <f>F31</f>
        <v>2758788.5833333335</v>
      </c>
      <c r="G32" s="23">
        <f t="shared" si="13"/>
        <v>7177592.9235070841</v>
      </c>
      <c r="H32" s="22">
        <f>IF(F32=0,0,VLOOKUP(B32,Data!$A$5:$V$197,4,FALSE))</f>
        <v>2.6017190903533054</v>
      </c>
      <c r="I32" s="71">
        <f>VLOOKUP(B32,Data!$A$5:$V$197,9,FALSE)</f>
        <v>2763837</v>
      </c>
      <c r="J32" s="23">
        <f t="shared" si="14"/>
        <v>6882518.7236487381</v>
      </c>
      <c r="K32" s="14">
        <f t="shared" si="1"/>
        <v>2.4902042789240966</v>
      </c>
      <c r="L32" s="15">
        <f t="shared" si="2"/>
        <v>7421011.1666666679</v>
      </c>
      <c r="M32" s="15">
        <f t="shared" si="2"/>
        <v>18479833.761176839</v>
      </c>
      <c r="N32" s="22">
        <f t="shared" si="3"/>
        <v>2.4902042789240966</v>
      </c>
      <c r="O32" s="31">
        <f t="shared" si="10"/>
        <v>8939259.8269230761</v>
      </c>
      <c r="P32" s="31">
        <f t="shared" si="10"/>
        <v>21728444.752499636</v>
      </c>
      <c r="Q32" s="32">
        <f t="shared" si="4"/>
        <v>2.4306760484865158</v>
      </c>
      <c r="R32" s="35">
        <f t="shared" si="5"/>
        <v>46.423681400945036</v>
      </c>
    </row>
    <row r="33" spans="1:18">
      <c r="A33" s="21">
        <v>5035415</v>
      </c>
      <c r="B33" s="13">
        <v>42430</v>
      </c>
      <c r="C33" s="16">
        <f t="shared" si="6"/>
        <v>7421011.1666666679</v>
      </c>
      <c r="D33" s="16">
        <f t="shared" si="6"/>
        <v>18479833.761176839</v>
      </c>
      <c r="E33" s="14">
        <f t="shared" si="6"/>
        <v>2.4902042789240966</v>
      </c>
      <c r="F33" s="46">
        <f t="shared" ref="F33:F42" si="15">F32</f>
        <v>2758788.5833333335</v>
      </c>
      <c r="G33" s="23">
        <f t="shared" si="13"/>
        <v>7160820.7429152289</v>
      </c>
      <c r="H33" s="22">
        <f>IF(F33=0,0,VLOOKUP(B33,Data!$A$5:$V$197,4,FALSE))</f>
        <v>2.5956395448987601</v>
      </c>
      <c r="I33" s="71">
        <f>VLOOKUP(B33,Data!$A$5:$V$197,9,FALSE)</f>
        <v>1766225</v>
      </c>
      <c r="J33" s="23">
        <f t="shared" si="14"/>
        <v>4448728.4734152071</v>
      </c>
      <c r="K33" s="14">
        <f t="shared" si="1"/>
        <v>2.5187778869709168</v>
      </c>
      <c r="L33" s="15">
        <f t="shared" si="2"/>
        <v>8413574.7500000019</v>
      </c>
      <c r="M33" s="15">
        <f t="shared" si="2"/>
        <v>21191926.03067686</v>
      </c>
      <c r="N33" s="22">
        <f t="shared" si="3"/>
        <v>2.5187778869709163</v>
      </c>
      <c r="O33" s="31">
        <f t="shared" ref="O33:P48" si="16">AVERAGE(L21:L33)</f>
        <v>8877040.346153846</v>
      </c>
      <c r="P33" s="31">
        <f t="shared" si="16"/>
        <v>21536521.2225517</v>
      </c>
      <c r="Q33" s="32">
        <f t="shared" si="4"/>
        <v>2.4260925243944427</v>
      </c>
      <c r="R33" s="35">
        <f t="shared" si="5"/>
        <v>52.632869681084003</v>
      </c>
    </row>
    <row r="34" spans="1:18">
      <c r="A34" s="21">
        <v>5035415</v>
      </c>
      <c r="B34" s="13">
        <v>42461</v>
      </c>
      <c r="C34" s="16">
        <f t="shared" si="6"/>
        <v>8413574.7500000019</v>
      </c>
      <c r="D34" s="16">
        <f t="shared" si="6"/>
        <v>21191926.03067686</v>
      </c>
      <c r="E34" s="14">
        <f t="shared" si="6"/>
        <v>2.5187778869709163</v>
      </c>
      <c r="F34" s="46">
        <f t="shared" si="15"/>
        <v>2758788.5833333335</v>
      </c>
      <c r="G34" s="23">
        <f t="shared" si="13"/>
        <v>7184450.3849051856</v>
      </c>
      <c r="H34" s="22">
        <f>IF(F34=0,0,VLOOKUP(B34,Data!$A$5:$V$197,4,FALSE))</f>
        <v>2.6042047688281</v>
      </c>
      <c r="I34" s="71">
        <f>VLOOKUP(B34,Data!$A$5:$V$197,9,FALSE)</f>
        <v>0</v>
      </c>
      <c r="J34" s="23">
        <f t="shared" si="14"/>
        <v>0</v>
      </c>
      <c r="K34" s="14">
        <f t="shared" si="1"/>
        <v>0</v>
      </c>
      <c r="L34" s="15">
        <f t="shared" si="2"/>
        <v>11172363.333333336</v>
      </c>
      <c r="M34" s="15">
        <f t="shared" si="2"/>
        <v>28376376.415582046</v>
      </c>
      <c r="N34" s="22">
        <f t="shared" si="3"/>
        <v>2.5398723232460254</v>
      </c>
      <c r="O34" s="31">
        <f t="shared" si="16"/>
        <v>9031859.064102564</v>
      </c>
      <c r="P34" s="31">
        <f t="shared" si="16"/>
        <v>21953004.127596475</v>
      </c>
      <c r="Q34" s="32">
        <f t="shared" si="4"/>
        <v>2.4306185439550809</v>
      </c>
      <c r="R34" s="35">
        <f t="shared" si="5"/>
        <v>69.891046413185379</v>
      </c>
    </row>
    <row r="35" spans="1:18">
      <c r="A35" s="21">
        <v>5035415</v>
      </c>
      <c r="B35" s="13">
        <v>42491</v>
      </c>
      <c r="C35" s="16">
        <f t="shared" si="6"/>
        <v>11172363.333333336</v>
      </c>
      <c r="D35" s="16">
        <f t="shared" si="6"/>
        <v>28376376.415582046</v>
      </c>
      <c r="E35" s="14">
        <f t="shared" si="6"/>
        <v>2.5398723232460254</v>
      </c>
      <c r="F35" s="46">
        <f t="shared" si="15"/>
        <v>2758788.5833333335</v>
      </c>
      <c r="G35" s="23">
        <f t="shared" si="13"/>
        <v>7201222.5654970417</v>
      </c>
      <c r="H35" s="22">
        <f>IF(F35=0,0,VLOOKUP(B35,Data!$A$5:$V$197,4,FALSE))</f>
        <v>2.6102843142826457</v>
      </c>
      <c r="I35" s="71">
        <f>VLOOKUP(B35,Data!$A$5:$V$197,9,FALSE)</f>
        <v>2320954</v>
      </c>
      <c r="J35" s="23">
        <f t="shared" si="14"/>
        <v>5927289.5134208715</v>
      </c>
      <c r="K35" s="14">
        <f t="shared" si="1"/>
        <v>2.5538160228168554</v>
      </c>
      <c r="L35" s="15">
        <f t="shared" si="2"/>
        <v>11610197.91666667</v>
      </c>
      <c r="M35" s="15">
        <f t="shared" si="2"/>
        <v>29650309.467658214</v>
      </c>
      <c r="N35" s="22">
        <f t="shared" si="3"/>
        <v>2.5538160228168554</v>
      </c>
      <c r="O35" s="31">
        <f t="shared" si="16"/>
        <v>9176687.7500000019</v>
      </c>
      <c r="P35" s="31">
        <f t="shared" si="16"/>
        <v>22434704.023570184</v>
      </c>
      <c r="Q35" s="32">
        <f t="shared" si="4"/>
        <v>2.444749634591215</v>
      </c>
      <c r="R35" s="35">
        <f t="shared" si="5"/>
        <v>72.630011864993492</v>
      </c>
    </row>
    <row r="36" spans="1:18">
      <c r="A36" s="21">
        <v>5035415</v>
      </c>
      <c r="B36" s="13">
        <v>42522</v>
      </c>
      <c r="C36" s="16">
        <f t="shared" si="6"/>
        <v>11610197.91666667</v>
      </c>
      <c r="D36" s="16">
        <f t="shared" si="6"/>
        <v>29650309.467658214</v>
      </c>
      <c r="E36" s="14">
        <f t="shared" si="6"/>
        <v>2.5538160228168554</v>
      </c>
      <c r="F36" s="46">
        <f t="shared" si="15"/>
        <v>2758788.5833333335</v>
      </c>
      <c r="G36" s="23">
        <f t="shared" si="13"/>
        <v>7217994.7460888978</v>
      </c>
      <c r="H36" s="22">
        <f>IF(F36=0,0,VLOOKUP(B36,Data!$A$5:$V$197,4,FALSE))</f>
        <v>2.616363859737191</v>
      </c>
      <c r="I36" s="71">
        <f>VLOOKUP(B36,Data!$A$5:$V$197,9,FALSE)</f>
        <v>3181812</v>
      </c>
      <c r="J36" s="23">
        <f t="shared" si="14"/>
        <v>8163972.6481022937</v>
      </c>
      <c r="K36" s="14">
        <f t="shared" si="1"/>
        <v>2.5658249601492149</v>
      </c>
      <c r="L36" s="15">
        <f t="shared" si="2"/>
        <v>11187174.500000004</v>
      </c>
      <c r="M36" s="15">
        <f t="shared" si="2"/>
        <v>28704331.565644819</v>
      </c>
      <c r="N36" s="22">
        <f t="shared" si="3"/>
        <v>2.5658249601492145</v>
      </c>
      <c r="O36" s="31">
        <f t="shared" si="16"/>
        <v>9246549.6346153859</v>
      </c>
      <c r="P36" s="31">
        <f t="shared" si="16"/>
        <v>22753836.28323517</v>
      </c>
      <c r="Q36" s="32">
        <f t="shared" si="4"/>
        <v>2.4607920989310328</v>
      </c>
      <c r="R36" s="35">
        <f t="shared" si="5"/>
        <v>69.983700751936169</v>
      </c>
    </row>
    <row r="37" spans="1:18">
      <c r="A37" s="21">
        <v>5035415</v>
      </c>
      <c r="B37" s="13">
        <v>42552</v>
      </c>
      <c r="C37" s="16">
        <f t="shared" si="6"/>
        <v>11187174.500000004</v>
      </c>
      <c r="D37" s="16">
        <f t="shared" si="6"/>
        <v>28704331.565644819</v>
      </c>
      <c r="E37" s="14">
        <f t="shared" si="6"/>
        <v>2.5658249601492145</v>
      </c>
      <c r="F37" s="46">
        <f t="shared" si="15"/>
        <v>2758788.5833333335</v>
      </c>
      <c r="G37" s="23">
        <f t="shared" si="13"/>
        <v>7312359.7502862886</v>
      </c>
      <c r="H37" s="22">
        <f>IF(F37=0,0,VLOOKUP(B37,Data!$A$5:$V$197,4,FALSE))</f>
        <v>2.6505690919784284</v>
      </c>
      <c r="I37" s="71">
        <f>VLOOKUP(B37,Data!$A$5:$V$197,9,FALSE)</f>
        <v>3396073</v>
      </c>
      <c r="J37" s="23">
        <f t="shared" si="14"/>
        <v>8770660.8856254425</v>
      </c>
      <c r="K37" s="14">
        <f t="shared" si="1"/>
        <v>2.5825890331643171</v>
      </c>
      <c r="L37" s="15">
        <f t="shared" si="2"/>
        <v>10549890.083333338</v>
      </c>
      <c r="M37" s="15">
        <f t="shared" si="2"/>
        <v>27246030.430305667</v>
      </c>
      <c r="N37" s="22">
        <f t="shared" si="3"/>
        <v>2.5825890331643175</v>
      </c>
      <c r="O37" s="31">
        <f t="shared" si="16"/>
        <v>9289521.1025641039</v>
      </c>
      <c r="P37" s="31">
        <f t="shared" si="16"/>
        <v>23011908.120181758</v>
      </c>
      <c r="Q37" s="32">
        <f t="shared" si="4"/>
        <v>2.4771899289652279</v>
      </c>
      <c r="R37" s="35">
        <f t="shared" si="5"/>
        <v>65.997035315558804</v>
      </c>
    </row>
    <row r="38" spans="1:18">
      <c r="A38" s="21">
        <v>5035415</v>
      </c>
      <c r="B38" s="13">
        <v>42583</v>
      </c>
      <c r="C38" s="16">
        <f t="shared" si="6"/>
        <v>10549890.083333338</v>
      </c>
      <c r="D38" s="16">
        <f t="shared" si="6"/>
        <v>27246030.430305667</v>
      </c>
      <c r="E38" s="14">
        <f t="shared" si="6"/>
        <v>2.5825890331643175</v>
      </c>
      <c r="F38" s="46">
        <f t="shared" si="15"/>
        <v>2758788.5833333335</v>
      </c>
      <c r="G38" s="23">
        <f t="shared" si="13"/>
        <v>7354290.2017659284</v>
      </c>
      <c r="H38" s="22">
        <f>IF(F38=0,0,VLOOKUP(B38,Data!$A$5:$V$197,4,FALSE))</f>
        <v>2.665767955614792</v>
      </c>
      <c r="I38" s="71">
        <f>VLOOKUP(B38,Data!$A$5:$V$197,9,FALSE)</f>
        <v>3548399</v>
      </c>
      <c r="J38" s="23">
        <f t="shared" si="14"/>
        <v>9225239.1244541928</v>
      </c>
      <c r="K38" s="14">
        <f t="shared" si="1"/>
        <v>2.5998313956390455</v>
      </c>
      <c r="L38" s="15">
        <f t="shared" si="2"/>
        <v>9760279.6666666716</v>
      </c>
      <c r="M38" s="15">
        <f t="shared" si="2"/>
        <v>25375081.507617407</v>
      </c>
      <c r="N38" s="22">
        <f t="shared" si="3"/>
        <v>2.5998313956390451</v>
      </c>
      <c r="O38" s="31">
        <f t="shared" si="16"/>
        <v>9301023.2307692338</v>
      </c>
      <c r="P38" s="31">
        <f t="shared" si="16"/>
        <v>23193264.578460023</v>
      </c>
      <c r="Q38" s="32">
        <f t="shared" si="4"/>
        <v>2.4936250564059543</v>
      </c>
      <c r="R38" s="35">
        <f t="shared" si="5"/>
        <v>61.057462851518707</v>
      </c>
    </row>
    <row r="39" spans="1:18">
      <c r="A39" s="21">
        <v>5035415</v>
      </c>
      <c r="B39" s="13">
        <v>42614</v>
      </c>
      <c r="C39" s="16">
        <f t="shared" si="6"/>
        <v>9760279.6666666716</v>
      </c>
      <c r="D39" s="16">
        <f t="shared" si="6"/>
        <v>25375081.507617407</v>
      </c>
      <c r="E39" s="14">
        <f t="shared" si="6"/>
        <v>2.5998313956390451</v>
      </c>
      <c r="F39" s="46">
        <f t="shared" si="15"/>
        <v>2758788.5833333335</v>
      </c>
      <c r="G39" s="23">
        <f t="shared" si="13"/>
        <v>7337518.0211740742</v>
      </c>
      <c r="H39" s="22">
        <f>IF(F39=0,0,VLOOKUP(B39,Data!$A$5:$V$197,4,FALSE))</f>
        <v>2.6596884101602472</v>
      </c>
      <c r="I39" s="71">
        <f>VLOOKUP(B39,Data!$A$5:$V$197,9,FALSE)</f>
        <v>3114840</v>
      </c>
      <c r="J39" s="23">
        <f t="shared" si="14"/>
        <v>8139145.1409541443</v>
      </c>
      <c r="K39" s="14">
        <f t="shared" si="1"/>
        <v>2.6130219019128251</v>
      </c>
      <c r="L39" s="15">
        <f t="shared" si="2"/>
        <v>9404228.2500000056</v>
      </c>
      <c r="M39" s="15">
        <f t="shared" si="2"/>
        <v>24573454.387837335</v>
      </c>
      <c r="N39" s="22">
        <f t="shared" si="3"/>
        <v>2.6130219019128251</v>
      </c>
      <c r="O39" s="31">
        <f t="shared" si="16"/>
        <v>9319193.0961538479</v>
      </c>
      <c r="P39" s="31">
        <f t="shared" si="16"/>
        <v>23385791.079062894</v>
      </c>
      <c r="Q39" s="32">
        <f t="shared" si="4"/>
        <v>2.5094223113280605</v>
      </c>
      <c r="R39" s="35">
        <f t="shared" si="5"/>
        <v>58.830109036996291</v>
      </c>
    </row>
    <row r="40" spans="1:18">
      <c r="A40" s="21">
        <v>5035415</v>
      </c>
      <c r="B40" s="13">
        <v>42644</v>
      </c>
      <c r="C40" s="16">
        <f t="shared" si="6"/>
        <v>9404228.2500000056</v>
      </c>
      <c r="D40" s="16">
        <f t="shared" si="6"/>
        <v>24573454.387837335</v>
      </c>
      <c r="E40" s="14">
        <f t="shared" si="6"/>
        <v>2.6130219019128251</v>
      </c>
      <c r="F40" s="46">
        <f t="shared" si="15"/>
        <v>2758788.5833333335</v>
      </c>
      <c r="G40" s="23">
        <f t="shared" si="13"/>
        <v>7420573.3855115101</v>
      </c>
      <c r="H40" s="22">
        <f>IF(F40=0,0,VLOOKUP(B40,Data!$A$5:$V$197,4,FALSE))</f>
        <v>2.6897941474534917</v>
      </c>
      <c r="I40" s="71">
        <f>VLOOKUP(B40,Data!$A$5:$V$197,9,FALSE)</f>
        <v>3199091</v>
      </c>
      <c r="J40" s="23">
        <f t="shared" si="14"/>
        <v>8415001.6156329103</v>
      </c>
      <c r="K40" s="14">
        <f t="shared" si="1"/>
        <v>2.6304352128879454</v>
      </c>
      <c r="L40" s="15">
        <f t="shared" si="2"/>
        <v>8963925.8333333395</v>
      </c>
      <c r="M40" s="15">
        <f t="shared" si="2"/>
        <v>23579026.157715935</v>
      </c>
      <c r="N40" s="22">
        <f t="shared" si="3"/>
        <v>2.6304352128879454</v>
      </c>
      <c r="O40" s="31">
        <f t="shared" si="16"/>
        <v>9335613.7756410278</v>
      </c>
      <c r="P40" s="31">
        <f t="shared" si="16"/>
        <v>23571702.025810275</v>
      </c>
      <c r="Q40" s="32">
        <f t="shared" si="4"/>
        <v>2.5249225805929112</v>
      </c>
      <c r="R40" s="35">
        <f t="shared" si="5"/>
        <v>56.075705539638292</v>
      </c>
    </row>
    <row r="41" spans="1:18">
      <c r="A41" s="21">
        <v>5035415</v>
      </c>
      <c r="B41" s="13">
        <v>42675</v>
      </c>
      <c r="C41" s="16">
        <f t="shared" si="6"/>
        <v>8963925.8333333395</v>
      </c>
      <c r="D41" s="16">
        <f t="shared" si="6"/>
        <v>23579026.157715935</v>
      </c>
      <c r="E41" s="14">
        <f t="shared" si="6"/>
        <v>2.6304352128879454</v>
      </c>
      <c r="F41" s="46">
        <f t="shared" si="15"/>
        <v>2758788.5833333335</v>
      </c>
      <c r="G41" s="23">
        <f t="shared" si="13"/>
        <v>7428959.4758074386</v>
      </c>
      <c r="H41" s="22">
        <f>IF(F41=0,0,VLOOKUP(B41,Data!$A$5:$V$197,4,FALSE))</f>
        <v>2.6928339201807647</v>
      </c>
      <c r="I41" s="71">
        <f>VLOOKUP(B41,Data!$A$5:$V$197,9,FALSE)</f>
        <v>3489046</v>
      </c>
      <c r="J41" s="23">
        <f t="shared" si="14"/>
        <v>9228945.1399486791</v>
      </c>
      <c r="K41" s="14">
        <f t="shared" si="1"/>
        <v>2.6451199382148243</v>
      </c>
      <c r="L41" s="15">
        <f t="shared" si="2"/>
        <v>8233668.4166666735</v>
      </c>
      <c r="M41" s="15">
        <f t="shared" si="2"/>
        <v>21779040.493574694</v>
      </c>
      <c r="N41" s="22">
        <f t="shared" si="3"/>
        <v>2.6451199382148234</v>
      </c>
      <c r="O41" s="31">
        <f t="shared" si="16"/>
        <v>9285513.5000000037</v>
      </c>
      <c r="P41" s="31">
        <f t="shared" si="16"/>
        <v>23608511.129931405</v>
      </c>
      <c r="Q41" s="32">
        <f t="shared" si="4"/>
        <v>2.5425100216516183</v>
      </c>
      <c r="R41" s="35">
        <f t="shared" si="5"/>
        <v>51.507428132337466</v>
      </c>
    </row>
    <row r="42" spans="1:18">
      <c r="A42" s="21">
        <v>5035415</v>
      </c>
      <c r="B42" s="13">
        <v>42705</v>
      </c>
      <c r="C42" s="16">
        <f t="shared" si="6"/>
        <v>8233668.4166666735</v>
      </c>
      <c r="D42" s="16">
        <f t="shared" si="6"/>
        <v>21779040.493574694</v>
      </c>
      <c r="E42" s="14">
        <f t="shared" si="6"/>
        <v>2.6451199382148234</v>
      </c>
      <c r="F42" s="46">
        <f t="shared" si="15"/>
        <v>2758788.5833333335</v>
      </c>
      <c r="G42" s="23">
        <f t="shared" si="13"/>
        <v>7437345.5661033662</v>
      </c>
      <c r="H42" s="22">
        <f>IF(F42=0,0,VLOOKUP(B42,Data!$A$5:$V$197,4,FALSE))</f>
        <v>2.6958736929080374</v>
      </c>
      <c r="I42" s="71">
        <f>VLOOKUP(B42,Data!$A$5:$V$197,9,FALSE)</f>
        <v>3161020</v>
      </c>
      <c r="J42" s="23">
        <f t="shared" si="14"/>
        <v>8401541.2261665873</v>
      </c>
      <c r="K42" s="14">
        <f t="shared" si="1"/>
        <v>2.6578576618201049</v>
      </c>
      <c r="L42" s="15">
        <f t="shared" si="2"/>
        <v>7831437.0000000075</v>
      </c>
      <c r="M42" s="15">
        <f t="shared" si="2"/>
        <v>20814844.833511472</v>
      </c>
      <c r="N42" s="22">
        <f t="shared" si="3"/>
        <v>2.6578576618201044</v>
      </c>
      <c r="O42" s="31">
        <f t="shared" si="16"/>
        <v>9215788.2692307737</v>
      </c>
      <c r="P42" s="31">
        <f t="shared" si="16"/>
        <v>23591826.472509213</v>
      </c>
      <c r="Q42" s="32">
        <f t="shared" si="4"/>
        <v>2.5599358170235376</v>
      </c>
      <c r="R42" s="35">
        <f t="shared" si="5"/>
        <v>48.991185706957644</v>
      </c>
    </row>
    <row r="43" spans="1:18">
      <c r="A43" s="21">
        <v>5035415</v>
      </c>
      <c r="B43" s="13">
        <v>42736</v>
      </c>
      <c r="C43" s="16">
        <f t="shared" si="6"/>
        <v>7831437.0000000075</v>
      </c>
      <c r="D43" s="16">
        <f t="shared" si="6"/>
        <v>20814844.833511472</v>
      </c>
      <c r="E43" s="14">
        <f t="shared" si="6"/>
        <v>2.6578576618201044</v>
      </c>
      <c r="F43" s="46">
        <f>SUM(I43:I54)/12</f>
        <v>3342002.0833333335</v>
      </c>
      <c r="G43" s="23">
        <f t="shared" si="13"/>
        <v>9028400.5905505065</v>
      </c>
      <c r="H43" s="22">
        <f>IF(F43=0,0,VLOOKUP(B43,Data!$A$5:$V$197,4,FALSE))</f>
        <v>2.7014946027638391</v>
      </c>
      <c r="I43" s="71">
        <f>VLOOKUP(B43,Data!$A$5:$V$197,9,FALSE)</f>
        <v>3067264</v>
      </c>
      <c r="J43" s="23">
        <f t="shared" si="14"/>
        <v>8192384.7841019435</v>
      </c>
      <c r="K43" s="14">
        <f t="shared" si="1"/>
        <v>2.6709095741683608</v>
      </c>
      <c r="L43" s="15">
        <f t="shared" si="2"/>
        <v>8106175.0833333414</v>
      </c>
      <c r="M43" s="15">
        <f t="shared" si="2"/>
        <v>21650860.639960032</v>
      </c>
      <c r="N43" s="22">
        <f t="shared" si="3"/>
        <v>2.6709095741683608</v>
      </c>
      <c r="O43" s="31">
        <f t="shared" si="16"/>
        <v>9236921.9679487236</v>
      </c>
      <c r="P43" s="31">
        <f t="shared" si="16"/>
        <v>23815836.557890758</v>
      </c>
      <c r="Q43" s="32">
        <f t="shared" si="4"/>
        <v>2.578330383273729</v>
      </c>
      <c r="R43" s="35">
        <f t="shared" si="5"/>
        <v>50.709867024493235</v>
      </c>
    </row>
    <row r="44" spans="1:18">
      <c r="A44" s="21">
        <v>5035415</v>
      </c>
      <c r="B44" s="13">
        <v>42767</v>
      </c>
      <c r="C44" s="16">
        <f t="shared" si="6"/>
        <v>8106175.0833333414</v>
      </c>
      <c r="D44" s="16">
        <f t="shared" si="6"/>
        <v>21650860.639960032</v>
      </c>
      <c r="E44" s="14">
        <f t="shared" si="6"/>
        <v>2.6709095741683608</v>
      </c>
      <c r="F44" s="46">
        <f>SUM(I43:I54)/12</f>
        <v>3342002.0833333335</v>
      </c>
      <c r="G44" s="23">
        <f t="shared" si="13"/>
        <v>9008082.7369756959</v>
      </c>
      <c r="H44" s="22">
        <f>IF(F44=0,0,VLOOKUP(B44,Data!$A$5:$V$197,4,FALSE))</f>
        <v>2.6954150573092939</v>
      </c>
      <c r="I44" s="71">
        <f>VLOOKUP(B44,Data!$A$5:$V$197,9,FALSE)</f>
        <v>2718358</v>
      </c>
      <c r="J44" s="23">
        <f t="shared" si="14"/>
        <v>7279934.8566079745</v>
      </c>
      <c r="K44" s="14">
        <f t="shared" si="1"/>
        <v>2.678063322273216</v>
      </c>
      <c r="L44" s="15">
        <f t="shared" si="2"/>
        <v>8729819.1666666754</v>
      </c>
      <c r="M44" s="15">
        <f t="shared" si="2"/>
        <v>23379008.520327754</v>
      </c>
      <c r="N44" s="22">
        <f t="shared" si="3"/>
        <v>2.678063322273216</v>
      </c>
      <c r="O44" s="31">
        <f t="shared" si="16"/>
        <v>9337211.1666666716</v>
      </c>
      <c r="P44" s="31">
        <f t="shared" si="16"/>
        <v>24215394.17012224</v>
      </c>
      <c r="Q44" s="32">
        <f t="shared" si="4"/>
        <v>2.5934289947912776</v>
      </c>
      <c r="R44" s="35">
        <f t="shared" si="5"/>
        <v>54.611202513960713</v>
      </c>
    </row>
    <row r="45" spans="1:18">
      <c r="A45" s="21">
        <v>5035415</v>
      </c>
      <c r="B45" s="13">
        <v>42795</v>
      </c>
      <c r="C45" s="16">
        <f t="shared" si="6"/>
        <v>8729819.1666666754</v>
      </c>
      <c r="D45" s="16">
        <f t="shared" si="6"/>
        <v>23379008.520327754</v>
      </c>
      <c r="E45" s="14">
        <f t="shared" si="6"/>
        <v>2.678063322273216</v>
      </c>
      <c r="F45" s="46">
        <f>SUM(I43:I54)/12</f>
        <v>3342002.0833333335</v>
      </c>
      <c r="G45" s="23">
        <f t="shared" si="13"/>
        <v>8997923.8101882897</v>
      </c>
      <c r="H45" s="22">
        <f>IF(F45=0,0,VLOOKUP(B45,Data!$A$5:$V$197,4,FALSE))</f>
        <v>2.6923752845820208</v>
      </c>
      <c r="I45" s="71">
        <f>VLOOKUP(B45,Data!$A$5:$V$197,9,FALSE)</f>
        <v>3261715</v>
      </c>
      <c r="J45" s="23">
        <f t="shared" si="14"/>
        <v>8748002.7784895375</v>
      </c>
      <c r="K45" s="14">
        <f t="shared" si="1"/>
        <v>2.6820254922608315</v>
      </c>
      <c r="L45" s="15">
        <f t="shared" si="2"/>
        <v>8810106.2500000093</v>
      </c>
      <c r="M45" s="15">
        <f t="shared" si="2"/>
        <v>23628929.552026507</v>
      </c>
      <c r="N45" s="22">
        <f t="shared" si="3"/>
        <v>2.682025492260832</v>
      </c>
      <c r="O45" s="31">
        <f t="shared" si="16"/>
        <v>9444064.6346153915</v>
      </c>
      <c r="P45" s="31">
        <f t="shared" si="16"/>
        <v>24611478.461726062</v>
      </c>
      <c r="Q45" s="32">
        <f t="shared" si="4"/>
        <v>2.6060260506389854</v>
      </c>
      <c r="R45" s="35">
        <f t="shared" si="5"/>
        <v>55.11345509026993</v>
      </c>
    </row>
    <row r="46" spans="1:18">
      <c r="A46" s="21">
        <v>5035415</v>
      </c>
      <c r="B46" s="13">
        <v>42826</v>
      </c>
      <c r="C46" s="16">
        <f t="shared" si="6"/>
        <v>8810106.2500000093</v>
      </c>
      <c r="D46" s="16">
        <f t="shared" si="6"/>
        <v>23628929.552026507</v>
      </c>
      <c r="E46" s="14">
        <f t="shared" si="6"/>
        <v>2.682025492260832</v>
      </c>
      <c r="F46" s="46">
        <f>SUM(I43:I54)/12</f>
        <v>3342002.0833333335</v>
      </c>
      <c r="G46" s="23">
        <f t="shared" si="13"/>
        <v>9072518.6510162223</v>
      </c>
      <c r="H46" s="22">
        <f>IF(F46=0,0,VLOOKUP(B46,Data!$A$5:$V$197,4,FALSE))</f>
        <v>2.7146956898265118</v>
      </c>
      <c r="I46" s="71">
        <f>VLOOKUP(B46,Data!$A$5:$V$197,9,FALSE)</f>
        <v>3450539</v>
      </c>
      <c r="J46" s="23">
        <f t="shared" si="14"/>
        <v>9285435.8507950623</v>
      </c>
      <c r="K46" s="14">
        <f t="shared" si="1"/>
        <v>2.6910102597869674</v>
      </c>
      <c r="L46" s="15">
        <f t="shared" si="2"/>
        <v>8701569.3333333433</v>
      </c>
      <c r="M46" s="15">
        <f t="shared" si="2"/>
        <v>23416012.35224767</v>
      </c>
      <c r="N46" s="22">
        <f t="shared" si="3"/>
        <v>2.6910102597869674</v>
      </c>
      <c r="O46" s="31">
        <f t="shared" si="16"/>
        <v>9466218.0641025715</v>
      </c>
      <c r="P46" s="31">
        <f t="shared" si="16"/>
        <v>24782562.024923816</v>
      </c>
      <c r="Q46" s="32">
        <f t="shared" si="4"/>
        <v>2.6180003309772988</v>
      </c>
      <c r="R46" s="35">
        <f t="shared" si="5"/>
        <v>54.434479796147379</v>
      </c>
    </row>
    <row r="47" spans="1:18">
      <c r="A47" s="21">
        <v>5035415</v>
      </c>
      <c r="B47" s="13">
        <v>42856</v>
      </c>
      <c r="C47" s="16">
        <f t="shared" si="6"/>
        <v>8701569.3333333433</v>
      </c>
      <c r="D47" s="16">
        <f t="shared" si="6"/>
        <v>23416012.35224767</v>
      </c>
      <c r="E47" s="14">
        <f t="shared" si="6"/>
        <v>2.6910102597869674</v>
      </c>
      <c r="F47" s="46">
        <f>SUM(I43:I54)/12</f>
        <v>3342002.0833333335</v>
      </c>
      <c r="G47" s="23">
        <f t="shared" si="13"/>
        <v>9062359.724228818</v>
      </c>
      <c r="H47" s="22">
        <f>IF(F47=0,0,VLOOKUP(B47,Data!$A$5:$V$197,4,FALSE))</f>
        <v>2.7116559170992391</v>
      </c>
      <c r="I47" s="71">
        <f>VLOOKUP(B47,Data!$A$5:$V$197,9,FALSE)</f>
        <v>3404081</v>
      </c>
      <c r="J47" s="23">
        <f t="shared" si="14"/>
        <v>9179918.9352973327</v>
      </c>
      <c r="K47" s="14">
        <f t="shared" si="1"/>
        <v>2.6967392771492018</v>
      </c>
      <c r="L47" s="15">
        <f t="shared" si="2"/>
        <v>8639490.4166666772</v>
      </c>
      <c r="M47" s="15">
        <f t="shared" si="2"/>
        <v>23298453.141179156</v>
      </c>
      <c r="N47" s="22">
        <f t="shared" si="3"/>
        <v>2.6967392771492023</v>
      </c>
      <c r="O47" s="31">
        <f t="shared" si="16"/>
        <v>9271381.6858974434</v>
      </c>
      <c r="P47" s="31">
        <f t="shared" si="16"/>
        <v>24391952.542277433</v>
      </c>
      <c r="Q47" s="32">
        <f t="shared" si="4"/>
        <v>2.6308864599307413</v>
      </c>
      <c r="R47" s="35">
        <f t="shared" si="5"/>
        <v>54.046132199799047</v>
      </c>
    </row>
    <row r="48" spans="1:18">
      <c r="A48" s="21">
        <v>5035415</v>
      </c>
      <c r="B48" s="13">
        <v>42887</v>
      </c>
      <c r="C48" s="16">
        <f t="shared" si="6"/>
        <v>8639490.4166666772</v>
      </c>
      <c r="D48" s="16">
        <f t="shared" si="6"/>
        <v>23298453.141179156</v>
      </c>
      <c r="E48" s="14">
        <f t="shared" si="6"/>
        <v>2.6967392771492023</v>
      </c>
      <c r="F48" s="46">
        <f>SUM(I43:I54)/12</f>
        <v>3342002.0833333335</v>
      </c>
      <c r="G48" s="23">
        <f t="shared" si="13"/>
        <v>9082677.5778036285</v>
      </c>
      <c r="H48" s="22">
        <f>IF(F48=0,0,VLOOKUP(B48,Data!$A$5:$V$197,4,FALSE))</f>
        <v>2.7177354625537844</v>
      </c>
      <c r="I48" s="71">
        <f>VLOOKUP(B48,Data!$A$5:$V$197,9,FALSE)</f>
        <v>3569634</v>
      </c>
      <c r="J48" s="23">
        <f t="shared" si="14"/>
        <v>9647277.6803829148</v>
      </c>
      <c r="K48" s="14">
        <f t="shared" ref="K48:K54" si="17">IF(I48=0,0,J48/I48)</f>
        <v>2.7025957508200884</v>
      </c>
      <c r="L48" s="15">
        <f t="shared" si="2"/>
        <v>8411858.5000000112</v>
      </c>
      <c r="M48" s="15">
        <f t="shared" si="2"/>
        <v>22733853.038599871</v>
      </c>
      <c r="N48" s="22">
        <f t="shared" si="3"/>
        <v>2.7025957508200884</v>
      </c>
      <c r="O48" s="31">
        <f t="shared" si="16"/>
        <v>9025355.5769230835</v>
      </c>
      <c r="P48" s="31">
        <f t="shared" si="16"/>
        <v>23859917.432349868</v>
      </c>
      <c r="Q48" s="32">
        <f t="shared" si="4"/>
        <v>2.6436540066473668</v>
      </c>
      <c r="R48" s="35">
        <f t="shared" si="5"/>
        <v>52.622133321656079</v>
      </c>
    </row>
    <row r="49" spans="1:18">
      <c r="A49" s="21">
        <v>5035415</v>
      </c>
      <c r="B49" s="13">
        <v>42917</v>
      </c>
      <c r="C49" s="16">
        <f t="shared" ref="C49:E54" si="18">L48</f>
        <v>8411858.5000000112</v>
      </c>
      <c r="D49" s="16">
        <f t="shared" si="18"/>
        <v>22733853.038599871</v>
      </c>
      <c r="E49" s="14">
        <f t="shared" si="18"/>
        <v>2.7025957508200884</v>
      </c>
      <c r="F49" s="46">
        <f>SUM(I43:I54)/12</f>
        <v>3342002.0833333335</v>
      </c>
      <c r="G49" s="23">
        <f t="shared" si="13"/>
        <v>9161903.8292086516</v>
      </c>
      <c r="H49" s="22">
        <f>IF(F49=0,0,VLOOKUP(B49,Data!$A$5:$V$197,4,FALSE))</f>
        <v>2.741441686975405</v>
      </c>
      <c r="I49" s="71">
        <f>VLOOKUP(B49,Data!$A$5:$V$197,9,FALSE)</f>
        <v>3528983</v>
      </c>
      <c r="J49" s="23">
        <f t="shared" si="14"/>
        <v>9576392.621011341</v>
      </c>
      <c r="K49" s="14">
        <f t="shared" si="17"/>
        <v>2.7136409047624603</v>
      </c>
      <c r="L49" s="15">
        <f t="shared" si="2"/>
        <v>8224877.5833333451</v>
      </c>
      <c r="M49" s="15">
        <f t="shared" si="2"/>
        <v>22319364.246797182</v>
      </c>
      <c r="N49" s="22">
        <f t="shared" si="3"/>
        <v>2.7136409047624608</v>
      </c>
      <c r="O49" s="31">
        <f t="shared" ref="O49:P54" si="19">AVERAGE(L37:L49)</f>
        <v>8797486.5833333414</v>
      </c>
      <c r="P49" s="31">
        <f t="shared" si="19"/>
        <v>23368766.100130819</v>
      </c>
      <c r="Q49" s="32">
        <f t="shared" si="4"/>
        <v>2.6563002829015354</v>
      </c>
      <c r="R49" s="35">
        <f t="shared" si="5"/>
        <v>51.452435242992635</v>
      </c>
    </row>
    <row r="50" spans="1:18">
      <c r="A50" s="21">
        <v>5035415</v>
      </c>
      <c r="B50" s="13">
        <v>42948</v>
      </c>
      <c r="C50" s="16">
        <f t="shared" si="18"/>
        <v>8224877.5833333451</v>
      </c>
      <c r="D50" s="16">
        <f t="shared" si="18"/>
        <v>22319364.246797182</v>
      </c>
      <c r="E50" s="14">
        <f t="shared" si="18"/>
        <v>2.7136409047624608</v>
      </c>
      <c r="F50" s="46">
        <f>SUM(I43:I54)/12</f>
        <v>3342002.0833333335</v>
      </c>
      <c r="G50" s="23">
        <f t="shared" si="13"/>
        <v>9212698.463145677</v>
      </c>
      <c r="H50" s="22">
        <f>IF(F50=0,0,VLOOKUP(B50,Data!$A$5:$V$197,4,FALSE))</f>
        <v>2.7566405506117682</v>
      </c>
      <c r="I50" s="71">
        <f>VLOOKUP(B50,Data!$A$5:$V$197,9,FALSE)</f>
        <v>3590105</v>
      </c>
      <c r="J50" s="23">
        <f t="shared" si="14"/>
        <v>9786858.6219936125</v>
      </c>
      <c r="K50" s="14">
        <f t="shared" si="17"/>
        <v>2.726064731252599</v>
      </c>
      <c r="L50" s="15">
        <f t="shared" si="2"/>
        <v>7976774.6666666791</v>
      </c>
      <c r="M50" s="15">
        <f t="shared" si="2"/>
        <v>21745204.087949246</v>
      </c>
      <c r="N50" s="22">
        <f t="shared" si="3"/>
        <v>2.7260647312525998</v>
      </c>
      <c r="O50" s="31">
        <f t="shared" si="19"/>
        <v>8599554.6282051373</v>
      </c>
      <c r="P50" s="31">
        <f t="shared" si="19"/>
        <v>22945625.61225725</v>
      </c>
      <c r="Q50" s="32">
        <f t="shared" si="4"/>
        <v>2.668234182384206</v>
      </c>
      <c r="R50" s="35">
        <f t="shared" si="5"/>
        <v>49.90037575954733</v>
      </c>
    </row>
    <row r="51" spans="1:18">
      <c r="A51" s="21">
        <v>5035415</v>
      </c>
      <c r="B51" s="13">
        <v>42979</v>
      </c>
      <c r="C51" s="16">
        <f t="shared" si="18"/>
        <v>7976774.6666666791</v>
      </c>
      <c r="D51" s="16">
        <f t="shared" si="18"/>
        <v>21745204.087949246</v>
      </c>
      <c r="E51" s="14">
        <f t="shared" si="18"/>
        <v>2.7260647312525998</v>
      </c>
      <c r="F51" s="46">
        <f>SUM(I43:I54)/12</f>
        <v>3342002.0833333335</v>
      </c>
      <c r="G51" s="23">
        <f t="shared" si="13"/>
        <v>9192380.6095708683</v>
      </c>
      <c r="H51" s="22">
        <f>IF(F51=0,0,VLOOKUP(B51,Data!$A$5:$V$197,4,FALSE))</f>
        <v>2.7505610051572233</v>
      </c>
      <c r="I51" s="71">
        <f>VLOOKUP(B51,Data!$A$5:$V$197,9,FALSE)</f>
        <v>3227726</v>
      </c>
      <c r="J51" s="23">
        <f t="shared" si="14"/>
        <v>8822335.5501192026</v>
      </c>
      <c r="K51" s="14">
        <f t="shared" si="17"/>
        <v>2.7332975445001226</v>
      </c>
      <c r="L51" s="15">
        <f t="shared" si="2"/>
        <v>8091050.750000013</v>
      </c>
      <c r="M51" s="15">
        <f t="shared" si="2"/>
        <v>22115249.147400912</v>
      </c>
      <c r="N51" s="22">
        <f t="shared" si="3"/>
        <v>2.7332975445001226</v>
      </c>
      <c r="O51" s="31">
        <f t="shared" si="19"/>
        <v>8471152.4038461633</v>
      </c>
      <c r="P51" s="31">
        <f t="shared" si="19"/>
        <v>22694869.276855979</v>
      </c>
      <c r="Q51" s="32">
        <f t="shared" si="4"/>
        <v>2.6790769655556912</v>
      </c>
      <c r="R51" s="35">
        <f t="shared" si="5"/>
        <v>50.615253606415934</v>
      </c>
    </row>
    <row r="52" spans="1:18">
      <c r="A52" s="21">
        <v>5035415</v>
      </c>
      <c r="B52" s="13">
        <v>43009</v>
      </c>
      <c r="C52" s="16">
        <f t="shared" si="18"/>
        <v>8091050.750000013</v>
      </c>
      <c r="D52" s="16">
        <f t="shared" si="18"/>
        <v>22115249.147400912</v>
      </c>
      <c r="E52" s="14">
        <f t="shared" si="18"/>
        <v>2.7332975445001226</v>
      </c>
      <c r="F52" s="46">
        <f>SUM(I43:I54)/12</f>
        <v>3342002.0833333335</v>
      </c>
      <c r="G52" s="23">
        <f t="shared" si="13"/>
        <v>9251384.6107115988</v>
      </c>
      <c r="H52" s="22">
        <f>IF(F52=0,0,VLOOKUP(B52,Data!$A$5:$V$197,4,FALSE))</f>
        <v>2.7682162907224193</v>
      </c>
      <c r="I52" s="71">
        <f>VLOOKUP(B52,Data!$A$5:$V$197,9,FALSE)</f>
        <v>3358713</v>
      </c>
      <c r="J52" s="23">
        <f t="shared" si="14"/>
        <v>9214644.7764551919</v>
      </c>
      <c r="K52" s="14">
        <f t="shared" si="17"/>
        <v>2.743504662784582</v>
      </c>
      <c r="L52" s="15">
        <f t="shared" si="2"/>
        <v>8074339.833333347</v>
      </c>
      <c r="M52" s="15">
        <f t="shared" si="2"/>
        <v>22151988.981657319</v>
      </c>
      <c r="N52" s="22">
        <f t="shared" si="3"/>
        <v>2.7435046627845816</v>
      </c>
      <c r="O52" s="31">
        <f t="shared" si="19"/>
        <v>8368853.2948718062</v>
      </c>
      <c r="P52" s="31">
        <f t="shared" si="19"/>
        <v>22508602.707149826</v>
      </c>
      <c r="Q52" s="32">
        <f t="shared" si="4"/>
        <v>2.6895683212588342</v>
      </c>
      <c r="R52" s="35">
        <f t="shared" si="5"/>
        <v>50.510714985757922</v>
      </c>
    </row>
    <row r="53" spans="1:18">
      <c r="A53" s="21">
        <v>5035415</v>
      </c>
      <c r="B53" s="13">
        <v>43040</v>
      </c>
      <c r="C53" s="16">
        <f t="shared" si="18"/>
        <v>8074339.833333347</v>
      </c>
      <c r="D53" s="16">
        <f t="shared" si="18"/>
        <v>22151988.981657319</v>
      </c>
      <c r="E53" s="14">
        <f t="shared" si="18"/>
        <v>2.7435046627845816</v>
      </c>
      <c r="F53" s="46">
        <f>SUM(I43:I54)/12</f>
        <v>3342002.0833333335</v>
      </c>
      <c r="G53" s="23">
        <f t="shared" si="13"/>
        <v>9261543.5374990031</v>
      </c>
      <c r="H53" s="22">
        <f>IF(F53=0,0,VLOOKUP(B53,Data!$A$5:$V$197,4,FALSE))</f>
        <v>2.7712560634496919</v>
      </c>
      <c r="I53" s="71">
        <f>VLOOKUP(B53,Data!$A$5:$V$197,9,FALSE)</f>
        <v>3467583</v>
      </c>
      <c r="J53" s="23">
        <f t="shared" si="14"/>
        <v>9541500.4323187359</v>
      </c>
      <c r="K53" s="14">
        <f t="shared" si="17"/>
        <v>2.7516285644262117</v>
      </c>
      <c r="L53" s="15">
        <f t="shared" si="2"/>
        <v>7948758.9166666809</v>
      </c>
      <c r="M53" s="15">
        <f t="shared" si="2"/>
        <v>21872032.086837586</v>
      </c>
      <c r="N53" s="22">
        <f t="shared" si="3"/>
        <v>2.7516285644262113</v>
      </c>
      <c r="O53" s="31">
        <f t="shared" si="19"/>
        <v>8290763.5320512941</v>
      </c>
      <c r="P53" s="31">
        <f t="shared" si="19"/>
        <v>22377295.470928412</v>
      </c>
      <c r="Q53" s="32">
        <f t="shared" si="4"/>
        <v>2.699063287044666</v>
      </c>
      <c r="R53" s="35">
        <f t="shared" si="5"/>
        <v>49.725117398793152</v>
      </c>
    </row>
    <row r="54" spans="1:18">
      <c r="A54" s="21">
        <v>5035415</v>
      </c>
      <c r="B54" s="13">
        <v>43070</v>
      </c>
      <c r="C54" s="16">
        <f t="shared" si="18"/>
        <v>7948758.9166666809</v>
      </c>
      <c r="D54" s="16">
        <f t="shared" si="18"/>
        <v>21872032.086837586</v>
      </c>
      <c r="E54" s="14">
        <f t="shared" si="18"/>
        <v>2.7516285644262113</v>
      </c>
      <c r="F54" s="46">
        <f>SUM(I43:I54)/12</f>
        <v>3342002.0833333335</v>
      </c>
      <c r="G54" s="23">
        <f t="shared" si="13"/>
        <v>9271702.4642864093</v>
      </c>
      <c r="H54" s="22">
        <f>IF(F54=0,0,VLOOKUP(B54,Data!$A$5:$V$197,4,FALSE))</f>
        <v>2.774295836176965</v>
      </c>
      <c r="I54" s="71">
        <f>VLOOKUP(B54,Data!$A$5:$V$197,9,FALSE)</f>
        <v>3459324</v>
      </c>
      <c r="J54" s="23">
        <f t="shared" si="14"/>
        <v>9541984.6706818361</v>
      </c>
      <c r="K54" s="14">
        <f t="shared" si="17"/>
        <v>2.7583379500393246</v>
      </c>
      <c r="L54" s="15">
        <f t="shared" si="2"/>
        <v>7831437.0000000149</v>
      </c>
      <c r="M54" s="15">
        <f t="shared" si="2"/>
        <v>21601749.880442157</v>
      </c>
      <c r="N54" s="22">
        <f t="shared" si="3"/>
        <v>2.7583379500393246</v>
      </c>
      <c r="O54" s="31">
        <f t="shared" si="19"/>
        <v>8259822.6538461652</v>
      </c>
      <c r="P54" s="31">
        <f t="shared" si="19"/>
        <v>22363657.731456678</v>
      </c>
      <c r="Q54" s="32">
        <f t="shared" si="4"/>
        <v>2.7075227482085342</v>
      </c>
      <c r="R54" s="35">
        <f t="shared" si="5"/>
        <v>48.991185706957694</v>
      </c>
    </row>
    <row r="55" spans="1:18">
      <c r="A55" s="21">
        <v>5035415</v>
      </c>
      <c r="B55" s="13">
        <v>43101</v>
      </c>
      <c r="C55" s="16">
        <f t="shared" ref="C55:C66" si="20">L54</f>
        <v>7831437.0000000149</v>
      </c>
      <c r="D55" s="16">
        <f t="shared" ref="D55:D66" si="21">M54</f>
        <v>21601749.880442157</v>
      </c>
      <c r="E55" s="14">
        <f t="shared" ref="E55:E66" si="22">N54</f>
        <v>2.7583379500393246</v>
      </c>
      <c r="F55" s="46">
        <f>SUM(I55:I66)/12</f>
        <v>3065848.4166666665</v>
      </c>
      <c r="G55" s="23">
        <f t="shared" ref="G55:G66" si="23">F55*H55</f>
        <v>8637739.5988725405</v>
      </c>
      <c r="H55" s="22">
        <f>IF(F55=0,0,VLOOKUP(B55,Data!$A$5:$V$197,4,FALSE))</f>
        <v>2.8174059591191054</v>
      </c>
      <c r="I55" s="71">
        <f>VLOOKUP(B55,Data!$A$5:$V$197,9,FALSE)</f>
        <v>3198100</v>
      </c>
      <c r="J55" s="23">
        <f t="shared" ref="J55:J66" si="24">IF(C55+G55&gt;0,((D55+G55)/(C55+F55)*I55),0)</f>
        <v>8874587.3496060241</v>
      </c>
      <c r="K55" s="14">
        <f t="shared" ref="K55:K66" si="25">IF(I55=0,0,J55/I55)</f>
        <v>2.7749561769819655</v>
      </c>
      <c r="L55" s="15">
        <f t="shared" ref="L55:L66" si="26">+C55+F55-I55</f>
        <v>7699185.4166666809</v>
      </c>
      <c r="M55" s="15">
        <f t="shared" ref="M55:M66" si="27">+D55+G55-J55</f>
        <v>21364902.129708678</v>
      </c>
      <c r="N55" s="22">
        <f t="shared" ref="N55:N66" si="28">IF(L55=0,0,M55/L55)</f>
        <v>2.7749561769819659</v>
      </c>
      <c r="O55" s="31">
        <f t="shared" ref="O55:O66" si="29">AVERAGE(L43:L55)</f>
        <v>8249649.455128218</v>
      </c>
      <c r="P55" s="31">
        <f t="shared" ref="P55:P66" si="30">AVERAGE(M43:M55)</f>
        <v>22405969.831164159</v>
      </c>
      <c r="Q55" s="32">
        <f t="shared" ref="Q55:Q66" si="31">IF(O55=0,0,P55/O55)</f>
        <v>2.7159905342688186</v>
      </c>
      <c r="R55" s="35">
        <f t="shared" si="5"/>
        <v>48.163858374933881</v>
      </c>
    </row>
    <row r="56" spans="1:18">
      <c r="A56" s="21">
        <v>5035415</v>
      </c>
      <c r="B56" s="13">
        <v>43132</v>
      </c>
      <c r="C56" s="16">
        <f t="shared" si="20"/>
        <v>7699185.4166666809</v>
      </c>
      <c r="D56" s="16">
        <f t="shared" si="21"/>
        <v>21364902.129708678</v>
      </c>
      <c r="E56" s="14">
        <f t="shared" si="22"/>
        <v>2.7749561769819659</v>
      </c>
      <c r="F56" s="46">
        <f>SUM(I55:I66)/12</f>
        <v>3065848.4166666665</v>
      </c>
      <c r="G56" s="23">
        <f t="shared" si="23"/>
        <v>8628420.116469603</v>
      </c>
      <c r="H56" s="22">
        <f>IF(F56=0,0,VLOOKUP(B56,Data!$A$5:$V$197,4,FALSE))</f>
        <v>2.8143661863918323</v>
      </c>
      <c r="I56" s="71">
        <f>VLOOKUP(B56,Data!$A$5:$V$197,9,FALSE)</f>
        <v>866289</v>
      </c>
      <c r="J56" s="23">
        <f t="shared" si="24"/>
        <v>2413637.1085862205</v>
      </c>
      <c r="K56" s="14">
        <f t="shared" si="25"/>
        <v>2.7861800260492982</v>
      </c>
      <c r="L56" s="15">
        <f t="shared" si="26"/>
        <v>9898744.833333347</v>
      </c>
      <c r="M56" s="15">
        <f t="shared" si="27"/>
        <v>27579685.137592059</v>
      </c>
      <c r="N56" s="22">
        <f t="shared" si="28"/>
        <v>2.7861800260492982</v>
      </c>
      <c r="O56" s="31">
        <f t="shared" si="29"/>
        <v>8387539.4358974481</v>
      </c>
      <c r="P56" s="31">
        <f t="shared" si="30"/>
        <v>22862033.254058931</v>
      </c>
      <c r="Q56" s="32">
        <f t="shared" si="31"/>
        <v>2.7257139508891912</v>
      </c>
      <c r="R56" s="35">
        <f t="shared" si="5"/>
        <v>61.923660548584003</v>
      </c>
    </row>
    <row r="57" spans="1:18">
      <c r="A57" s="21">
        <v>5035415</v>
      </c>
      <c r="B57" s="13">
        <v>43160</v>
      </c>
      <c r="C57" s="16">
        <f t="shared" si="20"/>
        <v>9898744.833333347</v>
      </c>
      <c r="D57" s="16">
        <f t="shared" si="21"/>
        <v>27579685.137592059</v>
      </c>
      <c r="E57" s="14">
        <f t="shared" si="22"/>
        <v>2.7861800260492982</v>
      </c>
      <c r="F57" s="46">
        <f>SUM(I55:I66)/12</f>
        <v>3065848.4166666665</v>
      </c>
      <c r="G57" s="23">
        <f t="shared" si="23"/>
        <v>8619100.6340666674</v>
      </c>
      <c r="H57" s="22">
        <f>IF(F57=0,0,VLOOKUP(B57,Data!$A$5:$V$197,4,FALSE))</f>
        <v>2.8113264136645597</v>
      </c>
      <c r="I57" s="71">
        <f>VLOOKUP(B57,Data!$A$5:$V$197,9,FALSE)</f>
        <v>1568565</v>
      </c>
      <c r="J57" s="23">
        <f t="shared" si="24"/>
        <v>4379632.072446377</v>
      </c>
      <c r="K57" s="14">
        <f t="shared" si="25"/>
        <v>2.7921266077251352</v>
      </c>
      <c r="L57" s="15">
        <f t="shared" si="26"/>
        <v>11396028.250000013</v>
      </c>
      <c r="M57" s="15">
        <f t="shared" si="27"/>
        <v>31819153.69921235</v>
      </c>
      <c r="N57" s="22">
        <f t="shared" si="28"/>
        <v>2.7921266077251357</v>
      </c>
      <c r="O57" s="31">
        <f t="shared" si="29"/>
        <v>8592632.4423077069</v>
      </c>
      <c r="P57" s="31">
        <f t="shared" si="30"/>
        <v>23511275.190896209</v>
      </c>
      <c r="Q57" s="32">
        <f t="shared" si="31"/>
        <v>2.7362133023557833</v>
      </c>
      <c r="R57" s="35">
        <f t="shared" si="5"/>
        <v>71.290228896368021</v>
      </c>
    </row>
    <row r="58" spans="1:18">
      <c r="A58" s="21">
        <v>5035415</v>
      </c>
      <c r="B58" s="13">
        <v>43191</v>
      </c>
      <c r="C58" s="16">
        <f t="shared" si="20"/>
        <v>11396028.250000013</v>
      </c>
      <c r="D58" s="16">
        <f t="shared" si="21"/>
        <v>31819153.69921235</v>
      </c>
      <c r="E58" s="14">
        <f t="shared" si="22"/>
        <v>2.7921266077251357</v>
      </c>
      <c r="F58" s="46">
        <f>SUM(I55:I66)/12</f>
        <v>3065848.4166666665</v>
      </c>
      <c r="G58" s="23">
        <f t="shared" si="23"/>
        <v>8608431.4284246434</v>
      </c>
      <c r="H58" s="22">
        <f>IF(F58=0,0,VLOOKUP(B58,Data!$A$5:$V$197,4,FALSE))</f>
        <v>2.8078463963277516</v>
      </c>
      <c r="I58" s="71">
        <f>VLOOKUP(B58,Data!$A$5:$V$197,9,FALSE)</f>
        <v>3347767</v>
      </c>
      <c r="J58" s="23">
        <f t="shared" si="24"/>
        <v>9358545.8166674394</v>
      </c>
      <c r="K58" s="14">
        <f t="shared" si="25"/>
        <v>2.7954591274325362</v>
      </c>
      <c r="L58" s="15">
        <f t="shared" si="26"/>
        <v>11114109.666666679</v>
      </c>
      <c r="M58" s="15">
        <f t="shared" si="27"/>
        <v>31069039.310969554</v>
      </c>
      <c r="N58" s="22">
        <f t="shared" si="28"/>
        <v>2.7954591274325367</v>
      </c>
      <c r="O58" s="31">
        <f t="shared" si="29"/>
        <v>8769863.4743589871</v>
      </c>
      <c r="P58" s="31">
        <f t="shared" si="30"/>
        <v>24083591.326199517</v>
      </c>
      <c r="Q58" s="32">
        <f t="shared" si="31"/>
        <v>2.7461763112520803</v>
      </c>
      <c r="R58" s="35">
        <f t="shared" si="5"/>
        <v>69.526628465141187</v>
      </c>
    </row>
    <row r="59" spans="1:18">
      <c r="A59" s="21">
        <v>5035415</v>
      </c>
      <c r="B59" s="13">
        <v>43221</v>
      </c>
      <c r="C59" s="16">
        <f t="shared" si="20"/>
        <v>11114109.666666679</v>
      </c>
      <c r="D59" s="16">
        <f t="shared" si="21"/>
        <v>31069039.310969554</v>
      </c>
      <c r="E59" s="14">
        <f t="shared" si="22"/>
        <v>2.7954591274325367</v>
      </c>
      <c r="F59" s="46">
        <f>SUM(I55:I66)/12</f>
        <v>3065848.4166666665</v>
      </c>
      <c r="G59" s="23">
        <f t="shared" si="23"/>
        <v>8608431.4284246434</v>
      </c>
      <c r="H59" s="22">
        <f>IF(F59=0,0,VLOOKUP(B59,Data!$A$5:$V$197,4,FALSE))</f>
        <v>2.8078463963277516</v>
      </c>
      <c r="I59" s="71">
        <f>VLOOKUP(B59,Data!$A$5:$V$197,9,FALSE)</f>
        <v>3444927</v>
      </c>
      <c r="J59" s="23">
        <f t="shared" si="24"/>
        <v>9639379.0051118154</v>
      </c>
      <c r="K59" s="14">
        <f t="shared" si="25"/>
        <v>2.7981373785603632</v>
      </c>
      <c r="L59" s="15">
        <f t="shared" si="26"/>
        <v>10735031.083333345</v>
      </c>
      <c r="M59" s="15">
        <f t="shared" si="27"/>
        <v>30038091.734282382</v>
      </c>
      <c r="N59" s="22">
        <f t="shared" si="28"/>
        <v>2.7981373785603632</v>
      </c>
      <c r="O59" s="31">
        <f t="shared" si="29"/>
        <v>8926283.6089743711</v>
      </c>
      <c r="P59" s="31">
        <f t="shared" si="30"/>
        <v>24592982.047894496</v>
      </c>
      <c r="Q59" s="32">
        <f t="shared" si="31"/>
        <v>2.7551199497144623</v>
      </c>
      <c r="R59" s="35">
        <f t="shared" si="5"/>
        <v>67.155223412197032</v>
      </c>
    </row>
    <row r="60" spans="1:18">
      <c r="A60" s="21">
        <v>5035415</v>
      </c>
      <c r="B60" s="13">
        <v>43252</v>
      </c>
      <c r="C60" s="16">
        <f t="shared" si="20"/>
        <v>10735031.083333345</v>
      </c>
      <c r="D60" s="16">
        <f t="shared" si="21"/>
        <v>30038091.734282382</v>
      </c>
      <c r="E60" s="14">
        <f t="shared" si="22"/>
        <v>2.7981373785603632</v>
      </c>
      <c r="F60" s="46">
        <f>SUM(I55:I66)/12</f>
        <v>3065848.4166666665</v>
      </c>
      <c r="G60" s="23">
        <f t="shared" si="23"/>
        <v>8627070.3932305146</v>
      </c>
      <c r="H60" s="22">
        <f>IF(F60=0,0,VLOOKUP(B60,Data!$A$5:$V$197,4,FALSE))</f>
        <v>2.8139259417822973</v>
      </c>
      <c r="I60" s="71">
        <f>VLOOKUP(B60,Data!$A$5:$V$197,9,FALSE)</f>
        <v>3380944</v>
      </c>
      <c r="J60" s="23">
        <f t="shared" si="24"/>
        <v>9472204.1377175897</v>
      </c>
      <c r="K60" s="14">
        <f t="shared" si="25"/>
        <v>2.8016447884725655</v>
      </c>
      <c r="L60" s="15">
        <f t="shared" si="26"/>
        <v>10419935.500000011</v>
      </c>
      <c r="M60" s="15">
        <f t="shared" si="27"/>
        <v>29192957.989795305</v>
      </c>
      <c r="N60" s="22">
        <f t="shared" si="28"/>
        <v>2.801644788472565</v>
      </c>
      <c r="O60" s="31">
        <f t="shared" si="29"/>
        <v>9063240.9230769351</v>
      </c>
      <c r="P60" s="31">
        <f t="shared" si="30"/>
        <v>25046405.497788049</v>
      </c>
      <c r="Q60" s="32">
        <f t="shared" si="31"/>
        <v>2.7635153595017634</v>
      </c>
      <c r="R60" s="35">
        <f t="shared" si="5"/>
        <v>65.184077345577904</v>
      </c>
    </row>
    <row r="61" spans="1:18">
      <c r="A61" s="21">
        <v>5035415</v>
      </c>
      <c r="B61" s="13">
        <v>43282</v>
      </c>
      <c r="C61" s="16">
        <f t="shared" si="20"/>
        <v>10419935.500000011</v>
      </c>
      <c r="D61" s="16">
        <f t="shared" si="21"/>
        <v>29192957.989795305</v>
      </c>
      <c r="E61" s="14">
        <f t="shared" si="22"/>
        <v>2.801644788472565</v>
      </c>
      <c r="F61" s="46">
        <f>SUM(I55:I66)/12</f>
        <v>3065848.4166666665</v>
      </c>
      <c r="G61" s="23">
        <f t="shared" si="23"/>
        <v>8882869.689401567</v>
      </c>
      <c r="H61" s="22">
        <f>IF(F61=0,0,VLOOKUP(B61,Data!$A$5:$V$197,4,FALSE))</f>
        <v>2.8973610179525568</v>
      </c>
      <c r="I61" s="71">
        <f>VLOOKUP(B61,Data!$A$5:$V$197,9,FALSE)</f>
        <v>3441608</v>
      </c>
      <c r="J61" s="23">
        <f t="shared" si="24"/>
        <v>9717052.7095124517</v>
      </c>
      <c r="K61" s="14">
        <f t="shared" si="25"/>
        <v>2.8234048472436291</v>
      </c>
      <c r="L61" s="15">
        <f t="shared" si="26"/>
        <v>10044175.916666677</v>
      </c>
      <c r="M61" s="15">
        <f t="shared" si="27"/>
        <v>28358774.969684422</v>
      </c>
      <c r="N61" s="22">
        <f t="shared" si="28"/>
        <v>2.8234048472436295</v>
      </c>
      <c r="O61" s="31">
        <f t="shared" si="29"/>
        <v>9188803.801282065</v>
      </c>
      <c r="P61" s="31">
        <f t="shared" si="30"/>
        <v>25479091.800179169</v>
      </c>
      <c r="Q61" s="32">
        <f t="shared" si="31"/>
        <v>2.772840986834892</v>
      </c>
      <c r="R61" s="35">
        <f t="shared" si="5"/>
        <v>62.833434988593822</v>
      </c>
    </row>
    <row r="62" spans="1:18">
      <c r="A62" s="21">
        <v>5035415</v>
      </c>
      <c r="B62" s="13">
        <v>43313</v>
      </c>
      <c r="C62" s="16">
        <f t="shared" si="20"/>
        <v>10044175.916666677</v>
      </c>
      <c r="D62" s="16">
        <f t="shared" si="21"/>
        <v>28358774.969684422</v>
      </c>
      <c r="E62" s="14">
        <f t="shared" si="22"/>
        <v>2.8234048472436295</v>
      </c>
      <c r="F62" s="46">
        <f>SUM(I55:I66)/12</f>
        <v>3065848.4166666665</v>
      </c>
      <c r="G62" s="23">
        <f t="shared" si="23"/>
        <v>8903372.5506880265</v>
      </c>
      <c r="H62" s="22">
        <f>IF(F62=0,0,VLOOKUP(B62,Data!$A$5:$V$197,4,FALSE))</f>
        <v>2.9040485179525568</v>
      </c>
      <c r="I62" s="71">
        <f>VLOOKUP(B62,Data!$A$5:$V$197,9,FALSE)</f>
        <v>3533020</v>
      </c>
      <c r="J62" s="23">
        <f t="shared" si="24"/>
        <v>10041774.834673675</v>
      </c>
      <c r="K62" s="14">
        <f t="shared" si="25"/>
        <v>2.8422637954706382</v>
      </c>
      <c r="L62" s="15">
        <f t="shared" si="26"/>
        <v>9577004.3333333433</v>
      </c>
      <c r="M62" s="15">
        <f t="shared" si="27"/>
        <v>27220372.685698777</v>
      </c>
      <c r="N62" s="22">
        <f t="shared" si="28"/>
        <v>2.8422637954706382</v>
      </c>
      <c r="O62" s="31">
        <f t="shared" si="29"/>
        <v>9292813.551282065</v>
      </c>
      <c r="P62" s="31">
        <f t="shared" si="30"/>
        <v>25856092.449325442</v>
      </c>
      <c r="Q62" s="32">
        <f t="shared" si="31"/>
        <v>2.782375037079944</v>
      </c>
      <c r="R62" s="35">
        <f t="shared" si="5"/>
        <v>59.910945821395416</v>
      </c>
    </row>
    <row r="63" spans="1:18">
      <c r="A63" s="21">
        <v>5035415</v>
      </c>
      <c r="B63" s="13">
        <v>43344</v>
      </c>
      <c r="C63" s="16">
        <f t="shared" si="20"/>
        <v>9577004.3333333433</v>
      </c>
      <c r="D63" s="16">
        <f t="shared" si="21"/>
        <v>27220372.685698777</v>
      </c>
      <c r="E63" s="14">
        <f t="shared" si="22"/>
        <v>2.8422637954706382</v>
      </c>
      <c r="F63" s="46">
        <f>SUM(I55:I66)/12</f>
        <v>3065848.4166666665</v>
      </c>
      <c r="G63" s="23">
        <f t="shared" si="23"/>
        <v>8894053.068285089</v>
      </c>
      <c r="H63" s="22">
        <f>IF(F63=0,0,VLOOKUP(B63,Data!$A$5:$V$197,4,FALSE))</f>
        <v>2.9010087452252837</v>
      </c>
      <c r="I63" s="71">
        <f>VLOOKUP(B63,Data!$A$5:$V$197,9,FALSE)</f>
        <v>3307326</v>
      </c>
      <c r="J63" s="23">
        <f t="shared" si="24"/>
        <v>9447407.292726744</v>
      </c>
      <c r="K63" s="14">
        <f t="shared" si="25"/>
        <v>2.8565092442434596</v>
      </c>
      <c r="L63" s="15">
        <f t="shared" si="26"/>
        <v>9335526.7500000093</v>
      </c>
      <c r="M63" s="15">
        <f t="shared" si="27"/>
        <v>26667018.461257126</v>
      </c>
      <c r="N63" s="22">
        <f t="shared" si="28"/>
        <v>2.8565092442434596</v>
      </c>
      <c r="O63" s="31">
        <f t="shared" si="29"/>
        <v>9397332.9423077051</v>
      </c>
      <c r="P63" s="31">
        <f t="shared" si="30"/>
        <v>26234693.554964505</v>
      </c>
      <c r="Q63" s="32">
        <f t="shared" si="31"/>
        <v>2.7917169388405267</v>
      </c>
      <c r="R63" s="35">
        <f t="shared" si="5"/>
        <v>58.400332490898002</v>
      </c>
    </row>
    <row r="64" spans="1:18">
      <c r="A64" s="21">
        <v>5035415</v>
      </c>
      <c r="B64" s="13">
        <v>43374</v>
      </c>
      <c r="C64" s="16">
        <f t="shared" si="20"/>
        <v>9335526.7500000093</v>
      </c>
      <c r="D64" s="16">
        <f t="shared" si="21"/>
        <v>26667018.461257126</v>
      </c>
      <c r="E64" s="14">
        <f t="shared" si="22"/>
        <v>2.8565092442434596</v>
      </c>
      <c r="F64" s="46">
        <f>SUM(I55:I66)/12</f>
        <v>3065848.4166666665</v>
      </c>
      <c r="G64" s="23">
        <f t="shared" si="23"/>
        <v>8866702.633142801</v>
      </c>
      <c r="H64" s="22">
        <f>IF(F64=0,0,VLOOKUP(B64,Data!$A$5:$V$197,4,FALSE))</f>
        <v>2.8920877447630282</v>
      </c>
      <c r="I64" s="71">
        <f>VLOOKUP(B64,Data!$A$5:$V$197,9,FALSE)</f>
        <v>3472369</v>
      </c>
      <c r="J64" s="23">
        <f t="shared" si="24"/>
        <v>9949395.9278392643</v>
      </c>
      <c r="K64" s="14">
        <f t="shared" si="25"/>
        <v>2.8653049050487618</v>
      </c>
      <c r="L64" s="15">
        <f t="shared" si="26"/>
        <v>8929006.1666666754</v>
      </c>
      <c r="M64" s="15">
        <f t="shared" si="27"/>
        <v>25584325.166560665</v>
      </c>
      <c r="N64" s="22">
        <f t="shared" si="28"/>
        <v>2.8653049050487618</v>
      </c>
      <c r="O64" s="31">
        <f t="shared" si="29"/>
        <v>9461791.051282065</v>
      </c>
      <c r="P64" s="31">
        <f t="shared" si="30"/>
        <v>26501545.556438334</v>
      </c>
      <c r="Q64" s="32">
        <f t="shared" si="31"/>
        <v>2.8009015854189041</v>
      </c>
      <c r="R64" s="35">
        <f t="shared" si="5"/>
        <v>55.857258289856212</v>
      </c>
    </row>
    <row r="65" spans="1:18">
      <c r="A65" s="21">
        <v>5035415</v>
      </c>
      <c r="B65" s="13">
        <v>43405</v>
      </c>
      <c r="C65" s="16">
        <f t="shared" si="20"/>
        <v>8929006.1666666754</v>
      </c>
      <c r="D65" s="16">
        <f t="shared" si="21"/>
        <v>25584325.166560665</v>
      </c>
      <c r="E65" s="14">
        <f t="shared" si="22"/>
        <v>2.8653049050487618</v>
      </c>
      <c r="F65" s="46">
        <f>SUM(I55:I66)/12</f>
        <v>3065848.4166666665</v>
      </c>
      <c r="G65" s="23">
        <f t="shared" si="23"/>
        <v>8876022.1155457348</v>
      </c>
      <c r="H65" s="22">
        <f>IF(F65=0,0,VLOOKUP(B65,Data!$A$5:$V$197,4,FALSE))</f>
        <v>2.8951275174903008</v>
      </c>
      <c r="I65" s="71">
        <f>VLOOKUP(B65,Data!$A$5:$V$197,9,FALSE)</f>
        <v>3543948</v>
      </c>
      <c r="J65" s="23">
        <f t="shared" si="24"/>
        <v>10181505.576517627</v>
      </c>
      <c r="K65" s="14">
        <f t="shared" si="25"/>
        <v>2.8729274742512096</v>
      </c>
      <c r="L65" s="15">
        <f t="shared" si="26"/>
        <v>8450906.5833333414</v>
      </c>
      <c r="M65" s="15">
        <f t="shared" si="27"/>
        <v>24278841.705588773</v>
      </c>
      <c r="N65" s="22">
        <f t="shared" si="28"/>
        <v>2.8729274742512092</v>
      </c>
      <c r="O65" s="31">
        <f t="shared" si="29"/>
        <v>9490757.7243589871</v>
      </c>
      <c r="P65" s="31">
        <f t="shared" si="30"/>
        <v>26665149.612125363</v>
      </c>
      <c r="Q65" s="32">
        <f t="shared" si="31"/>
        <v>2.809591224069135</v>
      </c>
      <c r="R65" s="35">
        <f t="shared" si="5"/>
        <v>52.866406741985443</v>
      </c>
    </row>
    <row r="66" spans="1:18">
      <c r="A66" s="21">
        <v>5035415</v>
      </c>
      <c r="B66" s="13">
        <v>43435</v>
      </c>
      <c r="C66" s="16">
        <f t="shared" si="20"/>
        <v>8450906.5833333414</v>
      </c>
      <c r="D66" s="16">
        <f t="shared" si="21"/>
        <v>24278841.705588773</v>
      </c>
      <c r="E66" s="14">
        <f t="shared" si="22"/>
        <v>2.8729274742512092</v>
      </c>
      <c r="F66" s="46">
        <f>SUM(I55:I66)/12</f>
        <v>3065848.4166666665</v>
      </c>
      <c r="G66" s="23">
        <f t="shared" si="23"/>
        <v>8876022.1155457348</v>
      </c>
      <c r="H66" s="22">
        <f>IF(F66=0,0,VLOOKUP(B66,Data!$A$5:$V$197,4,FALSE))</f>
        <v>2.8951275174903008</v>
      </c>
      <c r="I66" s="71">
        <f>VLOOKUP(B66,Data!$A$5:$V$197,9,FALSE)</f>
        <v>3685318</v>
      </c>
      <c r="J66" s="23">
        <f t="shared" si="24"/>
        <v>10609430.905456936</v>
      </c>
      <c r="K66" s="14">
        <f t="shared" si="25"/>
        <v>2.8788372958471795</v>
      </c>
      <c r="L66" s="15">
        <f t="shared" si="26"/>
        <v>7831437.0000000075</v>
      </c>
      <c r="M66" s="15">
        <f t="shared" si="27"/>
        <v>22545432.91567757</v>
      </c>
      <c r="N66" s="22">
        <f t="shared" si="28"/>
        <v>2.8788372958471795</v>
      </c>
      <c r="O66" s="31">
        <f t="shared" si="29"/>
        <v>9481732.9615384731</v>
      </c>
      <c r="P66" s="31">
        <f t="shared" si="30"/>
        <v>26716949.675882287</v>
      </c>
      <c r="Q66" s="32">
        <f t="shared" si="31"/>
        <v>2.8177285507044365</v>
      </c>
      <c r="R66" s="35">
        <f t="shared" si="5"/>
        <v>48.991185706957644</v>
      </c>
    </row>
    <row r="67" spans="1:18">
      <c r="A67" s="47">
        <v>5035415</v>
      </c>
      <c r="B67" s="13">
        <v>43466</v>
      </c>
      <c r="C67" s="16">
        <f t="shared" ref="C67:C90" si="32">L66</f>
        <v>7831437.0000000075</v>
      </c>
      <c r="D67" s="16">
        <f t="shared" ref="D67:D90" si="33">M66</f>
        <v>22545432.91567757</v>
      </c>
      <c r="E67" s="14">
        <f t="shared" ref="E67:E90" si="34">N66</f>
        <v>2.8788372958471795</v>
      </c>
      <c r="F67" s="46">
        <f>SUM(I67:I78)/12</f>
        <v>3245432.25</v>
      </c>
      <c r="G67" s="74">
        <f t="shared" ref="G67:G90" si="35">F67*H67</f>
        <v>9491683.6873795353</v>
      </c>
      <c r="H67" s="22">
        <f>IF(F67=0,0,VLOOKUP(B67,Data!$A$5:$V$197,4,FALSE))</f>
        <v>2.9246285105410954</v>
      </c>
      <c r="I67" s="74">
        <f>VLOOKUP(B67,Data!$A$5:$V$197,9,FALSE)</f>
        <v>2994104</v>
      </c>
      <c r="J67" s="74">
        <f t="shared" ref="J67:J90" si="36">IF(C67+G67&gt;0,((D67+G67)/(C67+F67)*I67),0)</f>
        <v>8659708.5155338105</v>
      </c>
      <c r="K67" s="14">
        <f t="shared" ref="K67:K90" si="37">IF(I67=0,0,J67/I67)</f>
        <v>2.8922537478770978</v>
      </c>
      <c r="L67" s="46">
        <f t="shared" ref="L67:L90" si="38">+C67+F67-I67</f>
        <v>8082765.2500000075</v>
      </c>
      <c r="M67" s="46">
        <f t="shared" ref="M67:M90" si="39">+D67+G67-J67</f>
        <v>23377408.087523296</v>
      </c>
      <c r="N67" s="22">
        <f t="shared" ref="N67:N90" si="40">IF(L67=0,0,M67/L67)</f>
        <v>2.8922537478770987</v>
      </c>
      <c r="O67" s="55">
        <f t="shared" ref="O67:O90" si="41">AVERAGE(L55:L67)</f>
        <v>9501065.9038461633</v>
      </c>
      <c r="P67" s="55">
        <f t="shared" ref="P67:P90" si="42">AVERAGE(M55:M67)</f>
        <v>26853538.768734686</v>
      </c>
      <c r="Q67" s="32">
        <f t="shared" ref="Q67:Q90" si="43">IF(O67=0,0,P67/O67)</f>
        <v>2.8263711714560364</v>
      </c>
      <c r="R67" s="35">
        <f t="shared" ref="R67:R90" si="44">L67/159854</f>
        <v>50.563421935015747</v>
      </c>
    </row>
    <row r="68" spans="1:18">
      <c r="A68" s="47">
        <v>5035415</v>
      </c>
      <c r="B68" s="13">
        <v>43497</v>
      </c>
      <c r="C68" s="16">
        <f t="shared" si="32"/>
        <v>8082765.2500000075</v>
      </c>
      <c r="D68" s="16">
        <f t="shared" si="33"/>
        <v>23377408.087523296</v>
      </c>
      <c r="E68" s="14">
        <f t="shared" si="34"/>
        <v>2.8922537478770987</v>
      </c>
      <c r="F68" s="46">
        <f>SUM(I67:I78)/12</f>
        <v>3245432.25</v>
      </c>
      <c r="G68" s="74">
        <f t="shared" si="35"/>
        <v>9481818.3109377753</v>
      </c>
      <c r="H68" s="22">
        <f>IF(F68=0,0,VLOOKUP(B68,Data!$A$5:$V$197,4,FALSE))</f>
        <v>2.9215887378138228</v>
      </c>
      <c r="I68" s="74">
        <f>VLOOKUP(B68,Data!$A$5:$V$197,9,FALSE)</f>
        <v>2868876</v>
      </c>
      <c r="J68" s="74">
        <f t="shared" si="36"/>
        <v>8321628.0430413885</v>
      </c>
      <c r="K68" s="14">
        <f t="shared" si="37"/>
        <v>2.9006579730324309</v>
      </c>
      <c r="L68" s="46">
        <f t="shared" si="38"/>
        <v>8459321.5000000075</v>
      </c>
      <c r="M68" s="46">
        <f t="shared" si="39"/>
        <v>24537598.355419684</v>
      </c>
      <c r="N68" s="22">
        <f t="shared" si="40"/>
        <v>2.9006579730324309</v>
      </c>
      <c r="O68" s="55">
        <f t="shared" si="41"/>
        <v>9559537.9102564175</v>
      </c>
      <c r="P68" s="55">
        <f t="shared" si="42"/>
        <v>27097592.324558608</v>
      </c>
      <c r="Q68" s="32">
        <f t="shared" si="43"/>
        <v>2.8346131977242992</v>
      </c>
      <c r="R68" s="35">
        <f t="shared" si="44"/>
        <v>52.9190480063058</v>
      </c>
    </row>
    <row r="69" spans="1:18">
      <c r="A69" s="47">
        <v>5035415</v>
      </c>
      <c r="B69" s="13">
        <v>43525</v>
      </c>
      <c r="C69" s="16">
        <f t="shared" si="32"/>
        <v>8459321.5000000075</v>
      </c>
      <c r="D69" s="16">
        <f t="shared" si="33"/>
        <v>24537598.355419684</v>
      </c>
      <c r="E69" s="14">
        <f t="shared" si="34"/>
        <v>2.9006579730324309</v>
      </c>
      <c r="F69" s="46">
        <f>SUM(I67:I78)/12</f>
        <v>3245432.25</v>
      </c>
      <c r="G69" s="74">
        <f t="shared" si="35"/>
        <v>9471952.9344960134</v>
      </c>
      <c r="H69" s="22">
        <f>IF(F69=0,0,VLOOKUP(B69,Data!$A$5:$V$197,4,FALSE))</f>
        <v>2.9185489650865502</v>
      </c>
      <c r="I69" s="74">
        <f>VLOOKUP(B69,Data!$A$5:$V$197,9,FALSE)</f>
        <v>3205787</v>
      </c>
      <c r="J69" s="74">
        <f t="shared" si="36"/>
        <v>9314794.6321420819</v>
      </c>
      <c r="K69" s="14">
        <f t="shared" si="37"/>
        <v>2.9056186927397492</v>
      </c>
      <c r="L69" s="46">
        <f t="shared" si="38"/>
        <v>8498966.7500000075</v>
      </c>
      <c r="M69" s="46">
        <f t="shared" si="39"/>
        <v>24694756.657773614</v>
      </c>
      <c r="N69" s="22">
        <f t="shared" si="40"/>
        <v>2.9056186927397487</v>
      </c>
      <c r="O69" s="55">
        <f t="shared" si="41"/>
        <v>9451862.6730769295</v>
      </c>
      <c r="P69" s="55">
        <f t="shared" si="42"/>
        <v>26875674.749187961</v>
      </c>
      <c r="Q69" s="32">
        <f t="shared" si="43"/>
        <v>2.8434262831327128</v>
      </c>
      <c r="R69" s="35">
        <f t="shared" si="44"/>
        <v>53.167057127128551</v>
      </c>
    </row>
    <row r="70" spans="1:18">
      <c r="A70" s="47">
        <v>5035415</v>
      </c>
      <c r="B70" s="13">
        <v>43556</v>
      </c>
      <c r="C70" s="16">
        <f t="shared" si="32"/>
        <v>8498966.7500000075</v>
      </c>
      <c r="D70" s="16">
        <f t="shared" si="33"/>
        <v>24694756.657773614</v>
      </c>
      <c r="E70" s="14">
        <f t="shared" si="34"/>
        <v>2.9056186927397487</v>
      </c>
      <c r="F70" s="46">
        <f>SUM(I67:I78)/12</f>
        <v>3245432.25</v>
      </c>
      <c r="G70" s="74">
        <f t="shared" si="35"/>
        <v>9461037.8227133621</v>
      </c>
      <c r="H70" s="22">
        <f>IF(F70=0,0,VLOOKUP(B70,Data!$A$5:$V$197,4,FALSE))</f>
        <v>2.9151857422731169</v>
      </c>
      <c r="I70" s="74">
        <f>VLOOKUP(B70,Data!$A$5:$V$197,9,FALSE)</f>
        <v>3464343</v>
      </c>
      <c r="J70" s="74">
        <f t="shared" si="36"/>
        <v>10075218.622759122</v>
      </c>
      <c r="K70" s="14">
        <f t="shared" si="37"/>
        <v>2.9082624390134355</v>
      </c>
      <c r="L70" s="46">
        <f t="shared" si="38"/>
        <v>8280056.0000000075</v>
      </c>
      <c r="M70" s="46">
        <f t="shared" si="39"/>
        <v>24080575.857727852</v>
      </c>
      <c r="N70" s="22">
        <f t="shared" si="40"/>
        <v>2.9082624390134355</v>
      </c>
      <c r="O70" s="55">
        <f t="shared" si="41"/>
        <v>9212172.5000000075</v>
      </c>
      <c r="P70" s="55">
        <f t="shared" si="42"/>
        <v>26280399.53061223</v>
      </c>
      <c r="Q70" s="32">
        <f t="shared" si="43"/>
        <v>2.8527906452698546</v>
      </c>
      <c r="R70" s="35">
        <f t="shared" si="44"/>
        <v>51.79761532398318</v>
      </c>
    </row>
    <row r="71" spans="1:18">
      <c r="A71" s="47">
        <v>5035415</v>
      </c>
      <c r="B71" s="13">
        <v>43586</v>
      </c>
      <c r="C71" s="16">
        <f t="shared" si="32"/>
        <v>8280056.0000000075</v>
      </c>
      <c r="D71" s="16">
        <f t="shared" si="33"/>
        <v>24080575.857727852</v>
      </c>
      <c r="E71" s="14">
        <f t="shared" si="34"/>
        <v>2.9082624390134355</v>
      </c>
      <c r="F71" s="46">
        <f>SUM(I67:I78)/12</f>
        <v>3245432.25</v>
      </c>
      <c r="G71" s="74">
        <f t="shared" si="35"/>
        <v>9461037.8227133621</v>
      </c>
      <c r="H71" s="22">
        <f>IF(F71=0,0,VLOOKUP(B71,Data!$A$5:$V$197,4,FALSE))</f>
        <v>2.9151857422731169</v>
      </c>
      <c r="I71" s="74">
        <f>VLOOKUP(B71,Data!$A$5:$V$197,9,FALSE)</f>
        <v>3500490</v>
      </c>
      <c r="J71" s="74">
        <f t="shared" si="36"/>
        <v>10187167.842737386</v>
      </c>
      <c r="K71" s="14">
        <f t="shared" si="37"/>
        <v>2.9102119539656979</v>
      </c>
      <c r="L71" s="46">
        <f t="shared" si="38"/>
        <v>8024998.2500000075</v>
      </c>
      <c r="M71" s="46">
        <f t="shared" si="39"/>
        <v>23354445.837703831</v>
      </c>
      <c r="N71" s="22">
        <f t="shared" si="40"/>
        <v>2.9102119539656983</v>
      </c>
      <c r="O71" s="55">
        <f t="shared" si="41"/>
        <v>8974548.5448717996</v>
      </c>
      <c r="P71" s="55">
        <f t="shared" si="42"/>
        <v>25686969.263437945</v>
      </c>
      <c r="Q71" s="32">
        <f t="shared" si="43"/>
        <v>2.8622018294297256</v>
      </c>
      <c r="R71" s="35">
        <f t="shared" si="44"/>
        <v>50.202048431693967</v>
      </c>
    </row>
    <row r="72" spans="1:18">
      <c r="A72" s="47">
        <v>5035415</v>
      </c>
      <c r="B72" s="13">
        <v>43617</v>
      </c>
      <c r="C72" s="16">
        <f t="shared" si="32"/>
        <v>8024998.2500000075</v>
      </c>
      <c r="D72" s="16">
        <f t="shared" si="33"/>
        <v>23354445.837703831</v>
      </c>
      <c r="E72" s="14">
        <f t="shared" si="34"/>
        <v>2.9102119539656983</v>
      </c>
      <c r="F72" s="46">
        <f>SUM(I67:I78)/12</f>
        <v>3245432.25</v>
      </c>
      <c r="G72" s="74">
        <f t="shared" si="35"/>
        <v>9480768.5755968858</v>
      </c>
      <c r="H72" s="22">
        <f>IF(F72=0,0,VLOOKUP(B72,Data!$A$5:$V$197,4,FALSE))</f>
        <v>2.9212652877276626</v>
      </c>
      <c r="I72" s="74">
        <f>VLOOKUP(B72,Data!$A$5:$V$197,9,FALSE)</f>
        <v>3351448</v>
      </c>
      <c r="J72" s="74">
        <f t="shared" si="36"/>
        <v>9764091.413813144</v>
      </c>
      <c r="K72" s="14">
        <f t="shared" si="37"/>
        <v>2.9133948710566728</v>
      </c>
      <c r="L72" s="46">
        <f t="shared" si="38"/>
        <v>7918982.5000000075</v>
      </c>
      <c r="M72" s="46">
        <f t="shared" si="39"/>
        <v>23071122.999487571</v>
      </c>
      <c r="N72" s="22">
        <f t="shared" si="40"/>
        <v>2.9133948710566728</v>
      </c>
      <c r="O72" s="55">
        <f t="shared" si="41"/>
        <v>8757929.4230769295</v>
      </c>
      <c r="P72" s="55">
        <f t="shared" si="42"/>
        <v>25151048.591530655</v>
      </c>
      <c r="Q72" s="32">
        <f t="shared" si="43"/>
        <v>2.871803068572151</v>
      </c>
      <c r="R72" s="35">
        <f t="shared" si="44"/>
        <v>49.538844820899115</v>
      </c>
    </row>
    <row r="73" spans="1:18">
      <c r="A73" s="47">
        <v>5035415</v>
      </c>
      <c r="B73" s="13">
        <v>43647</v>
      </c>
      <c r="C73" s="16">
        <f t="shared" si="32"/>
        <v>7918982.5000000075</v>
      </c>
      <c r="D73" s="16">
        <f t="shared" si="33"/>
        <v>23071122.999487571</v>
      </c>
      <c r="E73" s="14">
        <f t="shared" si="34"/>
        <v>2.9133948710566728</v>
      </c>
      <c r="F73" s="46">
        <f>SUM(I67:I78)/12</f>
        <v>3245432.25</v>
      </c>
      <c r="G73" s="74">
        <f t="shared" si="35"/>
        <v>9665315.3853015453</v>
      </c>
      <c r="H73" s="22">
        <f>IF(F73=0,0,VLOOKUP(B73,Data!$A$5:$V$197,4,FALSE))</f>
        <v>2.9781288410200353</v>
      </c>
      <c r="I73" s="74">
        <f>VLOOKUP(B73,Data!$A$5:$V$197,9,FALSE)</f>
        <v>3416800</v>
      </c>
      <c r="J73" s="74">
        <f t="shared" si="36"/>
        <v>10018784.251377564</v>
      </c>
      <c r="K73" s="14">
        <f t="shared" si="37"/>
        <v>2.932212670152647</v>
      </c>
      <c r="L73" s="46">
        <f t="shared" si="38"/>
        <v>7747614.7500000075</v>
      </c>
      <c r="M73" s="46">
        <f t="shared" si="39"/>
        <v>22717654.133411553</v>
      </c>
      <c r="N73" s="22">
        <f t="shared" si="40"/>
        <v>2.932212670152647</v>
      </c>
      <c r="O73" s="55">
        <f t="shared" si="41"/>
        <v>8552366.2884615436</v>
      </c>
      <c r="P73" s="55">
        <f t="shared" si="42"/>
        <v>24652948.294885751</v>
      </c>
      <c r="Q73" s="32">
        <f t="shared" si="43"/>
        <v>2.8825879836491999</v>
      </c>
      <c r="R73" s="35">
        <f t="shared" si="44"/>
        <v>48.466818159070201</v>
      </c>
    </row>
    <row r="74" spans="1:18">
      <c r="A74" s="47">
        <v>5035415</v>
      </c>
      <c r="B74" s="13">
        <v>43678</v>
      </c>
      <c r="C74" s="16">
        <f t="shared" si="32"/>
        <v>7747614.7500000075</v>
      </c>
      <c r="D74" s="16">
        <f t="shared" si="33"/>
        <v>22717654.133411553</v>
      </c>
      <c r="E74" s="14">
        <f t="shared" si="34"/>
        <v>2.932212670152647</v>
      </c>
      <c r="F74" s="46">
        <f>SUM(I67:I78)/12</f>
        <v>3245432.25</v>
      </c>
      <c r="G74" s="74">
        <f t="shared" si="35"/>
        <v>9687019.2134734206</v>
      </c>
      <c r="H74" s="22">
        <f>IF(F74=0,0,VLOOKUP(B74,Data!$A$5:$V$197,4,FALSE))</f>
        <v>2.9848163410200352</v>
      </c>
      <c r="I74" s="74">
        <f>VLOOKUP(B74,Data!$A$5:$V$197,9,FALSE)</f>
        <v>3380666</v>
      </c>
      <c r="J74" s="74">
        <f t="shared" si="36"/>
        <v>9965333.3079463914</v>
      </c>
      <c r="K74" s="14">
        <f t="shared" si="37"/>
        <v>2.9477426364942265</v>
      </c>
      <c r="L74" s="46">
        <f t="shared" si="38"/>
        <v>7612381.0000000075</v>
      </c>
      <c r="M74" s="46">
        <f t="shared" si="39"/>
        <v>22439340.038938582</v>
      </c>
      <c r="N74" s="22">
        <f t="shared" si="40"/>
        <v>2.947742636494227</v>
      </c>
      <c r="O74" s="55">
        <f t="shared" si="41"/>
        <v>8365305.1410256466</v>
      </c>
      <c r="P74" s="55">
        <f t="shared" si="42"/>
        <v>24197607.146366835</v>
      </c>
      <c r="Q74" s="32">
        <f t="shared" si="43"/>
        <v>2.8926150018957988</v>
      </c>
      <c r="R74" s="35">
        <f t="shared" si="44"/>
        <v>47.620835262176783</v>
      </c>
    </row>
    <row r="75" spans="1:18">
      <c r="A75" s="47">
        <v>5035415</v>
      </c>
      <c r="B75" s="13">
        <v>43709</v>
      </c>
      <c r="C75" s="16">
        <f t="shared" si="32"/>
        <v>7612381.0000000075</v>
      </c>
      <c r="D75" s="16">
        <f t="shared" si="33"/>
        <v>22439340.038938582</v>
      </c>
      <c r="E75" s="14">
        <f t="shared" si="34"/>
        <v>2.947742636494227</v>
      </c>
      <c r="F75" s="46">
        <f>SUM(I67:I78)/12</f>
        <v>3245432.25</v>
      </c>
      <c r="G75" s="74">
        <f t="shared" si="35"/>
        <v>9677153.8370316569</v>
      </c>
      <c r="H75" s="22">
        <f>IF(F75=0,0,VLOOKUP(B75,Data!$A$5:$V$197,4,FALSE))</f>
        <v>2.9817765682927617</v>
      </c>
      <c r="I75" s="74">
        <f>VLOOKUP(B75,Data!$A$5:$V$197,9,FALSE)</f>
        <v>3150489</v>
      </c>
      <c r="J75" s="74">
        <f t="shared" si="36"/>
        <v>9318880.1782726869</v>
      </c>
      <c r="K75" s="14">
        <f t="shared" si="37"/>
        <v>2.9579154786043333</v>
      </c>
      <c r="L75" s="46">
        <f t="shared" si="38"/>
        <v>7707324.2500000075</v>
      </c>
      <c r="M75" s="46">
        <f t="shared" si="39"/>
        <v>22797613.69769755</v>
      </c>
      <c r="N75" s="22">
        <f t="shared" si="40"/>
        <v>2.9579154786043325</v>
      </c>
      <c r="O75" s="55">
        <f t="shared" si="41"/>
        <v>8221483.5961538507</v>
      </c>
      <c r="P75" s="55">
        <f t="shared" si="42"/>
        <v>23857394.916520588</v>
      </c>
      <c r="Q75" s="32">
        <f t="shared" si="43"/>
        <v>2.901835737734912</v>
      </c>
      <c r="R75" s="35">
        <f t="shared" si="44"/>
        <v>48.214772542445026</v>
      </c>
    </row>
    <row r="76" spans="1:18">
      <c r="A76" s="47">
        <v>5035415</v>
      </c>
      <c r="B76" s="13">
        <v>43739</v>
      </c>
      <c r="C76" s="16">
        <f t="shared" si="32"/>
        <v>7707324.2500000075</v>
      </c>
      <c r="D76" s="16">
        <f t="shared" si="33"/>
        <v>22797613.69769755</v>
      </c>
      <c r="E76" s="14">
        <f t="shared" si="34"/>
        <v>2.9579154786043325</v>
      </c>
      <c r="F76" s="46">
        <f>SUM(I67:I78)/12</f>
        <v>3245432.25</v>
      </c>
      <c r="G76" s="74">
        <f t="shared" si="35"/>
        <v>9649145.9454453625</v>
      </c>
      <c r="H76" s="22">
        <f>IF(F76=0,0,VLOOKUP(B76,Data!$A$5:$V$197,4,FALSE))</f>
        <v>2.9731466264456334</v>
      </c>
      <c r="I76" s="74">
        <f>VLOOKUP(B76,Data!$A$5:$V$197,9,FALSE)</f>
        <v>3299495</v>
      </c>
      <c r="J76" s="74">
        <f t="shared" si="36"/>
        <v>9774518.5158413555</v>
      </c>
      <c r="K76" s="14">
        <f t="shared" si="37"/>
        <v>2.9624286491846044</v>
      </c>
      <c r="L76" s="46">
        <f t="shared" si="38"/>
        <v>7653261.5000000075</v>
      </c>
      <c r="M76" s="46">
        <f t="shared" si="39"/>
        <v>22672241.127301559</v>
      </c>
      <c r="N76" s="22">
        <f t="shared" si="40"/>
        <v>2.9624286491846039</v>
      </c>
      <c r="O76" s="55">
        <f t="shared" si="41"/>
        <v>8092078.5769230817</v>
      </c>
      <c r="P76" s="55">
        <f t="shared" si="42"/>
        <v>23550104.352370162</v>
      </c>
      <c r="Q76" s="32">
        <f t="shared" si="43"/>
        <v>2.9102663955253898</v>
      </c>
      <c r="R76" s="35">
        <f t="shared" si="44"/>
        <v>47.87657174671893</v>
      </c>
    </row>
    <row r="77" spans="1:18">
      <c r="A77" s="47">
        <v>5035415</v>
      </c>
      <c r="B77" s="13">
        <v>43770</v>
      </c>
      <c r="C77" s="16">
        <f t="shared" si="32"/>
        <v>7653261.5000000075</v>
      </c>
      <c r="D77" s="16">
        <f t="shared" si="33"/>
        <v>22672241.127301559</v>
      </c>
      <c r="E77" s="14">
        <f t="shared" si="34"/>
        <v>2.9624286491846039</v>
      </c>
      <c r="F77" s="46">
        <f>SUM(I67:I78)/12</f>
        <v>3245432.25</v>
      </c>
      <c r="G77" s="74">
        <f t="shared" si="35"/>
        <v>9659011.3218871225</v>
      </c>
      <c r="H77" s="22">
        <f>IF(F77=0,0,VLOOKUP(B77,Data!$A$5:$V$197,4,FALSE))</f>
        <v>2.9761863991729061</v>
      </c>
      <c r="I77" s="74">
        <f>VLOOKUP(B77,Data!$A$5:$V$197,9,FALSE)</f>
        <v>3134515</v>
      </c>
      <c r="J77" s="74">
        <f t="shared" si="36"/>
        <v>9298618.5404804666</v>
      </c>
      <c r="K77" s="14">
        <f t="shared" si="37"/>
        <v>2.9665254562445758</v>
      </c>
      <c r="L77" s="46">
        <f t="shared" si="38"/>
        <v>7764178.7500000075</v>
      </c>
      <c r="M77" s="46">
        <f t="shared" si="39"/>
        <v>23032633.908708215</v>
      </c>
      <c r="N77" s="22">
        <f t="shared" si="40"/>
        <v>2.9665254562445762</v>
      </c>
      <c r="O77" s="55">
        <f t="shared" si="41"/>
        <v>8002476.4679487236</v>
      </c>
      <c r="P77" s="55">
        <f t="shared" si="42"/>
        <v>23353820.409458436</v>
      </c>
      <c r="Q77" s="32">
        <f t="shared" si="43"/>
        <v>2.9183241591517888</v>
      </c>
      <c r="R77" s="35">
        <f t="shared" si="44"/>
        <v>48.570437711912163</v>
      </c>
    </row>
    <row r="78" spans="1:18">
      <c r="A78" s="47">
        <v>5035415</v>
      </c>
      <c r="B78" s="13">
        <v>43800</v>
      </c>
      <c r="C78" s="16">
        <f t="shared" si="32"/>
        <v>7764178.7500000075</v>
      </c>
      <c r="D78" s="16">
        <f t="shared" si="33"/>
        <v>23032633.908708215</v>
      </c>
      <c r="E78" s="14">
        <f t="shared" si="34"/>
        <v>2.9665254562445762</v>
      </c>
      <c r="F78" s="46">
        <f>SUM(I67:I78)/12</f>
        <v>3245432.25</v>
      </c>
      <c r="G78" s="74">
        <f t="shared" si="35"/>
        <v>9659011.3218871225</v>
      </c>
      <c r="H78" s="22">
        <f>IF(F78=0,0,VLOOKUP(B78,Data!$A$5:$V$197,4,FALSE))</f>
        <v>2.9761863991729061</v>
      </c>
      <c r="I78" s="74">
        <f>VLOOKUP(B78,Data!$A$5:$V$197,9,FALSE)</f>
        <v>3178174</v>
      </c>
      <c r="J78" s="74">
        <f t="shared" si="36"/>
        <v>9437185.1002821121</v>
      </c>
      <c r="K78" s="14">
        <f t="shared" si="37"/>
        <v>2.9693733257782968</v>
      </c>
      <c r="L78" s="46">
        <f t="shared" si="38"/>
        <v>7831437.0000000075</v>
      </c>
      <c r="M78" s="46">
        <f t="shared" si="39"/>
        <v>23254460.130313225</v>
      </c>
      <c r="N78" s="22">
        <f t="shared" si="40"/>
        <v>2.9693733257782964</v>
      </c>
      <c r="O78" s="55">
        <f t="shared" si="41"/>
        <v>7954824.9615384657</v>
      </c>
      <c r="P78" s="55">
        <f t="shared" si="42"/>
        <v>23275021.826744933</v>
      </c>
      <c r="Q78" s="32">
        <f t="shared" si="43"/>
        <v>2.9258999335974747</v>
      </c>
      <c r="R78" s="35">
        <f t="shared" si="44"/>
        <v>48.991185706957644</v>
      </c>
    </row>
    <row r="79" spans="1:18">
      <c r="A79" s="47">
        <v>5035415</v>
      </c>
      <c r="B79" s="13">
        <v>43831</v>
      </c>
      <c r="C79" s="16">
        <f t="shared" si="32"/>
        <v>7831437.0000000075</v>
      </c>
      <c r="D79" s="16">
        <f t="shared" si="33"/>
        <v>23254460.130313225</v>
      </c>
      <c r="E79" s="14">
        <f t="shared" si="34"/>
        <v>2.9693733257782964</v>
      </c>
      <c r="F79" s="46">
        <f>SUM(I79:I90)/12</f>
        <v>2895302.9166666665</v>
      </c>
      <c r="G79" s="74">
        <f t="shared" si="35"/>
        <v>8695663.8525212798</v>
      </c>
      <c r="H79" s="22">
        <f>IF(F79=0,0,VLOOKUP(B79,Data!$A$5:$V$197,4,FALSE))</f>
        <v>3.0033692856333358</v>
      </c>
      <c r="I79" s="74">
        <f>VLOOKUP(B79,Data!$A$5:$V$197,9,FALSE)</f>
        <v>3210475</v>
      </c>
      <c r="J79" s="74">
        <f t="shared" si="36"/>
        <v>9562558.1575269271</v>
      </c>
      <c r="K79" s="14">
        <f t="shared" si="37"/>
        <v>2.9785493291575009</v>
      </c>
      <c r="L79" s="46">
        <f t="shared" si="38"/>
        <v>7516264.9166666735</v>
      </c>
      <c r="M79" s="46">
        <f t="shared" si="39"/>
        <v>22387565.825307578</v>
      </c>
      <c r="N79" s="22">
        <f t="shared" si="40"/>
        <v>2.9785493291575005</v>
      </c>
      <c r="O79" s="55">
        <f t="shared" si="41"/>
        <v>7930580.9551282097</v>
      </c>
      <c r="P79" s="55">
        <f t="shared" si="42"/>
        <v>23262878.204408772</v>
      </c>
      <c r="Q79" s="32">
        <f t="shared" si="43"/>
        <v>2.9333132510760294</v>
      </c>
      <c r="R79" s="35">
        <f t="shared" si="44"/>
        <v>47.01956107865098</v>
      </c>
    </row>
    <row r="80" spans="1:18">
      <c r="A80" s="47">
        <v>5035415</v>
      </c>
      <c r="B80" s="13">
        <v>43862</v>
      </c>
      <c r="C80" s="16">
        <f t="shared" si="32"/>
        <v>7516264.9166666735</v>
      </c>
      <c r="D80" s="16">
        <f t="shared" si="33"/>
        <v>22387565.825307578</v>
      </c>
      <c r="E80" s="14">
        <f t="shared" si="34"/>
        <v>2.9785493291575005</v>
      </c>
      <c r="F80" s="46">
        <f>SUM(I79:I90)/12</f>
        <v>2895302.9166666665</v>
      </c>
      <c r="G80" s="74">
        <f t="shared" si="35"/>
        <v>8686862.7896780036</v>
      </c>
      <c r="H80" s="22">
        <f>IF(F80=0,0,VLOOKUP(B80,Data!$A$5:$V$197,4,FALSE))</f>
        <v>3.0003295129060632</v>
      </c>
      <c r="I80" s="74">
        <f>VLOOKUP(B80,Data!$A$5:$V$197,9,FALSE)</f>
        <v>1330424</v>
      </c>
      <c r="J80" s="74">
        <f t="shared" si="36"/>
        <v>3970791.5539198462</v>
      </c>
      <c r="K80" s="14">
        <f t="shared" si="37"/>
        <v>2.984606075897493</v>
      </c>
      <c r="L80" s="46">
        <f t="shared" si="38"/>
        <v>9081143.8333333395</v>
      </c>
      <c r="M80" s="46">
        <f t="shared" si="39"/>
        <v>27103637.061065733</v>
      </c>
      <c r="N80" s="22">
        <f t="shared" si="40"/>
        <v>2.9846060758974926</v>
      </c>
      <c r="O80" s="55">
        <f t="shared" si="41"/>
        <v>8007379.3076923136</v>
      </c>
      <c r="P80" s="55">
        <f t="shared" si="42"/>
        <v>23549511.202373583</v>
      </c>
      <c r="Q80" s="32">
        <f t="shared" si="43"/>
        <v>2.9409761043479823</v>
      </c>
      <c r="R80" s="35">
        <f t="shared" si="44"/>
        <v>56.808987159116064</v>
      </c>
    </row>
    <row r="81" spans="1:18">
      <c r="A81" s="47">
        <v>5035415</v>
      </c>
      <c r="B81" s="13">
        <v>43891</v>
      </c>
      <c r="C81" s="16">
        <f t="shared" si="32"/>
        <v>9081143.8333333395</v>
      </c>
      <c r="D81" s="16">
        <f t="shared" si="33"/>
        <v>27103637.061065733</v>
      </c>
      <c r="E81" s="14">
        <f t="shared" si="34"/>
        <v>2.9846060758974926</v>
      </c>
      <c r="F81" s="46">
        <f>SUM(I79:I90)/12</f>
        <v>2895302.9166666665</v>
      </c>
      <c r="G81" s="74">
        <f t="shared" si="35"/>
        <v>8678061.7268347256</v>
      </c>
      <c r="H81" s="22">
        <f>IF(F81=0,0,VLOOKUP(B81,Data!$A$5:$V$197,4,FALSE))</f>
        <v>2.9972897401787901</v>
      </c>
      <c r="I81" s="74">
        <f>VLOOKUP(B81,Data!$A$5:$V$197,9,FALSE)</f>
        <v>1071549</v>
      </c>
      <c r="J81" s="74">
        <f t="shared" si="36"/>
        <v>3201437.3173308629</v>
      </c>
      <c r="K81" s="14">
        <f t="shared" si="37"/>
        <v>2.9876723484701708</v>
      </c>
      <c r="L81" s="46">
        <f t="shared" si="38"/>
        <v>10904897.750000006</v>
      </c>
      <c r="M81" s="46">
        <f t="shared" si="39"/>
        <v>32580261.470569599</v>
      </c>
      <c r="N81" s="22">
        <f t="shared" si="40"/>
        <v>2.9876723484701708</v>
      </c>
      <c r="O81" s="55">
        <f t="shared" si="41"/>
        <v>8195500.5576923136</v>
      </c>
      <c r="P81" s="55">
        <f t="shared" si="42"/>
        <v>24168177.595846653</v>
      </c>
      <c r="Q81" s="32">
        <f t="shared" si="43"/>
        <v>2.9489568606230345</v>
      </c>
      <c r="R81" s="35">
        <f t="shared" si="44"/>
        <v>68.217859734507769</v>
      </c>
    </row>
    <row r="82" spans="1:18">
      <c r="A82" s="47">
        <v>5035415</v>
      </c>
      <c r="B82" s="13">
        <v>43922</v>
      </c>
      <c r="C82" s="16">
        <f t="shared" si="32"/>
        <v>10904897.750000006</v>
      </c>
      <c r="D82" s="16">
        <f t="shared" si="33"/>
        <v>32580261.470569599</v>
      </c>
      <c r="E82" s="14">
        <f t="shared" si="34"/>
        <v>2.9876723484701708</v>
      </c>
      <c r="F82" s="46">
        <f>SUM(I79:I90)/12</f>
        <v>2895302.9166666665</v>
      </c>
      <c r="G82" s="74">
        <f t="shared" si="35"/>
        <v>8668544.83571239</v>
      </c>
      <c r="H82" s="22">
        <f>IF(F82=0,0,VLOOKUP(B82,Data!$A$5:$V$197,4,FALSE))</f>
        <v>2.9940027296668497</v>
      </c>
      <c r="I82" s="74">
        <f>VLOOKUP(B82,Data!$A$5:$V$197,9,FALSE)</f>
        <v>3147519</v>
      </c>
      <c r="J82" s="74">
        <f t="shared" si="36"/>
        <v>9407935.7766108587</v>
      </c>
      <c r="K82" s="14">
        <f t="shared" si="37"/>
        <v>2.9890004719942467</v>
      </c>
      <c r="L82" s="46">
        <f t="shared" si="38"/>
        <v>10652681.666666672</v>
      </c>
      <c r="M82" s="46">
        <f t="shared" si="39"/>
        <v>31840870.529671133</v>
      </c>
      <c r="N82" s="22">
        <f t="shared" si="40"/>
        <v>2.9890004719942458</v>
      </c>
      <c r="O82" s="55">
        <f t="shared" si="41"/>
        <v>8361170.9358974416</v>
      </c>
      <c r="P82" s="55">
        <f t="shared" si="42"/>
        <v>24717878.662915688</v>
      </c>
      <c r="Q82" s="32">
        <f t="shared" si="43"/>
        <v>2.956269983285853</v>
      </c>
      <c r="R82" s="35">
        <f t="shared" si="44"/>
        <v>66.640069480067254</v>
      </c>
    </row>
    <row r="83" spans="1:18">
      <c r="A83" s="47">
        <v>5035415</v>
      </c>
      <c r="B83" s="13">
        <v>43952</v>
      </c>
      <c r="C83" s="16">
        <f t="shared" si="32"/>
        <v>10652681.666666672</v>
      </c>
      <c r="D83" s="16">
        <f t="shared" si="33"/>
        <v>31840870.529671133</v>
      </c>
      <c r="E83" s="14">
        <f t="shared" si="34"/>
        <v>2.9890004719942458</v>
      </c>
      <c r="F83" s="46">
        <f>SUM(I79:I90)/12</f>
        <v>2895302.9166666665</v>
      </c>
      <c r="G83" s="74">
        <f t="shared" si="35"/>
        <v>8668544.83571239</v>
      </c>
      <c r="H83" s="22">
        <f>IF(F83=0,0,VLOOKUP(B83,Data!$A$5:$V$197,4,FALSE))</f>
        <v>2.9940027296668497</v>
      </c>
      <c r="I83" s="74">
        <f>VLOOKUP(B83,Data!$A$5:$V$197,9,FALSE)</f>
        <v>3336873</v>
      </c>
      <c r="J83" s="74">
        <f t="shared" si="36"/>
        <v>9977482.1522032693</v>
      </c>
      <c r="K83" s="14">
        <f t="shared" si="37"/>
        <v>2.9900694908686276</v>
      </c>
      <c r="L83" s="46">
        <f t="shared" si="38"/>
        <v>10211111.583333338</v>
      </c>
      <c r="M83" s="46">
        <f t="shared" si="39"/>
        <v>30531933.213180251</v>
      </c>
      <c r="N83" s="22">
        <f t="shared" si="40"/>
        <v>2.9900694908686267</v>
      </c>
      <c r="O83" s="55">
        <f t="shared" si="41"/>
        <v>8509713.6730769295</v>
      </c>
      <c r="P83" s="55">
        <f t="shared" si="42"/>
        <v>25214136.921027418</v>
      </c>
      <c r="Q83" s="32">
        <f t="shared" si="43"/>
        <v>2.9629829968075212</v>
      </c>
      <c r="R83" s="35">
        <f t="shared" si="44"/>
        <v>63.877735829778032</v>
      </c>
    </row>
    <row r="84" spans="1:18">
      <c r="A84" s="47">
        <v>5035415</v>
      </c>
      <c r="B84" s="13">
        <v>43983</v>
      </c>
      <c r="C84" s="16">
        <f t="shared" si="32"/>
        <v>10211111.583333338</v>
      </c>
      <c r="D84" s="16">
        <f t="shared" si="33"/>
        <v>30531933.213180251</v>
      </c>
      <c r="E84" s="14">
        <f t="shared" si="34"/>
        <v>2.9900694908686267</v>
      </c>
      <c r="F84" s="46">
        <f>SUM(I79:I90)/12</f>
        <v>2895302.9166666665</v>
      </c>
      <c r="G84" s="74">
        <f t="shared" si="35"/>
        <v>8686146.9613989424</v>
      </c>
      <c r="H84" s="22">
        <f>IF(F84=0,0,VLOOKUP(B84,Data!$A$5:$V$197,4,FALSE))</f>
        <v>3.0000822751213945</v>
      </c>
      <c r="I84" s="74">
        <f>VLOOKUP(B84,Data!$A$5:$V$197,9,FALSE)</f>
        <v>3177657</v>
      </c>
      <c r="J84" s="74">
        <f t="shared" si="36"/>
        <v>9508443.8992306218</v>
      </c>
      <c r="K84" s="14">
        <f t="shared" si="37"/>
        <v>2.9922813882148458</v>
      </c>
      <c r="L84" s="46">
        <f t="shared" si="38"/>
        <v>9928757.5000000037</v>
      </c>
      <c r="M84" s="46">
        <f t="shared" si="39"/>
        <v>29709636.275348574</v>
      </c>
      <c r="N84" s="22">
        <f t="shared" si="40"/>
        <v>2.9922813882148458</v>
      </c>
      <c r="O84" s="55">
        <f t="shared" si="41"/>
        <v>8656156.6923076976</v>
      </c>
      <c r="P84" s="55">
        <f t="shared" si="42"/>
        <v>25702997.723923162</v>
      </c>
      <c r="Q84" s="32">
        <f t="shared" si="43"/>
        <v>2.9693313831488468</v>
      </c>
      <c r="R84" s="35">
        <f t="shared" si="44"/>
        <v>62.111411037571806</v>
      </c>
    </row>
    <row r="85" spans="1:18">
      <c r="A85" s="47">
        <v>5035415</v>
      </c>
      <c r="B85" s="13">
        <v>44013</v>
      </c>
      <c r="C85" s="16">
        <f t="shared" si="32"/>
        <v>9928757.5000000037</v>
      </c>
      <c r="D85" s="16">
        <f t="shared" si="33"/>
        <v>29709636.275348574</v>
      </c>
      <c r="E85" s="14">
        <f t="shared" si="34"/>
        <v>2.9922813882148458</v>
      </c>
      <c r="F85" s="46">
        <f>SUM(I79:I90)/12</f>
        <v>2895302.9166666665</v>
      </c>
      <c r="G85" s="74">
        <f t="shared" si="35"/>
        <v>8833274.7211395502</v>
      </c>
      <c r="H85" s="22">
        <f>IF(F85=0,0,VLOOKUP(B85,Data!$A$5:$V$197,4,FALSE))</f>
        <v>3.0508982912603879</v>
      </c>
      <c r="I85" s="74">
        <f>VLOOKUP(B85,Data!$A$5:$V$197,9,FALSE)</f>
        <v>3257624</v>
      </c>
      <c r="J85" s="74">
        <f t="shared" si="36"/>
        <v>9790839.0800189115</v>
      </c>
      <c r="K85" s="14">
        <f t="shared" si="37"/>
        <v>3.0055153940475976</v>
      </c>
      <c r="L85" s="46">
        <f t="shared" si="38"/>
        <v>9566436.4166666698</v>
      </c>
      <c r="M85" s="46">
        <f t="shared" si="39"/>
        <v>28752071.916469213</v>
      </c>
      <c r="N85" s="22">
        <f t="shared" si="40"/>
        <v>3.0055153940475976</v>
      </c>
      <c r="O85" s="55">
        <f t="shared" si="41"/>
        <v>8782883.9166666735</v>
      </c>
      <c r="P85" s="55">
        <f t="shared" si="42"/>
        <v>26139993.794460215</v>
      </c>
      <c r="Q85" s="32">
        <f t="shared" si="43"/>
        <v>2.9762426604382362</v>
      </c>
      <c r="R85" s="35">
        <f t="shared" si="44"/>
        <v>59.844836017032229</v>
      </c>
    </row>
    <row r="86" spans="1:18">
      <c r="A86" s="47">
        <v>5035415</v>
      </c>
      <c r="B86" s="13">
        <v>44044</v>
      </c>
      <c r="C86" s="16">
        <f t="shared" si="32"/>
        <v>9566436.4166666698</v>
      </c>
      <c r="D86" s="16">
        <f t="shared" si="33"/>
        <v>28752071.916469213</v>
      </c>
      <c r="E86" s="14">
        <f t="shared" si="34"/>
        <v>3.0055153940475976</v>
      </c>
      <c r="F86" s="46">
        <f>SUM(I79:I90)/12</f>
        <v>2895302.9166666665</v>
      </c>
      <c r="G86" s="74">
        <f t="shared" si="35"/>
        <v>8852637.0593947582</v>
      </c>
      <c r="H86" s="22">
        <f>IF(F86=0,0,VLOOKUP(B86,Data!$A$5:$V$197,4,FALSE))</f>
        <v>3.0575857912603879</v>
      </c>
      <c r="I86" s="74">
        <f>VLOOKUP(B86,Data!$A$5:$V$197,9,FALSE)</f>
        <v>3326478</v>
      </c>
      <c r="J86" s="74">
        <f t="shared" si="36"/>
        <v>10038023.887244472</v>
      </c>
      <c r="K86" s="14">
        <f t="shared" si="37"/>
        <v>3.0176131894587828</v>
      </c>
      <c r="L86" s="46">
        <f t="shared" si="38"/>
        <v>9135261.3333333358</v>
      </c>
      <c r="M86" s="46">
        <f t="shared" si="39"/>
        <v>27566685.0886195</v>
      </c>
      <c r="N86" s="22">
        <f t="shared" si="40"/>
        <v>3.0176131894587828</v>
      </c>
      <c r="O86" s="55">
        <f t="shared" si="41"/>
        <v>8889625.9615384657</v>
      </c>
      <c r="P86" s="55">
        <f t="shared" si="42"/>
        <v>26512996.175630055</v>
      </c>
      <c r="Q86" s="32">
        <f t="shared" si="43"/>
        <v>2.9824647617729054</v>
      </c>
      <c r="R86" s="35">
        <f t="shared" si="44"/>
        <v>57.147530454873419</v>
      </c>
    </row>
    <row r="87" spans="1:18">
      <c r="A87" s="47">
        <v>5035415</v>
      </c>
      <c r="B87" s="13">
        <v>44075</v>
      </c>
      <c r="C87" s="16">
        <f t="shared" si="32"/>
        <v>9135261.3333333358</v>
      </c>
      <c r="D87" s="16">
        <f t="shared" si="33"/>
        <v>27566685.0886195</v>
      </c>
      <c r="E87" s="14">
        <f t="shared" si="34"/>
        <v>3.0176131894587828</v>
      </c>
      <c r="F87" s="46">
        <f>SUM(I79:I90)/12</f>
        <v>2895302.9166666665</v>
      </c>
      <c r="G87" s="74">
        <f t="shared" si="35"/>
        <v>8843835.9965514801</v>
      </c>
      <c r="H87" s="22">
        <f>IF(F87=0,0,VLOOKUP(B87,Data!$A$5:$V$197,4,FALSE))</f>
        <v>3.0545460185331148</v>
      </c>
      <c r="I87" s="74">
        <f>VLOOKUP(B87,Data!$A$5:$V$197,9,FALSE)</f>
        <v>3157972</v>
      </c>
      <c r="J87" s="74">
        <f t="shared" si="36"/>
        <v>9557607.0833402164</v>
      </c>
      <c r="K87" s="14">
        <f t="shared" si="37"/>
        <v>3.0265015279870173</v>
      </c>
      <c r="L87" s="46">
        <f t="shared" si="38"/>
        <v>8872592.2500000019</v>
      </c>
      <c r="M87" s="46">
        <f t="shared" si="39"/>
        <v>26852914.001830768</v>
      </c>
      <c r="N87" s="22">
        <f t="shared" si="40"/>
        <v>3.0265015279870169</v>
      </c>
      <c r="O87" s="55">
        <f t="shared" si="41"/>
        <v>8986565.2884615436</v>
      </c>
      <c r="P87" s="55">
        <f t="shared" si="42"/>
        <v>26852501.865083296</v>
      </c>
      <c r="Q87" s="32">
        <f t="shared" si="43"/>
        <v>2.9880717496773803</v>
      </c>
      <c r="R87" s="35">
        <f t="shared" si="44"/>
        <v>55.504349281219127</v>
      </c>
    </row>
    <row r="88" spans="1:18">
      <c r="A88" s="47">
        <v>5035415</v>
      </c>
      <c r="B88" s="13">
        <v>44105</v>
      </c>
      <c r="C88" s="16">
        <f t="shared" si="32"/>
        <v>8872592.2500000019</v>
      </c>
      <c r="D88" s="16">
        <f t="shared" si="33"/>
        <v>26852914.001830768</v>
      </c>
      <c r="E88" s="14">
        <f t="shared" si="34"/>
        <v>3.0265015279870169</v>
      </c>
      <c r="F88" s="46">
        <f>SUM(I79:I90)/12</f>
        <v>2895302.9166666665</v>
      </c>
      <c r="G88" s="74">
        <f t="shared" si="35"/>
        <v>8819705.5802484006</v>
      </c>
      <c r="H88" s="22">
        <f>IF(F88=0,0,VLOOKUP(B88,Data!$A$5:$V$197,4,FALSE))</f>
        <v>3.0462116863414206</v>
      </c>
      <c r="I88" s="74">
        <f>VLOOKUP(B88,Data!$A$5:$V$197,9,FALSE)</f>
        <v>3330039</v>
      </c>
      <c r="J88" s="74">
        <f t="shared" si="36"/>
        <v>10094516.713317707</v>
      </c>
      <c r="K88" s="14">
        <f t="shared" si="37"/>
        <v>3.0313508980878923</v>
      </c>
      <c r="L88" s="46">
        <f t="shared" si="38"/>
        <v>8437856.1666666679</v>
      </c>
      <c r="M88" s="46">
        <f t="shared" si="39"/>
        <v>25578102.868761465</v>
      </c>
      <c r="N88" s="22">
        <f t="shared" si="40"/>
        <v>3.0313508980878923</v>
      </c>
      <c r="O88" s="55">
        <f t="shared" si="41"/>
        <v>9042760.0512820557</v>
      </c>
      <c r="P88" s="55">
        <f t="shared" si="42"/>
        <v>27066385.647472832</v>
      </c>
      <c r="Q88" s="32">
        <f t="shared" si="43"/>
        <v>2.993155352345708</v>
      </c>
      <c r="R88" s="35">
        <f t="shared" si="44"/>
        <v>52.78476714168346</v>
      </c>
    </row>
    <row r="89" spans="1:18">
      <c r="A89" s="47">
        <v>5035415</v>
      </c>
      <c r="B89" s="13">
        <v>44136</v>
      </c>
      <c r="C89" s="16">
        <f t="shared" si="32"/>
        <v>8437856.1666666679</v>
      </c>
      <c r="D89" s="16">
        <f t="shared" si="33"/>
        <v>25578102.868761465</v>
      </c>
      <c r="E89" s="14">
        <f t="shared" si="34"/>
        <v>3.0313508980878923</v>
      </c>
      <c r="F89" s="46">
        <f>SUM(I79:I90)/12</f>
        <v>2895302.9166666665</v>
      </c>
      <c r="G89" s="74">
        <f t="shared" si="35"/>
        <v>8828506.6430916749</v>
      </c>
      <c r="H89" s="22">
        <f>IF(F89=0,0,VLOOKUP(B89,Data!$A$5:$V$197,4,FALSE))</f>
        <v>3.0492514590686928</v>
      </c>
      <c r="I89" s="74">
        <f>VLOOKUP(B89,Data!$A$5:$V$197,9,FALSE)</f>
        <v>3147686</v>
      </c>
      <c r="J89" s="74">
        <f t="shared" si="36"/>
        <v>9556135.4315758161</v>
      </c>
      <c r="K89" s="14">
        <f t="shared" si="37"/>
        <v>3.035923987200698</v>
      </c>
      <c r="L89" s="46">
        <f t="shared" si="38"/>
        <v>8185473.083333334</v>
      </c>
      <c r="M89" s="46">
        <f t="shared" si="39"/>
        <v>24850474.080277327</v>
      </c>
      <c r="N89" s="22">
        <f t="shared" si="40"/>
        <v>3.035923987200698</v>
      </c>
      <c r="O89" s="55">
        <f t="shared" si="41"/>
        <v>9083699.4038461577</v>
      </c>
      <c r="P89" s="55">
        <f t="shared" si="42"/>
        <v>27233942.028470967</v>
      </c>
      <c r="Q89" s="32">
        <f t="shared" si="43"/>
        <v>2.9981113220170803</v>
      </c>
      <c r="R89" s="35">
        <f t="shared" si="44"/>
        <v>51.205932183951191</v>
      </c>
    </row>
    <row r="90" spans="1:18">
      <c r="A90" s="47">
        <v>5035415</v>
      </c>
      <c r="B90" s="13">
        <v>44166</v>
      </c>
      <c r="C90" s="16">
        <f t="shared" si="32"/>
        <v>8185473.083333334</v>
      </c>
      <c r="D90" s="16">
        <f t="shared" si="33"/>
        <v>24850474.080277327</v>
      </c>
      <c r="E90" s="14">
        <f t="shared" si="34"/>
        <v>3.035923987200698</v>
      </c>
      <c r="F90" s="46">
        <f>SUM(I79:I90)/12</f>
        <v>2895302.9166666665</v>
      </c>
      <c r="G90" s="74">
        <f t="shared" si="35"/>
        <v>8828506.6430916749</v>
      </c>
      <c r="H90" s="22">
        <f>IF(F90=0,0,VLOOKUP(B90,Data!$A$5:$V$197,4,FALSE))</f>
        <v>3.0492514590686928</v>
      </c>
      <c r="I90" s="74">
        <f>VLOOKUP(B90,Data!$A$5:$V$197,9,FALSE)</f>
        <v>3249339</v>
      </c>
      <c r="J90" s="74">
        <f t="shared" si="36"/>
        <v>9876061.527161194</v>
      </c>
      <c r="K90" s="14">
        <f t="shared" si="37"/>
        <v>3.0394063306910093</v>
      </c>
      <c r="L90" s="46">
        <f t="shared" si="38"/>
        <v>7831437</v>
      </c>
      <c r="M90" s="46">
        <f t="shared" si="39"/>
        <v>23802919.196207806</v>
      </c>
      <c r="N90" s="22">
        <f t="shared" si="40"/>
        <v>3.0394063306910093</v>
      </c>
      <c r="O90" s="55">
        <f t="shared" si="41"/>
        <v>9088873.1153846197</v>
      </c>
      <c r="P90" s="55">
        <f t="shared" si="42"/>
        <v>27293194.742894012</v>
      </c>
      <c r="Q90" s="32">
        <f t="shared" si="43"/>
        <v>3.0029239484810466</v>
      </c>
      <c r="R90" s="35">
        <f t="shared" si="44"/>
        <v>48.991185706957602</v>
      </c>
    </row>
  </sheetData>
  <mergeCells count="5">
    <mergeCell ref="C5:E5"/>
    <mergeCell ref="F5:H5"/>
    <mergeCell ref="I5:K5"/>
    <mergeCell ref="L5:N5"/>
    <mergeCell ref="O5:Q5"/>
  </mergeCells>
  <pageMargins left="0.7" right="0.7" top="0.75" bottom="0.75" header="0.3" footer="0.3"/>
  <pageSetup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59999389629810485"/>
  </sheetPr>
  <dimension ref="A1:R90"/>
  <sheetViews>
    <sheetView workbookViewId="0">
      <selection activeCell="A2" sqref="A2"/>
    </sheetView>
  </sheetViews>
  <sheetFormatPr defaultColWidth="9.109375" defaultRowHeight="10.199999999999999"/>
  <cols>
    <col min="1" max="2" width="6.109375" style="1" bestFit="1" customWidth="1"/>
    <col min="3" max="3" width="6.5546875" style="1" bestFit="1" customWidth="1"/>
    <col min="4" max="4" width="8.6640625" style="1" bestFit="1" customWidth="1"/>
    <col min="5" max="5" width="5.33203125" style="1" bestFit="1" customWidth="1"/>
    <col min="6" max="6" width="7.109375" style="1" bestFit="1" customWidth="1"/>
    <col min="7" max="7" width="8.44140625" style="1" bestFit="1" customWidth="1"/>
    <col min="8" max="9" width="6.33203125" style="1" bestFit="1" customWidth="1"/>
    <col min="10" max="10" width="8.44140625" style="1" bestFit="1" customWidth="1"/>
    <col min="11" max="11" width="5.6640625" style="1" bestFit="1" customWidth="1"/>
    <col min="12" max="12" width="7.109375" style="1" bestFit="1" customWidth="1"/>
    <col min="13" max="13" width="9.33203125" style="1" bestFit="1" customWidth="1"/>
    <col min="14" max="14" width="5.44140625" style="1" bestFit="1" customWidth="1"/>
    <col min="15" max="15" width="7.109375" style="1" bestFit="1" customWidth="1"/>
    <col min="16" max="16" width="9.33203125" style="1" bestFit="1" customWidth="1"/>
    <col min="17" max="17" width="5.44140625" style="1" bestFit="1" customWidth="1"/>
    <col min="18" max="16384" width="9.109375" style="1"/>
  </cols>
  <sheetData>
    <row r="1" spans="1:18" s="120" customFormat="1">
      <c r="A1" s="120" t="s">
        <v>77</v>
      </c>
    </row>
    <row r="2" spans="1:18" s="120" customFormat="1">
      <c r="A2" s="120" t="s">
        <v>59</v>
      </c>
    </row>
    <row r="3" spans="1:18" s="44" customFormat="1"/>
    <row r="5" spans="1:18">
      <c r="A5" s="18"/>
      <c r="B5" s="19"/>
      <c r="C5" s="106" t="s">
        <v>0</v>
      </c>
      <c r="D5" s="106"/>
      <c r="E5" s="106"/>
      <c r="F5" s="106" t="s">
        <v>1</v>
      </c>
      <c r="G5" s="106"/>
      <c r="H5" s="106"/>
      <c r="I5" s="106" t="s">
        <v>40</v>
      </c>
      <c r="J5" s="106"/>
      <c r="K5" s="106"/>
      <c r="L5" s="106" t="s">
        <v>2</v>
      </c>
      <c r="M5" s="106"/>
      <c r="N5" s="106"/>
      <c r="O5" s="106" t="s">
        <v>29</v>
      </c>
      <c r="P5" s="106"/>
      <c r="Q5" s="106"/>
    </row>
    <row r="6" spans="1:18">
      <c r="A6" s="12" t="s">
        <v>12</v>
      </c>
      <c r="B6" s="9" t="s">
        <v>26</v>
      </c>
      <c r="C6" s="34" t="s">
        <v>32</v>
      </c>
      <c r="D6" s="34" t="s">
        <v>27</v>
      </c>
      <c r="E6" s="34" t="s">
        <v>33</v>
      </c>
      <c r="F6" s="90" t="s">
        <v>32</v>
      </c>
      <c r="G6" s="90" t="s">
        <v>27</v>
      </c>
      <c r="H6" s="90" t="s">
        <v>33</v>
      </c>
      <c r="I6" s="90" t="s">
        <v>32</v>
      </c>
      <c r="J6" s="90" t="s">
        <v>27</v>
      </c>
      <c r="K6" s="90" t="s">
        <v>33</v>
      </c>
      <c r="L6" s="90" t="s">
        <v>32</v>
      </c>
      <c r="M6" s="90" t="s">
        <v>27</v>
      </c>
      <c r="N6" s="90" t="s">
        <v>33</v>
      </c>
      <c r="O6" s="34" t="s">
        <v>32</v>
      </c>
      <c r="P6" s="34" t="s">
        <v>27</v>
      </c>
      <c r="Q6" s="34" t="s">
        <v>33</v>
      </c>
      <c r="R6" s="3" t="s">
        <v>36</v>
      </c>
    </row>
    <row r="7" spans="1:18">
      <c r="A7" s="21">
        <v>91000</v>
      </c>
      <c r="B7" s="49">
        <v>41640</v>
      </c>
      <c r="C7" s="50">
        <v>114389</v>
      </c>
      <c r="D7" s="50">
        <v>8322923.2400000039</v>
      </c>
      <c r="E7" s="53">
        <f>D7/C7</f>
        <v>72.759821661173746</v>
      </c>
      <c r="F7" s="51">
        <v>39556</v>
      </c>
      <c r="G7" s="54">
        <v>3032316.62</v>
      </c>
      <c r="H7" s="52">
        <f t="shared" ref="H7:H13" si="0">IF(F7=0,0,G7/F7)</f>
        <v>76.658828496309027</v>
      </c>
      <c r="I7" s="54">
        <v>65145</v>
      </c>
      <c r="J7" s="54">
        <v>4805175.0999999996</v>
      </c>
      <c r="K7" s="53">
        <f t="shared" ref="K7:K47" si="1">IF(I7=0,0,J7/I7)</f>
        <v>73.761226494742488</v>
      </c>
      <c r="L7" s="51">
        <f t="shared" ref="L7:M54" si="2">+C7+F7-I7</f>
        <v>88800</v>
      </c>
      <c r="M7" s="51">
        <f t="shared" si="2"/>
        <v>6550064.7600000035</v>
      </c>
      <c r="N7" s="52">
        <f t="shared" ref="N7:N54" si="3">IF(L7=0,0,M7/L7)</f>
        <v>73.76199054054058</v>
      </c>
      <c r="O7" s="54">
        <f>AVERAGE(L7:L7)</f>
        <v>88800</v>
      </c>
      <c r="P7" s="54">
        <f>AVERAGE(M7:M7)</f>
        <v>6550064.7600000035</v>
      </c>
      <c r="Q7" s="56">
        <f t="shared" ref="Q7:Q54" si="4">IF(O7=0,0,P7/O7)</f>
        <v>73.76199054054058</v>
      </c>
      <c r="R7" s="35">
        <f t="shared" ref="R7:R66" si="5">L7/2600</f>
        <v>34.153846153846153</v>
      </c>
    </row>
    <row r="8" spans="1:18">
      <c r="A8" s="21">
        <v>91000</v>
      </c>
      <c r="B8" s="49">
        <v>41671</v>
      </c>
      <c r="C8" s="50">
        <f t="shared" ref="C8:E48" si="6">L7</f>
        <v>88800</v>
      </c>
      <c r="D8" s="50">
        <f t="shared" si="6"/>
        <v>6550064.7600000035</v>
      </c>
      <c r="E8" s="53">
        <f t="shared" si="6"/>
        <v>73.76199054054058</v>
      </c>
      <c r="F8" s="51">
        <v>30533</v>
      </c>
      <c r="G8" s="54">
        <v>2324006.86</v>
      </c>
      <c r="H8" s="52">
        <f t="shared" si="0"/>
        <v>76.11459273572855</v>
      </c>
      <c r="I8" s="54">
        <v>66522</v>
      </c>
      <c r="J8" s="54">
        <v>4946856.88</v>
      </c>
      <c r="K8" s="53">
        <f t="shared" si="1"/>
        <v>74.364223565136342</v>
      </c>
      <c r="L8" s="51">
        <f t="shared" si="2"/>
        <v>52811</v>
      </c>
      <c r="M8" s="51">
        <f t="shared" si="2"/>
        <v>3927214.740000003</v>
      </c>
      <c r="N8" s="52">
        <f t="shared" si="3"/>
        <v>74.363574634072506</v>
      </c>
      <c r="O8" s="54">
        <f>AVERAGE(L7:L8)</f>
        <v>70805.5</v>
      </c>
      <c r="P8" s="54">
        <f>AVERAGE(M7:M8)</f>
        <v>5238639.7500000037</v>
      </c>
      <c r="Q8" s="56">
        <f t="shared" si="4"/>
        <v>73.986339338045823</v>
      </c>
      <c r="R8" s="35">
        <f t="shared" si="5"/>
        <v>20.311923076923076</v>
      </c>
    </row>
    <row r="9" spans="1:18">
      <c r="A9" s="21">
        <v>91000</v>
      </c>
      <c r="B9" s="49">
        <v>41699</v>
      </c>
      <c r="C9" s="50">
        <f t="shared" si="6"/>
        <v>52811</v>
      </c>
      <c r="D9" s="50">
        <f t="shared" si="6"/>
        <v>3927214.740000003</v>
      </c>
      <c r="E9" s="53">
        <f t="shared" si="6"/>
        <v>74.363574634072506</v>
      </c>
      <c r="F9" s="51">
        <v>30244</v>
      </c>
      <c r="G9" s="54">
        <v>2338357.12</v>
      </c>
      <c r="H9" s="52">
        <f t="shared" si="0"/>
        <v>77.316397301944193</v>
      </c>
      <c r="I9" s="54">
        <v>32393</v>
      </c>
      <c r="J9" s="54">
        <v>2443650.0499999998</v>
      </c>
      <c r="K9" s="53">
        <f t="shared" si="1"/>
        <v>75.437596085574043</v>
      </c>
      <c r="L9" s="51">
        <f t="shared" si="2"/>
        <v>50662</v>
      </c>
      <c r="M9" s="51">
        <f t="shared" si="2"/>
        <v>3821921.8100000033</v>
      </c>
      <c r="N9" s="52">
        <f t="shared" si="3"/>
        <v>75.439615688287148</v>
      </c>
      <c r="O9" s="54">
        <f>AVERAGE(L7:L9)</f>
        <v>64091</v>
      </c>
      <c r="P9" s="54">
        <f>AVERAGE(M7:M9)</f>
        <v>4766400.4366666703</v>
      </c>
      <c r="Q9" s="56">
        <f t="shared" si="4"/>
        <v>74.369263027050138</v>
      </c>
      <c r="R9" s="35">
        <f t="shared" si="5"/>
        <v>19.485384615384614</v>
      </c>
    </row>
    <row r="10" spans="1:18">
      <c r="A10" s="21">
        <v>91000</v>
      </c>
      <c r="B10" s="49">
        <v>41730</v>
      </c>
      <c r="C10" s="50">
        <f t="shared" si="6"/>
        <v>50662</v>
      </c>
      <c r="D10" s="50">
        <f t="shared" si="6"/>
        <v>3821921.8100000033</v>
      </c>
      <c r="E10" s="26">
        <f t="shared" si="6"/>
        <v>75.439615688287148</v>
      </c>
      <c r="F10" s="51">
        <v>36224</v>
      </c>
      <c r="G10" s="59">
        <v>2781426.9</v>
      </c>
      <c r="H10" s="52">
        <f t="shared" si="0"/>
        <v>76.784090658127212</v>
      </c>
      <c r="I10" s="54">
        <v>31845</v>
      </c>
      <c r="J10" s="54">
        <v>2420296</v>
      </c>
      <c r="K10" s="53">
        <f t="shared" si="1"/>
        <v>76.00238655989952</v>
      </c>
      <c r="L10" s="51">
        <f t="shared" si="2"/>
        <v>55041</v>
      </c>
      <c r="M10" s="51">
        <f t="shared" si="2"/>
        <v>4183052.7100000028</v>
      </c>
      <c r="N10" s="52">
        <f t="shared" si="3"/>
        <v>75.998850129903218</v>
      </c>
      <c r="O10" s="54">
        <f>AVERAGE(L7:L10)</f>
        <v>61828.5</v>
      </c>
      <c r="P10" s="54">
        <f>AVERAGE(M7:M10)</f>
        <v>4620563.5050000027</v>
      </c>
      <c r="Q10" s="56">
        <f t="shared" si="4"/>
        <v>74.731936000388217</v>
      </c>
      <c r="R10" s="35">
        <f t="shared" si="5"/>
        <v>21.169615384615383</v>
      </c>
    </row>
    <row r="11" spans="1:18">
      <c r="A11" s="21">
        <v>91000</v>
      </c>
      <c r="B11" s="49">
        <v>41760</v>
      </c>
      <c r="C11" s="50">
        <f t="shared" si="6"/>
        <v>55041</v>
      </c>
      <c r="D11" s="50">
        <f t="shared" si="6"/>
        <v>4183052.7100000028</v>
      </c>
      <c r="E11" s="53">
        <f t="shared" si="6"/>
        <v>75.998850129903218</v>
      </c>
      <c r="F11" s="51">
        <v>72213</v>
      </c>
      <c r="G11" s="54">
        <v>5333487.18</v>
      </c>
      <c r="H11" s="52">
        <f t="shared" si="0"/>
        <v>73.857715092850313</v>
      </c>
      <c r="I11" s="54">
        <v>35273</v>
      </c>
      <c r="J11" s="54">
        <v>2637856.0299999998</v>
      </c>
      <c r="K11" s="53">
        <f t="shared" si="1"/>
        <v>74.783999943299406</v>
      </c>
      <c r="L11" s="51">
        <f t="shared" si="2"/>
        <v>91981</v>
      </c>
      <c r="M11" s="51">
        <f t="shared" si="2"/>
        <v>6878683.8600000031</v>
      </c>
      <c r="N11" s="52">
        <f t="shared" si="3"/>
        <v>74.78374729563717</v>
      </c>
      <c r="O11" s="54">
        <f>AVERAGE(L7:L11)</f>
        <v>67859</v>
      </c>
      <c r="P11" s="54">
        <f>AVERAGE(M7:M11)</f>
        <v>5072187.5760000031</v>
      </c>
      <c r="Q11" s="56">
        <f t="shared" si="4"/>
        <v>74.745981756288828</v>
      </c>
      <c r="R11" s="35">
        <f t="shared" si="5"/>
        <v>35.377307692307696</v>
      </c>
    </row>
    <row r="12" spans="1:18">
      <c r="A12" s="21">
        <v>91000</v>
      </c>
      <c r="B12" s="49">
        <v>41791</v>
      </c>
      <c r="C12" s="50">
        <f t="shared" si="6"/>
        <v>91981</v>
      </c>
      <c r="D12" s="50">
        <f t="shared" si="6"/>
        <v>6878683.8600000031</v>
      </c>
      <c r="E12" s="53">
        <f t="shared" si="6"/>
        <v>74.78374729563717</v>
      </c>
      <c r="F12" s="51">
        <v>32860</v>
      </c>
      <c r="G12" s="54">
        <v>2481342.63</v>
      </c>
      <c r="H12" s="52">
        <f t="shared" si="0"/>
        <v>75.512557212416311</v>
      </c>
      <c r="I12" s="54">
        <v>61507</v>
      </c>
      <c r="J12" s="54">
        <v>4611517.33</v>
      </c>
      <c r="K12" s="53">
        <f t="shared" si="1"/>
        <v>74.975487830653421</v>
      </c>
      <c r="L12" s="51">
        <f t="shared" si="2"/>
        <v>63334</v>
      </c>
      <c r="M12" s="51">
        <f t="shared" si="2"/>
        <v>4748509.160000002</v>
      </c>
      <c r="N12" s="52">
        <f t="shared" si="3"/>
        <v>74.975671203461047</v>
      </c>
      <c r="O12" s="54">
        <f>AVERAGE(L7:L12)</f>
        <v>67104.833333333328</v>
      </c>
      <c r="P12" s="54">
        <f>AVERAGE(M7:M12)</f>
        <v>5018241.1733333357</v>
      </c>
      <c r="Q12" s="56">
        <f t="shared" si="4"/>
        <v>74.782112167777328</v>
      </c>
      <c r="R12" s="35">
        <f t="shared" si="5"/>
        <v>24.35923076923077</v>
      </c>
    </row>
    <row r="13" spans="1:18">
      <c r="A13" s="21">
        <v>91000</v>
      </c>
      <c r="B13" s="49">
        <v>41821</v>
      </c>
      <c r="C13" s="50">
        <f t="shared" si="6"/>
        <v>63334</v>
      </c>
      <c r="D13" s="50">
        <f t="shared" si="6"/>
        <v>4748509.160000002</v>
      </c>
      <c r="E13" s="53">
        <f t="shared" si="6"/>
        <v>74.975671203461047</v>
      </c>
      <c r="F13" s="51">
        <v>57526</v>
      </c>
      <c r="G13" s="54">
        <v>4298532.07</v>
      </c>
      <c r="H13" s="52">
        <f t="shared" si="0"/>
        <v>74.723291555122913</v>
      </c>
      <c r="I13" s="54">
        <v>69563</v>
      </c>
      <c r="J13" s="54">
        <v>5207123.4000000004</v>
      </c>
      <c r="K13" s="53">
        <f t="shared" si="1"/>
        <v>74.854784871267782</v>
      </c>
      <c r="L13" s="51">
        <f t="shared" si="2"/>
        <v>51297</v>
      </c>
      <c r="M13" s="51">
        <f t="shared" si="2"/>
        <v>3839917.8300000019</v>
      </c>
      <c r="N13" s="52">
        <f t="shared" si="3"/>
        <v>74.856576992806637</v>
      </c>
      <c r="O13" s="54">
        <f>AVERAGE(L7:L13)</f>
        <v>64846.571428571428</v>
      </c>
      <c r="P13" s="54">
        <f>AVERAGE(M7:M13)</f>
        <v>4849909.2671428602</v>
      </c>
      <c r="Q13" s="56">
        <f t="shared" si="4"/>
        <v>74.790527244528889</v>
      </c>
      <c r="R13" s="35">
        <f t="shared" si="5"/>
        <v>19.729615384615386</v>
      </c>
    </row>
    <row r="14" spans="1:18">
      <c r="A14" s="21">
        <v>91000</v>
      </c>
      <c r="B14" s="49">
        <v>41852</v>
      </c>
      <c r="C14" s="50">
        <f t="shared" si="6"/>
        <v>51297</v>
      </c>
      <c r="D14" s="50">
        <f t="shared" si="6"/>
        <v>3839917.8300000019</v>
      </c>
      <c r="E14" s="53">
        <f t="shared" si="6"/>
        <v>74.856576992806637</v>
      </c>
      <c r="F14" s="51">
        <v>57526</v>
      </c>
      <c r="G14" s="54">
        <v>4298532.07</v>
      </c>
      <c r="H14" s="52">
        <f t="shared" ref="H14:H17" si="7">IF(F14=0,0,G14/F14)</f>
        <v>74.723291555122913</v>
      </c>
      <c r="I14" s="54">
        <v>69563</v>
      </c>
      <c r="J14" s="54">
        <v>5207123.4000000004</v>
      </c>
      <c r="K14" s="53">
        <f t="shared" si="1"/>
        <v>74.854784871267782</v>
      </c>
      <c r="L14" s="51">
        <f t="shared" si="2"/>
        <v>39260</v>
      </c>
      <c r="M14" s="51">
        <f t="shared" si="2"/>
        <v>2931326.5000000019</v>
      </c>
      <c r="N14" s="52">
        <f t="shared" si="3"/>
        <v>74.664454915945029</v>
      </c>
      <c r="O14" s="54">
        <f>AVERAGE(L7:L14)</f>
        <v>61648.25</v>
      </c>
      <c r="P14" s="54">
        <f>AVERAGE(M7:M14)</f>
        <v>4610086.4212500025</v>
      </c>
      <c r="Q14" s="56">
        <f t="shared" si="4"/>
        <v>74.780491275097063</v>
      </c>
      <c r="R14" s="35">
        <f t="shared" si="5"/>
        <v>15.1</v>
      </c>
    </row>
    <row r="15" spans="1:18">
      <c r="A15" s="21">
        <v>91000</v>
      </c>
      <c r="B15" s="49">
        <v>41883</v>
      </c>
      <c r="C15" s="50">
        <f t="shared" si="6"/>
        <v>39260</v>
      </c>
      <c r="D15" s="50">
        <f t="shared" si="6"/>
        <v>2931326.5000000019</v>
      </c>
      <c r="E15" s="53">
        <f t="shared" si="6"/>
        <v>74.664454915945029</v>
      </c>
      <c r="F15" s="51">
        <v>101385</v>
      </c>
      <c r="G15" s="54">
        <v>7460680.3700000001</v>
      </c>
      <c r="H15" s="52">
        <f t="shared" si="7"/>
        <v>73.587615229077286</v>
      </c>
      <c r="I15" s="54">
        <v>39902</v>
      </c>
      <c r="J15" s="54">
        <v>2897871.58</v>
      </c>
      <c r="K15" s="53">
        <f t="shared" si="1"/>
        <v>72.624720064157188</v>
      </c>
      <c r="L15" s="51">
        <f t="shared" si="2"/>
        <v>100743</v>
      </c>
      <c r="M15" s="51">
        <f t="shared" si="2"/>
        <v>7494135.290000001</v>
      </c>
      <c r="N15" s="52">
        <f t="shared" si="3"/>
        <v>74.388645265676033</v>
      </c>
      <c r="O15" s="54">
        <f>AVERAGE(L7:L15)</f>
        <v>65992.111111111109</v>
      </c>
      <c r="P15" s="54">
        <f>AVERAGE(M7:M15)</f>
        <v>4930536.2955555581</v>
      </c>
      <c r="Q15" s="56">
        <f t="shared" si="4"/>
        <v>74.714025851574888</v>
      </c>
      <c r="R15" s="35">
        <f t="shared" si="5"/>
        <v>38.747307692307693</v>
      </c>
    </row>
    <row r="16" spans="1:18">
      <c r="A16" s="21">
        <v>91000</v>
      </c>
      <c r="B16" s="49">
        <v>41913</v>
      </c>
      <c r="C16" s="50">
        <f t="shared" si="6"/>
        <v>100743</v>
      </c>
      <c r="D16" s="50">
        <f t="shared" si="6"/>
        <v>7494135.290000001</v>
      </c>
      <c r="E16" s="53">
        <f t="shared" si="6"/>
        <v>74.388645265676033</v>
      </c>
      <c r="F16" s="51">
        <v>34374</v>
      </c>
      <c r="G16" s="54">
        <v>2572737.4700000002</v>
      </c>
      <c r="H16" s="52">
        <f t="shared" si="7"/>
        <v>74.845449176703326</v>
      </c>
      <c r="I16" s="54">
        <v>59680</v>
      </c>
      <c r="J16" s="54">
        <v>4446458.4000000004</v>
      </c>
      <c r="K16" s="53">
        <f t="shared" si="1"/>
        <v>74.50500000000001</v>
      </c>
      <c r="L16" s="51">
        <f t="shared" si="2"/>
        <v>75437</v>
      </c>
      <c r="M16" s="51">
        <f t="shared" si="2"/>
        <v>5620414.3600000013</v>
      </c>
      <c r="N16" s="52">
        <f t="shared" si="3"/>
        <v>74.504743825974003</v>
      </c>
      <c r="O16" s="54">
        <f>AVERAGE(L7:L16)</f>
        <v>66936.600000000006</v>
      </c>
      <c r="P16" s="54">
        <f>AVERAGE(M7:M16)</f>
        <v>4999524.1020000018</v>
      </c>
      <c r="Q16" s="56">
        <f t="shared" si="4"/>
        <v>74.690439938688272</v>
      </c>
      <c r="R16" s="35">
        <f t="shared" si="5"/>
        <v>29.014230769230767</v>
      </c>
    </row>
    <row r="17" spans="1:18">
      <c r="A17" s="21">
        <v>91000</v>
      </c>
      <c r="B17" s="49">
        <v>41944</v>
      </c>
      <c r="C17" s="50">
        <f t="shared" si="6"/>
        <v>75437</v>
      </c>
      <c r="D17" s="50">
        <f t="shared" si="6"/>
        <v>5620414.3600000013</v>
      </c>
      <c r="E17" s="53">
        <f t="shared" si="6"/>
        <v>74.504743825974003</v>
      </c>
      <c r="F17" s="51">
        <v>49536</v>
      </c>
      <c r="G17" s="54">
        <v>3729923.86</v>
      </c>
      <c r="H17" s="52">
        <f t="shared" si="7"/>
        <v>75.297235545865632</v>
      </c>
      <c r="I17" s="54">
        <v>64241</v>
      </c>
      <c r="J17" s="54">
        <v>4806447.38</v>
      </c>
      <c r="K17" s="53">
        <f t="shared" si="1"/>
        <v>74.819000015566388</v>
      </c>
      <c r="L17" s="51">
        <f t="shared" si="2"/>
        <v>60732</v>
      </c>
      <c r="M17" s="51">
        <f t="shared" si="2"/>
        <v>4543890.8400000008</v>
      </c>
      <c r="N17" s="52">
        <f t="shared" si="3"/>
        <v>74.818725548310624</v>
      </c>
      <c r="O17" s="54">
        <f>AVERAGE(L7:L17)</f>
        <v>66372.545454545456</v>
      </c>
      <c r="P17" s="54">
        <f>AVERAGE(M7:M17)</f>
        <v>4958102.8963636383</v>
      </c>
      <c r="Q17" s="56">
        <f t="shared" si="4"/>
        <v>74.701111165898311</v>
      </c>
      <c r="R17" s="35">
        <f t="shared" si="5"/>
        <v>23.358461538461537</v>
      </c>
    </row>
    <row r="18" spans="1:18">
      <c r="A18" s="21">
        <v>91000</v>
      </c>
      <c r="B18" s="49">
        <v>41974</v>
      </c>
      <c r="C18" s="50">
        <f t="shared" si="6"/>
        <v>60732</v>
      </c>
      <c r="D18" s="50">
        <f t="shared" si="6"/>
        <v>4543890.8400000008</v>
      </c>
      <c r="E18" s="53">
        <f t="shared" si="6"/>
        <v>74.818725548310624</v>
      </c>
      <c r="F18" s="51">
        <v>52097</v>
      </c>
      <c r="G18" s="54">
        <v>3933881.55</v>
      </c>
      <c r="H18" s="52">
        <f t="shared" ref="H18" si="8">IF(F18=0,0,G18/F18)</f>
        <v>75.510711749237004</v>
      </c>
      <c r="I18" s="54">
        <v>51830</v>
      </c>
      <c r="J18" s="54">
        <v>3894372.48</v>
      </c>
      <c r="K18" s="53">
        <f t="shared" ref="K18" si="9">IF(I18=0,0,J18/I18)</f>
        <v>75.137420027011387</v>
      </c>
      <c r="L18" s="51">
        <f t="shared" si="2"/>
        <v>60999</v>
      </c>
      <c r="M18" s="51">
        <f t="shared" si="2"/>
        <v>4583399.91</v>
      </c>
      <c r="N18" s="52">
        <f t="shared" si="3"/>
        <v>75.138935228446371</v>
      </c>
      <c r="O18" s="54">
        <f>AVERAGE(L7:L18)</f>
        <v>65924.75</v>
      </c>
      <c r="P18" s="54">
        <f>AVERAGE(M7:M18)</f>
        <v>4926877.6475000018</v>
      </c>
      <c r="Q18" s="56">
        <f t="shared" si="4"/>
        <v>74.734870401480507</v>
      </c>
      <c r="R18" s="35">
        <f t="shared" si="5"/>
        <v>23.461153846153845</v>
      </c>
    </row>
    <row r="19" spans="1:18">
      <c r="A19" s="21">
        <v>91000</v>
      </c>
      <c r="B19" s="49">
        <v>42005</v>
      </c>
      <c r="C19" s="50">
        <f t="shared" si="6"/>
        <v>60999</v>
      </c>
      <c r="D19" s="50">
        <f t="shared" si="6"/>
        <v>4583399.91</v>
      </c>
      <c r="E19" s="53">
        <f t="shared" si="6"/>
        <v>75.138935228446371</v>
      </c>
      <c r="F19" s="51">
        <v>41501</v>
      </c>
      <c r="G19" s="54">
        <v>3297963.76</v>
      </c>
      <c r="H19" s="52">
        <f t="shared" ref="H19:H20" si="10">IF(F19=0,0,G19/F19)</f>
        <v>79.467091395388053</v>
      </c>
      <c r="I19" s="54">
        <v>29103</v>
      </c>
      <c r="J19" s="54">
        <v>2237728.02</v>
      </c>
      <c r="K19" s="53">
        <f t="shared" si="1"/>
        <v>76.88994330481394</v>
      </c>
      <c r="L19" s="51">
        <f t="shared" si="2"/>
        <v>73397</v>
      </c>
      <c r="M19" s="51">
        <f t="shared" si="2"/>
        <v>5643635.6500000004</v>
      </c>
      <c r="N19" s="52">
        <f t="shared" si="3"/>
        <v>76.891911794760006</v>
      </c>
      <c r="O19" s="54">
        <f t="shared" ref="O19:P32" si="11">AVERAGE(L7:L19)</f>
        <v>66499.538461538468</v>
      </c>
      <c r="P19" s="54">
        <f t="shared" si="11"/>
        <v>4982012.8784615407</v>
      </c>
      <c r="Q19" s="56">
        <f t="shared" si="4"/>
        <v>74.918006857190477</v>
      </c>
      <c r="R19" s="35">
        <f t="shared" si="5"/>
        <v>28.229615384615386</v>
      </c>
    </row>
    <row r="20" spans="1:18">
      <c r="A20" s="21">
        <v>91000</v>
      </c>
      <c r="B20" s="49">
        <v>42036</v>
      </c>
      <c r="C20" s="50">
        <f t="shared" si="6"/>
        <v>73397</v>
      </c>
      <c r="D20" s="50">
        <f t="shared" si="6"/>
        <v>5643635.6500000004</v>
      </c>
      <c r="E20" s="53">
        <f t="shared" si="6"/>
        <v>76.891911794760006</v>
      </c>
      <c r="F20" s="51">
        <v>28568</v>
      </c>
      <c r="G20" s="54">
        <v>1874635.85</v>
      </c>
      <c r="H20" s="52">
        <f t="shared" si="10"/>
        <v>65.620129165499861</v>
      </c>
      <c r="I20" s="54">
        <v>35936</v>
      </c>
      <c r="J20" s="54">
        <v>2649698.58</v>
      </c>
      <c r="K20" s="53">
        <f t="shared" si="1"/>
        <v>73.733820681211043</v>
      </c>
      <c r="L20" s="51">
        <f t="shared" si="2"/>
        <v>66029</v>
      </c>
      <c r="M20" s="51">
        <f t="shared" si="2"/>
        <v>4868572.92</v>
      </c>
      <c r="N20" s="52">
        <f t="shared" si="3"/>
        <v>73.733858153235701</v>
      </c>
      <c r="O20" s="54">
        <f t="shared" si="11"/>
        <v>64747.923076923078</v>
      </c>
      <c r="P20" s="54">
        <f t="shared" si="11"/>
        <v>4852667.352307694</v>
      </c>
      <c r="Q20" s="56">
        <f t="shared" si="4"/>
        <v>74.947073538444386</v>
      </c>
      <c r="R20" s="35">
        <f t="shared" si="5"/>
        <v>25.395769230769229</v>
      </c>
    </row>
    <row r="21" spans="1:18">
      <c r="A21" s="21">
        <v>91000</v>
      </c>
      <c r="B21" s="49">
        <v>42064</v>
      </c>
      <c r="C21" s="50">
        <f t="shared" si="6"/>
        <v>66029</v>
      </c>
      <c r="D21" s="50">
        <f t="shared" si="6"/>
        <v>4868572.92</v>
      </c>
      <c r="E21" s="53">
        <f t="shared" si="6"/>
        <v>73.733858153235701</v>
      </c>
      <c r="F21" s="51">
        <v>45152</v>
      </c>
      <c r="G21" s="54">
        <v>6074900.3399999999</v>
      </c>
      <c r="H21" s="52">
        <f t="shared" ref="H21" si="12">IF(F21=0,0,G21/F21)</f>
        <v>134.54332787030475</v>
      </c>
      <c r="I21" s="54">
        <v>20835</v>
      </c>
      <c r="J21" s="54">
        <v>4408144.22</v>
      </c>
      <c r="K21" s="53">
        <f t="shared" si="1"/>
        <v>211.57399664026877</v>
      </c>
      <c r="L21" s="51">
        <f t="shared" si="2"/>
        <v>90346</v>
      </c>
      <c r="M21" s="51">
        <f t="shared" si="2"/>
        <v>6535329.04</v>
      </c>
      <c r="N21" s="52">
        <f t="shared" si="3"/>
        <v>72.336672791269123</v>
      </c>
      <c r="O21" s="54">
        <f t="shared" si="11"/>
        <v>67635.230769230766</v>
      </c>
      <c r="P21" s="54">
        <f t="shared" si="11"/>
        <v>5053291.5292307716</v>
      </c>
      <c r="Q21" s="56">
        <f t="shared" si="4"/>
        <v>74.713894988729166</v>
      </c>
      <c r="R21" s="35">
        <f t="shared" si="5"/>
        <v>34.748461538461541</v>
      </c>
    </row>
    <row r="22" spans="1:18">
      <c r="A22" s="21">
        <v>91000</v>
      </c>
      <c r="B22" s="49">
        <v>42095</v>
      </c>
      <c r="C22" s="50">
        <f t="shared" si="6"/>
        <v>90346</v>
      </c>
      <c r="D22" s="50">
        <f t="shared" si="6"/>
        <v>6535329.04</v>
      </c>
      <c r="E22" s="53">
        <f t="shared" si="6"/>
        <v>72.336672791269123</v>
      </c>
      <c r="F22" s="51">
        <v>31861</v>
      </c>
      <c r="G22" s="54">
        <v>2549979.11</v>
      </c>
      <c r="H22" s="52">
        <f t="shared" ref="H22:H30" si="13">IF(F22=0,0,G22/F22)</f>
        <v>80.0344970339914</v>
      </c>
      <c r="I22" s="54">
        <v>26849</v>
      </c>
      <c r="J22" s="54">
        <v>1996032.32</v>
      </c>
      <c r="K22" s="53">
        <f t="shared" si="1"/>
        <v>74.342892472717793</v>
      </c>
      <c r="L22" s="51">
        <f t="shared" si="2"/>
        <v>95358</v>
      </c>
      <c r="M22" s="51">
        <f t="shared" si="2"/>
        <v>7089275.8300000001</v>
      </c>
      <c r="N22" s="52">
        <f t="shared" si="3"/>
        <v>74.343797374106003</v>
      </c>
      <c r="O22" s="54">
        <f t="shared" si="11"/>
        <v>71073.38461538461</v>
      </c>
      <c r="P22" s="54">
        <f t="shared" si="11"/>
        <v>5304626.4538461547</v>
      </c>
      <c r="Q22" s="56">
        <f t="shared" si="4"/>
        <v>74.635906008307785</v>
      </c>
      <c r="R22" s="35">
        <f t="shared" si="5"/>
        <v>36.676153846153845</v>
      </c>
    </row>
    <row r="23" spans="1:18">
      <c r="A23" s="21">
        <v>91000</v>
      </c>
      <c r="B23" s="49">
        <v>42125</v>
      </c>
      <c r="C23" s="50">
        <f t="shared" si="6"/>
        <v>95358</v>
      </c>
      <c r="D23" s="50">
        <f t="shared" si="6"/>
        <v>7089275.8300000001</v>
      </c>
      <c r="E23" s="53">
        <f t="shared" si="6"/>
        <v>74.343797374106003</v>
      </c>
      <c r="F23" s="51">
        <v>70830</v>
      </c>
      <c r="G23" s="54">
        <v>5102145.91</v>
      </c>
      <c r="H23" s="52">
        <f t="shared" si="13"/>
        <v>72.033685020471552</v>
      </c>
      <c r="I23" s="54">
        <v>47384</v>
      </c>
      <c r="J23" s="54">
        <v>3476057.53</v>
      </c>
      <c r="K23" s="53">
        <f t="shared" si="1"/>
        <v>73.359309682593278</v>
      </c>
      <c r="L23" s="51">
        <f t="shared" si="2"/>
        <v>118804</v>
      </c>
      <c r="M23" s="51">
        <f t="shared" si="2"/>
        <v>8715364.2100000009</v>
      </c>
      <c r="N23" s="52">
        <f t="shared" si="3"/>
        <v>73.359181593212355</v>
      </c>
      <c r="O23" s="54">
        <f t="shared" si="11"/>
        <v>75978.230769230766</v>
      </c>
      <c r="P23" s="54">
        <f t="shared" si="11"/>
        <v>5653265.8000000007</v>
      </c>
      <c r="Q23" s="56">
        <f t="shared" si="4"/>
        <v>74.406389077033211</v>
      </c>
      <c r="R23" s="35">
        <f t="shared" si="5"/>
        <v>45.693846153846152</v>
      </c>
    </row>
    <row r="24" spans="1:18">
      <c r="A24" s="21">
        <v>91000</v>
      </c>
      <c r="B24" s="49">
        <v>42156</v>
      </c>
      <c r="C24" s="50">
        <f t="shared" si="6"/>
        <v>118804</v>
      </c>
      <c r="D24" s="50">
        <f t="shared" si="6"/>
        <v>8715364.2100000009</v>
      </c>
      <c r="E24" s="53">
        <f t="shared" si="6"/>
        <v>73.359181593212355</v>
      </c>
      <c r="F24" s="51">
        <v>26651</v>
      </c>
      <c r="G24" s="54">
        <v>1769839.68</v>
      </c>
      <c r="H24" s="52">
        <f t="shared" si="13"/>
        <v>66.408002701587179</v>
      </c>
      <c r="I24" s="54">
        <v>57208</v>
      </c>
      <c r="J24" s="54">
        <v>4123924.72</v>
      </c>
      <c r="K24" s="53">
        <f t="shared" si="1"/>
        <v>72.086503985456588</v>
      </c>
      <c r="L24" s="51">
        <f t="shared" si="2"/>
        <v>88247</v>
      </c>
      <c r="M24" s="51">
        <f t="shared" si="2"/>
        <v>6361279.1699999999</v>
      </c>
      <c r="N24" s="52">
        <f t="shared" si="3"/>
        <v>72.084933992090384</v>
      </c>
      <c r="O24" s="54">
        <f t="shared" si="11"/>
        <v>75691</v>
      </c>
      <c r="P24" s="54">
        <f t="shared" si="11"/>
        <v>5613465.4392307699</v>
      </c>
      <c r="Q24" s="56">
        <f t="shared" si="4"/>
        <v>74.162918170334251</v>
      </c>
      <c r="R24" s="35">
        <f t="shared" si="5"/>
        <v>33.941153846153846</v>
      </c>
    </row>
    <row r="25" spans="1:18">
      <c r="A25" s="21">
        <v>91000</v>
      </c>
      <c r="B25" s="49">
        <v>42186</v>
      </c>
      <c r="C25" s="50">
        <f t="shared" si="6"/>
        <v>88247</v>
      </c>
      <c r="D25" s="50">
        <f t="shared" si="6"/>
        <v>6361279.1699999999</v>
      </c>
      <c r="E25" s="53">
        <f t="shared" si="6"/>
        <v>72.084933992090384</v>
      </c>
      <c r="F25" s="51">
        <v>67616</v>
      </c>
      <c r="G25" s="54">
        <v>4838966.17</v>
      </c>
      <c r="H25" s="52">
        <f t="shared" si="13"/>
        <v>71.565401236393754</v>
      </c>
      <c r="I25" s="54">
        <v>54430</v>
      </c>
      <c r="J25" s="54">
        <v>3911354.17</v>
      </c>
      <c r="K25" s="53">
        <f t="shared" si="1"/>
        <v>71.86026400881866</v>
      </c>
      <c r="L25" s="51">
        <f t="shared" si="2"/>
        <v>101433</v>
      </c>
      <c r="M25" s="51">
        <f t="shared" si="2"/>
        <v>7288891.1699999999</v>
      </c>
      <c r="N25" s="52">
        <f t="shared" si="3"/>
        <v>71.859169796811685</v>
      </c>
      <c r="O25" s="54">
        <f t="shared" si="11"/>
        <v>78621.692307692312</v>
      </c>
      <c r="P25" s="54">
        <f t="shared" si="11"/>
        <v>5808879.4399999995</v>
      </c>
      <c r="Q25" s="56">
        <f t="shared" si="4"/>
        <v>73.883927825751741</v>
      </c>
      <c r="R25" s="35">
        <f t="shared" si="5"/>
        <v>39.012692307692305</v>
      </c>
    </row>
    <row r="26" spans="1:18">
      <c r="A26" s="21">
        <v>91000</v>
      </c>
      <c r="B26" s="49">
        <v>42217</v>
      </c>
      <c r="C26" s="50">
        <f t="shared" si="6"/>
        <v>101433</v>
      </c>
      <c r="D26" s="50">
        <f t="shared" si="6"/>
        <v>7288891.1699999999</v>
      </c>
      <c r="E26" s="53">
        <f t="shared" si="6"/>
        <v>71.859169796811685</v>
      </c>
      <c r="F26" s="51">
        <v>28744</v>
      </c>
      <c r="G26" s="54">
        <v>2426695.9</v>
      </c>
      <c r="H26" s="52">
        <f t="shared" si="13"/>
        <v>84.424432925132194</v>
      </c>
      <c r="I26" s="54">
        <v>60060</v>
      </c>
      <c r="J26" s="54">
        <v>4482547.8899999997</v>
      </c>
      <c r="K26" s="53">
        <f t="shared" si="1"/>
        <v>74.634497002996994</v>
      </c>
      <c r="L26" s="51">
        <f t="shared" si="2"/>
        <v>70117</v>
      </c>
      <c r="M26" s="51">
        <f t="shared" si="2"/>
        <v>5233039.1800000006</v>
      </c>
      <c r="N26" s="52">
        <f t="shared" si="3"/>
        <v>74.632958911533592</v>
      </c>
      <c r="O26" s="54">
        <f t="shared" si="11"/>
        <v>80069.38461538461</v>
      </c>
      <c r="P26" s="54">
        <f t="shared" si="11"/>
        <v>5916042.6207692316</v>
      </c>
      <c r="Q26" s="56">
        <f t="shared" si="4"/>
        <v>73.886450472763059</v>
      </c>
      <c r="R26" s="35">
        <f t="shared" si="5"/>
        <v>26.968076923076922</v>
      </c>
    </row>
    <row r="27" spans="1:18">
      <c r="A27" s="21">
        <v>91000</v>
      </c>
      <c r="B27" s="49">
        <v>42248</v>
      </c>
      <c r="C27" s="50">
        <f t="shared" si="6"/>
        <v>70117</v>
      </c>
      <c r="D27" s="50">
        <f t="shared" si="6"/>
        <v>5233039.1800000006</v>
      </c>
      <c r="E27" s="53">
        <f t="shared" si="6"/>
        <v>74.632958911533592</v>
      </c>
      <c r="F27" s="51">
        <v>28744</v>
      </c>
      <c r="G27" s="54">
        <v>2426695.9</v>
      </c>
      <c r="H27" s="52">
        <f t="shared" si="13"/>
        <v>84.424432925132194</v>
      </c>
      <c r="I27" s="54">
        <v>60060</v>
      </c>
      <c r="J27" s="54">
        <v>4482547.8899999997</v>
      </c>
      <c r="K27" s="53">
        <f t="shared" si="1"/>
        <v>74.634497002996994</v>
      </c>
      <c r="L27" s="51">
        <f t="shared" si="2"/>
        <v>38801</v>
      </c>
      <c r="M27" s="51">
        <f t="shared" si="2"/>
        <v>3177187.1900000004</v>
      </c>
      <c r="N27" s="52">
        <f t="shared" si="3"/>
        <v>81.884157367078174</v>
      </c>
      <c r="O27" s="54">
        <f t="shared" si="11"/>
        <v>80034.076923076922</v>
      </c>
      <c r="P27" s="54">
        <f t="shared" si="11"/>
        <v>5934954.9815384615</v>
      </c>
      <c r="Q27" s="56">
        <f t="shared" si="4"/>
        <v>74.155349942284204</v>
      </c>
      <c r="R27" s="35">
        <f t="shared" si="5"/>
        <v>14.923461538461538</v>
      </c>
    </row>
    <row r="28" spans="1:18">
      <c r="A28" s="21">
        <v>91000</v>
      </c>
      <c r="B28" s="49">
        <v>42278</v>
      </c>
      <c r="C28" s="50">
        <f t="shared" si="6"/>
        <v>38801</v>
      </c>
      <c r="D28" s="50">
        <f t="shared" si="6"/>
        <v>3177187.1900000004</v>
      </c>
      <c r="E28" s="53">
        <f t="shared" si="6"/>
        <v>81.884157367078174</v>
      </c>
      <c r="F28" s="51">
        <v>110028</v>
      </c>
      <c r="G28" s="54">
        <v>8432293.4800000004</v>
      </c>
      <c r="H28" s="52">
        <f t="shared" si="13"/>
        <v>76.637705674919118</v>
      </c>
      <c r="I28" s="54">
        <v>40497</v>
      </c>
      <c r="J28" s="54">
        <v>3231583.14</v>
      </c>
      <c r="K28" s="53">
        <f t="shared" si="1"/>
        <v>79.798087265723396</v>
      </c>
      <c r="L28" s="51">
        <f t="shared" si="2"/>
        <v>108332</v>
      </c>
      <c r="M28" s="51">
        <f t="shared" si="2"/>
        <v>8377897.5300000012</v>
      </c>
      <c r="N28" s="52">
        <f t="shared" si="3"/>
        <v>77.335390558653046</v>
      </c>
      <c r="O28" s="54">
        <f t="shared" si="11"/>
        <v>80617.846153846156</v>
      </c>
      <c r="P28" s="54">
        <f t="shared" si="11"/>
        <v>6002936.6923076939</v>
      </c>
      <c r="Q28" s="56">
        <f t="shared" si="4"/>
        <v>74.461635713413344</v>
      </c>
      <c r="R28" s="35">
        <f t="shared" si="5"/>
        <v>41.666153846153847</v>
      </c>
    </row>
    <row r="29" spans="1:18">
      <c r="A29" s="21">
        <v>91000</v>
      </c>
      <c r="B29" s="49">
        <v>42309</v>
      </c>
      <c r="C29" s="50">
        <f t="shared" si="6"/>
        <v>108332</v>
      </c>
      <c r="D29" s="50">
        <f t="shared" si="6"/>
        <v>8377897.5300000012</v>
      </c>
      <c r="E29" s="53">
        <f t="shared" si="6"/>
        <v>77.335390558653046</v>
      </c>
      <c r="F29" s="51">
        <v>44566</v>
      </c>
      <c r="G29" s="54">
        <v>3035857.37</v>
      </c>
      <c r="H29" s="52">
        <f t="shared" si="13"/>
        <v>68.120481308620924</v>
      </c>
      <c r="I29" s="54">
        <v>45545</v>
      </c>
      <c r="J29" s="54">
        <v>3378327.35</v>
      </c>
      <c r="K29" s="53">
        <f t="shared" si="1"/>
        <v>74.175592271379955</v>
      </c>
      <c r="L29" s="51">
        <f t="shared" si="2"/>
        <v>107353</v>
      </c>
      <c r="M29" s="51">
        <f t="shared" si="2"/>
        <v>8035427.5500000026</v>
      </c>
      <c r="N29" s="52">
        <f t="shared" si="3"/>
        <v>74.850516986018121</v>
      </c>
      <c r="O29" s="54">
        <f t="shared" si="11"/>
        <v>83072.923076923078</v>
      </c>
      <c r="P29" s="54">
        <f t="shared" si="11"/>
        <v>6188706.9376923079</v>
      </c>
      <c r="Q29" s="56">
        <f t="shared" si="4"/>
        <v>74.497281526517938</v>
      </c>
      <c r="R29" s="35">
        <f t="shared" si="5"/>
        <v>41.289615384615388</v>
      </c>
    </row>
    <row r="30" spans="1:18">
      <c r="A30" s="21">
        <v>91000</v>
      </c>
      <c r="B30" s="49">
        <v>42339</v>
      </c>
      <c r="C30" s="50">
        <f t="shared" si="6"/>
        <v>107353</v>
      </c>
      <c r="D30" s="50">
        <f t="shared" si="6"/>
        <v>8035427.5500000026</v>
      </c>
      <c r="E30" s="53">
        <f t="shared" si="6"/>
        <v>74.850516986018121</v>
      </c>
      <c r="F30" s="51">
        <v>19034</v>
      </c>
      <c r="G30" s="54">
        <v>1577153.95</v>
      </c>
      <c r="H30" s="52">
        <f t="shared" si="13"/>
        <v>82.859827151413256</v>
      </c>
      <c r="I30" s="54">
        <v>24213</v>
      </c>
      <c r="J30" s="54">
        <v>1841321.13</v>
      </c>
      <c r="K30" s="53">
        <f t="shared" si="1"/>
        <v>76.046798414075084</v>
      </c>
      <c r="L30" s="51">
        <f t="shared" si="2"/>
        <v>102174</v>
      </c>
      <c r="M30" s="51">
        <f t="shared" si="2"/>
        <v>7771260.370000002</v>
      </c>
      <c r="N30" s="52">
        <f t="shared" si="3"/>
        <v>76.059079315677195</v>
      </c>
      <c r="O30" s="54">
        <f t="shared" si="11"/>
        <v>86260.769230769234</v>
      </c>
      <c r="P30" s="54">
        <f t="shared" si="11"/>
        <v>6436966.1323076934</v>
      </c>
      <c r="Q30" s="56">
        <f t="shared" si="4"/>
        <v>74.622174016176359</v>
      </c>
      <c r="R30" s="35">
        <f t="shared" si="5"/>
        <v>39.297692307692309</v>
      </c>
    </row>
    <row r="31" spans="1:18">
      <c r="A31" s="21">
        <v>91000</v>
      </c>
      <c r="B31" s="13">
        <v>42370</v>
      </c>
      <c r="C31" s="16">
        <f t="shared" si="6"/>
        <v>102174</v>
      </c>
      <c r="D31" s="16">
        <f t="shared" si="6"/>
        <v>7771260.370000002</v>
      </c>
      <c r="E31" s="14">
        <f t="shared" si="6"/>
        <v>76.059079315677195</v>
      </c>
      <c r="F31" s="46">
        <f>AVERAGE(I31:I42)</f>
        <v>46356.895454545454</v>
      </c>
      <c r="G31" s="23">
        <f t="shared" ref="G31:G54" si="14">F31*H31</f>
        <v>3450180.3364115078</v>
      </c>
      <c r="H31" s="22">
        <f>IF(F31=0,0,VLOOKUP(B31,Data!$A$5:$V$197,5,FALSE)*22)</f>
        <v>74.426475340535461</v>
      </c>
      <c r="I31" s="71">
        <f>VLOOKUP(B31,Data!$A$5:$V$197,10,FALSE)</f>
        <v>46722.272727272735</v>
      </c>
      <c r="J31" s="23">
        <f t="shared" ref="J31:J54" si="15">IF(C31+G31&gt;0,((D31+G31)/(C31+F31)*I31),0)</f>
        <v>3529846.1742481464</v>
      </c>
      <c r="K31" s="14">
        <f t="shared" si="1"/>
        <v>75.549539185573565</v>
      </c>
      <c r="L31" s="15">
        <f t="shared" si="2"/>
        <v>101808.62272727271</v>
      </c>
      <c r="M31" s="15">
        <f t="shared" si="2"/>
        <v>7691594.5321633648</v>
      </c>
      <c r="N31" s="22">
        <f t="shared" si="3"/>
        <v>75.549539185573565</v>
      </c>
      <c r="O31" s="31">
        <f t="shared" si="11"/>
        <v>89399.970979020989</v>
      </c>
      <c r="P31" s="31">
        <f t="shared" si="11"/>
        <v>6676058.0263202591</v>
      </c>
      <c r="Q31" s="32">
        <f t="shared" si="4"/>
        <v>74.676288517888821</v>
      </c>
      <c r="R31" s="35">
        <f t="shared" si="5"/>
        <v>39.157162587412579</v>
      </c>
    </row>
    <row r="32" spans="1:18">
      <c r="A32" s="21">
        <v>91000</v>
      </c>
      <c r="B32" s="13">
        <v>42401</v>
      </c>
      <c r="C32" s="16">
        <f t="shared" si="6"/>
        <v>101808.62272727271</v>
      </c>
      <c r="D32" s="16">
        <f t="shared" si="6"/>
        <v>7691594.5321633648</v>
      </c>
      <c r="E32" s="14">
        <f t="shared" si="6"/>
        <v>75.549539185573565</v>
      </c>
      <c r="F32" s="46">
        <f>F31</f>
        <v>46356.895454545454</v>
      </c>
      <c r="G32" s="23">
        <f t="shared" si="14"/>
        <v>3409045.2337611006</v>
      </c>
      <c r="H32" s="22">
        <f>IF(F32=0,0,VLOOKUP(B32,Data!$A$5:$V$197,5,FALSE)*22)</f>
        <v>73.53911862160372</v>
      </c>
      <c r="I32" s="71">
        <f>VLOOKUP(B32,Data!$A$5:$V$197,10,FALSE)</f>
        <v>37424.509090909094</v>
      </c>
      <c r="J32" s="23">
        <f t="shared" si="15"/>
        <v>2803864.2116781431</v>
      </c>
      <c r="K32" s="14">
        <f t="shared" si="1"/>
        <v>74.920534157634108</v>
      </c>
      <c r="L32" s="15">
        <f t="shared" si="2"/>
        <v>110741.00909090906</v>
      </c>
      <c r="M32" s="15">
        <f t="shared" si="2"/>
        <v>8296775.5542463213</v>
      </c>
      <c r="N32" s="22">
        <f t="shared" si="3"/>
        <v>74.920534157634108</v>
      </c>
      <c r="O32" s="31">
        <f t="shared" si="11"/>
        <v>92272.587062937062</v>
      </c>
      <c r="P32" s="31">
        <f t="shared" si="11"/>
        <v>6880145.7112622848</v>
      </c>
      <c r="Q32" s="32">
        <f t="shared" si="4"/>
        <v>74.563268791515426</v>
      </c>
      <c r="R32" s="35">
        <f t="shared" si="5"/>
        <v>42.592695804195792</v>
      </c>
    </row>
    <row r="33" spans="1:18">
      <c r="A33" s="21">
        <v>91000</v>
      </c>
      <c r="B33" s="13">
        <v>42430</v>
      </c>
      <c r="C33" s="16">
        <f t="shared" si="6"/>
        <v>110741.00909090906</v>
      </c>
      <c r="D33" s="16">
        <f t="shared" si="6"/>
        <v>8296775.5542463213</v>
      </c>
      <c r="E33" s="14">
        <f t="shared" si="6"/>
        <v>74.920534157634108</v>
      </c>
      <c r="F33" s="46">
        <f t="shared" ref="F33:F42" si="16">F32</f>
        <v>46356.895454545454</v>
      </c>
      <c r="G33" s="23">
        <f t="shared" si="14"/>
        <v>3652981.7303412855</v>
      </c>
      <c r="H33" s="22">
        <f>IF(F33=0,0,VLOOKUP(B33,Data!$A$5:$V$197,5,FALSE)*22)</f>
        <v>78.801259111994696</v>
      </c>
      <c r="I33" s="71">
        <f>VLOOKUP(B33,Data!$A$5:$V$197,10,FALSE)</f>
        <v>46849.781818181822</v>
      </c>
      <c r="J33" s="23">
        <f t="shared" si="15"/>
        <v>3563660.0194191248</v>
      </c>
      <c r="K33" s="14">
        <f t="shared" si="1"/>
        <v>76.065669489118349</v>
      </c>
      <c r="L33" s="15">
        <f t="shared" si="2"/>
        <v>110248.12272727268</v>
      </c>
      <c r="M33" s="15">
        <f t="shared" si="2"/>
        <v>8386097.2651684824</v>
      </c>
      <c r="N33" s="22">
        <f t="shared" si="3"/>
        <v>76.065669489118363</v>
      </c>
      <c r="O33" s="31">
        <f t="shared" ref="O33:P48" si="17">AVERAGE(L21:L33)</f>
        <v>95674.058041958036</v>
      </c>
      <c r="P33" s="31">
        <f t="shared" si="17"/>
        <v>7150724.5070444755</v>
      </c>
      <c r="Q33" s="32">
        <f t="shared" si="4"/>
        <v>74.7404746217466</v>
      </c>
      <c r="R33" s="35">
        <f t="shared" si="5"/>
        <v>42.403124125874108</v>
      </c>
    </row>
    <row r="34" spans="1:18">
      <c r="A34" s="21">
        <v>91000</v>
      </c>
      <c r="B34" s="13">
        <v>42461</v>
      </c>
      <c r="C34" s="16">
        <f t="shared" si="6"/>
        <v>110248.12272727268</v>
      </c>
      <c r="D34" s="16">
        <f t="shared" si="6"/>
        <v>8386097.2651684824</v>
      </c>
      <c r="E34" s="14">
        <f t="shared" si="6"/>
        <v>76.065669489118363</v>
      </c>
      <c r="F34" s="46">
        <f t="shared" si="16"/>
        <v>46356.895454545454</v>
      </c>
      <c r="G34" s="23">
        <f t="shared" si="14"/>
        <v>3409045.2337611006</v>
      </c>
      <c r="H34" s="22">
        <f>IF(F34=0,0,VLOOKUP(B34,Data!$A$5:$V$197,5,FALSE)*22)</f>
        <v>73.53911862160372</v>
      </c>
      <c r="I34" s="71">
        <f>VLOOKUP(B34,Data!$A$5:$V$197,10,FALSE)</f>
        <v>40183.4</v>
      </c>
      <c r="J34" s="23">
        <f t="shared" si="15"/>
        <v>3026524.5302753327</v>
      </c>
      <c r="K34" s="14">
        <f t="shared" si="1"/>
        <v>75.317781229944018</v>
      </c>
      <c r="L34" s="15">
        <f t="shared" si="2"/>
        <v>116421.61818181814</v>
      </c>
      <c r="M34" s="15">
        <f t="shared" si="2"/>
        <v>8768617.9686542489</v>
      </c>
      <c r="N34" s="22">
        <f t="shared" si="3"/>
        <v>75.317781229944003</v>
      </c>
      <c r="O34" s="31">
        <f t="shared" si="17"/>
        <v>97679.874825174818</v>
      </c>
      <c r="P34" s="31">
        <f t="shared" si="17"/>
        <v>7322515.9630948016</v>
      </c>
      <c r="Q34" s="32">
        <f t="shared" si="4"/>
        <v>74.964428201822244</v>
      </c>
      <c r="R34" s="35">
        <f t="shared" si="5"/>
        <v>44.777545454545439</v>
      </c>
    </row>
    <row r="35" spans="1:18">
      <c r="A35" s="21">
        <v>91000</v>
      </c>
      <c r="B35" s="13">
        <v>42491</v>
      </c>
      <c r="C35" s="16">
        <f t="shared" si="6"/>
        <v>116421.61818181814</v>
      </c>
      <c r="D35" s="16">
        <f t="shared" si="6"/>
        <v>8768617.9686542489</v>
      </c>
      <c r="E35" s="14">
        <f t="shared" si="6"/>
        <v>75.317781229944003</v>
      </c>
      <c r="F35" s="46">
        <f t="shared" si="16"/>
        <v>46356.895454545454</v>
      </c>
      <c r="G35" s="23">
        <f t="shared" si="14"/>
        <v>3405753.7177559538</v>
      </c>
      <c r="H35" s="22">
        <f>IF(F35=0,0,VLOOKUP(B35,Data!$A$5:$V$197,5,FALSE)*22)</f>
        <v>73.468114815743292</v>
      </c>
      <c r="I35" s="71">
        <f>VLOOKUP(B35,Data!$A$5:$V$197,10,FALSE)</f>
        <v>26247.436363636363</v>
      </c>
      <c r="J35" s="23">
        <f t="shared" si="15"/>
        <v>1963072.6375850369</v>
      </c>
      <c r="K35" s="14">
        <f t="shared" si="1"/>
        <v>74.791023793268835</v>
      </c>
      <c r="L35" s="15">
        <f t="shared" si="2"/>
        <v>136531.07727272721</v>
      </c>
      <c r="M35" s="15">
        <f t="shared" si="2"/>
        <v>10211299.048825167</v>
      </c>
      <c r="N35" s="22">
        <f t="shared" si="3"/>
        <v>74.791023793268835</v>
      </c>
      <c r="O35" s="31">
        <f t="shared" si="17"/>
        <v>100847.03461538459</v>
      </c>
      <c r="P35" s="31">
        <f t="shared" si="17"/>
        <v>7562671.5953121232</v>
      </c>
      <c r="Q35" s="32">
        <f t="shared" si="4"/>
        <v>74.991511888822657</v>
      </c>
      <c r="R35" s="35">
        <f t="shared" si="5"/>
        <v>52.511952797202774</v>
      </c>
    </row>
    <row r="36" spans="1:18">
      <c r="A36" s="21">
        <v>91000</v>
      </c>
      <c r="B36" s="13">
        <v>42522</v>
      </c>
      <c r="C36" s="16">
        <f t="shared" si="6"/>
        <v>136531.07727272721</v>
      </c>
      <c r="D36" s="16">
        <f t="shared" si="6"/>
        <v>10211299.048825167</v>
      </c>
      <c r="E36" s="14">
        <f t="shared" si="6"/>
        <v>74.791023793268835</v>
      </c>
      <c r="F36" s="46">
        <f t="shared" si="16"/>
        <v>46356.895454545454</v>
      </c>
      <c r="G36" s="23">
        <f t="shared" si="14"/>
        <v>3218582.6797122341</v>
      </c>
      <c r="H36" s="22">
        <f>IF(F36=0,0,VLOOKUP(B36,Data!$A$5:$V$197,5,FALSE)*22)</f>
        <v>69.430505389822017</v>
      </c>
      <c r="I36" s="71">
        <f>VLOOKUP(B36,Data!$A$5:$V$197,10,FALSE)</f>
        <v>48125.872727272726</v>
      </c>
      <c r="J36" s="23">
        <f t="shared" si="15"/>
        <v>3533992.7999187396</v>
      </c>
      <c r="K36" s="14">
        <f t="shared" si="1"/>
        <v>73.432284957110838</v>
      </c>
      <c r="L36" s="15">
        <f t="shared" si="2"/>
        <v>134762.09999999992</v>
      </c>
      <c r="M36" s="15">
        <f t="shared" si="2"/>
        <v>9895888.9286186621</v>
      </c>
      <c r="N36" s="22">
        <f t="shared" si="3"/>
        <v>73.432284957110852</v>
      </c>
      <c r="O36" s="31">
        <f t="shared" si="17"/>
        <v>102074.58076923074</v>
      </c>
      <c r="P36" s="31">
        <f t="shared" si="17"/>
        <v>7653481.1890520202</v>
      </c>
      <c r="Q36" s="32">
        <f t="shared" si="4"/>
        <v>74.979305634915505</v>
      </c>
      <c r="R36" s="35">
        <f t="shared" si="5"/>
        <v>51.831576923076895</v>
      </c>
    </row>
    <row r="37" spans="1:18">
      <c r="A37" s="21">
        <v>91000</v>
      </c>
      <c r="B37" s="13">
        <v>42552</v>
      </c>
      <c r="C37" s="16">
        <f t="shared" si="6"/>
        <v>134762.09999999992</v>
      </c>
      <c r="D37" s="16">
        <f t="shared" si="6"/>
        <v>9895888.9286186621</v>
      </c>
      <c r="E37" s="14">
        <f t="shared" si="6"/>
        <v>73.432284957110852</v>
      </c>
      <c r="F37" s="46">
        <f t="shared" si="16"/>
        <v>46356.895454545454</v>
      </c>
      <c r="G37" s="23">
        <f t="shared" si="14"/>
        <v>3338158.6251742821</v>
      </c>
      <c r="H37" s="22">
        <f>IF(F37=0,0,VLOOKUP(B37,Data!$A$5:$V$197,5,FALSE)*22)</f>
        <v>72.009969443433988</v>
      </c>
      <c r="I37" s="71">
        <f>VLOOKUP(B37,Data!$A$5:$V$197,10,FALSE)</f>
        <v>53372.836363636365</v>
      </c>
      <c r="J37" s="23">
        <f t="shared" si="15"/>
        <v>3899859.6074614367</v>
      </c>
      <c r="K37" s="14">
        <f t="shared" si="1"/>
        <v>73.068247317627353</v>
      </c>
      <c r="L37" s="15">
        <f t="shared" si="2"/>
        <v>127746.159090909</v>
      </c>
      <c r="M37" s="15">
        <f t="shared" si="2"/>
        <v>9334187.9463315085</v>
      </c>
      <c r="N37" s="22">
        <f t="shared" si="3"/>
        <v>73.068247317627353</v>
      </c>
      <c r="O37" s="31">
        <f t="shared" si="17"/>
        <v>105112.97762237758</v>
      </c>
      <c r="P37" s="31">
        <f t="shared" si="17"/>
        <v>7882166.47953906</v>
      </c>
      <c r="Q37" s="32">
        <f t="shared" si="4"/>
        <v>74.987567261732863</v>
      </c>
      <c r="R37" s="35">
        <f t="shared" si="5"/>
        <v>49.13313811188808</v>
      </c>
    </row>
    <row r="38" spans="1:18">
      <c r="A38" s="21">
        <v>91000</v>
      </c>
      <c r="B38" s="13">
        <v>42583</v>
      </c>
      <c r="C38" s="16">
        <f t="shared" si="6"/>
        <v>127746.159090909</v>
      </c>
      <c r="D38" s="16">
        <f t="shared" si="6"/>
        <v>9334187.9463315085</v>
      </c>
      <c r="E38" s="14">
        <f t="shared" si="6"/>
        <v>73.068247317627353</v>
      </c>
      <c r="F38" s="46">
        <f t="shared" si="16"/>
        <v>46356.895454545454</v>
      </c>
      <c r="G38" s="23">
        <f t="shared" si="14"/>
        <v>3450180.3364115078</v>
      </c>
      <c r="H38" s="22">
        <f>IF(F38=0,0,VLOOKUP(B38,Data!$A$5:$V$197,5,FALSE)*22)</f>
        <v>74.426475340535461</v>
      </c>
      <c r="I38" s="71">
        <f>VLOOKUP(B38,Data!$A$5:$V$197,10,FALSE)</f>
        <v>55647.818181818184</v>
      </c>
      <c r="J38" s="23">
        <f t="shared" si="15"/>
        <v>4086213.212196975</v>
      </c>
      <c r="K38" s="14">
        <f t="shared" si="1"/>
        <v>73.429890797265145</v>
      </c>
      <c r="L38" s="15">
        <f t="shared" si="2"/>
        <v>118455.23636363627</v>
      </c>
      <c r="M38" s="15">
        <f t="shared" si="2"/>
        <v>8698155.0705460422</v>
      </c>
      <c r="N38" s="22">
        <f t="shared" si="3"/>
        <v>73.429890797265145</v>
      </c>
      <c r="O38" s="31">
        <f t="shared" si="17"/>
        <v>106422.38041958037</v>
      </c>
      <c r="P38" s="31">
        <f t="shared" si="17"/>
        <v>7990571.3949656775</v>
      </c>
      <c r="Q38" s="32">
        <f t="shared" si="4"/>
        <v>75.083561967530599</v>
      </c>
      <c r="R38" s="35">
        <f t="shared" si="5"/>
        <v>45.559706293706256</v>
      </c>
    </row>
    <row r="39" spans="1:18">
      <c r="A39" s="21">
        <v>91000</v>
      </c>
      <c r="B39" s="13">
        <v>42614</v>
      </c>
      <c r="C39" s="16">
        <f t="shared" si="6"/>
        <v>118455.23636363627</v>
      </c>
      <c r="D39" s="16">
        <f t="shared" si="6"/>
        <v>8698155.0705460422</v>
      </c>
      <c r="E39" s="14">
        <f t="shared" si="6"/>
        <v>73.429890797265145</v>
      </c>
      <c r="F39" s="46">
        <f t="shared" si="16"/>
        <v>46356.895454545454</v>
      </c>
      <c r="G39" s="23">
        <f t="shared" si="14"/>
        <v>3338158.6251742821</v>
      </c>
      <c r="H39" s="22">
        <f>IF(F39=0,0,VLOOKUP(B39,Data!$A$5:$V$197,5,FALSE)*22)</f>
        <v>72.009969443433988</v>
      </c>
      <c r="I39" s="71">
        <f>VLOOKUP(B39,Data!$A$5:$V$197,10,FALSE)</f>
        <v>52343.36363636364</v>
      </c>
      <c r="J39" s="23">
        <f t="shared" si="15"/>
        <v>3822662.4318618895</v>
      </c>
      <c r="K39" s="14">
        <f t="shared" si="1"/>
        <v>73.030507905805166</v>
      </c>
      <c r="L39" s="15">
        <f t="shared" si="2"/>
        <v>112468.76818181807</v>
      </c>
      <c r="M39" s="15">
        <f t="shared" si="2"/>
        <v>8213651.2638584347</v>
      </c>
      <c r="N39" s="22">
        <f t="shared" si="3"/>
        <v>73.03050790580518</v>
      </c>
      <c r="O39" s="31">
        <f t="shared" si="17"/>
        <v>109680.20874125868</v>
      </c>
      <c r="P39" s="31">
        <f t="shared" si="17"/>
        <v>8219849.247570172</v>
      </c>
      <c r="Q39" s="32">
        <f t="shared" si="4"/>
        <v>74.943778297880741</v>
      </c>
      <c r="R39" s="35">
        <f t="shared" si="5"/>
        <v>43.257218531468489</v>
      </c>
    </row>
    <row r="40" spans="1:18">
      <c r="A40" s="21">
        <v>91000</v>
      </c>
      <c r="B40" s="13">
        <v>42644</v>
      </c>
      <c r="C40" s="16">
        <f t="shared" si="6"/>
        <v>112468.76818181807</v>
      </c>
      <c r="D40" s="16">
        <f t="shared" si="6"/>
        <v>8213651.2638584347</v>
      </c>
      <c r="E40" s="14">
        <f t="shared" si="6"/>
        <v>73.03050790580518</v>
      </c>
      <c r="F40" s="46">
        <f t="shared" si="16"/>
        <v>46356.895454545454</v>
      </c>
      <c r="G40" s="23">
        <f t="shared" si="14"/>
        <v>3409045.2337611006</v>
      </c>
      <c r="H40" s="22">
        <f>IF(F40=0,0,VLOOKUP(B40,Data!$A$5:$V$197,5,FALSE)*22)</f>
        <v>73.53911862160372</v>
      </c>
      <c r="I40" s="71">
        <f>VLOOKUP(B40,Data!$A$5:$V$197,10,FALSE)</f>
        <v>50903.127272727274</v>
      </c>
      <c r="J40" s="23">
        <f t="shared" si="15"/>
        <v>3725037.7900209404</v>
      </c>
      <c r="K40" s="14">
        <f t="shared" si="1"/>
        <v>73.178957553296144</v>
      </c>
      <c r="L40" s="15">
        <f t="shared" si="2"/>
        <v>107922.53636363625</v>
      </c>
      <c r="M40" s="15">
        <f t="shared" si="2"/>
        <v>7897658.7075985949</v>
      </c>
      <c r="N40" s="22">
        <f t="shared" si="3"/>
        <v>73.178957553296129</v>
      </c>
      <c r="O40" s="31">
        <f t="shared" si="17"/>
        <v>114997.24999999993</v>
      </c>
      <c r="P40" s="31">
        <f t="shared" si="17"/>
        <v>8582962.4412316028</v>
      </c>
      <c r="Q40" s="32">
        <f t="shared" si="4"/>
        <v>74.636240790380711</v>
      </c>
      <c r="R40" s="35">
        <f t="shared" si="5"/>
        <v>41.508667832167788</v>
      </c>
    </row>
    <row r="41" spans="1:18">
      <c r="A41" s="21">
        <v>91000</v>
      </c>
      <c r="B41" s="13">
        <v>42675</v>
      </c>
      <c r="C41" s="16">
        <f t="shared" si="6"/>
        <v>107922.53636363625</v>
      </c>
      <c r="D41" s="16">
        <f t="shared" si="6"/>
        <v>7897658.7075985949</v>
      </c>
      <c r="E41" s="14">
        <f t="shared" si="6"/>
        <v>73.178957553296129</v>
      </c>
      <c r="F41" s="46">
        <f t="shared" si="16"/>
        <v>46356.895454545454</v>
      </c>
      <c r="G41" s="23">
        <f t="shared" si="14"/>
        <v>3409045.2337611006</v>
      </c>
      <c r="H41" s="22">
        <f>IF(F41=0,0,VLOOKUP(B41,Data!$A$5:$V$197,5,FALSE)*22)</f>
        <v>73.53911862160372</v>
      </c>
      <c r="I41" s="71">
        <f>VLOOKUP(B41,Data!$A$5:$V$197,10,FALSE)</f>
        <v>52486.8</v>
      </c>
      <c r="J41" s="23">
        <f t="shared" si="15"/>
        <v>3846609.372587929</v>
      </c>
      <c r="K41" s="14">
        <f t="shared" si="1"/>
        <v>73.287176444133166</v>
      </c>
      <c r="L41" s="15">
        <f t="shared" si="2"/>
        <v>101792.6318181817</v>
      </c>
      <c r="M41" s="15">
        <f t="shared" si="2"/>
        <v>7460094.5687717665</v>
      </c>
      <c r="N41" s="22">
        <f t="shared" si="3"/>
        <v>73.287176444133166</v>
      </c>
      <c r="O41" s="31">
        <f t="shared" si="17"/>
        <v>114494.22167832158</v>
      </c>
      <c r="P41" s="31">
        <f t="shared" si="17"/>
        <v>8512362.2134448159</v>
      </c>
      <c r="Q41" s="32">
        <f t="shared" si="4"/>
        <v>74.347526789262872</v>
      </c>
      <c r="R41" s="35">
        <f t="shared" si="5"/>
        <v>39.151012237762195</v>
      </c>
    </row>
    <row r="42" spans="1:18">
      <c r="A42" s="21">
        <v>91000</v>
      </c>
      <c r="B42" s="13">
        <v>42705</v>
      </c>
      <c r="C42" s="16">
        <f t="shared" si="6"/>
        <v>101792.6318181817</v>
      </c>
      <c r="D42" s="16">
        <f t="shared" si="6"/>
        <v>7460094.5687717665</v>
      </c>
      <c r="E42" s="14">
        <f t="shared" si="6"/>
        <v>73.287176444133166</v>
      </c>
      <c r="F42" s="46">
        <f t="shared" si="16"/>
        <v>46356.895454545454</v>
      </c>
      <c r="G42" s="23">
        <f t="shared" si="14"/>
        <v>3654254.3484666008</v>
      </c>
      <c r="H42" s="22">
        <f>IF(F42=0,0,VLOOKUP(B42,Data!$A$5:$V$197,5,FALSE)*22)</f>
        <v>78.82871172962227</v>
      </c>
      <c r="I42" s="71">
        <f>VLOOKUP(B42,Data!$A$5:$V$197,10,FALSE)</f>
        <v>45975.527272727275</v>
      </c>
      <c r="J42" s="23">
        <f t="shared" si="15"/>
        <v>3449137.2410687888</v>
      </c>
      <c r="K42" s="14">
        <f t="shared" si="1"/>
        <v>75.021156812590164</v>
      </c>
      <c r="L42" s="15">
        <f t="shared" si="2"/>
        <v>102173.99999999988</v>
      </c>
      <c r="M42" s="15">
        <f t="shared" si="2"/>
        <v>7665211.6761695789</v>
      </c>
      <c r="N42" s="22">
        <f t="shared" si="3"/>
        <v>75.021156812590164</v>
      </c>
      <c r="O42" s="31">
        <f t="shared" si="17"/>
        <v>114095.83706293696</v>
      </c>
      <c r="P42" s="31">
        <f t="shared" si="17"/>
        <v>8483884.0693040155</v>
      </c>
      <c r="Q42" s="32">
        <f t="shared" si="4"/>
        <v>74.357525109563625</v>
      </c>
      <c r="R42" s="35">
        <f t="shared" si="5"/>
        <v>39.297692307692266</v>
      </c>
    </row>
    <row r="43" spans="1:18">
      <c r="A43" s="21">
        <v>91000</v>
      </c>
      <c r="B43" s="13">
        <v>42736</v>
      </c>
      <c r="C43" s="16">
        <f t="shared" si="6"/>
        <v>102173.99999999988</v>
      </c>
      <c r="D43" s="16">
        <f t="shared" si="6"/>
        <v>7665211.6761695789</v>
      </c>
      <c r="E43" s="14">
        <f t="shared" si="6"/>
        <v>75.021156812590164</v>
      </c>
      <c r="F43" s="46">
        <f>AVERAGE(I43:I54)</f>
        <v>53495.307575757586</v>
      </c>
      <c r="G43" s="23">
        <f t="shared" si="14"/>
        <v>4102191.3698933339</v>
      </c>
      <c r="H43" s="22">
        <f>IF(F43=0,0,VLOOKUP(B43,Data!$A$5:$V$197,5,FALSE)*22)</f>
        <v>76.683199999999999</v>
      </c>
      <c r="I43" s="71">
        <f>VLOOKUP(B43,Data!$A$5:$V$197,10,FALSE)</f>
        <v>45972.654545454556</v>
      </c>
      <c r="J43" s="23">
        <f t="shared" si="15"/>
        <v>3475179.2987227696</v>
      </c>
      <c r="K43" s="14">
        <f t="shared" si="1"/>
        <v>75.592313149695428</v>
      </c>
      <c r="L43" s="15">
        <f t="shared" si="2"/>
        <v>109696.65303030291</v>
      </c>
      <c r="M43" s="15">
        <f t="shared" si="2"/>
        <v>8292223.7473401427</v>
      </c>
      <c r="N43" s="22">
        <f t="shared" si="3"/>
        <v>75.592313149695414</v>
      </c>
      <c r="O43" s="31">
        <f t="shared" si="17"/>
        <v>114674.50268065256</v>
      </c>
      <c r="P43" s="31">
        <f t="shared" si="17"/>
        <v>8523958.1752532553</v>
      </c>
      <c r="Q43" s="32">
        <f t="shared" si="4"/>
        <v>74.331764917184032</v>
      </c>
      <c r="R43" s="35">
        <f t="shared" si="5"/>
        <v>42.191020396270353</v>
      </c>
    </row>
    <row r="44" spans="1:18">
      <c r="A44" s="21">
        <v>91000</v>
      </c>
      <c r="B44" s="13">
        <v>42767</v>
      </c>
      <c r="C44" s="16">
        <f t="shared" si="6"/>
        <v>109696.65303030291</v>
      </c>
      <c r="D44" s="16">
        <f t="shared" si="6"/>
        <v>8292223.7473401427</v>
      </c>
      <c r="E44" s="14">
        <f t="shared" si="6"/>
        <v>75.592313149695414</v>
      </c>
      <c r="F44" s="46">
        <f>F43</f>
        <v>53495.307575757586</v>
      </c>
      <c r="G44" s="23">
        <f t="shared" si="14"/>
        <v>3986541.647622223</v>
      </c>
      <c r="H44" s="22">
        <f>IF(F44=0,0,VLOOKUP(B44,Data!$A$5:$V$197,5,FALSE)*22)</f>
        <v>74.521333333333331</v>
      </c>
      <c r="I44" s="71">
        <f>VLOOKUP(B44,Data!$A$5:$V$197,10,FALSE)</f>
        <v>36585.927272727276</v>
      </c>
      <c r="J44" s="23">
        <f t="shared" si="15"/>
        <v>2752770.5168234273</v>
      </c>
      <c r="K44" s="14">
        <f t="shared" si="1"/>
        <v>75.241239515486072</v>
      </c>
      <c r="L44" s="15">
        <f t="shared" si="2"/>
        <v>126606.03333333324</v>
      </c>
      <c r="M44" s="15">
        <f t="shared" si="2"/>
        <v>9525994.8781389389</v>
      </c>
      <c r="N44" s="22">
        <f t="shared" si="3"/>
        <v>75.241239515486072</v>
      </c>
      <c r="O44" s="31">
        <f t="shared" si="17"/>
        <v>116581.99580419569</v>
      </c>
      <c r="P44" s="31">
        <f t="shared" si="17"/>
        <v>8665065.8941744529</v>
      </c>
      <c r="Q44" s="32">
        <f t="shared" si="4"/>
        <v>74.325935444850259</v>
      </c>
      <c r="R44" s="35">
        <f t="shared" si="5"/>
        <v>48.694628205128168</v>
      </c>
    </row>
    <row r="45" spans="1:18">
      <c r="A45" s="21">
        <v>91000</v>
      </c>
      <c r="B45" s="13">
        <v>42795</v>
      </c>
      <c r="C45" s="16">
        <f t="shared" si="6"/>
        <v>126606.03333333324</v>
      </c>
      <c r="D45" s="16">
        <f t="shared" si="6"/>
        <v>9525994.8781389389</v>
      </c>
      <c r="E45" s="14">
        <f t="shared" si="6"/>
        <v>75.241239515486072</v>
      </c>
      <c r="F45" s="46">
        <f t="shared" ref="F45:F54" si="18">F44</f>
        <v>53495.307575757586</v>
      </c>
      <c r="G45" s="23">
        <f t="shared" si="14"/>
        <v>4058822.7240416678</v>
      </c>
      <c r="H45" s="22">
        <f>IF(F45=0,0,VLOOKUP(B45,Data!$A$5:$V$197,5,FALSE)*22)</f>
        <v>75.872500000000002</v>
      </c>
      <c r="I45" s="71">
        <f>VLOOKUP(B45,Data!$A$5:$V$197,10,FALSE)</f>
        <v>29094.618181818183</v>
      </c>
      <c r="J45" s="23">
        <f t="shared" si="15"/>
        <v>2194570.4524465152</v>
      </c>
      <c r="K45" s="14">
        <f t="shared" si="1"/>
        <v>75.428742138226326</v>
      </c>
      <c r="L45" s="15">
        <f t="shared" si="2"/>
        <v>151006.72272727263</v>
      </c>
      <c r="M45" s="15">
        <f t="shared" si="2"/>
        <v>11390247.149734093</v>
      </c>
      <c r="N45" s="22">
        <f t="shared" si="3"/>
        <v>75.428742138226355</v>
      </c>
      <c r="O45" s="31">
        <f t="shared" si="17"/>
        <v>119679.35839160829</v>
      </c>
      <c r="P45" s="31">
        <f t="shared" si="17"/>
        <v>8903025.2476735134</v>
      </c>
      <c r="Q45" s="32">
        <f t="shared" si="4"/>
        <v>74.390649877496159</v>
      </c>
      <c r="R45" s="35">
        <f t="shared" si="5"/>
        <v>58.079508741258707</v>
      </c>
    </row>
    <row r="46" spans="1:18">
      <c r="A46" s="21">
        <v>91000</v>
      </c>
      <c r="B46" s="13">
        <v>42826</v>
      </c>
      <c r="C46" s="16">
        <f t="shared" si="6"/>
        <v>151006.72272727263</v>
      </c>
      <c r="D46" s="16">
        <f t="shared" si="6"/>
        <v>11390247.149734093</v>
      </c>
      <c r="E46" s="14">
        <f t="shared" si="6"/>
        <v>75.428742138226355</v>
      </c>
      <c r="F46" s="46">
        <f t="shared" si="18"/>
        <v>53495.307575757586</v>
      </c>
      <c r="G46" s="23">
        <f t="shared" si="14"/>
        <v>3986541.647622223</v>
      </c>
      <c r="H46" s="22">
        <f>IF(F46=0,0,VLOOKUP(B46,Data!$A$5:$V$197,5,FALSE)*22)</f>
        <v>74.521333333333331</v>
      </c>
      <c r="I46" s="71">
        <f>VLOOKUP(B46,Data!$A$5:$V$197,10,FALSE)</f>
        <v>49360.254545454547</v>
      </c>
      <c r="J46" s="23">
        <f t="shared" si="15"/>
        <v>3711465.3972115354</v>
      </c>
      <c r="K46" s="14">
        <f t="shared" si="1"/>
        <v>75.191374748558999</v>
      </c>
      <c r="L46" s="15">
        <f t="shared" si="2"/>
        <v>155141.77575757567</v>
      </c>
      <c r="M46" s="15">
        <f t="shared" si="2"/>
        <v>11665323.40014478</v>
      </c>
      <c r="N46" s="22">
        <f t="shared" si="3"/>
        <v>75.191374748559014</v>
      </c>
      <c r="O46" s="31">
        <f t="shared" si="17"/>
        <v>123132.71631701622</v>
      </c>
      <c r="P46" s="31">
        <f t="shared" si="17"/>
        <v>9155273.4119024593</v>
      </c>
      <c r="Q46" s="32">
        <f t="shared" si="4"/>
        <v>74.352890813611111</v>
      </c>
      <c r="R46" s="35">
        <f t="shared" si="5"/>
        <v>59.669913752913722</v>
      </c>
    </row>
    <row r="47" spans="1:18">
      <c r="A47" s="21">
        <v>91000</v>
      </c>
      <c r="B47" s="13">
        <v>42856</v>
      </c>
      <c r="C47" s="16">
        <f t="shared" si="6"/>
        <v>155141.77575757567</v>
      </c>
      <c r="D47" s="16">
        <f t="shared" si="6"/>
        <v>11665323.40014478</v>
      </c>
      <c r="E47" s="14">
        <f t="shared" si="6"/>
        <v>75.191374748559014</v>
      </c>
      <c r="F47" s="46">
        <f t="shared" si="18"/>
        <v>53495.307575757586</v>
      </c>
      <c r="G47" s="23">
        <f t="shared" si="14"/>
        <v>3986541.647622223</v>
      </c>
      <c r="H47" s="22">
        <f>IF(F47=0,0,VLOOKUP(B47,Data!$A$5:$V$197,5,FALSE)*22)</f>
        <v>74.521333333333331</v>
      </c>
      <c r="I47" s="71">
        <f>VLOOKUP(B47,Data!$A$5:$V$197,10,FALSE)</f>
        <v>58192.036363636369</v>
      </c>
      <c r="J47" s="23">
        <f t="shared" si="15"/>
        <v>4365541.7602018826</v>
      </c>
      <c r="K47" s="14">
        <f t="shared" si="1"/>
        <v>75.019573690840403</v>
      </c>
      <c r="L47" s="15">
        <f t="shared" si="2"/>
        <v>150445.04696969688</v>
      </c>
      <c r="M47" s="15">
        <f t="shared" si="2"/>
        <v>11286323.28756512</v>
      </c>
      <c r="N47" s="22">
        <f t="shared" si="3"/>
        <v>75.019573690840389</v>
      </c>
      <c r="O47" s="31">
        <f t="shared" si="17"/>
        <v>125749.90314685304</v>
      </c>
      <c r="P47" s="31">
        <f t="shared" si="17"/>
        <v>9348943.05181868</v>
      </c>
      <c r="Q47" s="32">
        <f t="shared" si="4"/>
        <v>74.345528846259327</v>
      </c>
      <c r="R47" s="35">
        <f t="shared" si="5"/>
        <v>57.863479603729566</v>
      </c>
    </row>
    <row r="48" spans="1:18">
      <c r="A48" s="21">
        <v>91000</v>
      </c>
      <c r="B48" s="13">
        <v>42887</v>
      </c>
      <c r="C48" s="16">
        <f t="shared" si="6"/>
        <v>150445.04696969688</v>
      </c>
      <c r="D48" s="16">
        <f t="shared" si="6"/>
        <v>11286323.28756512</v>
      </c>
      <c r="E48" s="14">
        <f t="shared" si="6"/>
        <v>75.019573690840389</v>
      </c>
      <c r="F48" s="46">
        <f t="shared" si="18"/>
        <v>53495.307575757586</v>
      </c>
      <c r="G48" s="23">
        <f t="shared" si="14"/>
        <v>3841979.4947833344</v>
      </c>
      <c r="H48" s="22">
        <f>IF(F48=0,0,VLOOKUP(B48,Data!$A$5:$V$197,5,FALSE)*22)</f>
        <v>71.819000000000003</v>
      </c>
      <c r="I48" s="71">
        <f>VLOOKUP(B48,Data!$A$5:$V$197,10,FALSE)</f>
        <v>61529.290909090916</v>
      </c>
      <c r="J48" s="23">
        <f t="shared" si="15"/>
        <v>4564244.9966833917</v>
      </c>
      <c r="K48" s="14">
        <f t="shared" ref="K48:K54" si="19">IF(I48=0,0,J48/I48)</f>
        <v>74.180035707335406</v>
      </c>
      <c r="L48" s="15">
        <f t="shared" si="2"/>
        <v>142411.06363636354</v>
      </c>
      <c r="M48" s="15">
        <f t="shared" si="2"/>
        <v>10564057.785665061</v>
      </c>
      <c r="N48" s="22">
        <f t="shared" si="3"/>
        <v>74.180035707335392</v>
      </c>
      <c r="O48" s="31">
        <f t="shared" si="17"/>
        <v>126202.20979020969</v>
      </c>
      <c r="P48" s="31">
        <f t="shared" si="17"/>
        <v>9376078.3392679021</v>
      </c>
      <c r="Q48" s="32">
        <f t="shared" si="4"/>
        <v>74.294090054794466</v>
      </c>
      <c r="R48" s="35">
        <f t="shared" si="5"/>
        <v>54.77348601398598</v>
      </c>
    </row>
    <row r="49" spans="1:18">
      <c r="A49" s="21">
        <v>91000</v>
      </c>
      <c r="B49" s="13">
        <v>42917</v>
      </c>
      <c r="C49" s="16">
        <f t="shared" ref="C49:E54" si="20">L48</f>
        <v>142411.06363636354</v>
      </c>
      <c r="D49" s="16">
        <f t="shared" si="20"/>
        <v>10564057.785665061</v>
      </c>
      <c r="E49" s="14">
        <f t="shared" si="20"/>
        <v>74.180035707335392</v>
      </c>
      <c r="F49" s="46">
        <f t="shared" si="18"/>
        <v>53495.307575757586</v>
      </c>
      <c r="G49" s="23">
        <f t="shared" si="14"/>
        <v>4275665.9533000011</v>
      </c>
      <c r="H49" s="22">
        <f>IF(F49=0,0,VLOOKUP(B49,Data!$A$5:$V$197,5,FALSE)*22)</f>
        <v>79.926000000000002</v>
      </c>
      <c r="I49" s="71">
        <f>VLOOKUP(B49,Data!$A$5:$V$197,10,FALSE)</f>
        <v>63844.890909090907</v>
      </c>
      <c r="J49" s="23">
        <f t="shared" si="15"/>
        <v>4836190.5606909171</v>
      </c>
      <c r="K49" s="14">
        <f t="shared" si="19"/>
        <v>75.749061386559433</v>
      </c>
      <c r="L49" s="15">
        <f t="shared" si="2"/>
        <v>132061.48030303023</v>
      </c>
      <c r="M49" s="15">
        <f t="shared" si="2"/>
        <v>10003533.178274145</v>
      </c>
      <c r="N49" s="22">
        <f t="shared" si="3"/>
        <v>75.749061386559433</v>
      </c>
      <c r="O49" s="31">
        <f t="shared" ref="O49:P54" si="21">AVERAGE(L37:L49)</f>
        <v>125994.46981351971</v>
      </c>
      <c r="P49" s="31">
        <f t="shared" si="21"/>
        <v>9384358.6661644764</v>
      </c>
      <c r="Q49" s="32">
        <f t="shared" si="4"/>
        <v>74.482306088941513</v>
      </c>
      <c r="R49" s="35">
        <f t="shared" si="5"/>
        <v>50.792877039627008</v>
      </c>
    </row>
    <row r="50" spans="1:18">
      <c r="A50" s="21">
        <v>91000</v>
      </c>
      <c r="B50" s="13">
        <v>42948</v>
      </c>
      <c r="C50" s="16">
        <f t="shared" si="20"/>
        <v>132061.48030303023</v>
      </c>
      <c r="D50" s="16">
        <f t="shared" si="20"/>
        <v>10003533.178274145</v>
      </c>
      <c r="E50" s="14">
        <f t="shared" si="20"/>
        <v>75.749061386559433</v>
      </c>
      <c r="F50" s="46">
        <f t="shared" si="18"/>
        <v>53495.307575757586</v>
      </c>
      <c r="G50" s="23">
        <f t="shared" si="14"/>
        <v>4275665.9533000011</v>
      </c>
      <c r="H50" s="22">
        <f>IF(F50=0,0,VLOOKUP(B50,Data!$A$5:$V$197,5,FALSE)*22)</f>
        <v>79.926000000000002</v>
      </c>
      <c r="I50" s="71">
        <f>VLOOKUP(B50,Data!$A$5:$V$197,10,FALSE)</f>
        <v>62882.600000000006</v>
      </c>
      <c r="J50" s="23">
        <f t="shared" si="15"/>
        <v>4839020.8602752537</v>
      </c>
      <c r="K50" s="14">
        <f t="shared" si="19"/>
        <v>76.953256708139506</v>
      </c>
      <c r="L50" s="15">
        <f t="shared" si="2"/>
        <v>122674.18787878781</v>
      </c>
      <c r="M50" s="15">
        <f t="shared" si="2"/>
        <v>9440178.2712988928</v>
      </c>
      <c r="N50" s="22">
        <f t="shared" si="3"/>
        <v>76.953256708139492</v>
      </c>
      <c r="O50" s="31">
        <f t="shared" si="21"/>
        <v>125604.31818181809</v>
      </c>
      <c r="P50" s="31">
        <f t="shared" si="21"/>
        <v>9392511.7680850457</v>
      </c>
      <c r="Q50" s="32">
        <f t="shared" si="4"/>
        <v>74.778573730952061</v>
      </c>
      <c r="R50" s="35">
        <f t="shared" si="5"/>
        <v>47.182379953379929</v>
      </c>
    </row>
    <row r="51" spans="1:18">
      <c r="A51" s="21">
        <v>91000</v>
      </c>
      <c r="B51" s="13">
        <v>42979</v>
      </c>
      <c r="C51" s="16">
        <f t="shared" si="20"/>
        <v>122674.18787878781</v>
      </c>
      <c r="D51" s="16">
        <f t="shared" si="20"/>
        <v>9440178.2712988928</v>
      </c>
      <c r="E51" s="14">
        <f t="shared" si="20"/>
        <v>76.953256708139492</v>
      </c>
      <c r="F51" s="46">
        <f t="shared" si="18"/>
        <v>53495.307575757586</v>
      </c>
      <c r="G51" s="23">
        <f t="shared" si="14"/>
        <v>4275665.9533000011</v>
      </c>
      <c r="H51" s="22">
        <f>IF(F51=0,0,VLOOKUP(B51,Data!$A$5:$V$197,5,FALSE)*22)</f>
        <v>79.926000000000002</v>
      </c>
      <c r="I51" s="71">
        <f>VLOOKUP(B51,Data!$A$5:$V$197,10,FALSE)</f>
        <v>60144.090909090912</v>
      </c>
      <c r="J51" s="23">
        <f t="shared" si="15"/>
        <v>4682575.6060137553</v>
      </c>
      <c r="K51" s="14">
        <f t="shared" si="19"/>
        <v>77.855954512498485</v>
      </c>
      <c r="L51" s="15">
        <f t="shared" si="2"/>
        <v>116025.40454545448</v>
      </c>
      <c r="M51" s="15">
        <f t="shared" si="2"/>
        <v>9033268.6185851395</v>
      </c>
      <c r="N51" s="22">
        <f t="shared" si="3"/>
        <v>77.855954512498485</v>
      </c>
      <c r="O51" s="31">
        <f t="shared" si="21"/>
        <v>125417.40804195794</v>
      </c>
      <c r="P51" s="31">
        <f t="shared" si="21"/>
        <v>9418289.7333188225</v>
      </c>
      <c r="Q51" s="32">
        <f t="shared" si="4"/>
        <v>75.095553961440245</v>
      </c>
      <c r="R51" s="35">
        <f t="shared" si="5"/>
        <v>44.62515559440557</v>
      </c>
    </row>
    <row r="52" spans="1:18">
      <c r="A52" s="21">
        <v>91000</v>
      </c>
      <c r="B52" s="13">
        <v>43009</v>
      </c>
      <c r="C52" s="16">
        <f t="shared" si="20"/>
        <v>116025.40454545448</v>
      </c>
      <c r="D52" s="16">
        <f t="shared" si="20"/>
        <v>9033268.6185851395</v>
      </c>
      <c r="E52" s="14">
        <f t="shared" si="20"/>
        <v>77.855954512498485</v>
      </c>
      <c r="F52" s="46">
        <f t="shared" si="18"/>
        <v>53495.307575757586</v>
      </c>
      <c r="G52" s="23">
        <f t="shared" si="14"/>
        <v>4275665.9533000011</v>
      </c>
      <c r="H52" s="22">
        <f>IF(F52=0,0,VLOOKUP(B52,Data!$A$5:$V$197,5,FALSE)*22)</f>
        <v>79.926000000000002</v>
      </c>
      <c r="I52" s="71">
        <f>VLOOKUP(B52,Data!$A$5:$V$197,10,FALSE)</f>
        <v>63256.600000000006</v>
      </c>
      <c r="J52" s="23">
        <f t="shared" si="15"/>
        <v>4966224.7173545575</v>
      </c>
      <c r="K52" s="14">
        <f t="shared" si="19"/>
        <v>78.509194571863759</v>
      </c>
      <c r="L52" s="15">
        <f t="shared" si="2"/>
        <v>106264.11212121206</v>
      </c>
      <c r="M52" s="15">
        <f t="shared" si="2"/>
        <v>8342709.8545305831</v>
      </c>
      <c r="N52" s="22">
        <f t="shared" si="3"/>
        <v>78.509194571863745</v>
      </c>
      <c r="O52" s="31">
        <f t="shared" si="21"/>
        <v>124940.12680652671</v>
      </c>
      <c r="P52" s="31">
        <f t="shared" si="21"/>
        <v>9428217.3172166795</v>
      </c>
      <c r="Q52" s="32">
        <f t="shared" si="4"/>
        <v>75.461883689429413</v>
      </c>
      <c r="R52" s="35">
        <f t="shared" si="5"/>
        <v>40.870812354312335</v>
      </c>
    </row>
    <row r="53" spans="1:18">
      <c r="A53" s="21">
        <v>91000</v>
      </c>
      <c r="B53" s="13">
        <v>43040</v>
      </c>
      <c r="C53" s="16">
        <f t="shared" si="20"/>
        <v>106264.11212121206</v>
      </c>
      <c r="D53" s="16">
        <f t="shared" si="20"/>
        <v>8342709.8545305831</v>
      </c>
      <c r="E53" s="14">
        <f t="shared" si="20"/>
        <v>78.509194571863745</v>
      </c>
      <c r="F53" s="46">
        <f t="shared" si="18"/>
        <v>53495.307575757586</v>
      </c>
      <c r="G53" s="23">
        <f t="shared" si="14"/>
        <v>4275665.9533000011</v>
      </c>
      <c r="H53" s="22">
        <f>IF(F53=0,0,VLOOKUP(B53,Data!$A$5:$V$197,5,FALSE)*22)</f>
        <v>79.926000000000002</v>
      </c>
      <c r="I53" s="71">
        <f>VLOOKUP(B53,Data!$A$5:$V$197,10,FALSE)</f>
        <v>56860.672727272729</v>
      </c>
      <c r="J53" s="23">
        <f t="shared" si="15"/>
        <v>4491061.2377017792</v>
      </c>
      <c r="K53" s="14">
        <f t="shared" si="19"/>
        <v>78.983610680140274</v>
      </c>
      <c r="L53" s="15">
        <f t="shared" si="2"/>
        <v>102898.74696969692</v>
      </c>
      <c r="M53" s="15">
        <f t="shared" si="2"/>
        <v>8127314.5701288041</v>
      </c>
      <c r="N53" s="22">
        <f t="shared" si="3"/>
        <v>78.983610680140259</v>
      </c>
      <c r="O53" s="31">
        <f t="shared" si="21"/>
        <v>124553.68146853139</v>
      </c>
      <c r="P53" s="31">
        <f t="shared" si="21"/>
        <v>9445883.1527959257</v>
      </c>
      <c r="Q53" s="32">
        <f t="shared" si="4"/>
        <v>75.837847917666224</v>
      </c>
      <c r="R53" s="35">
        <f t="shared" si="5"/>
        <v>39.576441142191122</v>
      </c>
    </row>
    <row r="54" spans="1:18">
      <c r="A54" s="21">
        <v>91000</v>
      </c>
      <c r="B54" s="13">
        <v>43070</v>
      </c>
      <c r="C54" s="16">
        <f t="shared" si="20"/>
        <v>102898.74696969692</v>
      </c>
      <c r="D54" s="16">
        <f t="shared" si="20"/>
        <v>8127314.5701288041</v>
      </c>
      <c r="E54" s="14">
        <f t="shared" si="20"/>
        <v>78.983610680140259</v>
      </c>
      <c r="F54" s="46">
        <f t="shared" si="18"/>
        <v>53495.307575757586</v>
      </c>
      <c r="G54" s="23">
        <f t="shared" si="14"/>
        <v>4275665.9533000011</v>
      </c>
      <c r="H54" s="22">
        <f>IF(F54=0,0,VLOOKUP(B54,Data!$A$5:$V$197,5,FALSE)*22)</f>
        <v>79.926000000000002</v>
      </c>
      <c r="I54" s="71">
        <f>VLOOKUP(B54,Data!$A$5:$V$197,10,FALSE)</f>
        <v>54220.05454545455</v>
      </c>
      <c r="J54" s="23">
        <f t="shared" si="15"/>
        <v>4299973.4386390438</v>
      </c>
      <c r="K54" s="14">
        <f t="shared" si="19"/>
        <v>79.305959292870625</v>
      </c>
      <c r="L54" s="15">
        <f t="shared" si="2"/>
        <v>102173.99999999996</v>
      </c>
      <c r="M54" s="15">
        <f t="shared" si="2"/>
        <v>8103007.0847897613</v>
      </c>
      <c r="N54" s="22">
        <f t="shared" si="3"/>
        <v>79.305959292870639</v>
      </c>
      <c r="O54" s="31">
        <f t="shared" si="21"/>
        <v>124583.01748251739</v>
      </c>
      <c r="P54" s="31">
        <f t="shared" si="21"/>
        <v>9495337.9617203884</v>
      </c>
      <c r="Q54" s="32">
        <f t="shared" si="4"/>
        <v>76.216952788552092</v>
      </c>
      <c r="R54" s="35">
        <f t="shared" si="5"/>
        <v>39.297692307692294</v>
      </c>
    </row>
    <row r="55" spans="1:18">
      <c r="A55" s="21">
        <v>91000</v>
      </c>
      <c r="B55" s="13">
        <v>43101</v>
      </c>
      <c r="C55" s="16">
        <f t="shared" ref="C55:C66" si="22">L54</f>
        <v>102173.99999999996</v>
      </c>
      <c r="D55" s="16">
        <f t="shared" ref="D55:D66" si="23">M54</f>
        <v>8103007.0847897613</v>
      </c>
      <c r="E55" s="14">
        <f t="shared" ref="E55:E66" si="24">N54</f>
        <v>79.305959292870639</v>
      </c>
      <c r="F55" s="46">
        <f>AVERAGE(I55:I66)</f>
        <v>55213.362121212129</v>
      </c>
      <c r="G55" s="23">
        <f t="shared" ref="G55:G66" si="25">F55*H55</f>
        <v>3960960.9849945898</v>
      </c>
      <c r="H55" s="22">
        <f>IF(F55=0,0,VLOOKUP(B55,Data!$A$5:$V$197,5,FALSE)*22)</f>
        <v>71.739173866987699</v>
      </c>
      <c r="I55" s="71">
        <f>VLOOKUP(B55,Data!$A$5:$V$197,10,FALSE)</f>
        <v>52526.909090909096</v>
      </c>
      <c r="J55" s="23">
        <f t="shared" ref="J55:J66" si="26">IF(C55+G55&gt;0,((D55+G55)/(C55+F55)*I55),0)</f>
        <v>4026263.2624159548</v>
      </c>
      <c r="K55" s="14">
        <f t="shared" ref="K55:K66" si="27">IF(I55=0,0,J55/I55)</f>
        <v>76.651440796709394</v>
      </c>
      <c r="L55" s="15">
        <f t="shared" ref="L55:L66" si="28">+C55+F55-I55</f>
        <v>104860.453030303</v>
      </c>
      <c r="M55" s="15">
        <f t="shared" ref="M55:M66" si="29">+D55+G55-J55</f>
        <v>8037704.8073683959</v>
      </c>
      <c r="N55" s="22">
        <f t="shared" ref="N55:N66" si="30">IF(L55=0,0,M55/L55)</f>
        <v>76.65144079670938</v>
      </c>
      <c r="O55" s="31">
        <f t="shared" ref="O55:O66" si="31">AVERAGE(L43:L55)</f>
        <v>124789.66771561763</v>
      </c>
      <c r="P55" s="31">
        <f t="shared" ref="P55:P66" si="32">AVERAGE(M43:M55)</f>
        <v>9523991.279504912</v>
      </c>
      <c r="Q55" s="32">
        <f t="shared" ref="Q55:Q66" si="33">IF(O55=0,0,P55/O55)</f>
        <v>76.320351306720951</v>
      </c>
      <c r="R55" s="35">
        <f t="shared" si="5"/>
        <v>40.330943473193464</v>
      </c>
    </row>
    <row r="56" spans="1:18">
      <c r="A56" s="21">
        <v>91000</v>
      </c>
      <c r="B56" s="13">
        <v>43132</v>
      </c>
      <c r="C56" s="16">
        <f t="shared" si="22"/>
        <v>104860.453030303</v>
      </c>
      <c r="D56" s="16">
        <f t="shared" si="23"/>
        <v>8037704.8073683959</v>
      </c>
      <c r="E56" s="14">
        <f t="shared" si="24"/>
        <v>76.65144079670938</v>
      </c>
      <c r="F56" s="46">
        <f>F55</f>
        <v>55213.362121212129</v>
      </c>
      <c r="G56" s="23">
        <f t="shared" si="25"/>
        <v>3929445.7583628609</v>
      </c>
      <c r="H56" s="22">
        <f>IF(F56=0,0,VLOOKUP(B56,Data!$A$5:$V$197,5,FALSE)*22)</f>
        <v>71.168384017919237</v>
      </c>
      <c r="I56" s="71">
        <f>VLOOKUP(B56,Data!$A$5:$V$197,10,FALSE)</f>
        <v>36171.072727272731</v>
      </c>
      <c r="J56" s="23">
        <f t="shared" si="26"/>
        <v>2704156.6607353473</v>
      </c>
      <c r="K56" s="14">
        <f t="shared" si="27"/>
        <v>74.760200813630618</v>
      </c>
      <c r="L56" s="15">
        <f t="shared" si="28"/>
        <v>123902.7424242424</v>
      </c>
      <c r="M56" s="15">
        <f t="shared" si="29"/>
        <v>9262993.9049959108</v>
      </c>
      <c r="N56" s="22">
        <f t="shared" si="30"/>
        <v>74.760200813630604</v>
      </c>
      <c r="O56" s="31">
        <f t="shared" si="31"/>
        <v>125882.44382284375</v>
      </c>
      <c r="P56" s="31">
        <f t="shared" si="32"/>
        <v>9598665.9070168938</v>
      </c>
      <c r="Q56" s="32">
        <f t="shared" si="33"/>
        <v>76.251029258100843</v>
      </c>
      <c r="R56" s="35">
        <f t="shared" si="5"/>
        <v>47.654900932400921</v>
      </c>
    </row>
    <row r="57" spans="1:18">
      <c r="A57" s="21">
        <v>91000</v>
      </c>
      <c r="B57" s="13">
        <v>43160</v>
      </c>
      <c r="C57" s="16">
        <f t="shared" si="22"/>
        <v>123902.7424242424</v>
      </c>
      <c r="D57" s="16">
        <f t="shared" si="23"/>
        <v>9262993.9049959108</v>
      </c>
      <c r="E57" s="14">
        <f t="shared" si="24"/>
        <v>74.760200813630604</v>
      </c>
      <c r="F57" s="46">
        <f t="shared" ref="F57:F66" si="34">F56</f>
        <v>55213.362121212129</v>
      </c>
      <c r="G57" s="23">
        <f t="shared" si="25"/>
        <v>3949688.1577410181</v>
      </c>
      <c r="H57" s="22">
        <f>IF(F57=0,0,VLOOKUP(B57,Data!$A$5:$V$197,5,FALSE)*22)</f>
        <v>71.535005404490818</v>
      </c>
      <c r="I57" s="71">
        <f>VLOOKUP(B57,Data!$A$5:$V$197,10,FALSE)</f>
        <v>33305.818181818184</v>
      </c>
      <c r="J57" s="23">
        <f t="shared" si="26"/>
        <v>2456837.6338488995</v>
      </c>
      <c r="K57" s="14">
        <f t="shared" si="27"/>
        <v>73.766019511572892</v>
      </c>
      <c r="L57" s="15">
        <f t="shared" si="28"/>
        <v>145810.28636363635</v>
      </c>
      <c r="M57" s="15">
        <f t="shared" si="29"/>
        <v>10755844.428888028</v>
      </c>
      <c r="N57" s="22">
        <f t="shared" si="30"/>
        <v>73.766019511572878</v>
      </c>
      <c r="O57" s="31">
        <f t="shared" si="31"/>
        <v>127359.694055944</v>
      </c>
      <c r="P57" s="31">
        <f t="shared" si="32"/>
        <v>9693269.7186129782</v>
      </c>
      <c r="Q57" s="32">
        <f t="shared" si="33"/>
        <v>76.109398585357113</v>
      </c>
      <c r="R57" s="35">
        <f t="shared" si="5"/>
        <v>56.080879370629361</v>
      </c>
    </row>
    <row r="58" spans="1:18">
      <c r="A58" s="21">
        <v>91000</v>
      </c>
      <c r="B58" s="13">
        <v>43191</v>
      </c>
      <c r="C58" s="16">
        <f t="shared" si="22"/>
        <v>145810.28636363635</v>
      </c>
      <c r="D58" s="16">
        <f t="shared" si="23"/>
        <v>10755844.428888028</v>
      </c>
      <c r="E58" s="14">
        <f t="shared" si="24"/>
        <v>73.766019511572878</v>
      </c>
      <c r="F58" s="46">
        <f t="shared" si="34"/>
        <v>55213.362121212129</v>
      </c>
      <c r="G58" s="23">
        <f t="shared" si="25"/>
        <v>3969044.4250886366</v>
      </c>
      <c r="H58" s="22">
        <f>IF(F58=0,0,VLOOKUP(B58,Data!$A$5:$V$197,5,FALSE)*22)</f>
        <v>71.885577559563075</v>
      </c>
      <c r="I58" s="71">
        <f>VLOOKUP(B58,Data!$A$5:$V$197,10,FALSE)</f>
        <v>54717.963636363638</v>
      </c>
      <c r="J58" s="23">
        <f t="shared" si="26"/>
        <v>4008065.413866567</v>
      </c>
      <c r="K58" s="14">
        <f t="shared" si="27"/>
        <v>73.249535390292692</v>
      </c>
      <c r="L58" s="15">
        <f t="shared" si="28"/>
        <v>146305.68484848482</v>
      </c>
      <c r="M58" s="15">
        <f t="shared" si="29"/>
        <v>10716823.440110099</v>
      </c>
      <c r="N58" s="22">
        <f t="shared" si="30"/>
        <v>73.249535390292692</v>
      </c>
      <c r="O58" s="31">
        <f t="shared" si="31"/>
        <v>126998.0757575757</v>
      </c>
      <c r="P58" s="31">
        <f t="shared" si="32"/>
        <v>9641467.8947957475</v>
      </c>
      <c r="Q58" s="32">
        <f t="shared" si="33"/>
        <v>75.918220313827192</v>
      </c>
      <c r="R58" s="35">
        <f t="shared" si="5"/>
        <v>56.27141724941724</v>
      </c>
    </row>
    <row r="59" spans="1:18">
      <c r="A59" s="21">
        <v>91000</v>
      </c>
      <c r="B59" s="13">
        <v>43221</v>
      </c>
      <c r="C59" s="16">
        <f t="shared" si="22"/>
        <v>146305.68484848482</v>
      </c>
      <c r="D59" s="16">
        <f t="shared" si="23"/>
        <v>10716823.440110099</v>
      </c>
      <c r="E59" s="14">
        <f t="shared" si="24"/>
        <v>73.249535390292692</v>
      </c>
      <c r="F59" s="46">
        <f t="shared" si="34"/>
        <v>55213.362121212129</v>
      </c>
      <c r="G59" s="23">
        <f t="shared" si="25"/>
        <v>3978233.153468993</v>
      </c>
      <c r="H59" s="22">
        <f>IF(F59=0,0,VLOOKUP(B59,Data!$A$5:$V$197,5,FALSE)*22)</f>
        <v>72.051999744833807</v>
      </c>
      <c r="I59" s="71">
        <f>VLOOKUP(B59,Data!$A$5:$V$197,10,FALSE)</f>
        <v>60543.509090909094</v>
      </c>
      <c r="J59" s="23">
        <f t="shared" si="26"/>
        <v>4414919.1148098512</v>
      </c>
      <c r="K59" s="14">
        <f t="shared" si="27"/>
        <v>72.921427599788288</v>
      </c>
      <c r="L59" s="15">
        <f t="shared" si="28"/>
        <v>140975.53787878784</v>
      </c>
      <c r="M59" s="15">
        <f t="shared" si="29"/>
        <v>10280137.478769239</v>
      </c>
      <c r="N59" s="22">
        <f t="shared" si="30"/>
        <v>72.921427599788288</v>
      </c>
      <c r="O59" s="31">
        <f t="shared" si="31"/>
        <v>125908.3651515151</v>
      </c>
      <c r="P59" s="31">
        <f t="shared" si="32"/>
        <v>9534915.1316130143</v>
      </c>
      <c r="Q59" s="32">
        <f t="shared" si="33"/>
        <v>75.729004344857685</v>
      </c>
      <c r="R59" s="35">
        <f t="shared" si="5"/>
        <v>54.221360722610711</v>
      </c>
    </row>
    <row r="60" spans="1:18">
      <c r="A60" s="21">
        <v>91000</v>
      </c>
      <c r="B60" s="13">
        <v>43252</v>
      </c>
      <c r="C60" s="16">
        <f t="shared" si="22"/>
        <v>140975.53787878784</v>
      </c>
      <c r="D60" s="16">
        <f t="shared" si="23"/>
        <v>10280137.478769239</v>
      </c>
      <c r="E60" s="14">
        <f t="shared" si="24"/>
        <v>72.921427599788288</v>
      </c>
      <c r="F60" s="46">
        <f t="shared" si="34"/>
        <v>55213.362121212129</v>
      </c>
      <c r="G60" s="23">
        <f t="shared" si="25"/>
        <v>3974191.4334219694</v>
      </c>
      <c r="H60" s="22">
        <f>IF(F60=0,0,VLOOKUP(B60,Data!$A$5:$V$197,5,FALSE)*22)</f>
        <v>71.978797898546119</v>
      </c>
      <c r="I60" s="71">
        <f>VLOOKUP(B60,Data!$A$5:$V$197,10,FALSE)</f>
        <v>58756.945454545465</v>
      </c>
      <c r="J60" s="23">
        <f t="shared" si="26"/>
        <v>4269053.0727516664</v>
      </c>
      <c r="K60" s="14">
        <f t="shared" si="27"/>
        <v>72.656143707371882</v>
      </c>
      <c r="L60" s="15">
        <f t="shared" si="28"/>
        <v>137431.9545454545</v>
      </c>
      <c r="M60" s="15">
        <f t="shared" si="29"/>
        <v>9985275.8394395411</v>
      </c>
      <c r="N60" s="22">
        <f t="shared" si="30"/>
        <v>72.656143707371868</v>
      </c>
      <c r="O60" s="31">
        <f t="shared" si="31"/>
        <v>124907.35804195801</v>
      </c>
      <c r="P60" s="31">
        <f t="shared" si="32"/>
        <v>9434834.5586802773</v>
      </c>
      <c r="Q60" s="32">
        <f t="shared" si="33"/>
        <v>75.534657898304062</v>
      </c>
      <c r="R60" s="35">
        <f t="shared" si="5"/>
        <v>52.858444055944041</v>
      </c>
    </row>
    <row r="61" spans="1:18">
      <c r="A61" s="21">
        <v>91000</v>
      </c>
      <c r="B61" s="13">
        <v>43282</v>
      </c>
      <c r="C61" s="16">
        <f t="shared" si="22"/>
        <v>137431.9545454545</v>
      </c>
      <c r="D61" s="16">
        <f t="shared" si="23"/>
        <v>9985275.8394395411</v>
      </c>
      <c r="E61" s="14">
        <f t="shared" si="24"/>
        <v>72.656143707371868</v>
      </c>
      <c r="F61" s="46">
        <f t="shared" si="34"/>
        <v>55213.362121212129</v>
      </c>
      <c r="G61" s="23">
        <f t="shared" si="25"/>
        <v>4201589.0537598869</v>
      </c>
      <c r="H61" s="22">
        <f>IF(F61=0,0,VLOOKUP(B61,Data!$A$5:$V$197,5,FALSE)*22)</f>
        <v>76.097323045388336</v>
      </c>
      <c r="I61" s="71">
        <f>VLOOKUP(B61,Data!$A$5:$V$197,10,FALSE)</f>
        <v>60187.727272727279</v>
      </c>
      <c r="J61" s="23">
        <f t="shared" si="26"/>
        <v>4432369.132151668</v>
      </c>
      <c r="K61" s="14">
        <f t="shared" si="27"/>
        <v>73.642407397564199</v>
      </c>
      <c r="L61" s="15">
        <f t="shared" si="28"/>
        <v>132457.58939393936</v>
      </c>
      <c r="M61" s="15">
        <f t="shared" si="29"/>
        <v>9754495.7610477619</v>
      </c>
      <c r="N61" s="22">
        <f t="shared" si="30"/>
        <v>73.642407397564213</v>
      </c>
      <c r="O61" s="31">
        <f t="shared" si="31"/>
        <v>124141.70617715616</v>
      </c>
      <c r="P61" s="31">
        <f t="shared" si="32"/>
        <v>9372560.5567866396</v>
      </c>
      <c r="Q61" s="32">
        <f t="shared" si="33"/>
        <v>75.498886276071858</v>
      </c>
      <c r="R61" s="35">
        <f t="shared" si="5"/>
        <v>50.945226689976678</v>
      </c>
    </row>
    <row r="62" spans="1:18">
      <c r="A62" s="21">
        <v>91000</v>
      </c>
      <c r="B62" s="13">
        <v>43313</v>
      </c>
      <c r="C62" s="16">
        <f t="shared" si="22"/>
        <v>132457.58939393936</v>
      </c>
      <c r="D62" s="16">
        <f t="shared" si="23"/>
        <v>9754495.7610477619</v>
      </c>
      <c r="E62" s="14">
        <f t="shared" si="24"/>
        <v>73.642407397564213</v>
      </c>
      <c r="F62" s="46">
        <f t="shared" si="34"/>
        <v>55213.362121212129</v>
      </c>
      <c r="G62" s="23">
        <f t="shared" si="25"/>
        <v>4179684.5777854831</v>
      </c>
      <c r="H62" s="22">
        <f>IF(F62=0,0,VLOOKUP(B62,Data!$A$5:$V$197,5,FALSE)*22)</f>
        <v>75.700598862457468</v>
      </c>
      <c r="I62" s="71">
        <f>VLOOKUP(B62,Data!$A$5:$V$197,10,FALSE)</f>
        <v>60450.8</v>
      </c>
      <c r="J62" s="23">
        <f t="shared" si="26"/>
        <v>4488346.9819181673</v>
      </c>
      <c r="K62" s="14">
        <f t="shared" si="27"/>
        <v>74.247933557838223</v>
      </c>
      <c r="L62" s="15">
        <f t="shared" si="28"/>
        <v>127220.15151515148</v>
      </c>
      <c r="M62" s="15">
        <f t="shared" si="29"/>
        <v>9445833.3569150772</v>
      </c>
      <c r="N62" s="22">
        <f t="shared" si="30"/>
        <v>74.247933557838209</v>
      </c>
      <c r="O62" s="31">
        <f t="shared" si="31"/>
        <v>123769.29627039624</v>
      </c>
      <c r="P62" s="31">
        <f t="shared" si="32"/>
        <v>9329660.5705282502</v>
      </c>
      <c r="Q62" s="32">
        <f t="shared" si="33"/>
        <v>75.379442653902885</v>
      </c>
      <c r="R62" s="35">
        <f t="shared" si="5"/>
        <v>48.930827505827487</v>
      </c>
    </row>
    <row r="63" spans="1:18">
      <c r="A63" s="21">
        <v>91000</v>
      </c>
      <c r="B63" s="13">
        <v>43344</v>
      </c>
      <c r="C63" s="16">
        <f t="shared" si="22"/>
        <v>127220.15151515148</v>
      </c>
      <c r="D63" s="16">
        <f t="shared" si="23"/>
        <v>9445833.3569150772</v>
      </c>
      <c r="E63" s="14">
        <f t="shared" si="24"/>
        <v>74.247933557838209</v>
      </c>
      <c r="F63" s="46">
        <f t="shared" si="34"/>
        <v>55213.362121212129</v>
      </c>
      <c r="G63" s="23">
        <f t="shared" si="25"/>
        <v>4174048.1641586982</v>
      </c>
      <c r="H63" s="22">
        <f>IF(F63=0,0,VLOOKUP(B63,Data!$A$5:$V$197,5,FALSE)*22)</f>
        <v>75.598514631209042</v>
      </c>
      <c r="I63" s="71">
        <f>VLOOKUP(B63,Data!$A$5:$V$197,10,FALSE)</f>
        <v>61954.527272727268</v>
      </c>
      <c r="J63" s="23">
        <f t="shared" si="26"/>
        <v>4625319.6812873641</v>
      </c>
      <c r="K63" s="14">
        <f t="shared" si="27"/>
        <v>74.656685877473492</v>
      </c>
      <c r="L63" s="15">
        <f t="shared" si="28"/>
        <v>120478.98636363634</v>
      </c>
      <c r="M63" s="15">
        <f t="shared" si="29"/>
        <v>8994561.8397864103</v>
      </c>
      <c r="N63" s="22">
        <f t="shared" si="30"/>
        <v>74.656685877473492</v>
      </c>
      <c r="O63" s="31">
        <f t="shared" si="31"/>
        <v>123600.43461538457</v>
      </c>
      <c r="P63" s="31">
        <f t="shared" si="32"/>
        <v>9295382.3834888265</v>
      </c>
      <c r="Q63" s="32">
        <f t="shared" si="33"/>
        <v>75.205094645612419</v>
      </c>
      <c r="R63" s="35">
        <f t="shared" si="5"/>
        <v>46.338071678321668</v>
      </c>
    </row>
    <row r="64" spans="1:18">
      <c r="A64" s="21">
        <v>91000</v>
      </c>
      <c r="B64" s="13">
        <v>43374</v>
      </c>
      <c r="C64" s="16">
        <f t="shared" si="22"/>
        <v>120478.98636363634</v>
      </c>
      <c r="D64" s="16">
        <f t="shared" si="23"/>
        <v>8994561.8397864103</v>
      </c>
      <c r="E64" s="14">
        <f t="shared" si="24"/>
        <v>74.656685877473492</v>
      </c>
      <c r="F64" s="46">
        <f t="shared" si="34"/>
        <v>55213.362121212129</v>
      </c>
      <c r="G64" s="23">
        <f t="shared" si="25"/>
        <v>4170000.9422769519</v>
      </c>
      <c r="H64" s="22">
        <f>IF(F64=0,0,VLOOKUP(B64,Data!$A$5:$V$197,5,FALSE)*22)</f>
        <v>75.525213138123704</v>
      </c>
      <c r="I64" s="71">
        <f>VLOOKUP(B64,Data!$A$5:$V$197,10,FALSE)</f>
        <v>64392.4</v>
      </c>
      <c r="J64" s="23">
        <f t="shared" si="26"/>
        <v>4824898.7494230084</v>
      </c>
      <c r="K64" s="14">
        <f t="shared" si="27"/>
        <v>74.929630661739708</v>
      </c>
      <c r="L64" s="15">
        <f t="shared" si="28"/>
        <v>111299.94848484849</v>
      </c>
      <c r="M64" s="15">
        <f t="shared" si="29"/>
        <v>8339664.0326403528</v>
      </c>
      <c r="N64" s="22">
        <f t="shared" si="30"/>
        <v>74.929630661739708</v>
      </c>
      <c r="O64" s="31">
        <f t="shared" si="31"/>
        <v>123236.93799533795</v>
      </c>
      <c r="P64" s="31">
        <f t="shared" si="32"/>
        <v>9242028.1845699977</v>
      </c>
      <c r="Q64" s="32">
        <f t="shared" si="33"/>
        <v>74.993977738392232</v>
      </c>
      <c r="R64" s="35">
        <f t="shared" si="5"/>
        <v>42.807672494172493</v>
      </c>
    </row>
    <row r="65" spans="1:18">
      <c r="A65" s="21">
        <v>91000</v>
      </c>
      <c r="B65" s="13">
        <v>43405</v>
      </c>
      <c r="C65" s="16">
        <f t="shared" si="22"/>
        <v>111299.94848484849</v>
      </c>
      <c r="D65" s="16">
        <f t="shared" si="23"/>
        <v>8339664.0326403528</v>
      </c>
      <c r="E65" s="14">
        <f t="shared" si="24"/>
        <v>74.929630661739708</v>
      </c>
      <c r="F65" s="46">
        <f t="shared" si="34"/>
        <v>55213.362121212129</v>
      </c>
      <c r="G65" s="23">
        <f t="shared" si="25"/>
        <v>4178700.2653638562</v>
      </c>
      <c r="H65" s="22">
        <f>IF(F65=0,0,VLOOKUP(B65,Data!$A$5:$V$197,5,FALSE)*22)</f>
        <v>75.682771431129055</v>
      </c>
      <c r="I65" s="71">
        <f>VLOOKUP(B65,Data!$A$5:$V$197,10,FALSE)</f>
        <v>60603.618181818179</v>
      </c>
      <c r="J65" s="23">
        <f t="shared" si="26"/>
        <v>4556141.2923438596</v>
      </c>
      <c r="K65" s="14">
        <f t="shared" si="27"/>
        <v>75.179361051924076</v>
      </c>
      <c r="L65" s="15">
        <f t="shared" si="28"/>
        <v>105909.69242424243</v>
      </c>
      <c r="M65" s="15">
        <f t="shared" si="29"/>
        <v>7962223.0056603504</v>
      </c>
      <c r="N65" s="22">
        <f t="shared" si="30"/>
        <v>75.17936105192409</v>
      </c>
      <c r="O65" s="31">
        <f t="shared" si="31"/>
        <v>123209.67494172489</v>
      </c>
      <c r="P65" s="31">
        <f t="shared" si="32"/>
        <v>9212759.9654261339</v>
      </c>
      <c r="Q65" s="32">
        <f t="shared" si="33"/>
        <v>74.773023869948034</v>
      </c>
      <c r="R65" s="35">
        <f t="shared" si="5"/>
        <v>40.734497086247089</v>
      </c>
    </row>
    <row r="66" spans="1:18">
      <c r="A66" s="21">
        <v>91000</v>
      </c>
      <c r="B66" s="13">
        <v>43435</v>
      </c>
      <c r="C66" s="16">
        <f t="shared" si="22"/>
        <v>105909.69242424243</v>
      </c>
      <c r="D66" s="16">
        <f t="shared" si="23"/>
        <v>7962223.0056603504</v>
      </c>
      <c r="E66" s="14">
        <f t="shared" si="24"/>
        <v>75.17936105192409</v>
      </c>
      <c r="F66" s="46">
        <f t="shared" si="34"/>
        <v>55213.362121212129</v>
      </c>
      <c r="G66" s="23">
        <f t="shared" si="25"/>
        <v>4163385.7180632623</v>
      </c>
      <c r="H66" s="22">
        <f>IF(F66=0,0,VLOOKUP(B66,Data!$A$5:$V$197,5,FALSE)*22)</f>
        <v>75.4054011223445</v>
      </c>
      <c r="I66" s="71">
        <f>VLOOKUP(B66,Data!$A$5:$V$197,10,FALSE)</f>
        <v>58949.05454545455</v>
      </c>
      <c r="J66" s="23">
        <f t="shared" si="26"/>
        <v>4436318.3907363918</v>
      </c>
      <c r="K66" s="14">
        <f t="shared" si="27"/>
        <v>75.256820061730195</v>
      </c>
      <c r="L66" s="15">
        <f t="shared" si="28"/>
        <v>102174.00000000001</v>
      </c>
      <c r="M66" s="15">
        <f t="shared" si="29"/>
        <v>7689290.332987221</v>
      </c>
      <c r="N66" s="22">
        <f t="shared" si="30"/>
        <v>75.256820061730181</v>
      </c>
      <c r="O66" s="31">
        <f t="shared" si="31"/>
        <v>123153.92517482514</v>
      </c>
      <c r="P66" s="31">
        <f t="shared" si="32"/>
        <v>9179065.7933383193</v>
      </c>
      <c r="Q66" s="32">
        <f t="shared" si="33"/>
        <v>74.53327841810993</v>
      </c>
      <c r="R66" s="35">
        <f t="shared" si="5"/>
        <v>39.297692307692316</v>
      </c>
    </row>
    <row r="67" spans="1:18">
      <c r="A67" s="47">
        <v>91000</v>
      </c>
      <c r="B67" s="13">
        <v>43466</v>
      </c>
      <c r="C67" s="16">
        <f t="shared" ref="C67:C90" si="35">L66</f>
        <v>102174.00000000001</v>
      </c>
      <c r="D67" s="16">
        <f t="shared" ref="D67:D90" si="36">M66</f>
        <v>7689290.332987221</v>
      </c>
      <c r="E67" s="14">
        <f t="shared" ref="E67:E90" si="37">N66</f>
        <v>75.256820061730181</v>
      </c>
      <c r="F67" s="46">
        <f>AVERAGE(I67:I78)</f>
        <v>46984.153787878786</v>
      </c>
      <c r="G67" s="74">
        <f t="shared" ref="G67:G90" si="38">F67*H67</f>
        <v>3586704.5630716844</v>
      </c>
      <c r="H67" s="22">
        <f>IF(F67=0,0,VLOOKUP(B67,Data!$A$5:$V$197,5,FALSE)*22)</f>
        <v>76.338600866682015</v>
      </c>
      <c r="I67" s="74">
        <f>VLOOKUP(B67,Data!$A$5:$V$197,10,FALSE)</f>
        <v>49411.527272727275</v>
      </c>
      <c r="J67" s="74">
        <f t="shared" ref="J67:J90" si="39">IF(C67+G67&gt;0,((D67+G67)/(C67+F67)*I67),0)</f>
        <v>3735391.6979027772</v>
      </c>
      <c r="K67" s="14">
        <f t="shared" ref="K67:K90" si="40">IF(I67=0,0,J67/I67)</f>
        <v>75.597576194827099</v>
      </c>
      <c r="L67" s="46">
        <f t="shared" ref="L67:L90" si="41">+C67+F67-I67</f>
        <v>99746.626515151525</v>
      </c>
      <c r="M67" s="46">
        <f t="shared" ref="M67:M90" si="42">+D67+G67-J67</f>
        <v>7540603.1981561286</v>
      </c>
      <c r="N67" s="22">
        <f t="shared" ref="N67:N90" si="43">IF(L67=0,0,M67/L67)</f>
        <v>75.597576194827099</v>
      </c>
      <c r="O67" s="55">
        <f t="shared" ref="O67:O90" si="44">AVERAGE(L55:L67)</f>
        <v>122967.2041375291</v>
      </c>
      <c r="P67" s="55">
        <f t="shared" ref="P67:P90" si="45">AVERAGE(M55:M67)</f>
        <v>9135803.9559049644</v>
      </c>
      <c r="Q67" s="32">
        <f t="shared" ref="Q67:Q90" si="46">IF(O67=0,0,P67/O67)</f>
        <v>74.294638314190578</v>
      </c>
      <c r="R67" s="35">
        <f t="shared" ref="R67:R90" si="47">L67/2600</f>
        <v>38.364087121212123</v>
      </c>
    </row>
    <row r="68" spans="1:18">
      <c r="A68" s="47">
        <v>91000</v>
      </c>
      <c r="B68" s="13">
        <v>43497</v>
      </c>
      <c r="C68" s="16">
        <f t="shared" si="35"/>
        <v>99746.626515151525</v>
      </c>
      <c r="D68" s="16">
        <f t="shared" si="36"/>
        <v>7540603.1981561286</v>
      </c>
      <c r="E68" s="14">
        <f t="shared" si="37"/>
        <v>75.597576194827099</v>
      </c>
      <c r="F68" s="46">
        <f>F67</f>
        <v>46984.153787878786</v>
      </c>
      <c r="G68" s="74">
        <f t="shared" si="38"/>
        <v>3554914.1788178948</v>
      </c>
      <c r="H68" s="22">
        <f>IF(F68=0,0,VLOOKUP(B68,Data!$A$5:$V$197,5,FALSE)*22)</f>
        <v>75.661981587822268</v>
      </c>
      <c r="I68" s="74">
        <f>VLOOKUP(B68,Data!$A$5:$V$197,10,FALSE)</f>
        <v>48693.36363636364</v>
      </c>
      <c r="J68" s="74">
        <f t="shared" si="39"/>
        <v>3682104.4722504616</v>
      </c>
      <c r="K68" s="14">
        <f t="shared" si="40"/>
        <v>75.61819922213607</v>
      </c>
      <c r="L68" s="46">
        <f t="shared" si="41"/>
        <v>98037.416666666657</v>
      </c>
      <c r="M68" s="46">
        <f t="shared" si="42"/>
        <v>7413412.9047235623</v>
      </c>
      <c r="N68" s="22">
        <f t="shared" si="43"/>
        <v>75.61819922213607</v>
      </c>
      <c r="O68" s="55">
        <f t="shared" si="44"/>
        <v>122442.35518648017</v>
      </c>
      <c r="P68" s="55">
        <f t="shared" si="45"/>
        <v>9087781.5018553603</v>
      </c>
      <c r="Q68" s="32">
        <f t="shared" si="46"/>
        <v>74.220897564528499</v>
      </c>
      <c r="R68" s="35">
        <f t="shared" si="47"/>
        <v>37.706698717948711</v>
      </c>
    </row>
    <row r="69" spans="1:18">
      <c r="A69" s="47">
        <v>91000</v>
      </c>
      <c r="B69" s="13">
        <v>43525</v>
      </c>
      <c r="C69" s="16">
        <f t="shared" si="35"/>
        <v>98037.416666666657</v>
      </c>
      <c r="D69" s="16">
        <f t="shared" si="36"/>
        <v>7413412.9047235623</v>
      </c>
      <c r="E69" s="14">
        <f t="shared" si="37"/>
        <v>75.61819922213607</v>
      </c>
      <c r="F69" s="46">
        <f t="shared" ref="F69:F78" si="48">F68</f>
        <v>46984.153787878786</v>
      </c>
      <c r="G69" s="74">
        <f t="shared" si="38"/>
        <v>3576059.4399043187</v>
      </c>
      <c r="H69" s="22">
        <f>IF(F69=0,0,VLOOKUP(B69,Data!$A$5:$V$197,5,FALSE)*22)</f>
        <v>76.112032496089967</v>
      </c>
      <c r="I69" s="74">
        <f>VLOOKUP(B69,Data!$A$5:$V$197,10,FALSE)</f>
        <v>34817.090909090912</v>
      </c>
      <c r="J69" s="74">
        <f t="shared" si="39"/>
        <v>2638376.1840848057</v>
      </c>
      <c r="K69" s="14">
        <f t="shared" si="40"/>
        <v>75.778191548907174</v>
      </c>
      <c r="L69" s="46">
        <f t="shared" si="41"/>
        <v>110204.47954545452</v>
      </c>
      <c r="M69" s="46">
        <f t="shared" si="42"/>
        <v>8351096.1605430758</v>
      </c>
      <c r="N69" s="22">
        <f t="shared" si="43"/>
        <v>75.778191548907174</v>
      </c>
      <c r="O69" s="55">
        <f t="shared" si="44"/>
        <v>121388.64265734263</v>
      </c>
      <c r="P69" s="55">
        <f t="shared" si="45"/>
        <v>9017635.5215128344</v>
      </c>
      <c r="Q69" s="32">
        <f t="shared" si="46"/>
        <v>74.287308302539699</v>
      </c>
      <c r="R69" s="35">
        <f t="shared" si="47"/>
        <v>42.386338286713276</v>
      </c>
    </row>
    <row r="70" spans="1:18">
      <c r="A70" s="47">
        <v>91000</v>
      </c>
      <c r="B70" s="13">
        <v>43556</v>
      </c>
      <c r="C70" s="16">
        <f t="shared" si="35"/>
        <v>110204.47954545452</v>
      </c>
      <c r="D70" s="16">
        <f t="shared" si="36"/>
        <v>8351096.1605430758</v>
      </c>
      <c r="E70" s="14">
        <f t="shared" si="37"/>
        <v>75.778191548907174</v>
      </c>
      <c r="F70" s="46">
        <f t="shared" si="48"/>
        <v>46984.153787878786</v>
      </c>
      <c r="G70" s="74">
        <f t="shared" si="38"/>
        <v>3596740.5388590945</v>
      </c>
      <c r="H70" s="22">
        <f>IF(F70=0,0,VLOOKUP(B70,Data!$A$5:$V$197,5,FALSE)*22)</f>
        <v>76.552204283542935</v>
      </c>
      <c r="I70" s="74">
        <f>VLOOKUP(B70,Data!$A$5:$V$197,10,FALSE)</f>
        <v>22212</v>
      </c>
      <c r="J70" s="74">
        <f t="shared" si="39"/>
        <v>1688324.0418812369</v>
      </c>
      <c r="K70" s="14">
        <f t="shared" si="40"/>
        <v>76.009546275942597</v>
      </c>
      <c r="L70" s="46">
        <f t="shared" si="41"/>
        <v>134976.6333333333</v>
      </c>
      <c r="M70" s="46">
        <f t="shared" si="42"/>
        <v>10259512.657520933</v>
      </c>
      <c r="N70" s="22">
        <f t="shared" si="43"/>
        <v>76.009546275942597</v>
      </c>
      <c r="O70" s="55">
        <f t="shared" si="44"/>
        <v>120555.28473193471</v>
      </c>
      <c r="P70" s="55">
        <f t="shared" si="45"/>
        <v>8979456.154484598</v>
      </c>
      <c r="Q70" s="32">
        <f t="shared" si="46"/>
        <v>74.484135427585855</v>
      </c>
      <c r="R70" s="35">
        <f t="shared" si="47"/>
        <v>51.914089743589734</v>
      </c>
    </row>
    <row r="71" spans="1:18">
      <c r="A71" s="47">
        <v>91000</v>
      </c>
      <c r="B71" s="13">
        <v>43586</v>
      </c>
      <c r="C71" s="16">
        <f t="shared" si="35"/>
        <v>134976.6333333333</v>
      </c>
      <c r="D71" s="16">
        <f t="shared" si="36"/>
        <v>10259512.657520933</v>
      </c>
      <c r="E71" s="14">
        <f t="shared" si="37"/>
        <v>76.009546275942597</v>
      </c>
      <c r="F71" s="46">
        <f t="shared" si="48"/>
        <v>46984.153787878786</v>
      </c>
      <c r="G71" s="74">
        <f t="shared" si="38"/>
        <v>3606138.4054957367</v>
      </c>
      <c r="H71" s="22">
        <f>IF(F71=0,0,VLOOKUP(B71,Data!$A$5:$V$197,5,FALSE)*22)</f>
        <v>76.752226330956432</v>
      </c>
      <c r="I71" s="74">
        <f>VLOOKUP(B71,Data!$A$5:$V$197,10,FALSE)</f>
        <v>42427.227272727272</v>
      </c>
      <c r="J71" s="74">
        <f t="shared" si="39"/>
        <v>3233010.4647385417</v>
      </c>
      <c r="K71" s="14">
        <f t="shared" si="40"/>
        <v>76.201313933535303</v>
      </c>
      <c r="L71" s="46">
        <f t="shared" si="41"/>
        <v>139533.55984848482</v>
      </c>
      <c r="M71" s="46">
        <f t="shared" si="42"/>
        <v>10632640.598278128</v>
      </c>
      <c r="N71" s="22">
        <f t="shared" si="43"/>
        <v>76.201313933535303</v>
      </c>
      <c r="O71" s="55">
        <f t="shared" si="44"/>
        <v>120034.35203962702</v>
      </c>
      <c r="P71" s="55">
        <f t="shared" si="45"/>
        <v>8972980.5512667522</v>
      </c>
      <c r="Q71" s="32">
        <f t="shared" si="46"/>
        <v>74.753438484880533</v>
      </c>
      <c r="R71" s="35">
        <f t="shared" si="47"/>
        <v>53.666753787878775</v>
      </c>
    </row>
    <row r="72" spans="1:18">
      <c r="A72" s="47">
        <v>91000</v>
      </c>
      <c r="B72" s="13">
        <v>43617</v>
      </c>
      <c r="C72" s="16">
        <f t="shared" si="35"/>
        <v>139533.55984848482</v>
      </c>
      <c r="D72" s="16">
        <f t="shared" si="36"/>
        <v>10632640.598278128</v>
      </c>
      <c r="E72" s="14">
        <f t="shared" si="37"/>
        <v>76.201313933535303</v>
      </c>
      <c r="F72" s="46">
        <f t="shared" si="48"/>
        <v>46984.153787878786</v>
      </c>
      <c r="G72" s="74">
        <f t="shared" si="38"/>
        <v>3601120.417602032</v>
      </c>
      <c r="H72" s="22">
        <f>IF(F72=0,0,VLOOKUP(B72,Data!$A$5:$V$197,5,FALSE)*22)</f>
        <v>76.645424622525979</v>
      </c>
      <c r="I72" s="74">
        <f>VLOOKUP(B72,Data!$A$5:$V$197,10,FALSE)</f>
        <v>53880.136363636368</v>
      </c>
      <c r="J72" s="74">
        <f t="shared" si="39"/>
        <v>4111764.8804028435</v>
      </c>
      <c r="K72" s="14">
        <f t="shared" si="40"/>
        <v>76.313186229756241</v>
      </c>
      <c r="L72" s="46">
        <f t="shared" si="41"/>
        <v>132637.57727272721</v>
      </c>
      <c r="M72" s="46">
        <f t="shared" si="42"/>
        <v>10121996.135477316</v>
      </c>
      <c r="N72" s="22">
        <f t="shared" si="43"/>
        <v>76.313186229756241</v>
      </c>
      <c r="O72" s="55">
        <f t="shared" si="44"/>
        <v>119392.97045454543</v>
      </c>
      <c r="P72" s="55">
        <f t="shared" si="45"/>
        <v>8960815.8325519897</v>
      </c>
      <c r="Q72" s="32">
        <f t="shared" si="46"/>
        <v>75.053127486793684</v>
      </c>
      <c r="R72" s="35">
        <f t="shared" si="47"/>
        <v>51.014452797202772</v>
      </c>
    </row>
    <row r="73" spans="1:18">
      <c r="A73" s="47">
        <v>91000</v>
      </c>
      <c r="B73" s="13">
        <v>43647</v>
      </c>
      <c r="C73" s="16">
        <f t="shared" si="35"/>
        <v>132637.57727272721</v>
      </c>
      <c r="D73" s="16">
        <f t="shared" si="36"/>
        <v>10121996.135477316</v>
      </c>
      <c r="E73" s="14">
        <f t="shared" si="37"/>
        <v>76.313186229756241</v>
      </c>
      <c r="F73" s="46">
        <f t="shared" si="48"/>
        <v>46984.153787878786</v>
      </c>
      <c r="G73" s="74">
        <f t="shared" si="38"/>
        <v>3572925.0597882043</v>
      </c>
      <c r="H73" s="22">
        <f>IF(F73=0,0,VLOOKUP(B73,Data!$A$5:$V$197,5,FALSE)*22)</f>
        <v>76.045321065460286</v>
      </c>
      <c r="I73" s="74">
        <f>VLOOKUP(B73,Data!$A$5:$V$197,10,FALSE)</f>
        <v>55184.318181818184</v>
      </c>
      <c r="J73" s="74">
        <f t="shared" si="39"/>
        <v>4207424.5930714421</v>
      </c>
      <c r="K73" s="14">
        <f t="shared" si="40"/>
        <v>76.243119996681969</v>
      </c>
      <c r="L73" s="46">
        <f t="shared" si="41"/>
        <v>124437.41287878781</v>
      </c>
      <c r="M73" s="46">
        <f t="shared" si="42"/>
        <v>9487496.6021940783</v>
      </c>
      <c r="N73" s="22">
        <f t="shared" si="43"/>
        <v>76.243119996681969</v>
      </c>
      <c r="O73" s="55">
        <f t="shared" si="44"/>
        <v>118393.39032634029</v>
      </c>
      <c r="P73" s="55">
        <f t="shared" si="45"/>
        <v>8922525.1219946463</v>
      </c>
      <c r="Q73" s="32">
        <f t="shared" si="46"/>
        <v>75.363372037919873</v>
      </c>
      <c r="R73" s="35">
        <f t="shared" si="47"/>
        <v>47.860543414918389</v>
      </c>
    </row>
    <row r="74" spans="1:18">
      <c r="A74" s="47">
        <v>91000</v>
      </c>
      <c r="B74" s="13">
        <v>43678</v>
      </c>
      <c r="C74" s="16">
        <f t="shared" si="35"/>
        <v>124437.41287878781</v>
      </c>
      <c r="D74" s="16">
        <f t="shared" si="36"/>
        <v>9487496.6021940783</v>
      </c>
      <c r="E74" s="14">
        <f t="shared" si="37"/>
        <v>76.243119996681969</v>
      </c>
      <c r="F74" s="46">
        <f t="shared" si="48"/>
        <v>46984.153787878786</v>
      </c>
      <c r="G74" s="74">
        <f t="shared" si="38"/>
        <v>3549549.3264955082</v>
      </c>
      <c r="H74" s="22">
        <f>IF(F74=0,0,VLOOKUP(B74,Data!$A$5:$V$197,5,FALSE)*22)</f>
        <v>75.547797296101123</v>
      </c>
      <c r="I74" s="74">
        <f>VLOOKUP(B74,Data!$A$5:$V$197,10,FALSE)</f>
        <v>54179.818181818177</v>
      </c>
      <c r="J74" s="74">
        <f t="shared" si="39"/>
        <v>4120512.9073281619</v>
      </c>
      <c r="K74" s="14">
        <f t="shared" si="40"/>
        <v>76.052542175398727</v>
      </c>
      <c r="L74" s="46">
        <f t="shared" si="41"/>
        <v>117241.74848484842</v>
      </c>
      <c r="M74" s="46">
        <f t="shared" si="42"/>
        <v>8916533.0213614237</v>
      </c>
      <c r="N74" s="22">
        <f t="shared" si="43"/>
        <v>76.052542175398727</v>
      </c>
      <c r="O74" s="55">
        <f t="shared" si="44"/>
        <v>117222.94102564099</v>
      </c>
      <c r="P74" s="55">
        <f t="shared" si="45"/>
        <v>8858066.4497110806</v>
      </c>
      <c r="Q74" s="32">
        <f t="shared" si="46"/>
        <v>75.565980278327032</v>
      </c>
      <c r="R74" s="35">
        <f t="shared" si="47"/>
        <v>45.092980186480162</v>
      </c>
    </row>
    <row r="75" spans="1:18">
      <c r="A75" s="47">
        <v>91000</v>
      </c>
      <c r="B75" s="13">
        <v>43709</v>
      </c>
      <c r="C75" s="16">
        <f t="shared" si="35"/>
        <v>117241.74848484842</v>
      </c>
      <c r="D75" s="16">
        <f t="shared" si="36"/>
        <v>8916533.0213614237</v>
      </c>
      <c r="E75" s="14">
        <f t="shared" si="37"/>
        <v>76.052542175398727</v>
      </c>
      <c r="F75" s="46">
        <f t="shared" si="48"/>
        <v>46984.153787878786</v>
      </c>
      <c r="G75" s="74">
        <f t="shared" si="38"/>
        <v>3544226.7649118258</v>
      </c>
      <c r="H75" s="22">
        <f>IF(F75=0,0,VLOOKUP(B75,Data!$A$5:$V$197,5,FALSE)*22)</f>
        <v>75.434513110805113</v>
      </c>
      <c r="I75" s="74">
        <f>VLOOKUP(B75,Data!$A$5:$V$197,10,FALSE)</f>
        <v>52971.681818181816</v>
      </c>
      <c r="J75" s="74">
        <f t="shared" si="39"/>
        <v>4019264.8874298707</v>
      </c>
      <c r="K75" s="14">
        <f t="shared" si="40"/>
        <v>75.875727359864797</v>
      </c>
      <c r="L75" s="46">
        <f t="shared" si="41"/>
        <v>111254.22045454537</v>
      </c>
      <c r="M75" s="46">
        <f t="shared" si="42"/>
        <v>8441494.8988433778</v>
      </c>
      <c r="N75" s="22">
        <f t="shared" si="43"/>
        <v>75.875727359864797</v>
      </c>
      <c r="O75" s="55">
        <f t="shared" si="44"/>
        <v>115994.79248251746</v>
      </c>
      <c r="P75" s="55">
        <f t="shared" si="45"/>
        <v>8780809.6452440284</v>
      </c>
      <c r="Q75" s="32">
        <f t="shared" si="46"/>
        <v>75.700033228366337</v>
      </c>
      <c r="R75" s="35">
        <f t="shared" si="47"/>
        <v>42.790084790209761</v>
      </c>
    </row>
    <row r="76" spans="1:18">
      <c r="A76" s="47">
        <v>91000</v>
      </c>
      <c r="B76" s="13">
        <v>43739</v>
      </c>
      <c r="C76" s="16">
        <f t="shared" si="35"/>
        <v>111254.22045454537</v>
      </c>
      <c r="D76" s="16">
        <f t="shared" si="36"/>
        <v>8441494.8988433778</v>
      </c>
      <c r="E76" s="14">
        <f t="shared" si="37"/>
        <v>75.875727359864797</v>
      </c>
      <c r="F76" s="46">
        <f t="shared" si="48"/>
        <v>46984.153787878786</v>
      </c>
      <c r="G76" s="74">
        <f t="shared" si="38"/>
        <v>3542887.6377413794</v>
      </c>
      <c r="H76" s="22">
        <f>IF(F76=0,0,VLOOKUP(B76,Data!$A$5:$V$197,5,FALSE)*22)</f>
        <v>75.406011433910123</v>
      </c>
      <c r="I76" s="74">
        <f>VLOOKUP(B76,Data!$A$5:$V$197,10,FALSE)</f>
        <v>54893.681818181823</v>
      </c>
      <c r="J76" s="74">
        <f t="shared" si="39"/>
        <v>4157442.1179453856</v>
      </c>
      <c r="K76" s="14">
        <f t="shared" si="40"/>
        <v>75.736259260503132</v>
      </c>
      <c r="L76" s="46">
        <f t="shared" si="41"/>
        <v>103344.69242424233</v>
      </c>
      <c r="M76" s="46">
        <f t="shared" si="42"/>
        <v>7826940.4186393712</v>
      </c>
      <c r="N76" s="22">
        <f t="shared" si="43"/>
        <v>75.736259260503132</v>
      </c>
      <c r="O76" s="55">
        <f t="shared" si="44"/>
        <v>114676.76987179485</v>
      </c>
      <c r="P76" s="55">
        <f t="shared" si="45"/>
        <v>8690992.612848103</v>
      </c>
      <c r="Q76" s="32">
        <f t="shared" si="46"/>
        <v>75.786862697339387</v>
      </c>
      <c r="R76" s="35">
        <f t="shared" si="47"/>
        <v>39.747958624708588</v>
      </c>
    </row>
    <row r="77" spans="1:18">
      <c r="A77" s="47">
        <v>91000</v>
      </c>
      <c r="B77" s="13">
        <v>43770</v>
      </c>
      <c r="C77" s="16">
        <f t="shared" si="35"/>
        <v>103344.69242424233</v>
      </c>
      <c r="D77" s="16">
        <f t="shared" si="36"/>
        <v>7826940.4186393712</v>
      </c>
      <c r="E77" s="14">
        <f t="shared" si="37"/>
        <v>75.736259260503132</v>
      </c>
      <c r="F77" s="46">
        <f t="shared" si="48"/>
        <v>46984.153787878786</v>
      </c>
      <c r="G77" s="74">
        <f t="shared" si="38"/>
        <v>3551342.8215372763</v>
      </c>
      <c r="H77" s="22">
        <f>IF(F77=0,0,VLOOKUP(B77,Data!$A$5:$V$197,5,FALSE)*22)</f>
        <v>75.585969635010642</v>
      </c>
      <c r="I77" s="74">
        <f>VLOOKUP(B77,Data!$A$5:$V$197,10,FALSE)</f>
        <v>47240.272727272728</v>
      </c>
      <c r="J77" s="74">
        <f t="shared" si="39"/>
        <v>3575582.5776487682</v>
      </c>
      <c r="K77" s="14">
        <f t="shared" si="40"/>
        <v>75.689287364857122</v>
      </c>
      <c r="L77" s="46">
        <f t="shared" si="41"/>
        <v>103088.57348484837</v>
      </c>
      <c r="M77" s="46">
        <f t="shared" si="42"/>
        <v>7802700.6625278797</v>
      </c>
      <c r="N77" s="22">
        <f t="shared" si="43"/>
        <v>75.689287364857137</v>
      </c>
      <c r="O77" s="55">
        <f t="shared" si="44"/>
        <v>114045.1256410256</v>
      </c>
      <c r="P77" s="55">
        <f t="shared" si="45"/>
        <v>8649687.7382240649</v>
      </c>
      <c r="Q77" s="32">
        <f t="shared" si="46"/>
        <v>75.844431663395014</v>
      </c>
      <c r="R77" s="35">
        <f t="shared" si="47"/>
        <v>39.649451340326294</v>
      </c>
    </row>
    <row r="78" spans="1:18">
      <c r="A78" s="47">
        <v>91000</v>
      </c>
      <c r="B78" s="13">
        <v>43800</v>
      </c>
      <c r="C78" s="16">
        <f t="shared" si="35"/>
        <v>103088.57348484837</v>
      </c>
      <c r="D78" s="16">
        <f t="shared" si="36"/>
        <v>7802700.6625278797</v>
      </c>
      <c r="E78" s="14">
        <f t="shared" si="37"/>
        <v>75.689287364857137</v>
      </c>
      <c r="F78" s="46">
        <f t="shared" si="48"/>
        <v>46984.153787878786</v>
      </c>
      <c r="G78" s="74">
        <f t="shared" si="38"/>
        <v>3535679.7104762057</v>
      </c>
      <c r="H78" s="22">
        <f>IF(F78=0,0,VLOOKUP(B78,Data!$A$5:$V$197,5,FALSE)*22)</f>
        <v>75.252599555988141</v>
      </c>
      <c r="I78" s="74">
        <f>VLOOKUP(B78,Data!$A$5:$V$197,10,FALSE)</f>
        <v>47898.727272727272</v>
      </c>
      <c r="J78" s="74">
        <f t="shared" si="39"/>
        <v>3618871.9900718657</v>
      </c>
      <c r="K78" s="14">
        <f t="shared" si="40"/>
        <v>75.552570937148687</v>
      </c>
      <c r="L78" s="46">
        <f t="shared" si="41"/>
        <v>102173.99999999988</v>
      </c>
      <c r="M78" s="46">
        <f t="shared" si="42"/>
        <v>7719508.3829322206</v>
      </c>
      <c r="N78" s="22">
        <f t="shared" si="43"/>
        <v>75.552570937148687</v>
      </c>
      <c r="O78" s="55">
        <f t="shared" si="44"/>
        <v>113757.76468531464</v>
      </c>
      <c r="P78" s="55">
        <f t="shared" si="45"/>
        <v>8631017.382629592</v>
      </c>
      <c r="Q78" s="32">
        <f t="shared" si="46"/>
        <v>75.87189680199296</v>
      </c>
      <c r="R78" s="35">
        <f t="shared" si="47"/>
        <v>39.297692307692266</v>
      </c>
    </row>
    <row r="79" spans="1:18">
      <c r="A79" s="47">
        <v>91000</v>
      </c>
      <c r="B79" s="13">
        <v>43831</v>
      </c>
      <c r="C79" s="16">
        <f t="shared" si="35"/>
        <v>102173.99999999988</v>
      </c>
      <c r="D79" s="16">
        <f t="shared" si="36"/>
        <v>7719508.3829322206</v>
      </c>
      <c r="E79" s="14">
        <f t="shared" si="37"/>
        <v>75.552570937148687</v>
      </c>
      <c r="F79" s="46">
        <f>AVERAGE(I79:I90)</f>
        <v>47395.219696969696</v>
      </c>
      <c r="G79" s="74">
        <f t="shared" si="38"/>
        <v>3685233.9843255598</v>
      </c>
      <c r="H79" s="22">
        <f>IF(F79=0,0,VLOOKUP(B79,Data!$A$5:$V$197,5,FALSE)*22)</f>
        <v>77.755394064798111</v>
      </c>
      <c r="I79" s="74">
        <f>VLOOKUP(B79,Data!$A$5:$V$197,10,FALSE)</f>
        <v>48748.681818181816</v>
      </c>
      <c r="J79" s="74">
        <f t="shared" si="39"/>
        <v>3717116.1152420701</v>
      </c>
      <c r="K79" s="14">
        <f t="shared" si="40"/>
        <v>76.250597484990777</v>
      </c>
      <c r="L79" s="46">
        <f t="shared" si="41"/>
        <v>100820.53787878776</v>
      </c>
      <c r="M79" s="46">
        <f t="shared" si="42"/>
        <v>7687626.2520157117</v>
      </c>
      <c r="N79" s="22">
        <f t="shared" si="43"/>
        <v>76.250597484990777</v>
      </c>
      <c r="O79" s="55">
        <f t="shared" si="44"/>
        <v>113653.65221445217</v>
      </c>
      <c r="P79" s="55">
        <f t="shared" si="45"/>
        <v>8630889.3764010146</v>
      </c>
      <c r="Q79" s="32">
        <f t="shared" si="46"/>
        <v>75.940272998138752</v>
      </c>
      <c r="R79" s="35">
        <f t="shared" si="47"/>
        <v>38.777129953379905</v>
      </c>
    </row>
    <row r="80" spans="1:18">
      <c r="A80" s="47">
        <v>91000</v>
      </c>
      <c r="B80" s="13">
        <v>43862</v>
      </c>
      <c r="C80" s="16">
        <f t="shared" si="35"/>
        <v>100820.53787878776</v>
      </c>
      <c r="D80" s="16">
        <f t="shared" si="36"/>
        <v>7687626.2520157117</v>
      </c>
      <c r="E80" s="14">
        <f t="shared" si="37"/>
        <v>76.250597484990777</v>
      </c>
      <c r="F80" s="46">
        <f>F79</f>
        <v>47395.219696969696</v>
      </c>
      <c r="G80" s="74">
        <f t="shared" si="38"/>
        <v>3646018.0310120569</v>
      </c>
      <c r="H80" s="22">
        <f>IF(F80=0,0,VLOOKUP(B80,Data!$A$5:$V$197,5,FALSE)*22)</f>
        <v>76.927969831632026</v>
      </c>
      <c r="I80" s="74">
        <f>VLOOKUP(B80,Data!$A$5:$V$197,10,FALSE)</f>
        <v>42812.045454545456</v>
      </c>
      <c r="J80" s="74">
        <f t="shared" si="39"/>
        <v>3273717.3303764653</v>
      </c>
      <c r="K80" s="14">
        <f t="shared" si="40"/>
        <v>76.467202060042823</v>
      </c>
      <c r="L80" s="46">
        <f t="shared" si="41"/>
        <v>105403.712121212</v>
      </c>
      <c r="M80" s="46">
        <f t="shared" si="42"/>
        <v>8059926.9526513033</v>
      </c>
      <c r="N80" s="22">
        <f t="shared" si="43"/>
        <v>76.467202060042823</v>
      </c>
      <c r="O80" s="55">
        <f t="shared" si="44"/>
        <v>114088.81264568759</v>
      </c>
      <c r="P80" s="55">
        <f t="shared" si="45"/>
        <v>8670837.357516028</v>
      </c>
      <c r="Q80" s="32">
        <f t="shared" si="46"/>
        <v>76.00076779170314</v>
      </c>
      <c r="R80" s="35">
        <f t="shared" si="47"/>
        <v>40.539889277389229</v>
      </c>
    </row>
    <row r="81" spans="1:18">
      <c r="A81" s="47">
        <v>91000</v>
      </c>
      <c r="B81" s="13">
        <v>43891</v>
      </c>
      <c r="C81" s="16">
        <f t="shared" si="35"/>
        <v>105403.712121212</v>
      </c>
      <c r="D81" s="16">
        <f t="shared" si="36"/>
        <v>8059926.9526513033</v>
      </c>
      <c r="E81" s="14">
        <f t="shared" si="37"/>
        <v>76.467202060042823</v>
      </c>
      <c r="F81" s="46">
        <f t="shared" ref="F81:F90" si="49">F80</f>
        <v>47395.219696969696</v>
      </c>
      <c r="G81" s="74">
        <f t="shared" si="38"/>
        <v>3672982.8973136414</v>
      </c>
      <c r="H81" s="22">
        <f>IF(F81=0,0,VLOOKUP(B81,Data!$A$5:$V$197,5,FALSE)*22)</f>
        <v>77.496906244924119</v>
      </c>
      <c r="I81" s="74">
        <f>VLOOKUP(B81,Data!$A$5:$V$197,10,FALSE)</f>
        <v>30606.36363636364</v>
      </c>
      <c r="J81" s="74">
        <f t="shared" si="39"/>
        <v>2350158.4802176608</v>
      </c>
      <c r="K81" s="14">
        <f t="shared" si="40"/>
        <v>76.786596021012457</v>
      </c>
      <c r="L81" s="46">
        <f t="shared" si="41"/>
        <v>122192.56818181806</v>
      </c>
      <c r="M81" s="46">
        <f t="shared" si="42"/>
        <v>9382751.3697472848</v>
      </c>
      <c r="N81" s="22">
        <f t="shared" si="43"/>
        <v>76.786596021012457</v>
      </c>
      <c r="O81" s="55">
        <f t="shared" si="44"/>
        <v>115946.90122377615</v>
      </c>
      <c r="P81" s="55">
        <f t="shared" si="45"/>
        <v>8822324.931748623</v>
      </c>
      <c r="Q81" s="32">
        <f t="shared" si="46"/>
        <v>76.089355029175294</v>
      </c>
      <c r="R81" s="35">
        <f t="shared" si="47"/>
        <v>46.997141608391559</v>
      </c>
    </row>
    <row r="82" spans="1:18">
      <c r="A82" s="47">
        <v>91000</v>
      </c>
      <c r="B82" s="13">
        <v>43922</v>
      </c>
      <c r="C82" s="16">
        <f t="shared" si="35"/>
        <v>122192.56818181806</v>
      </c>
      <c r="D82" s="16">
        <f t="shared" si="36"/>
        <v>9382751.3697472848</v>
      </c>
      <c r="E82" s="14">
        <f t="shared" si="37"/>
        <v>76.786596021012457</v>
      </c>
      <c r="F82" s="46">
        <f t="shared" si="49"/>
        <v>47395.219696969696</v>
      </c>
      <c r="G82" s="74">
        <f t="shared" si="38"/>
        <v>3699896.2531296774</v>
      </c>
      <c r="H82" s="22">
        <f>IF(F82=0,0,VLOOKUP(B82,Data!$A$5:$V$197,5,FALSE)*22)</f>
        <v>78.064755829504833</v>
      </c>
      <c r="I82" s="74">
        <f>VLOOKUP(B82,Data!$A$5:$V$197,10,FALSE)</f>
        <v>33182.5</v>
      </c>
      <c r="J82" s="74">
        <f t="shared" si="39"/>
        <v>2559824.3846213557</v>
      </c>
      <c r="K82" s="14">
        <f t="shared" si="40"/>
        <v>77.143807266521677</v>
      </c>
      <c r="L82" s="46">
        <f t="shared" si="41"/>
        <v>136405.28787878776</v>
      </c>
      <c r="M82" s="46">
        <f t="shared" si="42"/>
        <v>10522823.238255607</v>
      </c>
      <c r="N82" s="22">
        <f t="shared" si="43"/>
        <v>77.143807266521662</v>
      </c>
      <c r="O82" s="55">
        <f t="shared" si="44"/>
        <v>117962.34801864794</v>
      </c>
      <c r="P82" s="55">
        <f t="shared" si="45"/>
        <v>8989380.8608034328</v>
      </c>
      <c r="Q82" s="32">
        <f t="shared" si="46"/>
        <v>76.205509739280174</v>
      </c>
      <c r="R82" s="35">
        <f t="shared" si="47"/>
        <v>52.463572261072215</v>
      </c>
    </row>
    <row r="83" spans="1:18">
      <c r="A83" s="47">
        <v>91000</v>
      </c>
      <c r="B83" s="13">
        <v>43952</v>
      </c>
      <c r="C83" s="16">
        <f t="shared" si="35"/>
        <v>136405.28787878776</v>
      </c>
      <c r="D83" s="16">
        <f t="shared" si="36"/>
        <v>10522823.238255607</v>
      </c>
      <c r="E83" s="14">
        <f t="shared" si="37"/>
        <v>77.143807266521662</v>
      </c>
      <c r="F83" s="46">
        <f t="shared" si="49"/>
        <v>47395.219696969696</v>
      </c>
      <c r="G83" s="74">
        <f t="shared" si="38"/>
        <v>3711645.5859780633</v>
      </c>
      <c r="H83" s="22">
        <f>IF(F83=0,0,VLOOKUP(B83,Data!$A$5:$V$197,5,FALSE)*22)</f>
        <v>78.312657050841239</v>
      </c>
      <c r="I83" s="74">
        <f>VLOOKUP(B83,Data!$A$5:$V$197,10,FALSE)</f>
        <v>52464.454545454544</v>
      </c>
      <c r="J83" s="74">
        <f t="shared" si="39"/>
        <v>4063120.6760943546</v>
      </c>
      <c r="K83" s="14">
        <f t="shared" si="40"/>
        <v>77.445209548002026</v>
      </c>
      <c r="L83" s="46">
        <f t="shared" si="41"/>
        <v>131336.05303030292</v>
      </c>
      <c r="M83" s="46">
        <f t="shared" si="42"/>
        <v>10171348.148139315</v>
      </c>
      <c r="N83" s="22">
        <f t="shared" si="43"/>
        <v>77.445209548002012</v>
      </c>
      <c r="O83" s="55">
        <f t="shared" si="44"/>
        <v>117682.3033799533</v>
      </c>
      <c r="P83" s="55">
        <f t="shared" si="45"/>
        <v>8982598.9754663855</v>
      </c>
      <c r="Q83" s="32">
        <f t="shared" si="46"/>
        <v>76.329224679303266</v>
      </c>
      <c r="R83" s="35">
        <f t="shared" si="47"/>
        <v>50.513866550116511</v>
      </c>
    </row>
    <row r="84" spans="1:18">
      <c r="A84" s="47">
        <v>91000</v>
      </c>
      <c r="B84" s="13">
        <v>43983</v>
      </c>
      <c r="C84" s="16">
        <f t="shared" si="35"/>
        <v>131336.05303030292</v>
      </c>
      <c r="D84" s="16">
        <f t="shared" si="36"/>
        <v>10171348.148139315</v>
      </c>
      <c r="E84" s="14">
        <f t="shared" si="37"/>
        <v>77.445209548002012</v>
      </c>
      <c r="F84" s="46">
        <f t="shared" si="49"/>
        <v>47395.219696969696</v>
      </c>
      <c r="G84" s="74">
        <f t="shared" si="38"/>
        <v>3704314.4515760047</v>
      </c>
      <c r="H84" s="22">
        <f>IF(F84=0,0,VLOOKUP(B84,Data!$A$5:$V$197,5,FALSE)*22)</f>
        <v>78.157976168487878</v>
      </c>
      <c r="I84" s="74">
        <f>VLOOKUP(B84,Data!$A$5:$V$197,10,FALSE)</f>
        <v>49794.227272727272</v>
      </c>
      <c r="J84" s="74">
        <f t="shared" si="39"/>
        <v>3865735.897848153</v>
      </c>
      <c r="K84" s="14">
        <f t="shared" si="40"/>
        <v>77.634218052530159</v>
      </c>
      <c r="L84" s="46">
        <f t="shared" si="41"/>
        <v>128937.04545454535</v>
      </c>
      <c r="M84" s="46">
        <f t="shared" si="42"/>
        <v>10009926.701867165</v>
      </c>
      <c r="N84" s="22">
        <f t="shared" si="43"/>
        <v>77.634218052530144</v>
      </c>
      <c r="O84" s="55">
        <f t="shared" si="44"/>
        <v>116867.18688811181</v>
      </c>
      <c r="P84" s="55">
        <f t="shared" si="45"/>
        <v>8934697.9065116961</v>
      </c>
      <c r="Q84" s="32">
        <f t="shared" si="46"/>
        <v>76.451723913451772</v>
      </c>
      <c r="R84" s="35">
        <f t="shared" si="47"/>
        <v>49.591171328671287</v>
      </c>
    </row>
    <row r="85" spans="1:18">
      <c r="A85" s="47">
        <v>91000</v>
      </c>
      <c r="B85" s="13">
        <v>44013</v>
      </c>
      <c r="C85" s="16">
        <f t="shared" si="35"/>
        <v>128937.04545454535</v>
      </c>
      <c r="D85" s="16">
        <f t="shared" si="36"/>
        <v>10009926.701867165</v>
      </c>
      <c r="E85" s="14">
        <f t="shared" si="37"/>
        <v>77.634218052530144</v>
      </c>
      <c r="F85" s="46">
        <f t="shared" si="49"/>
        <v>47395.219696969696</v>
      </c>
      <c r="G85" s="74">
        <f t="shared" si="38"/>
        <v>3801286.1874762019</v>
      </c>
      <c r="H85" s="22">
        <f>IF(F85=0,0,VLOOKUP(B85,Data!$A$5:$V$197,5,FALSE)*22)</f>
        <v>80.203999723610195</v>
      </c>
      <c r="I85" s="74">
        <f>VLOOKUP(B85,Data!$A$5:$V$197,10,FALSE)</f>
        <v>51112.5</v>
      </c>
      <c r="J85" s="74">
        <f t="shared" si="39"/>
        <v>4003383.1482853689</v>
      </c>
      <c r="K85" s="14">
        <f t="shared" si="40"/>
        <v>78.324933201963688</v>
      </c>
      <c r="L85" s="46">
        <f t="shared" si="41"/>
        <v>125219.76515151505</v>
      </c>
      <c r="M85" s="46">
        <f t="shared" si="42"/>
        <v>9807829.7410579976</v>
      </c>
      <c r="N85" s="22">
        <f t="shared" si="43"/>
        <v>78.324933201963688</v>
      </c>
      <c r="O85" s="55">
        <f t="shared" si="44"/>
        <v>116296.58595571086</v>
      </c>
      <c r="P85" s="55">
        <f t="shared" si="45"/>
        <v>8910531.2607871331</v>
      </c>
      <c r="Q85" s="32">
        <f t="shared" si="46"/>
        <v>76.619027012370978</v>
      </c>
      <c r="R85" s="35">
        <f t="shared" si="47"/>
        <v>48.161448135198093</v>
      </c>
    </row>
    <row r="86" spans="1:18">
      <c r="A86" s="47">
        <v>91000</v>
      </c>
      <c r="B86" s="13">
        <v>44044</v>
      </c>
      <c r="C86" s="16">
        <f t="shared" si="35"/>
        <v>125219.76515151505</v>
      </c>
      <c r="D86" s="16">
        <f t="shared" si="36"/>
        <v>9807829.7410579976</v>
      </c>
      <c r="E86" s="14">
        <f t="shared" si="37"/>
        <v>78.324933201963688</v>
      </c>
      <c r="F86" s="46">
        <f t="shared" si="49"/>
        <v>47395.219696969696</v>
      </c>
      <c r="G86" s="74">
        <f t="shared" si="38"/>
        <v>3770898.2072220044</v>
      </c>
      <c r="H86" s="22">
        <f>IF(F86=0,0,VLOOKUP(B86,Data!$A$5:$V$197,5,FALSE)*22)</f>
        <v>79.562838432482337</v>
      </c>
      <c r="I86" s="74">
        <f>VLOOKUP(B86,Data!$A$5:$V$197,10,FALSE)</f>
        <v>52399.272727272728</v>
      </c>
      <c r="J86" s="74">
        <f t="shared" si="39"/>
        <v>4121979.7323848056</v>
      </c>
      <c r="K86" s="14">
        <f t="shared" si="40"/>
        <v>78.664827159698362</v>
      </c>
      <c r="L86" s="46">
        <f t="shared" si="41"/>
        <v>120215.71212121201</v>
      </c>
      <c r="M86" s="46">
        <f t="shared" si="42"/>
        <v>9456748.2158951983</v>
      </c>
      <c r="N86" s="22">
        <f t="shared" si="43"/>
        <v>78.664827159698362</v>
      </c>
      <c r="O86" s="55">
        <f t="shared" si="44"/>
        <v>115971.83974358965</v>
      </c>
      <c r="P86" s="55">
        <f t="shared" si="45"/>
        <v>8908166.0003026035</v>
      </c>
      <c r="Q86" s="32">
        <f t="shared" si="46"/>
        <v>76.813181717202198</v>
      </c>
      <c r="R86" s="35">
        <f t="shared" si="47"/>
        <v>46.236812354312313</v>
      </c>
    </row>
    <row r="87" spans="1:18">
      <c r="A87" s="47">
        <v>91000</v>
      </c>
      <c r="B87" s="13">
        <v>44075</v>
      </c>
      <c r="C87" s="16">
        <f t="shared" si="35"/>
        <v>120215.71212121201</v>
      </c>
      <c r="D87" s="16">
        <f t="shared" si="36"/>
        <v>9456748.2158951983</v>
      </c>
      <c r="E87" s="14">
        <f t="shared" si="37"/>
        <v>78.664827159698362</v>
      </c>
      <c r="F87" s="46">
        <f t="shared" si="49"/>
        <v>47395.219696969696</v>
      </c>
      <c r="G87" s="74">
        <f t="shared" si="38"/>
        <v>3764772.6637160457</v>
      </c>
      <c r="H87" s="22">
        <f>IF(F87=0,0,VLOOKUP(B87,Data!$A$5:$V$197,5,FALSE)*22)</f>
        <v>79.433594522545349</v>
      </c>
      <c r="I87" s="74">
        <f>VLOOKUP(B87,Data!$A$5:$V$197,10,FALSE)</f>
        <v>53116.681818181823</v>
      </c>
      <c r="J87" s="74">
        <f t="shared" si="39"/>
        <v>4189961.2996398681</v>
      </c>
      <c r="K87" s="14">
        <f t="shared" si="40"/>
        <v>78.882210940474181</v>
      </c>
      <c r="L87" s="46">
        <f t="shared" si="41"/>
        <v>114494.24999999988</v>
      </c>
      <c r="M87" s="46">
        <f t="shared" si="42"/>
        <v>9031559.5799713768</v>
      </c>
      <c r="N87" s="22">
        <f t="shared" si="43"/>
        <v>78.882210940474181</v>
      </c>
      <c r="O87" s="55">
        <f t="shared" si="44"/>
        <v>115760.49370629358</v>
      </c>
      <c r="P87" s="55">
        <f t="shared" si="45"/>
        <v>8917014.1971187517</v>
      </c>
      <c r="Q87" s="32">
        <f t="shared" si="46"/>
        <v>77.029856314736492</v>
      </c>
      <c r="R87" s="35">
        <f t="shared" si="47"/>
        <v>44.036249999999953</v>
      </c>
    </row>
    <row r="88" spans="1:18">
      <c r="A88" s="47">
        <v>91000</v>
      </c>
      <c r="B88" s="13">
        <v>44105</v>
      </c>
      <c r="C88" s="16">
        <f t="shared" si="35"/>
        <v>114494.24999999988</v>
      </c>
      <c r="D88" s="16">
        <f t="shared" si="36"/>
        <v>9031559.5799713768</v>
      </c>
      <c r="E88" s="14">
        <f t="shared" si="37"/>
        <v>78.882210940474181</v>
      </c>
      <c r="F88" s="46">
        <f t="shared" si="49"/>
        <v>47395.219696969696</v>
      </c>
      <c r="G88" s="74">
        <f t="shared" si="38"/>
        <v>3766447.4791005226</v>
      </c>
      <c r="H88" s="22">
        <f>IF(F88=0,0,VLOOKUP(B88,Data!$A$5:$V$197,5,FALSE)*22)</f>
        <v>79.468931744214231</v>
      </c>
      <c r="I88" s="74">
        <f>VLOOKUP(B88,Data!$A$5:$V$197,10,FALSE)</f>
        <v>56221.954545454544</v>
      </c>
      <c r="J88" s="74">
        <f t="shared" si="39"/>
        <v>4444569.3255675389</v>
      </c>
      <c r="K88" s="14">
        <f t="shared" si="40"/>
        <v>79.053980984851322</v>
      </c>
      <c r="L88" s="46">
        <f t="shared" si="41"/>
        <v>105667.51515151504</v>
      </c>
      <c r="M88" s="46">
        <f t="shared" si="42"/>
        <v>8353437.7335043596</v>
      </c>
      <c r="N88" s="22">
        <f t="shared" si="43"/>
        <v>79.053980984851336</v>
      </c>
      <c r="O88" s="55">
        <f t="shared" si="44"/>
        <v>115330.74714452204</v>
      </c>
      <c r="P88" s="55">
        <f t="shared" si="45"/>
        <v>8910240.5690157507</v>
      </c>
      <c r="Q88" s="32">
        <f t="shared" si="46"/>
        <v>77.258153524751251</v>
      </c>
      <c r="R88" s="35">
        <f t="shared" si="47"/>
        <v>40.641351981351939</v>
      </c>
    </row>
    <row r="89" spans="1:18">
      <c r="A89" s="47">
        <v>91000</v>
      </c>
      <c r="B89" s="13">
        <v>44136</v>
      </c>
      <c r="C89" s="16">
        <f t="shared" si="35"/>
        <v>105667.51515151504</v>
      </c>
      <c r="D89" s="16">
        <f t="shared" si="36"/>
        <v>8353437.7335043596</v>
      </c>
      <c r="E89" s="14">
        <f t="shared" si="37"/>
        <v>79.053980984851336</v>
      </c>
      <c r="F89" s="46">
        <f t="shared" si="49"/>
        <v>47395.219696969696</v>
      </c>
      <c r="G89" s="74">
        <f t="shared" si="38"/>
        <v>3776489.466889278</v>
      </c>
      <c r="H89" s="22">
        <f>IF(F89=0,0,VLOOKUP(B89,Data!$A$5:$V$197,5,FALSE)*22)</f>
        <v>79.680809394596707</v>
      </c>
      <c r="I89" s="74">
        <f>VLOOKUP(B89,Data!$A$5:$V$197,10,FALSE)</f>
        <v>48530.590909090912</v>
      </c>
      <c r="J89" s="74">
        <f t="shared" si="39"/>
        <v>3845955.9428497017</v>
      </c>
      <c r="K89" s="14">
        <f t="shared" si="40"/>
        <v>79.248075714842869</v>
      </c>
      <c r="L89" s="46">
        <f t="shared" si="41"/>
        <v>104532.14393939383</v>
      </c>
      <c r="M89" s="46">
        <f t="shared" si="42"/>
        <v>8283971.2575439364</v>
      </c>
      <c r="N89" s="22">
        <f t="shared" si="43"/>
        <v>79.248075714842869</v>
      </c>
      <c r="O89" s="55">
        <f t="shared" si="44"/>
        <v>115422.08956876445</v>
      </c>
      <c r="P89" s="55">
        <f t="shared" si="45"/>
        <v>8945396.7873930261</v>
      </c>
      <c r="Q89" s="32">
        <f t="shared" si="46"/>
        <v>77.501601476931071</v>
      </c>
      <c r="R89" s="35">
        <f t="shared" si="47"/>
        <v>40.204670745920708</v>
      </c>
    </row>
    <row r="90" spans="1:18">
      <c r="A90" s="47">
        <v>91000</v>
      </c>
      <c r="B90" s="13">
        <v>44166</v>
      </c>
      <c r="C90" s="16">
        <f t="shared" si="35"/>
        <v>104532.14393939383</v>
      </c>
      <c r="D90" s="16">
        <f t="shared" si="36"/>
        <v>8283971.2575439364</v>
      </c>
      <c r="E90" s="14">
        <f t="shared" si="37"/>
        <v>79.248075714842869</v>
      </c>
      <c r="F90" s="46">
        <f t="shared" si="49"/>
        <v>47395.219696969696</v>
      </c>
      <c r="G90" s="74">
        <f t="shared" si="38"/>
        <v>3756907.2454753006</v>
      </c>
      <c r="H90" s="22">
        <f>IF(F90=0,0,VLOOKUP(B90,Data!$A$5:$V$197,5,FALSE)*22)</f>
        <v>79.267640692369355</v>
      </c>
      <c r="I90" s="74">
        <f>VLOOKUP(B90,Data!$A$5:$V$197,10,FALSE)</f>
        <v>49753.363636363632</v>
      </c>
      <c r="J90" s="74">
        <f t="shared" si="39"/>
        <v>3943161.9974389034</v>
      </c>
      <c r="K90" s="14">
        <f t="shared" si="40"/>
        <v>79.254179199995505</v>
      </c>
      <c r="L90" s="46">
        <f t="shared" si="41"/>
        <v>102173.9999999999</v>
      </c>
      <c r="M90" s="46">
        <f t="shared" si="42"/>
        <v>8097716.5055803321</v>
      </c>
      <c r="N90" s="22">
        <f t="shared" si="43"/>
        <v>79.254179199995505</v>
      </c>
      <c r="O90" s="55">
        <f t="shared" si="44"/>
        <v>115351.73776223767</v>
      </c>
      <c r="P90" s="55">
        <f t="shared" si="45"/>
        <v>8968090.3137816768</v>
      </c>
      <c r="Q90" s="32">
        <f t="shared" si="46"/>
        <v>77.745602170871948</v>
      </c>
      <c r="R90" s="35">
        <f t="shared" si="47"/>
        <v>39.297692307692266</v>
      </c>
    </row>
  </sheetData>
  <mergeCells count="5"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0.499984740745262"/>
  </sheetPr>
  <dimension ref="A1:V89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6.5546875" style="1" bestFit="1" customWidth="1"/>
    <col min="3" max="3" width="7.88671875" style="1" bestFit="1" customWidth="1"/>
    <col min="4" max="4" width="6.109375" style="1" bestFit="1" customWidth="1"/>
    <col min="5" max="5" width="7.88671875" style="1" bestFit="1" customWidth="1"/>
    <col min="6" max="6" width="9.5546875" style="1" bestFit="1" customWidth="1"/>
    <col min="7" max="7" width="5.33203125" style="1" bestFit="1" customWidth="1"/>
    <col min="8" max="8" width="7.109375" style="1" bestFit="1" customWidth="1"/>
    <col min="9" max="9" width="9.33203125" style="1" bestFit="1" customWidth="1"/>
    <col min="10" max="10" width="7.5546875" style="1" bestFit="1" customWidth="1"/>
    <col min="11" max="12" width="9.33203125" style="1" bestFit="1" customWidth="1"/>
    <col min="13" max="13" width="5.33203125" style="1" bestFit="1" customWidth="1"/>
    <col min="14" max="14" width="8.44140625" style="1" bestFit="1" customWidth="1"/>
    <col min="15" max="15" width="12.33203125" style="1" bestFit="1" customWidth="1"/>
    <col min="16" max="16" width="5.44140625" style="1" bestFit="1" customWidth="1"/>
    <col min="17" max="17" width="8.44140625" style="1" bestFit="1" customWidth="1"/>
    <col min="18" max="18" width="10.109375" style="1" bestFit="1" customWidth="1"/>
    <col min="19" max="19" width="5.44140625" style="1" bestFit="1" customWidth="1"/>
    <col min="20" max="20" width="12.6640625" style="1" bestFit="1" customWidth="1"/>
    <col min="21" max="21" width="10.33203125" style="1" bestFit="1" customWidth="1"/>
    <col min="22" max="22" width="8.88671875" style="1" bestFit="1" customWidth="1"/>
    <col min="23" max="16384" width="9.109375" style="1"/>
  </cols>
  <sheetData>
    <row r="1" spans="1:22" s="120" customFormat="1">
      <c r="A1" s="120" t="s">
        <v>60</v>
      </c>
    </row>
    <row r="2" spans="1:22" s="120" customFormat="1">
      <c r="A2" s="120" t="s">
        <v>59</v>
      </c>
    </row>
    <row r="4" spans="1:22">
      <c r="B4" s="17"/>
      <c r="C4" s="18"/>
      <c r="D4" s="19"/>
      <c r="E4" s="106" t="s">
        <v>0</v>
      </c>
      <c r="F4" s="106"/>
      <c r="G4" s="106"/>
      <c r="H4" s="106" t="s">
        <v>1</v>
      </c>
      <c r="I4" s="106"/>
      <c r="J4" s="106"/>
      <c r="K4" s="106" t="s">
        <v>40</v>
      </c>
      <c r="L4" s="106"/>
      <c r="M4" s="106"/>
      <c r="N4" s="106" t="s">
        <v>2</v>
      </c>
      <c r="O4" s="106"/>
      <c r="P4" s="106"/>
      <c r="Q4" s="106" t="s">
        <v>29</v>
      </c>
      <c r="R4" s="106"/>
      <c r="S4" s="106"/>
      <c r="T4" s="106" t="s">
        <v>48</v>
      </c>
      <c r="U4" s="106"/>
      <c r="V4" s="106"/>
    </row>
    <row r="5" spans="1:22">
      <c r="A5" s="20" t="s">
        <v>49</v>
      </c>
      <c r="B5" s="20" t="s">
        <v>20</v>
      </c>
      <c r="C5" s="12" t="s">
        <v>12</v>
      </c>
      <c r="D5" s="9" t="s">
        <v>26</v>
      </c>
      <c r="E5" s="10" t="s">
        <v>3</v>
      </c>
      <c r="F5" s="10" t="s">
        <v>27</v>
      </c>
      <c r="G5" s="10" t="s">
        <v>28</v>
      </c>
      <c r="H5" s="89" t="s">
        <v>3</v>
      </c>
      <c r="I5" s="89" t="s">
        <v>27</v>
      </c>
      <c r="J5" s="89" t="s">
        <v>28</v>
      </c>
      <c r="K5" s="89" t="s">
        <v>3</v>
      </c>
      <c r="L5" s="89" t="s">
        <v>27</v>
      </c>
      <c r="M5" s="89" t="s">
        <v>28</v>
      </c>
      <c r="N5" s="89" t="s">
        <v>3</v>
      </c>
      <c r="O5" s="89" t="s">
        <v>27</v>
      </c>
      <c r="P5" s="89" t="s">
        <v>28</v>
      </c>
      <c r="Q5" s="10" t="s">
        <v>3</v>
      </c>
      <c r="R5" s="10" t="s">
        <v>27</v>
      </c>
      <c r="S5" s="10" t="s">
        <v>28</v>
      </c>
      <c r="T5" s="3" t="s">
        <v>37</v>
      </c>
      <c r="U5" s="36" t="s">
        <v>38</v>
      </c>
      <c r="V5" s="36" t="s">
        <v>13</v>
      </c>
    </row>
    <row r="6" spans="1:22">
      <c r="A6" s="47">
        <v>26000</v>
      </c>
      <c r="B6" s="21">
        <v>145000</v>
      </c>
      <c r="C6" s="21">
        <v>1300000</v>
      </c>
      <c r="D6" s="24">
        <v>41640</v>
      </c>
      <c r="E6" s="50">
        <v>975190</v>
      </c>
      <c r="F6" s="50">
        <v>90920214.818475798</v>
      </c>
      <c r="G6" s="26">
        <f>F6/E6</f>
        <v>93.233333830818395</v>
      </c>
      <c r="H6" s="27">
        <v>0</v>
      </c>
      <c r="I6" s="30">
        <v>0</v>
      </c>
      <c r="J6" s="52">
        <f t="shared" ref="J6:J29" si="0">IF(H6=0,0,I6/H6)</f>
        <v>0</v>
      </c>
      <c r="K6" s="30">
        <v>-97</v>
      </c>
      <c r="L6" s="30">
        <v>-9043.6299999999992</v>
      </c>
      <c r="M6" s="53">
        <f t="shared" ref="M6:M16" si="1">IF(K6=0,0,L6/K6)</f>
        <v>93.233298969072152</v>
      </c>
      <c r="N6" s="27">
        <f t="shared" ref="N6:N53" si="2">+E6+H6-K6</f>
        <v>975287</v>
      </c>
      <c r="O6" s="27">
        <f t="shared" ref="O6:O53" si="3">+F6+I6-L6</f>
        <v>90929258.448475793</v>
      </c>
      <c r="P6" s="28">
        <f t="shared" ref="P6:P53" si="4">IF(N6=0,0,O6/N6)</f>
        <v>93.233333827351117</v>
      </c>
      <c r="Q6" s="107"/>
      <c r="R6" s="107"/>
      <c r="S6" s="107"/>
      <c r="T6" s="107"/>
      <c r="U6" s="107"/>
      <c r="V6" s="107"/>
    </row>
    <row r="7" spans="1:22">
      <c r="A7" s="47">
        <v>26000</v>
      </c>
      <c r="B7" s="21">
        <v>145000</v>
      </c>
      <c r="C7" s="47">
        <v>1300000</v>
      </c>
      <c r="D7" s="49">
        <v>41671</v>
      </c>
      <c r="E7" s="50">
        <f t="shared" ref="E7:E16" si="5">N6</f>
        <v>975287</v>
      </c>
      <c r="F7" s="50">
        <f t="shared" ref="F7:F16" si="6">O6</f>
        <v>90929258.448475793</v>
      </c>
      <c r="G7" s="26">
        <f t="shared" ref="G7:G16" si="7">P6</f>
        <v>93.233333827351117</v>
      </c>
      <c r="H7" s="51">
        <v>0</v>
      </c>
      <c r="I7" s="54">
        <v>0</v>
      </c>
      <c r="J7" s="52">
        <f t="shared" si="0"/>
        <v>0</v>
      </c>
      <c r="K7" s="54">
        <v>1294</v>
      </c>
      <c r="L7" s="54">
        <v>120643.94</v>
      </c>
      <c r="M7" s="53">
        <f t="shared" si="1"/>
        <v>93.23333848531685</v>
      </c>
      <c r="N7" s="51">
        <f t="shared" si="2"/>
        <v>973993</v>
      </c>
      <c r="O7" s="51">
        <f t="shared" si="3"/>
        <v>90808614.508475795</v>
      </c>
      <c r="P7" s="52">
        <f t="shared" si="4"/>
        <v>93.233333821162773</v>
      </c>
      <c r="Q7" s="107"/>
      <c r="R7" s="107"/>
      <c r="S7" s="107"/>
      <c r="T7" s="107"/>
      <c r="U7" s="107"/>
      <c r="V7" s="107"/>
    </row>
    <row r="8" spans="1:22">
      <c r="A8" s="47">
        <v>26000</v>
      </c>
      <c r="B8" s="21">
        <v>145000</v>
      </c>
      <c r="C8" s="47">
        <v>1300000</v>
      </c>
      <c r="D8" s="49">
        <v>41699</v>
      </c>
      <c r="E8" s="50">
        <f t="shared" si="5"/>
        <v>973993</v>
      </c>
      <c r="F8" s="50">
        <f t="shared" si="6"/>
        <v>90808614.508475795</v>
      </c>
      <c r="G8" s="26">
        <f t="shared" si="7"/>
        <v>93.233333821162773</v>
      </c>
      <c r="H8" s="51">
        <v>0</v>
      </c>
      <c r="I8" s="54">
        <v>0</v>
      </c>
      <c r="J8" s="52">
        <f t="shared" si="0"/>
        <v>0</v>
      </c>
      <c r="K8" s="54">
        <v>-1359</v>
      </c>
      <c r="L8" s="54">
        <v>-126704.1</v>
      </c>
      <c r="M8" s="53">
        <f t="shared" si="1"/>
        <v>93.233333333333334</v>
      </c>
      <c r="N8" s="51">
        <f t="shared" si="2"/>
        <v>975352</v>
      </c>
      <c r="O8" s="51">
        <v>90935318.230000004</v>
      </c>
      <c r="P8" s="52">
        <f t="shared" si="4"/>
        <v>93.233333432442862</v>
      </c>
      <c r="Q8" s="107"/>
      <c r="R8" s="107"/>
      <c r="S8" s="107"/>
      <c r="T8" s="107"/>
      <c r="U8" s="107"/>
      <c r="V8" s="107"/>
    </row>
    <row r="9" spans="1:22">
      <c r="A9" s="47">
        <v>26000</v>
      </c>
      <c r="B9" s="21">
        <v>145000</v>
      </c>
      <c r="C9" s="47">
        <v>1300000</v>
      </c>
      <c r="D9" s="49">
        <v>41730</v>
      </c>
      <c r="E9" s="50">
        <f t="shared" si="5"/>
        <v>975352</v>
      </c>
      <c r="F9" s="50">
        <f t="shared" si="6"/>
        <v>90935318.230000004</v>
      </c>
      <c r="G9" s="26">
        <f t="shared" si="7"/>
        <v>93.233333432442862</v>
      </c>
      <c r="H9" s="51">
        <v>25</v>
      </c>
      <c r="I9" s="54">
        <v>18817.490000000002</v>
      </c>
      <c r="J9" s="52">
        <f t="shared" si="0"/>
        <v>752.69960000000003</v>
      </c>
      <c r="K9" s="54">
        <v>3124</v>
      </c>
      <c r="L9" s="54">
        <v>291313.74</v>
      </c>
      <c r="M9" s="53">
        <f t="shared" si="1"/>
        <v>93.250236875800255</v>
      </c>
      <c r="N9" s="51">
        <f t="shared" si="2"/>
        <v>972253</v>
      </c>
      <c r="O9" s="51">
        <f t="shared" si="3"/>
        <v>90662821.980000004</v>
      </c>
      <c r="P9" s="52">
        <f t="shared" si="4"/>
        <v>93.250236286234141</v>
      </c>
      <c r="Q9" s="107"/>
      <c r="R9" s="107"/>
      <c r="S9" s="107"/>
      <c r="T9" s="107"/>
      <c r="U9" s="107"/>
      <c r="V9" s="107"/>
    </row>
    <row r="10" spans="1:22">
      <c r="A10" s="47">
        <v>26000</v>
      </c>
      <c r="B10" s="21">
        <v>145000</v>
      </c>
      <c r="C10" s="47">
        <v>1300000</v>
      </c>
      <c r="D10" s="49">
        <v>41760</v>
      </c>
      <c r="E10" s="50">
        <f t="shared" si="5"/>
        <v>972253</v>
      </c>
      <c r="F10" s="50">
        <f t="shared" si="6"/>
        <v>90662821.980000004</v>
      </c>
      <c r="G10" s="26">
        <f t="shared" si="7"/>
        <v>93.250236286234141</v>
      </c>
      <c r="H10" s="51">
        <v>0</v>
      </c>
      <c r="I10" s="54">
        <v>0</v>
      </c>
      <c r="J10" s="52">
        <f t="shared" si="0"/>
        <v>0</v>
      </c>
      <c r="K10" s="54">
        <v>2933</v>
      </c>
      <c r="L10" s="54">
        <v>273502.94</v>
      </c>
      <c r="M10" s="53">
        <f t="shared" si="1"/>
        <v>93.250235254006142</v>
      </c>
      <c r="N10" s="51">
        <f t="shared" si="2"/>
        <v>969320</v>
      </c>
      <c r="O10" s="51">
        <f t="shared" si="3"/>
        <v>90389319.040000007</v>
      </c>
      <c r="P10" s="52">
        <f t="shared" si="4"/>
        <v>93.250236289357488</v>
      </c>
      <c r="Q10" s="107"/>
      <c r="R10" s="107"/>
      <c r="S10" s="107"/>
      <c r="T10" s="107"/>
      <c r="U10" s="107"/>
      <c r="V10" s="107"/>
    </row>
    <row r="11" spans="1:22">
      <c r="A11" s="47">
        <v>26000</v>
      </c>
      <c r="B11" s="21">
        <v>145000</v>
      </c>
      <c r="C11" s="47">
        <v>1300000</v>
      </c>
      <c r="D11" s="49">
        <v>41791</v>
      </c>
      <c r="E11" s="50">
        <f t="shared" si="5"/>
        <v>969320</v>
      </c>
      <c r="F11" s="50">
        <f t="shared" si="6"/>
        <v>90389319.040000007</v>
      </c>
      <c r="G11" s="26">
        <f t="shared" si="7"/>
        <v>93.250236289357488</v>
      </c>
      <c r="H11" s="51">
        <v>5045</v>
      </c>
      <c r="I11" s="54">
        <v>124407.22</v>
      </c>
      <c r="J11" s="52">
        <f t="shared" si="0"/>
        <v>24.659508424182359</v>
      </c>
      <c r="K11" s="54">
        <v>14467</v>
      </c>
      <c r="L11" s="54">
        <v>1343913.29</v>
      </c>
      <c r="M11" s="53">
        <f t="shared" si="1"/>
        <v>92.895091587751438</v>
      </c>
      <c r="N11" s="51">
        <f t="shared" si="2"/>
        <v>959898</v>
      </c>
      <c r="O11" s="51">
        <f t="shared" si="3"/>
        <v>89169812.969999999</v>
      </c>
      <c r="P11" s="52">
        <f t="shared" si="4"/>
        <v>92.895091947269393</v>
      </c>
      <c r="Q11" s="107"/>
      <c r="R11" s="107"/>
      <c r="S11" s="107"/>
      <c r="T11" s="107"/>
      <c r="U11" s="107"/>
      <c r="V11" s="107"/>
    </row>
    <row r="12" spans="1:22">
      <c r="A12" s="47">
        <v>26000</v>
      </c>
      <c r="B12" s="21">
        <v>145000</v>
      </c>
      <c r="C12" s="47">
        <v>1300000</v>
      </c>
      <c r="D12" s="49">
        <v>41821</v>
      </c>
      <c r="E12" s="50">
        <f t="shared" si="5"/>
        <v>959898</v>
      </c>
      <c r="F12" s="50">
        <f t="shared" si="6"/>
        <v>89169812.969999999</v>
      </c>
      <c r="G12" s="26">
        <f t="shared" si="7"/>
        <v>92.895091947269393</v>
      </c>
      <c r="H12" s="51">
        <v>23</v>
      </c>
      <c r="I12" s="54">
        <v>17253.75</v>
      </c>
      <c r="J12" s="52">
        <f t="shared" si="0"/>
        <v>750.16304347826087</v>
      </c>
      <c r="K12" s="54">
        <v>21385</v>
      </c>
      <c r="L12" s="54">
        <v>1986898.32</v>
      </c>
      <c r="M12" s="53">
        <f t="shared" si="1"/>
        <v>92.910840308627542</v>
      </c>
      <c r="N12" s="51">
        <f t="shared" si="2"/>
        <v>938536</v>
      </c>
      <c r="O12" s="51">
        <f t="shared" si="3"/>
        <v>87200168.400000006</v>
      </c>
      <c r="P12" s="52">
        <f t="shared" si="4"/>
        <v>92.910840287426382</v>
      </c>
      <c r="Q12" s="107"/>
      <c r="R12" s="107"/>
      <c r="S12" s="107"/>
      <c r="T12" s="107"/>
      <c r="U12" s="107"/>
      <c r="V12" s="107"/>
    </row>
    <row r="13" spans="1:22">
      <c r="A13" s="47">
        <v>26000</v>
      </c>
      <c r="B13" s="21">
        <v>145000</v>
      </c>
      <c r="C13" s="47">
        <v>1300000</v>
      </c>
      <c r="D13" s="49">
        <v>41852</v>
      </c>
      <c r="E13" s="50">
        <f t="shared" si="5"/>
        <v>938536</v>
      </c>
      <c r="F13" s="50">
        <f t="shared" si="6"/>
        <v>87200168.400000006</v>
      </c>
      <c r="G13" s="26">
        <f t="shared" si="7"/>
        <v>92.910840287426382</v>
      </c>
      <c r="H13" s="51">
        <v>0</v>
      </c>
      <c r="I13" s="54">
        <v>0</v>
      </c>
      <c r="J13" s="52">
        <f t="shared" si="0"/>
        <v>0</v>
      </c>
      <c r="K13" s="54">
        <v>21909</v>
      </c>
      <c r="L13" s="54">
        <v>2035583.6</v>
      </c>
      <c r="M13" s="53">
        <f t="shared" si="1"/>
        <v>92.910840293943139</v>
      </c>
      <c r="N13" s="51">
        <f t="shared" si="2"/>
        <v>916627</v>
      </c>
      <c r="O13" s="51">
        <f t="shared" si="3"/>
        <v>85164584.800000012</v>
      </c>
      <c r="P13" s="52">
        <f t="shared" si="4"/>
        <v>92.910840287270631</v>
      </c>
      <c r="Q13" s="107"/>
      <c r="R13" s="107"/>
      <c r="S13" s="107"/>
      <c r="T13" s="107"/>
      <c r="U13" s="107"/>
      <c r="V13" s="107"/>
    </row>
    <row r="14" spans="1:22">
      <c r="A14" s="47">
        <v>26000</v>
      </c>
      <c r="B14" s="21">
        <v>145000</v>
      </c>
      <c r="C14" s="47">
        <v>1300000</v>
      </c>
      <c r="D14" s="49">
        <v>41883</v>
      </c>
      <c r="E14" s="50">
        <f t="shared" si="5"/>
        <v>916627</v>
      </c>
      <c r="F14" s="50">
        <f t="shared" si="6"/>
        <v>85164584.800000012</v>
      </c>
      <c r="G14" s="26">
        <f t="shared" si="7"/>
        <v>92.910840287270631</v>
      </c>
      <c r="H14" s="51">
        <v>0</v>
      </c>
      <c r="I14" s="54">
        <v>16019</v>
      </c>
      <c r="J14" s="52">
        <f t="shared" si="0"/>
        <v>0</v>
      </c>
      <c r="K14" s="54">
        <v>-711</v>
      </c>
      <c r="L14" s="54">
        <v>-66072.03</v>
      </c>
      <c r="M14" s="53">
        <f t="shared" si="1"/>
        <v>92.928312236286914</v>
      </c>
      <c r="N14" s="51">
        <f t="shared" si="2"/>
        <v>917338</v>
      </c>
      <c r="O14" s="51">
        <f t="shared" si="3"/>
        <v>85246675.830000013</v>
      </c>
      <c r="P14" s="52">
        <f t="shared" si="4"/>
        <v>92.928316313071093</v>
      </c>
      <c r="Q14" s="107"/>
      <c r="R14" s="107"/>
      <c r="S14" s="107"/>
      <c r="T14" s="107"/>
      <c r="U14" s="107"/>
      <c r="V14" s="107"/>
    </row>
    <row r="15" spans="1:22">
      <c r="A15" s="47">
        <v>26000</v>
      </c>
      <c r="B15" s="21">
        <v>145000</v>
      </c>
      <c r="C15" s="47">
        <v>1300000</v>
      </c>
      <c r="D15" s="49">
        <v>41913</v>
      </c>
      <c r="E15" s="50">
        <f t="shared" si="5"/>
        <v>917338</v>
      </c>
      <c r="F15" s="50">
        <f t="shared" si="6"/>
        <v>85246675.830000013</v>
      </c>
      <c r="G15" s="26">
        <f t="shared" si="7"/>
        <v>92.928316313071093</v>
      </c>
      <c r="H15" s="51">
        <v>-548</v>
      </c>
      <c r="I15" s="54">
        <v>158939.21</v>
      </c>
      <c r="J15" s="52">
        <f t="shared" si="0"/>
        <v>-290.03505474452555</v>
      </c>
      <c r="K15" s="54">
        <v>11192</v>
      </c>
      <c r="L15" s="54">
        <v>1042587.18</v>
      </c>
      <c r="M15" s="53">
        <f t="shared" si="1"/>
        <v>93.15468012866333</v>
      </c>
      <c r="N15" s="51">
        <f t="shared" si="2"/>
        <v>905598</v>
      </c>
      <c r="O15" s="51">
        <f t="shared" si="3"/>
        <v>84363027.859999999</v>
      </c>
      <c r="P15" s="52">
        <f t="shared" si="4"/>
        <v>93.157259468329215</v>
      </c>
      <c r="Q15" s="107"/>
      <c r="R15" s="107"/>
      <c r="S15" s="107"/>
      <c r="T15" s="107"/>
      <c r="U15" s="107"/>
      <c r="V15" s="107"/>
    </row>
    <row r="16" spans="1:22">
      <c r="A16" s="47">
        <v>26000</v>
      </c>
      <c r="B16" s="21">
        <v>145000</v>
      </c>
      <c r="C16" s="47">
        <v>1300000</v>
      </c>
      <c r="D16" s="49">
        <v>41944</v>
      </c>
      <c r="E16" s="50">
        <f t="shared" si="5"/>
        <v>905598</v>
      </c>
      <c r="F16" s="50">
        <f t="shared" si="6"/>
        <v>84363027.859999999</v>
      </c>
      <c r="G16" s="26">
        <f t="shared" si="7"/>
        <v>93.157259468329215</v>
      </c>
      <c r="H16" s="51">
        <v>22483</v>
      </c>
      <c r="I16" s="54">
        <v>3033560.44</v>
      </c>
      <c r="J16" s="52">
        <f t="shared" si="0"/>
        <v>134.92685317795667</v>
      </c>
      <c r="K16" s="54">
        <v>1192</v>
      </c>
      <c r="L16" s="54">
        <v>112249.61</v>
      </c>
      <c r="M16" s="53">
        <f t="shared" si="1"/>
        <v>94.169135906040268</v>
      </c>
      <c r="N16" s="51">
        <f t="shared" si="2"/>
        <v>926889</v>
      </c>
      <c r="O16" s="51">
        <f t="shared" si="3"/>
        <v>87284338.689999998</v>
      </c>
      <c r="P16" s="52">
        <f t="shared" si="4"/>
        <v>94.169138580779361</v>
      </c>
      <c r="Q16" s="107"/>
      <c r="R16" s="107"/>
      <c r="S16" s="107"/>
      <c r="T16" s="107"/>
      <c r="U16" s="107"/>
      <c r="V16" s="107"/>
    </row>
    <row r="17" spans="1:22">
      <c r="A17" s="21">
        <v>26000</v>
      </c>
      <c r="B17" s="21">
        <v>145000</v>
      </c>
      <c r="C17" s="47">
        <v>1300000</v>
      </c>
      <c r="D17" s="49">
        <v>41974</v>
      </c>
      <c r="E17" s="50">
        <f t="shared" ref="E17:E47" si="8">N16</f>
        <v>926889</v>
      </c>
      <c r="F17" s="50">
        <f t="shared" ref="F17:F47" si="9">O16</f>
        <v>87284338.689999998</v>
      </c>
      <c r="G17" s="53">
        <f t="shared" ref="G17:G47" si="10">P16</f>
        <v>94.169138580779361</v>
      </c>
      <c r="H17" s="51">
        <v>166407</v>
      </c>
      <c r="I17" s="54">
        <v>12643741.460000001</v>
      </c>
      <c r="J17" s="52">
        <f t="shared" si="0"/>
        <v>75.980826888291958</v>
      </c>
      <c r="K17" s="54">
        <v>159</v>
      </c>
      <c r="L17" s="54">
        <v>14532.72</v>
      </c>
      <c r="M17" s="53">
        <f t="shared" ref="M17:M53" si="11">IF(K17=0,0,L17/K17)</f>
        <v>91.400754716981126</v>
      </c>
      <c r="N17" s="51">
        <f t="shared" si="2"/>
        <v>1093137</v>
      </c>
      <c r="O17" s="51">
        <f t="shared" si="3"/>
        <v>99913547.430000007</v>
      </c>
      <c r="P17" s="52">
        <f t="shared" si="4"/>
        <v>91.400755285019173</v>
      </c>
      <c r="Q17" s="107"/>
      <c r="R17" s="107"/>
      <c r="S17" s="107"/>
      <c r="T17" s="107"/>
      <c r="U17" s="107"/>
      <c r="V17" s="107"/>
    </row>
    <row r="18" spans="1:22">
      <c r="A18" s="21">
        <v>26000</v>
      </c>
      <c r="B18" s="21">
        <v>145000</v>
      </c>
      <c r="C18" s="47">
        <v>1300000</v>
      </c>
      <c r="D18" s="49">
        <v>42005</v>
      </c>
      <c r="E18" s="50">
        <f t="shared" si="8"/>
        <v>1093137</v>
      </c>
      <c r="F18" s="50">
        <f t="shared" si="9"/>
        <v>99913547.430000007</v>
      </c>
      <c r="G18" s="53">
        <f t="shared" si="10"/>
        <v>91.400755285019173</v>
      </c>
      <c r="H18" s="51">
        <v>10175</v>
      </c>
      <c r="I18" s="54">
        <v>1511195.58</v>
      </c>
      <c r="J18" s="52">
        <f t="shared" si="0"/>
        <v>148.52045012285012</v>
      </c>
      <c r="K18" s="54">
        <v>-2867</v>
      </c>
      <c r="L18" s="54">
        <v>-263637.7</v>
      </c>
      <c r="M18" s="53">
        <f t="shared" si="11"/>
        <v>91.955946982908969</v>
      </c>
      <c r="N18" s="51">
        <f>+E18+H18-K18</f>
        <v>1106179</v>
      </c>
      <c r="O18" s="52">
        <f>+F18+I18-L18</f>
        <v>101688380.71000001</v>
      </c>
      <c r="P18" s="52">
        <f t="shared" si="4"/>
        <v>91.927600062919296</v>
      </c>
      <c r="Q18" s="54">
        <f>AVERAGE(N6:N18)</f>
        <v>971569.76923076925</v>
      </c>
      <c r="R18" s="54">
        <f>AVERAGE(O6:O18)</f>
        <v>90288912.992073223</v>
      </c>
      <c r="S18" s="56">
        <f>IF(Q18=0,0,R18/Q18)</f>
        <v>92.930961678190727</v>
      </c>
      <c r="T18" s="54">
        <f t="shared" ref="T18:T49" si="12">N18+A18</f>
        <v>1132179</v>
      </c>
      <c r="U18" s="58">
        <v>217646</v>
      </c>
      <c r="V18" s="75">
        <f>(T18-U18)/58000</f>
        <v>15.767810344827586</v>
      </c>
    </row>
    <row r="19" spans="1:22">
      <c r="A19" s="21">
        <v>26000</v>
      </c>
      <c r="B19" s="21">
        <v>145000</v>
      </c>
      <c r="C19" s="47">
        <v>1300000</v>
      </c>
      <c r="D19" s="49">
        <v>42036</v>
      </c>
      <c r="E19" s="50">
        <f t="shared" si="8"/>
        <v>1106179</v>
      </c>
      <c r="F19" s="50">
        <f t="shared" si="9"/>
        <v>101688380.71000001</v>
      </c>
      <c r="G19" s="53">
        <f t="shared" si="10"/>
        <v>91.927600062919296</v>
      </c>
      <c r="H19" s="51">
        <v>3</v>
      </c>
      <c r="I19" s="54">
        <v>12994.51</v>
      </c>
      <c r="J19" s="52">
        <f t="shared" si="0"/>
        <v>4331.5033333333331</v>
      </c>
      <c r="K19" s="54">
        <v>12728</v>
      </c>
      <c r="L19" s="54">
        <v>1170200.83</v>
      </c>
      <c r="M19" s="53">
        <f t="shared" si="11"/>
        <v>91.939097265870529</v>
      </c>
      <c r="N19" s="51">
        <f t="shared" si="2"/>
        <v>1093454</v>
      </c>
      <c r="O19" s="51">
        <f t="shared" si="3"/>
        <v>100531174.39000002</v>
      </c>
      <c r="P19" s="52">
        <f t="shared" si="4"/>
        <v>91.939097931874599</v>
      </c>
      <c r="Q19" s="54">
        <f t="shared" ref="Q19:R29" si="13">AVERAGE(N7:N19)</f>
        <v>980659.5384615385</v>
      </c>
      <c r="R19" s="54">
        <f t="shared" si="13"/>
        <v>91027521.910652012</v>
      </c>
      <c r="S19" s="56">
        <f t="shared" ref="S19:S29" si="14">IF(Q19=0,0,R19/Q19)</f>
        <v>92.822756869786076</v>
      </c>
      <c r="T19" s="54">
        <f t="shared" si="12"/>
        <v>1119454</v>
      </c>
      <c r="U19" s="58">
        <v>217646</v>
      </c>
      <c r="V19" s="75">
        <f t="shared" ref="V19:V29" si="15">(T19-U19)/58000</f>
        <v>15.548413793103448</v>
      </c>
    </row>
    <row r="20" spans="1:22">
      <c r="A20" s="21">
        <v>26000</v>
      </c>
      <c r="B20" s="21">
        <v>145000</v>
      </c>
      <c r="C20" s="47">
        <v>1300000</v>
      </c>
      <c r="D20" s="49">
        <v>42064</v>
      </c>
      <c r="E20" s="50">
        <f t="shared" si="8"/>
        <v>1093454</v>
      </c>
      <c r="F20" s="50">
        <f t="shared" si="9"/>
        <v>100531174.39000002</v>
      </c>
      <c r="G20" s="53">
        <f t="shared" si="10"/>
        <v>91.939097931874599</v>
      </c>
      <c r="H20" s="51">
        <v>0</v>
      </c>
      <c r="I20" s="54">
        <v>10177.59</v>
      </c>
      <c r="J20" s="52">
        <f t="shared" si="0"/>
        <v>0</v>
      </c>
      <c r="K20" s="54">
        <v>901</v>
      </c>
      <c r="L20" s="54">
        <v>82845.52</v>
      </c>
      <c r="M20" s="53">
        <f t="shared" si="11"/>
        <v>91.948412874583795</v>
      </c>
      <c r="N20" s="51">
        <f t="shared" si="2"/>
        <v>1092553</v>
      </c>
      <c r="O20" s="51">
        <f t="shared" si="3"/>
        <v>100458506.46000002</v>
      </c>
      <c r="P20" s="52">
        <f t="shared" si="4"/>
        <v>91.948405670022439</v>
      </c>
      <c r="Q20" s="54">
        <f t="shared" si="13"/>
        <v>989779.5384615385</v>
      </c>
      <c r="R20" s="54">
        <f t="shared" si="13"/>
        <v>91769821.291538477</v>
      </c>
      <c r="S20" s="56">
        <f t="shared" si="14"/>
        <v>92.717436283013768</v>
      </c>
      <c r="T20" s="54">
        <f t="shared" si="12"/>
        <v>1118553</v>
      </c>
      <c r="U20" s="58">
        <v>217646</v>
      </c>
      <c r="V20" s="75">
        <f t="shared" si="15"/>
        <v>15.532879310344828</v>
      </c>
    </row>
    <row r="21" spans="1:22">
      <c r="A21" s="21">
        <v>26000</v>
      </c>
      <c r="B21" s="21">
        <v>145000</v>
      </c>
      <c r="C21" s="47">
        <v>1300000</v>
      </c>
      <c r="D21" s="49">
        <v>42095</v>
      </c>
      <c r="E21" s="50">
        <f t="shared" si="8"/>
        <v>1092553</v>
      </c>
      <c r="F21" s="50">
        <f t="shared" si="9"/>
        <v>100458506.46000002</v>
      </c>
      <c r="G21" s="53">
        <f t="shared" si="10"/>
        <v>91.948405670022439</v>
      </c>
      <c r="H21" s="51">
        <v>0</v>
      </c>
      <c r="I21" s="54">
        <v>0</v>
      </c>
      <c r="J21" s="52">
        <f t="shared" si="0"/>
        <v>0</v>
      </c>
      <c r="K21" s="54">
        <v>36447</v>
      </c>
      <c r="L21" s="54">
        <v>3351243.55</v>
      </c>
      <c r="M21" s="53">
        <f t="shared" si="11"/>
        <v>91.948405904464011</v>
      </c>
      <c r="N21" s="51">
        <f t="shared" si="2"/>
        <v>1056106</v>
      </c>
      <c r="O21" s="51">
        <f t="shared" si="3"/>
        <v>97107262.910000026</v>
      </c>
      <c r="P21" s="52">
        <f t="shared" si="4"/>
        <v>91.948405661931687</v>
      </c>
      <c r="Q21" s="54">
        <f t="shared" si="13"/>
        <v>995991.38461538462</v>
      </c>
      <c r="R21" s="54">
        <f t="shared" si="13"/>
        <v>92244586.266923085</v>
      </c>
      <c r="S21" s="56">
        <f t="shared" si="14"/>
        <v>92.615847578384987</v>
      </c>
      <c r="T21" s="54">
        <f t="shared" si="12"/>
        <v>1082106</v>
      </c>
      <c r="U21" s="58">
        <v>217646</v>
      </c>
      <c r="V21" s="75">
        <f t="shared" si="15"/>
        <v>14.90448275862069</v>
      </c>
    </row>
    <row r="22" spans="1:22">
      <c r="A22" s="21">
        <v>26000</v>
      </c>
      <c r="B22" s="21">
        <v>145000</v>
      </c>
      <c r="C22" s="47">
        <v>1300000</v>
      </c>
      <c r="D22" s="49">
        <v>42125</v>
      </c>
      <c r="E22" s="50">
        <f t="shared" si="8"/>
        <v>1056106</v>
      </c>
      <c r="F22" s="50">
        <f t="shared" si="9"/>
        <v>97107262.910000026</v>
      </c>
      <c r="G22" s="53">
        <f t="shared" si="10"/>
        <v>91.948405661931687</v>
      </c>
      <c r="H22" s="51">
        <v>0</v>
      </c>
      <c r="I22" s="54">
        <v>4630.16</v>
      </c>
      <c r="J22" s="52">
        <f t="shared" si="0"/>
        <v>0</v>
      </c>
      <c r="K22" s="54">
        <v>17237</v>
      </c>
      <c r="L22" s="54">
        <v>1584990.24</v>
      </c>
      <c r="M22" s="53">
        <f t="shared" si="11"/>
        <v>91.952789928641877</v>
      </c>
      <c r="N22" s="51">
        <f t="shared" si="2"/>
        <v>1038869</v>
      </c>
      <c r="O22" s="51">
        <f t="shared" si="3"/>
        <v>95526902.830000028</v>
      </c>
      <c r="P22" s="52">
        <f t="shared" si="4"/>
        <v>91.952789841645128</v>
      </c>
      <c r="Q22" s="54">
        <f t="shared" si="13"/>
        <v>1001115.6923076923</v>
      </c>
      <c r="R22" s="54">
        <f t="shared" si="13"/>
        <v>92618746.332307711</v>
      </c>
      <c r="S22" s="56">
        <f t="shared" si="14"/>
        <v>92.515527469967381</v>
      </c>
      <c r="T22" s="54">
        <f t="shared" si="12"/>
        <v>1064869</v>
      </c>
      <c r="U22" s="58">
        <v>217646</v>
      </c>
      <c r="V22" s="75">
        <f t="shared" si="15"/>
        <v>14.607293103448276</v>
      </c>
    </row>
    <row r="23" spans="1:22">
      <c r="A23" s="21">
        <v>26000</v>
      </c>
      <c r="B23" s="21">
        <v>145000</v>
      </c>
      <c r="C23" s="47">
        <v>1300000</v>
      </c>
      <c r="D23" s="49">
        <v>42156</v>
      </c>
      <c r="E23" s="50">
        <f t="shared" si="8"/>
        <v>1038869</v>
      </c>
      <c r="F23" s="50">
        <f t="shared" si="9"/>
        <v>95526902.830000028</v>
      </c>
      <c r="G23" s="53">
        <f t="shared" si="10"/>
        <v>91.952789841645128</v>
      </c>
      <c r="H23" s="51">
        <v>0</v>
      </c>
      <c r="I23" s="54">
        <v>0</v>
      </c>
      <c r="J23" s="52">
        <f t="shared" si="0"/>
        <v>0</v>
      </c>
      <c r="K23" s="54">
        <v>47666</v>
      </c>
      <c r="L23" s="54">
        <v>4383021.7</v>
      </c>
      <c r="M23" s="53">
        <f t="shared" si="11"/>
        <v>91.952790248814679</v>
      </c>
      <c r="N23" s="51">
        <f t="shared" si="2"/>
        <v>991203</v>
      </c>
      <c r="O23" s="51">
        <f t="shared" si="3"/>
        <v>91143881.130000025</v>
      </c>
      <c r="P23" s="52">
        <f t="shared" si="4"/>
        <v>91.95278982206473</v>
      </c>
      <c r="Q23" s="54">
        <f t="shared" si="13"/>
        <v>1002799</v>
      </c>
      <c r="R23" s="54">
        <f t="shared" si="13"/>
        <v>92676789.570000008</v>
      </c>
      <c r="S23" s="56">
        <f t="shared" si="14"/>
        <v>92.418111276536976</v>
      </c>
      <c r="T23" s="54">
        <f t="shared" si="12"/>
        <v>1017203</v>
      </c>
      <c r="U23" s="58">
        <v>313834</v>
      </c>
      <c r="V23" s="75">
        <f t="shared" si="15"/>
        <v>12.127051724137932</v>
      </c>
    </row>
    <row r="24" spans="1:22">
      <c r="A24" s="21">
        <v>26000</v>
      </c>
      <c r="B24" s="21">
        <v>145000</v>
      </c>
      <c r="C24" s="47">
        <v>1300000</v>
      </c>
      <c r="D24" s="49">
        <v>42186</v>
      </c>
      <c r="E24" s="50">
        <f t="shared" si="8"/>
        <v>991203</v>
      </c>
      <c r="F24" s="50">
        <f t="shared" si="9"/>
        <v>91143881.130000025</v>
      </c>
      <c r="G24" s="53">
        <f t="shared" si="10"/>
        <v>91.95278982206473</v>
      </c>
      <c r="H24" s="51">
        <v>0</v>
      </c>
      <c r="I24" s="54">
        <v>0</v>
      </c>
      <c r="J24" s="52">
        <f t="shared" si="0"/>
        <v>0</v>
      </c>
      <c r="K24" s="54">
        <v>23271</v>
      </c>
      <c r="L24" s="54">
        <v>2139833.38</v>
      </c>
      <c r="M24" s="53">
        <f t="shared" si="11"/>
        <v>91.952790168020272</v>
      </c>
      <c r="N24" s="51">
        <f t="shared" si="2"/>
        <v>967932</v>
      </c>
      <c r="O24" s="51">
        <f t="shared" si="3"/>
        <v>89004047.75000003</v>
      </c>
      <c r="P24" s="52">
        <f t="shared" si="4"/>
        <v>91.952789813747273</v>
      </c>
      <c r="Q24" s="54">
        <f t="shared" si="13"/>
        <v>1003417</v>
      </c>
      <c r="R24" s="54">
        <f t="shared" si="13"/>
        <v>92664038.399230778</v>
      </c>
      <c r="S24" s="56">
        <f t="shared" si="14"/>
        <v>92.348483630664802</v>
      </c>
      <c r="T24" s="54">
        <f t="shared" si="12"/>
        <v>993932</v>
      </c>
      <c r="U24" s="58">
        <v>313834</v>
      </c>
      <c r="V24" s="75">
        <f t="shared" si="15"/>
        <v>11.725827586206897</v>
      </c>
    </row>
    <row r="25" spans="1:22">
      <c r="A25" s="21">
        <v>26000</v>
      </c>
      <c r="B25" s="21">
        <v>145000</v>
      </c>
      <c r="C25" s="47">
        <v>1300000</v>
      </c>
      <c r="D25" s="49">
        <v>42217</v>
      </c>
      <c r="E25" s="50">
        <f t="shared" si="8"/>
        <v>967932</v>
      </c>
      <c r="F25" s="50">
        <f t="shared" si="9"/>
        <v>89004047.75000003</v>
      </c>
      <c r="G25" s="53">
        <f t="shared" si="10"/>
        <v>91.952789813747273</v>
      </c>
      <c r="H25" s="51">
        <v>0</v>
      </c>
      <c r="I25" s="54">
        <v>0</v>
      </c>
      <c r="J25" s="52">
        <f t="shared" si="0"/>
        <v>0</v>
      </c>
      <c r="K25" s="54">
        <v>19462</v>
      </c>
      <c r="L25" s="54">
        <v>1789585.2</v>
      </c>
      <c r="M25" s="53">
        <f t="shared" si="11"/>
        <v>91.952790052409824</v>
      </c>
      <c r="N25" s="51">
        <f t="shared" si="2"/>
        <v>948470</v>
      </c>
      <c r="O25" s="51">
        <f t="shared" si="3"/>
        <v>87214462.550000027</v>
      </c>
      <c r="P25" s="52">
        <f t="shared" si="4"/>
        <v>91.952789808850071</v>
      </c>
      <c r="Q25" s="54">
        <f t="shared" si="13"/>
        <v>1004181.1538461539</v>
      </c>
      <c r="R25" s="54">
        <f t="shared" si="13"/>
        <v>92665137.949230775</v>
      </c>
      <c r="S25" s="56">
        <f t="shared" si="14"/>
        <v>92.2793039824641</v>
      </c>
      <c r="T25" s="54">
        <f t="shared" si="12"/>
        <v>974470</v>
      </c>
      <c r="U25" s="58">
        <v>313834</v>
      </c>
      <c r="V25" s="75">
        <f t="shared" si="15"/>
        <v>11.390275862068966</v>
      </c>
    </row>
    <row r="26" spans="1:22">
      <c r="A26" s="21">
        <v>26000</v>
      </c>
      <c r="B26" s="21">
        <v>145000</v>
      </c>
      <c r="C26" s="47">
        <v>1300000</v>
      </c>
      <c r="D26" s="49">
        <v>42248</v>
      </c>
      <c r="E26" s="50">
        <f t="shared" si="8"/>
        <v>948470</v>
      </c>
      <c r="F26" s="50">
        <f t="shared" si="9"/>
        <v>87214462.550000027</v>
      </c>
      <c r="G26" s="53">
        <f t="shared" si="10"/>
        <v>91.952789808850071</v>
      </c>
      <c r="H26" s="51">
        <v>0</v>
      </c>
      <c r="I26" s="54">
        <v>37844.79</v>
      </c>
      <c r="J26" s="52">
        <f t="shared" si="0"/>
        <v>0</v>
      </c>
      <c r="K26" s="54">
        <v>16234</v>
      </c>
      <c r="L26" s="54">
        <v>1493409.35</v>
      </c>
      <c r="M26" s="53">
        <f t="shared" si="11"/>
        <v>91.992691265245782</v>
      </c>
      <c r="N26" s="51">
        <f t="shared" si="2"/>
        <v>932236</v>
      </c>
      <c r="O26" s="51">
        <f t="shared" si="3"/>
        <v>85758897.990000039</v>
      </c>
      <c r="P26" s="52">
        <f t="shared" si="4"/>
        <v>91.992690681329663</v>
      </c>
      <c r="Q26" s="54">
        <f t="shared" si="13"/>
        <v>1005381.8461538461</v>
      </c>
      <c r="R26" s="54">
        <f t="shared" si="13"/>
        <v>92710854.348461539</v>
      </c>
      <c r="S26" s="56">
        <f t="shared" si="14"/>
        <v>92.21456972107957</v>
      </c>
      <c r="T26" s="54">
        <f t="shared" si="12"/>
        <v>958236</v>
      </c>
      <c r="U26" s="58">
        <v>313834</v>
      </c>
      <c r="V26" s="75">
        <f t="shared" si="15"/>
        <v>11.110379310344827</v>
      </c>
    </row>
    <row r="27" spans="1:22">
      <c r="A27" s="21">
        <v>26000</v>
      </c>
      <c r="B27" s="21">
        <v>145000</v>
      </c>
      <c r="C27" s="47">
        <v>1300000</v>
      </c>
      <c r="D27" s="49">
        <v>42278</v>
      </c>
      <c r="E27" s="50">
        <f t="shared" si="8"/>
        <v>932236</v>
      </c>
      <c r="F27" s="50">
        <f t="shared" si="9"/>
        <v>85758897.990000039</v>
      </c>
      <c r="G27" s="53">
        <f t="shared" si="10"/>
        <v>91.992690681329663</v>
      </c>
      <c r="H27" s="51">
        <v>0</v>
      </c>
      <c r="I27" s="54">
        <v>2115.5500000000002</v>
      </c>
      <c r="J27" s="52">
        <f t="shared" si="0"/>
        <v>0</v>
      </c>
      <c r="K27" s="54">
        <v>26137</v>
      </c>
      <c r="L27" s="54">
        <v>2404472.27</v>
      </c>
      <c r="M27" s="53">
        <f t="shared" si="11"/>
        <v>91.994960018364765</v>
      </c>
      <c r="N27" s="51">
        <f t="shared" si="2"/>
        <v>906099</v>
      </c>
      <c r="O27" s="51">
        <f t="shared" si="3"/>
        <v>83356541.270000041</v>
      </c>
      <c r="P27" s="52">
        <f t="shared" si="4"/>
        <v>91.994960009888587</v>
      </c>
      <c r="Q27" s="54">
        <f t="shared" si="13"/>
        <v>1004517.3076923077</v>
      </c>
      <c r="R27" s="54">
        <f t="shared" si="13"/>
        <v>92565459.382307708</v>
      </c>
      <c r="S27" s="56">
        <f t="shared" si="14"/>
        <v>92.149193123371546</v>
      </c>
      <c r="T27" s="54">
        <f t="shared" si="12"/>
        <v>932099</v>
      </c>
      <c r="U27" s="58">
        <v>313834</v>
      </c>
      <c r="V27" s="75">
        <f t="shared" si="15"/>
        <v>10.659741379310345</v>
      </c>
    </row>
    <row r="28" spans="1:22">
      <c r="A28" s="21">
        <v>26000</v>
      </c>
      <c r="B28" s="21">
        <v>145000</v>
      </c>
      <c r="C28" s="47">
        <v>1300000</v>
      </c>
      <c r="D28" s="49">
        <v>42309</v>
      </c>
      <c r="E28" s="50">
        <f t="shared" si="8"/>
        <v>906099</v>
      </c>
      <c r="F28" s="50">
        <f t="shared" si="9"/>
        <v>83356541.270000041</v>
      </c>
      <c r="G28" s="53">
        <f t="shared" si="10"/>
        <v>91.994960009888587</v>
      </c>
      <c r="H28" s="51">
        <v>0</v>
      </c>
      <c r="I28" s="54">
        <v>0</v>
      </c>
      <c r="J28" s="52">
        <f t="shared" si="0"/>
        <v>0</v>
      </c>
      <c r="K28" s="54">
        <v>73751</v>
      </c>
      <c r="L28" s="54">
        <v>6784720.29</v>
      </c>
      <c r="M28" s="53">
        <f t="shared" si="11"/>
        <v>91.994959932746681</v>
      </c>
      <c r="N28" s="51">
        <f t="shared" si="2"/>
        <v>832348</v>
      </c>
      <c r="O28" s="51">
        <f t="shared" si="3"/>
        <v>76571820.980000034</v>
      </c>
      <c r="P28" s="52">
        <f t="shared" si="4"/>
        <v>91.994960016723809</v>
      </c>
      <c r="Q28" s="54">
        <f t="shared" si="13"/>
        <v>998882.69230769225</v>
      </c>
      <c r="R28" s="54">
        <f t="shared" si="13"/>
        <v>91966135.776153877</v>
      </c>
      <c r="S28" s="56">
        <f t="shared" si="14"/>
        <v>92.069005183868939</v>
      </c>
      <c r="T28" s="54">
        <f t="shared" si="12"/>
        <v>858348</v>
      </c>
      <c r="U28" s="58">
        <v>313834</v>
      </c>
      <c r="V28" s="75">
        <f t="shared" si="15"/>
        <v>9.3881724137931037</v>
      </c>
    </row>
    <row r="29" spans="1:22">
      <c r="A29" s="21">
        <v>26000</v>
      </c>
      <c r="B29" s="21">
        <v>145000</v>
      </c>
      <c r="C29" s="47">
        <v>1300000</v>
      </c>
      <c r="D29" s="49">
        <v>42339</v>
      </c>
      <c r="E29" s="50">
        <f t="shared" si="8"/>
        <v>832348</v>
      </c>
      <c r="F29" s="50">
        <f t="shared" si="9"/>
        <v>76571820.980000034</v>
      </c>
      <c r="G29" s="53">
        <f t="shared" si="10"/>
        <v>91.994960016723809</v>
      </c>
      <c r="H29" s="51">
        <v>0</v>
      </c>
      <c r="I29" s="54">
        <v>0</v>
      </c>
      <c r="J29" s="52">
        <f t="shared" si="0"/>
        <v>0</v>
      </c>
      <c r="K29" s="54">
        <v>412</v>
      </c>
      <c r="L29" s="54">
        <v>37901.919999999998</v>
      </c>
      <c r="M29" s="53">
        <f t="shared" si="11"/>
        <v>91.994951456310673</v>
      </c>
      <c r="N29" s="51">
        <f t="shared" si="2"/>
        <v>831936</v>
      </c>
      <c r="O29" s="51">
        <f t="shared" si="3"/>
        <v>76533919.060000032</v>
      </c>
      <c r="P29" s="52">
        <f t="shared" si="4"/>
        <v>91.994960020963191</v>
      </c>
      <c r="Q29" s="54">
        <f t="shared" si="13"/>
        <v>991578.61538461538</v>
      </c>
      <c r="R29" s="54">
        <f t="shared" si="13"/>
        <v>91139180.420000017</v>
      </c>
      <c r="S29" s="56">
        <f t="shared" si="14"/>
        <v>91.91321697135308</v>
      </c>
      <c r="T29" s="54">
        <f t="shared" si="12"/>
        <v>857936</v>
      </c>
      <c r="U29" s="58">
        <v>217646</v>
      </c>
      <c r="V29" s="75">
        <f t="shared" si="15"/>
        <v>11.039482758620689</v>
      </c>
    </row>
    <row r="30" spans="1:22">
      <c r="A30" s="21">
        <v>26000</v>
      </c>
      <c r="B30" s="21">
        <v>145000</v>
      </c>
      <c r="C30" s="47">
        <v>1300000</v>
      </c>
      <c r="D30" s="13">
        <v>42370</v>
      </c>
      <c r="E30" s="16">
        <f t="shared" si="8"/>
        <v>831936</v>
      </c>
      <c r="F30" s="16">
        <f t="shared" si="9"/>
        <v>76533919.060000032</v>
      </c>
      <c r="G30" s="14">
        <f t="shared" si="10"/>
        <v>91.994960020963191</v>
      </c>
      <c r="H30" s="46">
        <v>0</v>
      </c>
      <c r="I30" s="23">
        <f t="shared" ref="I30:I53" si="16">H30*J30</f>
        <v>0</v>
      </c>
      <c r="J30" s="22">
        <f>VLOOKUP(D30,Data!$A$5:$V$197,6,FALSE)*6.4</f>
        <v>35.141845199999999</v>
      </c>
      <c r="K30" s="71">
        <f>VLOOKUP(D30,Data!$A$5:$V$197,11,FALSE)</f>
        <v>2621.875</v>
      </c>
      <c r="L30" s="48">
        <f t="shared" ref="L30:L65" si="17">IF(E30+H30&gt;0,((F30+I30)/(E30+H30)*K30),0)</f>
        <v>241199.28580496286</v>
      </c>
      <c r="M30" s="14">
        <f t="shared" si="11"/>
        <v>91.994960020963191</v>
      </c>
      <c r="N30" s="15">
        <f t="shared" si="2"/>
        <v>829314.125</v>
      </c>
      <c r="O30" s="15">
        <f t="shared" si="3"/>
        <v>76292719.774195075</v>
      </c>
      <c r="P30" s="22">
        <f t="shared" si="4"/>
        <v>91.994960020963191</v>
      </c>
      <c r="Q30" s="31">
        <f t="shared" ref="Q30" si="18">AVERAGE(N18:N30)</f>
        <v>971284.54807692312</v>
      </c>
      <c r="R30" s="31">
        <f t="shared" ref="R30" si="19">AVERAGE(O18:O30)</f>
        <v>89322193.677245796</v>
      </c>
      <c r="S30" s="32">
        <f t="shared" ref="S30:S53" si="20">IF(Q30=0,0,R30/Q30)</f>
        <v>91.962951386488768</v>
      </c>
      <c r="T30" s="31">
        <f t="shared" si="12"/>
        <v>855314.125</v>
      </c>
      <c r="U30" s="39">
        <v>217646</v>
      </c>
      <c r="V30" s="37">
        <f t="shared" ref="V30:V65" si="21">(T30-U30)/58000</f>
        <v>10.994278017241379</v>
      </c>
    </row>
    <row r="31" spans="1:22">
      <c r="A31" s="21">
        <v>26000</v>
      </c>
      <c r="B31" s="21">
        <v>145000</v>
      </c>
      <c r="C31" s="47">
        <v>1300000</v>
      </c>
      <c r="D31" s="13">
        <v>42401</v>
      </c>
      <c r="E31" s="16">
        <f t="shared" si="8"/>
        <v>829314.125</v>
      </c>
      <c r="F31" s="16">
        <f t="shared" si="9"/>
        <v>76292719.774195075</v>
      </c>
      <c r="G31" s="14">
        <f t="shared" si="10"/>
        <v>91.994960020963191</v>
      </c>
      <c r="H31" s="46">
        <v>0</v>
      </c>
      <c r="I31" s="23">
        <f t="shared" si="16"/>
        <v>0</v>
      </c>
      <c r="J31" s="22">
        <f>VLOOKUP(D31,Data!$A$5:$V$197,6,FALSE)*6.4</f>
        <v>38.701845200000008</v>
      </c>
      <c r="K31" s="71">
        <f>VLOOKUP(D31,Data!$A$5:$V$197,11,FALSE)</f>
        <v>79.0625</v>
      </c>
      <c r="L31" s="48">
        <f t="shared" si="17"/>
        <v>7273.3515266574022</v>
      </c>
      <c r="M31" s="14">
        <f t="shared" si="11"/>
        <v>91.994960020963191</v>
      </c>
      <c r="N31" s="15">
        <f t="shared" si="2"/>
        <v>829235.0625</v>
      </c>
      <c r="O31" s="15">
        <f t="shared" si="3"/>
        <v>76285446.422668412</v>
      </c>
      <c r="P31" s="22">
        <f t="shared" si="4"/>
        <v>91.994960020963191</v>
      </c>
      <c r="Q31" s="31">
        <f t="shared" ref="Q31:Q53" si="22">AVERAGE(N19:N31)</f>
        <v>949981.16826923075</v>
      </c>
      <c r="R31" s="31">
        <f t="shared" ref="R31:R53" si="23">AVERAGE(O19:O31)</f>
        <v>87368121.808989525</v>
      </c>
      <c r="S31" s="32">
        <f t="shared" si="20"/>
        <v>91.968267084878505</v>
      </c>
      <c r="T31" s="31">
        <f t="shared" si="12"/>
        <v>855235.0625</v>
      </c>
      <c r="U31" s="39">
        <v>217646</v>
      </c>
      <c r="V31" s="37">
        <f t="shared" si="21"/>
        <v>10.992914870689654</v>
      </c>
    </row>
    <row r="32" spans="1:22">
      <c r="A32" s="21">
        <v>26000</v>
      </c>
      <c r="B32" s="21">
        <v>145000</v>
      </c>
      <c r="C32" s="47">
        <v>1300000</v>
      </c>
      <c r="D32" s="13">
        <v>42430</v>
      </c>
      <c r="E32" s="16">
        <f t="shared" si="8"/>
        <v>829235.0625</v>
      </c>
      <c r="F32" s="16">
        <f t="shared" si="9"/>
        <v>76285446.422668412</v>
      </c>
      <c r="G32" s="14">
        <f t="shared" si="10"/>
        <v>91.994960020963191</v>
      </c>
      <c r="H32" s="46">
        <v>0</v>
      </c>
      <c r="I32" s="23">
        <f t="shared" si="16"/>
        <v>0</v>
      </c>
      <c r="J32" s="22">
        <f>VLOOKUP(D32,Data!$A$5:$V$197,6,FALSE)*6.4</f>
        <v>39.401845199999997</v>
      </c>
      <c r="K32" s="71">
        <f>VLOOKUP(D32,Data!$A$5:$V$197,11,FALSE)</f>
        <v>917.34375</v>
      </c>
      <c r="L32" s="48">
        <f t="shared" si="17"/>
        <v>84391.001606730453</v>
      </c>
      <c r="M32" s="14">
        <f t="shared" si="11"/>
        <v>91.994960020963191</v>
      </c>
      <c r="N32" s="15">
        <f t="shared" si="2"/>
        <v>828317.71875</v>
      </c>
      <c r="O32" s="15">
        <f t="shared" si="3"/>
        <v>76201055.42106168</v>
      </c>
      <c r="P32" s="22">
        <f t="shared" si="4"/>
        <v>91.994960020963191</v>
      </c>
      <c r="Q32" s="31">
        <f t="shared" si="22"/>
        <v>929586.0697115385</v>
      </c>
      <c r="R32" s="31">
        <f t="shared" si="23"/>
        <v>85496574.195994288</v>
      </c>
      <c r="S32" s="32">
        <f t="shared" si="20"/>
        <v>91.972736018435469</v>
      </c>
      <c r="T32" s="31">
        <f t="shared" si="12"/>
        <v>854317.71875</v>
      </c>
      <c r="U32" s="39">
        <v>217646</v>
      </c>
      <c r="V32" s="37">
        <f t="shared" si="21"/>
        <v>10.97709859913793</v>
      </c>
    </row>
    <row r="33" spans="1:22">
      <c r="A33" s="21">
        <v>26000</v>
      </c>
      <c r="B33" s="21">
        <v>145000</v>
      </c>
      <c r="C33" s="47">
        <v>1300000</v>
      </c>
      <c r="D33" s="13">
        <v>42461</v>
      </c>
      <c r="E33" s="16">
        <f t="shared" si="8"/>
        <v>828317.71875</v>
      </c>
      <c r="F33" s="16">
        <f t="shared" si="9"/>
        <v>76201055.42106168</v>
      </c>
      <c r="G33" s="14">
        <f t="shared" si="10"/>
        <v>91.994960020963191</v>
      </c>
      <c r="H33" s="46">
        <v>0</v>
      </c>
      <c r="I33" s="23">
        <f t="shared" si="16"/>
        <v>0</v>
      </c>
      <c r="J33" s="22">
        <f>VLOOKUP(D33,Data!$A$5:$V$197,6,FALSE)*6.4</f>
        <v>40.101845200000007</v>
      </c>
      <c r="K33" s="71">
        <f>VLOOKUP(D33,Data!$A$5:$V$197,11,FALSE)</f>
        <v>2964.84375</v>
      </c>
      <c r="L33" s="48">
        <f t="shared" si="17"/>
        <v>272750.68224965257</v>
      </c>
      <c r="M33" s="14">
        <f t="shared" si="11"/>
        <v>91.994960020963191</v>
      </c>
      <c r="N33" s="15">
        <f t="shared" si="2"/>
        <v>825352.875</v>
      </c>
      <c r="O33" s="15">
        <f t="shared" si="3"/>
        <v>75928304.738812029</v>
      </c>
      <c r="P33" s="22">
        <f t="shared" si="4"/>
        <v>91.994960020963191</v>
      </c>
      <c r="Q33" s="31">
        <f t="shared" si="22"/>
        <v>909032.21394230775</v>
      </c>
      <c r="R33" s="31">
        <f t="shared" si="23"/>
        <v>83609635.602056742</v>
      </c>
      <c r="S33" s="32">
        <f t="shared" si="20"/>
        <v>91.976537596458684</v>
      </c>
      <c r="T33" s="31">
        <f t="shared" si="12"/>
        <v>851352.875</v>
      </c>
      <c r="U33" s="39">
        <v>217646</v>
      </c>
      <c r="V33" s="37">
        <f t="shared" si="21"/>
        <v>10.925980603448275</v>
      </c>
    </row>
    <row r="34" spans="1:22">
      <c r="A34" s="21">
        <v>26000</v>
      </c>
      <c r="B34" s="21">
        <v>145000</v>
      </c>
      <c r="C34" s="47">
        <v>1300000</v>
      </c>
      <c r="D34" s="13">
        <v>42491</v>
      </c>
      <c r="E34" s="16">
        <f t="shared" si="8"/>
        <v>825352.875</v>
      </c>
      <c r="F34" s="16">
        <f t="shared" si="9"/>
        <v>75928304.738812029</v>
      </c>
      <c r="G34" s="14">
        <f t="shared" si="10"/>
        <v>91.994960020963191</v>
      </c>
      <c r="H34" s="46">
        <v>0</v>
      </c>
      <c r="I34" s="23">
        <f t="shared" si="16"/>
        <v>0</v>
      </c>
      <c r="J34" s="22">
        <f>VLOOKUP(D34,Data!$A$5:$V$197,6,FALSE)*6.4</f>
        <v>40.906312203232119</v>
      </c>
      <c r="K34" s="71">
        <f>VLOOKUP(D34,Data!$A$5:$V$197,11,FALSE)</f>
        <v>5201.875</v>
      </c>
      <c r="L34" s="48">
        <f t="shared" si="17"/>
        <v>478546.28265904792</v>
      </c>
      <c r="M34" s="14">
        <f t="shared" si="11"/>
        <v>91.994960020963191</v>
      </c>
      <c r="N34" s="15">
        <f t="shared" si="2"/>
        <v>820151</v>
      </c>
      <c r="O34" s="15">
        <f t="shared" si="3"/>
        <v>75449758.456152976</v>
      </c>
      <c r="P34" s="22">
        <f t="shared" si="4"/>
        <v>91.994960020963177</v>
      </c>
      <c r="Q34" s="31">
        <f t="shared" si="22"/>
        <v>890881.82932692312</v>
      </c>
      <c r="R34" s="31">
        <f t="shared" si="23"/>
        <v>81943673.720991582</v>
      </c>
      <c r="S34" s="32">
        <f t="shared" si="20"/>
        <v>91.980407528236896</v>
      </c>
      <c r="T34" s="31">
        <f t="shared" si="12"/>
        <v>846151</v>
      </c>
      <c r="U34" s="39">
        <v>217646</v>
      </c>
      <c r="V34" s="37">
        <f t="shared" si="21"/>
        <v>10.836293103448275</v>
      </c>
    </row>
    <row r="35" spans="1:22">
      <c r="A35" s="21">
        <v>26000</v>
      </c>
      <c r="B35" s="21">
        <v>145000</v>
      </c>
      <c r="C35" s="47">
        <v>1300000</v>
      </c>
      <c r="D35" s="13">
        <v>42522</v>
      </c>
      <c r="E35" s="16">
        <f t="shared" si="8"/>
        <v>820151</v>
      </c>
      <c r="F35" s="16">
        <f t="shared" si="9"/>
        <v>75449758.456152976</v>
      </c>
      <c r="G35" s="14">
        <f t="shared" si="10"/>
        <v>91.994960020963177</v>
      </c>
      <c r="H35" s="46">
        <v>0</v>
      </c>
      <c r="I35" s="23">
        <f t="shared" si="16"/>
        <v>0</v>
      </c>
      <c r="J35" s="22">
        <f>VLOOKUP(D35,Data!$A$5:$V$197,6,FALSE)*6.4</f>
        <v>41.606312203232115</v>
      </c>
      <c r="K35" s="71">
        <f>VLOOKUP(D35,Data!$A$5:$V$197,11,FALSE)</f>
        <v>20275.3125</v>
      </c>
      <c r="L35" s="48">
        <f t="shared" si="17"/>
        <v>1865226.562850035</v>
      </c>
      <c r="M35" s="14">
        <f t="shared" si="11"/>
        <v>91.994960020963177</v>
      </c>
      <c r="N35" s="15">
        <f t="shared" si="2"/>
        <v>799875.6875</v>
      </c>
      <c r="O35" s="15">
        <f t="shared" si="3"/>
        <v>73584531.893302947</v>
      </c>
      <c r="P35" s="22">
        <f t="shared" si="4"/>
        <v>91.994960020963191</v>
      </c>
      <c r="Q35" s="31">
        <f t="shared" si="22"/>
        <v>872497.72836538462</v>
      </c>
      <c r="R35" s="31">
        <f t="shared" si="23"/>
        <v>80255799.033553332</v>
      </c>
      <c r="S35" s="32">
        <f t="shared" si="20"/>
        <v>91.983963309465267</v>
      </c>
      <c r="T35" s="31">
        <f t="shared" si="12"/>
        <v>825875.6875</v>
      </c>
      <c r="U35" s="39">
        <v>313834</v>
      </c>
      <c r="V35" s="37">
        <f t="shared" si="21"/>
        <v>8.8283049568965524</v>
      </c>
    </row>
    <row r="36" spans="1:22">
      <c r="A36" s="21">
        <v>26000</v>
      </c>
      <c r="B36" s="21">
        <v>145000</v>
      </c>
      <c r="C36" s="47">
        <v>1300000</v>
      </c>
      <c r="D36" s="13">
        <v>42552</v>
      </c>
      <c r="E36" s="16">
        <f t="shared" si="8"/>
        <v>799875.6875</v>
      </c>
      <c r="F36" s="16">
        <f t="shared" si="9"/>
        <v>73584531.893302947</v>
      </c>
      <c r="G36" s="14">
        <f t="shared" si="10"/>
        <v>91.994960020963191</v>
      </c>
      <c r="H36" s="46">
        <v>0</v>
      </c>
      <c r="I36" s="23">
        <f t="shared" si="16"/>
        <v>0</v>
      </c>
      <c r="J36" s="22">
        <f>VLOOKUP(D36,Data!$A$5:$V$197,6,FALSE)*6.4</f>
        <v>42.306312203232117</v>
      </c>
      <c r="K36" s="71">
        <f>VLOOKUP(D36,Data!$A$5:$V$197,11,FALSE)</f>
        <v>35857.8125</v>
      </c>
      <c r="L36" s="48">
        <f t="shared" si="17"/>
        <v>3298738.0273766941</v>
      </c>
      <c r="M36" s="14">
        <f t="shared" si="11"/>
        <v>91.994960020963191</v>
      </c>
      <c r="N36" s="15">
        <f t="shared" si="2"/>
        <v>764017.875</v>
      </c>
      <c r="O36" s="15">
        <f t="shared" si="3"/>
        <v>70285793.865926251</v>
      </c>
      <c r="P36" s="22">
        <f t="shared" si="4"/>
        <v>91.994960020963191</v>
      </c>
      <c r="Q36" s="31">
        <f t="shared" si="22"/>
        <v>855021.94951923075</v>
      </c>
      <c r="R36" s="31">
        <f t="shared" si="23"/>
        <v>78651330.782470733</v>
      </c>
      <c r="S36" s="32">
        <f t="shared" si="20"/>
        <v>91.987499065603515</v>
      </c>
      <c r="T36" s="31">
        <f t="shared" si="12"/>
        <v>790017.875</v>
      </c>
      <c r="U36" s="39">
        <v>313834</v>
      </c>
      <c r="V36" s="37">
        <f t="shared" si="21"/>
        <v>8.2100668103448271</v>
      </c>
    </row>
    <row r="37" spans="1:22">
      <c r="A37" s="21">
        <v>26000</v>
      </c>
      <c r="B37" s="21">
        <v>145000</v>
      </c>
      <c r="C37" s="47">
        <v>1300000</v>
      </c>
      <c r="D37" s="13">
        <v>42583</v>
      </c>
      <c r="E37" s="16">
        <f t="shared" si="8"/>
        <v>764017.875</v>
      </c>
      <c r="F37" s="16">
        <f t="shared" si="9"/>
        <v>70285793.865926251</v>
      </c>
      <c r="G37" s="14">
        <f t="shared" si="10"/>
        <v>91.994960020963191</v>
      </c>
      <c r="H37" s="46">
        <v>0</v>
      </c>
      <c r="I37" s="23">
        <f t="shared" si="16"/>
        <v>0</v>
      </c>
      <c r="J37" s="22">
        <f>VLOOKUP(D37,Data!$A$5:$V$197,6,FALSE)*6.4</f>
        <v>43.006312203232113</v>
      </c>
      <c r="K37" s="71">
        <f>VLOOKUP(D37,Data!$A$5:$V$197,11,FALSE)</f>
        <v>51745</v>
      </c>
      <c r="L37" s="48">
        <f t="shared" si="17"/>
        <v>4760279.20628474</v>
      </c>
      <c r="M37" s="14">
        <f t="shared" si="11"/>
        <v>91.994960020963191</v>
      </c>
      <c r="N37" s="15">
        <f t="shared" si="2"/>
        <v>712272.875</v>
      </c>
      <c r="O37" s="15">
        <f t="shared" si="3"/>
        <v>65525514.659641512</v>
      </c>
      <c r="P37" s="22">
        <f t="shared" si="4"/>
        <v>91.994960020963191</v>
      </c>
      <c r="Q37" s="31">
        <f t="shared" si="22"/>
        <v>835355.86298076925</v>
      </c>
      <c r="R37" s="31">
        <f t="shared" si="23"/>
        <v>76845289.775520071</v>
      </c>
      <c r="S37" s="32">
        <f t="shared" si="20"/>
        <v>91.991082101603837</v>
      </c>
      <c r="T37" s="31">
        <f t="shared" si="12"/>
        <v>738272.875</v>
      </c>
      <c r="U37" s="39">
        <v>313834</v>
      </c>
      <c r="V37" s="37">
        <f t="shared" si="21"/>
        <v>7.3179116379310347</v>
      </c>
    </row>
    <row r="38" spans="1:22">
      <c r="A38" s="21">
        <v>26000</v>
      </c>
      <c r="B38" s="21">
        <v>145000</v>
      </c>
      <c r="C38" s="47">
        <v>1300000</v>
      </c>
      <c r="D38" s="13">
        <v>42614</v>
      </c>
      <c r="E38" s="16">
        <f t="shared" si="8"/>
        <v>712272.875</v>
      </c>
      <c r="F38" s="16">
        <f t="shared" si="9"/>
        <v>65525514.659641512</v>
      </c>
      <c r="G38" s="14">
        <f t="shared" si="10"/>
        <v>91.994960020963191</v>
      </c>
      <c r="H38" s="46">
        <v>0</v>
      </c>
      <c r="I38" s="23">
        <f t="shared" si="16"/>
        <v>0</v>
      </c>
      <c r="J38" s="22">
        <f>VLOOKUP(D38,Data!$A$5:$V$197,6,FALSE)*6.4</f>
        <v>43.706312203232116</v>
      </c>
      <c r="K38" s="71">
        <f>VLOOKUP(D38,Data!$A$5:$V$197,11,FALSE)</f>
        <v>45929.84375</v>
      </c>
      <c r="L38" s="48">
        <f t="shared" si="17"/>
        <v>4225314.1395503357</v>
      </c>
      <c r="M38" s="14">
        <f t="shared" si="11"/>
        <v>91.994960020963177</v>
      </c>
      <c r="N38" s="15">
        <f t="shared" si="2"/>
        <v>666343.03125</v>
      </c>
      <c r="O38" s="15">
        <f t="shared" si="3"/>
        <v>61300200.520091176</v>
      </c>
      <c r="P38" s="22">
        <f t="shared" si="4"/>
        <v>91.994960020963191</v>
      </c>
      <c r="Q38" s="31">
        <f t="shared" si="22"/>
        <v>813653.7884615385</v>
      </c>
      <c r="R38" s="31">
        <f t="shared" si="23"/>
        <v>74851885.003988624</v>
      </c>
      <c r="S38" s="32">
        <f t="shared" si="20"/>
        <v>91.994760013984603</v>
      </c>
      <c r="T38" s="31">
        <f t="shared" si="12"/>
        <v>692343.03125</v>
      </c>
      <c r="U38" s="39">
        <v>313834</v>
      </c>
      <c r="V38" s="37">
        <f t="shared" si="21"/>
        <v>6.5260177801724142</v>
      </c>
    </row>
    <row r="39" spans="1:22">
      <c r="A39" s="21">
        <v>26000</v>
      </c>
      <c r="B39" s="21">
        <v>145000</v>
      </c>
      <c r="C39" s="47">
        <v>1300000</v>
      </c>
      <c r="D39" s="13">
        <v>42644</v>
      </c>
      <c r="E39" s="16">
        <f t="shared" si="8"/>
        <v>666343.03125</v>
      </c>
      <c r="F39" s="16">
        <f t="shared" si="9"/>
        <v>61300200.520091176</v>
      </c>
      <c r="G39" s="14">
        <f t="shared" si="10"/>
        <v>91.994960020963191</v>
      </c>
      <c r="H39" s="46">
        <v>0</v>
      </c>
      <c r="I39" s="23">
        <f t="shared" si="16"/>
        <v>0</v>
      </c>
      <c r="J39" s="22">
        <f>VLOOKUP(D39,Data!$A$5:$V$197,6,FALSE)*6.4</f>
        <v>44.201845200000008</v>
      </c>
      <c r="K39" s="71">
        <f>VLOOKUP(D39,Data!$A$5:$V$197,11,FALSE)</f>
        <v>26329.21875</v>
      </c>
      <c r="L39" s="48">
        <f t="shared" si="17"/>
        <v>2422155.4262894443</v>
      </c>
      <c r="M39" s="14">
        <f t="shared" si="11"/>
        <v>91.994960020963191</v>
      </c>
      <c r="N39" s="15">
        <f t="shared" si="2"/>
        <v>640013.8125</v>
      </c>
      <c r="O39" s="15">
        <f t="shared" si="3"/>
        <v>58878045.093801729</v>
      </c>
      <c r="P39" s="22">
        <f t="shared" si="4"/>
        <v>91.994960020963191</v>
      </c>
      <c r="Q39" s="31">
        <f t="shared" si="22"/>
        <v>791175.15865384613</v>
      </c>
      <c r="R39" s="31">
        <f t="shared" si="23"/>
        <v>72784127.088896453</v>
      </c>
      <c r="S39" s="32">
        <f t="shared" si="20"/>
        <v>91.994960019644481</v>
      </c>
      <c r="T39" s="31">
        <f t="shared" si="12"/>
        <v>666013.8125</v>
      </c>
      <c r="U39" s="39">
        <v>313834</v>
      </c>
      <c r="V39" s="37">
        <f t="shared" si="21"/>
        <v>6.0720657327586203</v>
      </c>
    </row>
    <row r="40" spans="1:22">
      <c r="A40" s="21">
        <v>26000</v>
      </c>
      <c r="B40" s="21">
        <v>145000</v>
      </c>
      <c r="C40" s="47">
        <v>1300000</v>
      </c>
      <c r="D40" s="13">
        <v>42675</v>
      </c>
      <c r="E40" s="16">
        <f t="shared" si="8"/>
        <v>640013.8125</v>
      </c>
      <c r="F40" s="16">
        <f t="shared" si="9"/>
        <v>58878045.093801729</v>
      </c>
      <c r="G40" s="14">
        <f t="shared" si="10"/>
        <v>91.994960020963191</v>
      </c>
      <c r="H40" s="46">
        <v>0</v>
      </c>
      <c r="I40" s="23">
        <f t="shared" si="16"/>
        <v>0</v>
      </c>
      <c r="J40" s="22">
        <f>VLOOKUP(D40,Data!$A$5:$V$197,6,FALSE)*6.4</f>
        <v>44.801845200000002</v>
      </c>
      <c r="K40" s="71">
        <f>VLOOKUP(D40,Data!$A$5:$V$197,11,FALSE)</f>
        <v>25507.03125</v>
      </c>
      <c r="L40" s="48">
        <f t="shared" si="17"/>
        <v>2346518.320097209</v>
      </c>
      <c r="M40" s="14">
        <f t="shared" si="11"/>
        <v>91.994960020963205</v>
      </c>
      <c r="N40" s="15">
        <f t="shared" si="2"/>
        <v>614506.78125</v>
      </c>
      <c r="O40" s="15">
        <f t="shared" si="3"/>
        <v>56531526.773704521</v>
      </c>
      <c r="P40" s="22">
        <f t="shared" si="4"/>
        <v>91.994960020963191</v>
      </c>
      <c r="Q40" s="31">
        <f t="shared" si="22"/>
        <v>768744.98798076925</v>
      </c>
      <c r="R40" s="31">
        <f t="shared" si="23"/>
        <v>70720664.435335264</v>
      </c>
      <c r="S40" s="32">
        <f t="shared" si="20"/>
        <v>91.994960020610108</v>
      </c>
      <c r="T40" s="31">
        <f t="shared" si="12"/>
        <v>640506.78125</v>
      </c>
      <c r="U40" s="39">
        <v>313834</v>
      </c>
      <c r="V40" s="37">
        <f t="shared" si="21"/>
        <v>5.6322893318965521</v>
      </c>
    </row>
    <row r="41" spans="1:22">
      <c r="A41" s="21">
        <v>26000</v>
      </c>
      <c r="B41" s="21">
        <v>145000</v>
      </c>
      <c r="C41" s="47">
        <v>1300000</v>
      </c>
      <c r="D41" s="13">
        <v>42705</v>
      </c>
      <c r="E41" s="16">
        <f t="shared" si="8"/>
        <v>614506.78125</v>
      </c>
      <c r="F41" s="16">
        <f t="shared" si="9"/>
        <v>56531526.773704521</v>
      </c>
      <c r="G41" s="14">
        <f t="shared" si="10"/>
        <v>91.994960020963191</v>
      </c>
      <c r="H41" s="46">
        <v>445000</v>
      </c>
      <c r="I41" s="23">
        <f t="shared" si="16"/>
        <v>20181571.114000004</v>
      </c>
      <c r="J41" s="22">
        <f>VLOOKUP(D41,Data!$A$5:$V$197,6,FALSE)*6.4</f>
        <v>45.351845200000007</v>
      </c>
      <c r="K41" s="71">
        <f>VLOOKUP(D41,Data!$A$5:$V$197,11,FALSE)</f>
        <v>3595.78125</v>
      </c>
      <c r="L41" s="48">
        <f t="shared" si="17"/>
        <v>260350.87636587274</v>
      </c>
      <c r="M41" s="14">
        <f t="shared" si="11"/>
        <v>72.404536946142855</v>
      </c>
      <c r="N41" s="15">
        <f t="shared" si="2"/>
        <v>1055911</v>
      </c>
      <c r="O41" s="15">
        <f t="shared" si="3"/>
        <v>76452747.011338651</v>
      </c>
      <c r="P41" s="22">
        <f t="shared" si="4"/>
        <v>72.404536946142855</v>
      </c>
      <c r="Q41" s="31">
        <f t="shared" si="22"/>
        <v>785942.14182692312</v>
      </c>
      <c r="R41" s="31">
        <f t="shared" si="23"/>
        <v>70711504.899284378</v>
      </c>
      <c r="S41" s="32">
        <f t="shared" si="20"/>
        <v>89.97036949172292</v>
      </c>
      <c r="T41" s="31">
        <f t="shared" si="12"/>
        <v>1081911</v>
      </c>
      <c r="U41" s="39">
        <v>217646</v>
      </c>
      <c r="V41" s="37">
        <f t="shared" si="21"/>
        <v>14.901120689655173</v>
      </c>
    </row>
    <row r="42" spans="1:22">
      <c r="A42" s="21">
        <v>26000</v>
      </c>
      <c r="B42" s="21">
        <v>145000</v>
      </c>
      <c r="C42" s="47">
        <v>1300000</v>
      </c>
      <c r="D42" s="13">
        <v>42736</v>
      </c>
      <c r="E42" s="16">
        <f t="shared" si="8"/>
        <v>1055911</v>
      </c>
      <c r="F42" s="16">
        <f t="shared" si="9"/>
        <v>76452747.011338651</v>
      </c>
      <c r="G42" s="14">
        <f t="shared" si="10"/>
        <v>72.404536946142855</v>
      </c>
      <c r="H42" s="46">
        <f t="shared" ref="H42:H89" si="24">IF(E42+A42-K42&lt;C42-B42,B42,0)</f>
        <v>145000</v>
      </c>
      <c r="I42" s="23">
        <f t="shared" si="16"/>
        <v>6648517.5540000014</v>
      </c>
      <c r="J42" s="22">
        <f>VLOOKUP(D42,Data!$A$5:$V$197,6,FALSE)*6.4</f>
        <v>45.851845200000007</v>
      </c>
      <c r="K42" s="71">
        <f>VLOOKUP(D42,Data!$A$5:$V$197,11,FALSE)</f>
        <v>6673.28125</v>
      </c>
      <c r="L42" s="48">
        <f t="shared" si="17"/>
        <v>461781.19000922126</v>
      </c>
      <c r="M42" s="14">
        <f t="shared" si="11"/>
        <v>69.198520594231098</v>
      </c>
      <c r="N42" s="15">
        <f t="shared" si="2"/>
        <v>1194237.71875</v>
      </c>
      <c r="O42" s="15">
        <f t="shared" si="3"/>
        <v>82639483.375329435</v>
      </c>
      <c r="P42" s="22">
        <f t="shared" si="4"/>
        <v>69.198520594231098</v>
      </c>
      <c r="Q42" s="31">
        <f t="shared" si="22"/>
        <v>813811.50480769225</v>
      </c>
      <c r="R42" s="31">
        <f t="shared" si="23"/>
        <v>71181163.692771271</v>
      </c>
      <c r="S42" s="32">
        <f t="shared" si="20"/>
        <v>87.466401337729593</v>
      </c>
      <c r="T42" s="31">
        <f t="shared" si="12"/>
        <v>1220237.71875</v>
      </c>
      <c r="U42" s="39">
        <v>217646</v>
      </c>
      <c r="V42" s="37">
        <f t="shared" si="21"/>
        <v>17.286064116379311</v>
      </c>
    </row>
    <row r="43" spans="1:22">
      <c r="A43" s="21">
        <v>26000</v>
      </c>
      <c r="B43" s="21">
        <v>145000</v>
      </c>
      <c r="C43" s="47">
        <v>1300000</v>
      </c>
      <c r="D43" s="13">
        <v>42767</v>
      </c>
      <c r="E43" s="16">
        <f t="shared" si="8"/>
        <v>1194237.71875</v>
      </c>
      <c r="F43" s="16">
        <f t="shared" si="9"/>
        <v>82639483.375329435</v>
      </c>
      <c r="G43" s="14">
        <f t="shared" si="10"/>
        <v>69.198520594231098</v>
      </c>
      <c r="H43" s="46">
        <f t="shared" si="24"/>
        <v>0</v>
      </c>
      <c r="I43" s="23">
        <f t="shared" si="16"/>
        <v>0</v>
      </c>
      <c r="J43" s="22">
        <f>VLOOKUP(D43,Data!$A$5:$V$197,6,FALSE)*6.4</f>
        <v>46.301845200000002</v>
      </c>
      <c r="K43" s="71">
        <f>VLOOKUP(D43,Data!$A$5:$V$197,11,FALSE)</f>
        <v>2948.4375</v>
      </c>
      <c r="L43" s="48">
        <f t="shared" si="17"/>
        <v>204027.51306455326</v>
      </c>
      <c r="M43" s="14">
        <f t="shared" si="11"/>
        <v>69.198520594231098</v>
      </c>
      <c r="N43" s="15">
        <f t="shared" si="2"/>
        <v>1191289.28125</v>
      </c>
      <c r="O43" s="15">
        <f t="shared" si="3"/>
        <v>82435455.862264886</v>
      </c>
      <c r="P43" s="22">
        <f t="shared" si="4"/>
        <v>69.198520594231098</v>
      </c>
      <c r="Q43" s="31">
        <f t="shared" si="22"/>
        <v>841655.74759615387</v>
      </c>
      <c r="R43" s="31">
        <f t="shared" si="23"/>
        <v>71653681.85339202</v>
      </c>
      <c r="S43" s="32">
        <f t="shared" si="20"/>
        <v>85.13419180946785</v>
      </c>
      <c r="T43" s="31">
        <f t="shared" si="12"/>
        <v>1217289.28125</v>
      </c>
      <c r="U43" s="39">
        <v>217646</v>
      </c>
      <c r="V43" s="37">
        <f t="shared" si="21"/>
        <v>17.235228987068965</v>
      </c>
    </row>
    <row r="44" spans="1:22">
      <c r="A44" s="21">
        <v>26000</v>
      </c>
      <c r="B44" s="21">
        <v>145000</v>
      </c>
      <c r="C44" s="47">
        <v>1300000</v>
      </c>
      <c r="D44" s="13">
        <v>42795</v>
      </c>
      <c r="E44" s="16">
        <f t="shared" si="8"/>
        <v>1191289.28125</v>
      </c>
      <c r="F44" s="16">
        <f t="shared" si="9"/>
        <v>82435455.862264886</v>
      </c>
      <c r="G44" s="14">
        <f t="shared" si="10"/>
        <v>69.198520594231098</v>
      </c>
      <c r="H44" s="46">
        <f t="shared" si="24"/>
        <v>0</v>
      </c>
      <c r="I44" s="23">
        <f t="shared" si="16"/>
        <v>0</v>
      </c>
      <c r="J44" s="22">
        <f>VLOOKUP(D44,Data!$A$5:$V$197,6,FALSE)*6.4</f>
        <v>46.751845200000005</v>
      </c>
      <c r="K44" s="71">
        <f>VLOOKUP(D44,Data!$A$5:$V$197,11,FALSE)</f>
        <v>60888.75</v>
      </c>
      <c r="L44" s="48">
        <f t="shared" si="17"/>
        <v>4213411.4208319886</v>
      </c>
      <c r="M44" s="14">
        <f t="shared" si="11"/>
        <v>69.198520594231098</v>
      </c>
      <c r="N44" s="15">
        <f t="shared" si="2"/>
        <v>1130400.53125</v>
      </c>
      <c r="O44" s="15">
        <f t="shared" si="3"/>
        <v>78222044.441432893</v>
      </c>
      <c r="P44" s="22">
        <f t="shared" si="4"/>
        <v>69.198520594231098</v>
      </c>
      <c r="Q44" s="31">
        <f t="shared" si="22"/>
        <v>864822.32211538462</v>
      </c>
      <c r="R44" s="31">
        <f t="shared" si="23"/>
        <v>71802650.931758538</v>
      </c>
      <c r="S44" s="32">
        <f t="shared" si="20"/>
        <v>83.025899188317467</v>
      </c>
      <c r="T44" s="31">
        <f t="shared" si="12"/>
        <v>1156400.53125</v>
      </c>
      <c r="U44" s="39">
        <v>217646</v>
      </c>
      <c r="V44" s="37">
        <f t="shared" si="21"/>
        <v>16.185422952586208</v>
      </c>
    </row>
    <row r="45" spans="1:22">
      <c r="A45" s="21">
        <v>26000</v>
      </c>
      <c r="B45" s="21">
        <v>145000</v>
      </c>
      <c r="C45" s="47">
        <v>1300000</v>
      </c>
      <c r="D45" s="13">
        <v>42826</v>
      </c>
      <c r="E45" s="16">
        <f t="shared" si="8"/>
        <v>1130400.53125</v>
      </c>
      <c r="F45" s="16">
        <f t="shared" si="9"/>
        <v>78222044.441432893</v>
      </c>
      <c r="G45" s="14">
        <f t="shared" si="10"/>
        <v>69.198520594231098</v>
      </c>
      <c r="H45" s="46">
        <f t="shared" si="24"/>
        <v>145000</v>
      </c>
      <c r="I45" s="23">
        <f t="shared" si="16"/>
        <v>6844267.5540000014</v>
      </c>
      <c r="J45" s="22">
        <f>VLOOKUP(D45,Data!$A$5:$V$197,6,FALSE)*6.4</f>
        <v>47.201845200000008</v>
      </c>
      <c r="K45" s="71">
        <f>VLOOKUP(D45,Data!$A$5:$V$197,11,FALSE)</f>
        <v>59046.40625</v>
      </c>
      <c r="L45" s="48">
        <f t="shared" si="17"/>
        <v>3938260.8782111392</v>
      </c>
      <c r="M45" s="14">
        <f t="shared" si="11"/>
        <v>66.697723508128647</v>
      </c>
      <c r="N45" s="15">
        <f t="shared" si="2"/>
        <v>1216354.125</v>
      </c>
      <c r="O45" s="15">
        <f t="shared" si="3"/>
        <v>81128051.117221758</v>
      </c>
      <c r="P45" s="22">
        <f t="shared" si="4"/>
        <v>66.697723508128647</v>
      </c>
      <c r="Q45" s="31">
        <f t="shared" si="22"/>
        <v>894671.27644230775</v>
      </c>
      <c r="R45" s="31">
        <f t="shared" si="23"/>
        <v>72181650.600693911</v>
      </c>
      <c r="S45" s="32">
        <f t="shared" si="20"/>
        <v>80.679521631371486</v>
      </c>
      <c r="T45" s="31">
        <f t="shared" si="12"/>
        <v>1242354.125</v>
      </c>
      <c r="U45" s="39">
        <v>217646</v>
      </c>
      <c r="V45" s="37">
        <f t="shared" si="21"/>
        <v>17.667381465517241</v>
      </c>
    </row>
    <row r="46" spans="1:22">
      <c r="A46" s="21">
        <v>26000</v>
      </c>
      <c r="B46" s="21">
        <v>145000</v>
      </c>
      <c r="C46" s="47">
        <v>1300000</v>
      </c>
      <c r="D46" s="13">
        <v>42856</v>
      </c>
      <c r="E46" s="16">
        <f t="shared" si="8"/>
        <v>1216354.125</v>
      </c>
      <c r="F46" s="16">
        <f t="shared" si="9"/>
        <v>81128051.117221758</v>
      </c>
      <c r="G46" s="14">
        <f t="shared" si="10"/>
        <v>66.697723508128647</v>
      </c>
      <c r="H46" s="46">
        <f t="shared" si="24"/>
        <v>0</v>
      </c>
      <c r="I46" s="23">
        <f t="shared" si="16"/>
        <v>0</v>
      </c>
      <c r="J46" s="22">
        <f>VLOOKUP(D46,Data!$A$5:$V$197,6,FALSE)*6.4</f>
        <v>47.806312203232117</v>
      </c>
      <c r="K46" s="71">
        <f>VLOOKUP(D46,Data!$A$5:$V$197,11,FALSE)</f>
        <v>60807.5</v>
      </c>
      <c r="L46" s="48">
        <f t="shared" si="17"/>
        <v>4055721.8222205327</v>
      </c>
      <c r="M46" s="14">
        <f t="shared" si="11"/>
        <v>66.697723508128647</v>
      </c>
      <c r="N46" s="15">
        <f t="shared" si="2"/>
        <v>1155546.625</v>
      </c>
      <c r="O46" s="15">
        <f t="shared" si="3"/>
        <v>77072329.295001224</v>
      </c>
      <c r="P46" s="22">
        <f t="shared" si="4"/>
        <v>66.697723508128647</v>
      </c>
      <c r="Q46" s="31">
        <f t="shared" si="22"/>
        <v>920070.79567307688</v>
      </c>
      <c r="R46" s="31">
        <f t="shared" si="23"/>
        <v>72269652.489631534</v>
      </c>
      <c r="S46" s="32">
        <f t="shared" si="20"/>
        <v>78.547925691699348</v>
      </c>
      <c r="T46" s="31">
        <f t="shared" si="12"/>
        <v>1181546.625</v>
      </c>
      <c r="U46" s="39">
        <v>217646</v>
      </c>
      <c r="V46" s="37">
        <f t="shared" si="21"/>
        <v>16.618976293103447</v>
      </c>
    </row>
    <row r="47" spans="1:22">
      <c r="A47" s="21">
        <v>26000</v>
      </c>
      <c r="B47" s="21">
        <v>145000</v>
      </c>
      <c r="C47" s="47">
        <v>1300000</v>
      </c>
      <c r="D47" s="13">
        <v>42887</v>
      </c>
      <c r="E47" s="16">
        <f t="shared" si="8"/>
        <v>1155546.625</v>
      </c>
      <c r="F47" s="16">
        <f t="shared" si="9"/>
        <v>77072329.295001224</v>
      </c>
      <c r="G47" s="14">
        <f t="shared" si="10"/>
        <v>66.697723508128647</v>
      </c>
      <c r="H47" s="46">
        <f t="shared" si="24"/>
        <v>145000</v>
      </c>
      <c r="I47" s="23">
        <f t="shared" si="16"/>
        <v>7004415.2694686567</v>
      </c>
      <c r="J47" s="22">
        <f>VLOOKUP(D47,Data!$A$5:$V$197,6,FALSE)*6.4</f>
        <v>48.306312203232117</v>
      </c>
      <c r="K47" s="71">
        <f>VLOOKUP(D47,Data!$A$5:$V$197,11,FALSE)</f>
        <v>94369.0625</v>
      </c>
      <c r="L47" s="48">
        <f t="shared" si="17"/>
        <v>6100699.0522934869</v>
      </c>
      <c r="M47" s="14">
        <f t="shared" si="11"/>
        <v>64.647235976234128</v>
      </c>
      <c r="N47" s="15">
        <f t="shared" si="2"/>
        <v>1206177.5625</v>
      </c>
      <c r="O47" s="15">
        <f t="shared" si="3"/>
        <v>77976045.512176394</v>
      </c>
      <c r="P47" s="22">
        <f t="shared" si="4"/>
        <v>64.647235976234128</v>
      </c>
      <c r="Q47" s="31">
        <f t="shared" si="22"/>
        <v>949765.14663461538</v>
      </c>
      <c r="R47" s="31">
        <f t="shared" si="23"/>
        <v>72463982.263171807</v>
      </c>
      <c r="S47" s="32">
        <f t="shared" si="20"/>
        <v>76.296737693459988</v>
      </c>
      <c r="T47" s="31">
        <f t="shared" si="12"/>
        <v>1232177.5625</v>
      </c>
      <c r="U47" s="39">
        <v>313834</v>
      </c>
      <c r="V47" s="37">
        <f t="shared" si="21"/>
        <v>15.833509698275861</v>
      </c>
    </row>
    <row r="48" spans="1:22">
      <c r="A48" s="21">
        <v>26000</v>
      </c>
      <c r="B48" s="21">
        <v>145000</v>
      </c>
      <c r="C48" s="47">
        <v>1300000</v>
      </c>
      <c r="D48" s="13">
        <v>42917</v>
      </c>
      <c r="E48" s="16">
        <f t="shared" ref="E48:E53" si="25">N47</f>
        <v>1206177.5625</v>
      </c>
      <c r="F48" s="16">
        <f t="shared" ref="F48:F53" si="26">O47</f>
        <v>77976045.512176394</v>
      </c>
      <c r="G48" s="14">
        <f t="shared" ref="G48:G53" si="27">P47</f>
        <v>64.647235976234128</v>
      </c>
      <c r="H48" s="46">
        <f t="shared" si="24"/>
        <v>145000</v>
      </c>
      <c r="I48" s="23">
        <f t="shared" si="16"/>
        <v>7076915.2694686567</v>
      </c>
      <c r="J48" s="22">
        <f>VLOOKUP(D48,Data!$A$5:$V$197,6,FALSE)*6.4</f>
        <v>48.806312203232117</v>
      </c>
      <c r="K48" s="71">
        <f>VLOOKUP(D48,Data!$A$5:$V$197,11,FALSE)</f>
        <v>105159.21875</v>
      </c>
      <c r="L48" s="48">
        <f t="shared" si="17"/>
        <v>6619487.4429556569</v>
      </c>
      <c r="M48" s="14">
        <f t="shared" si="11"/>
        <v>62.947286235479538</v>
      </c>
      <c r="N48" s="15">
        <f t="shared" si="2"/>
        <v>1246018.34375</v>
      </c>
      <c r="O48" s="15">
        <f t="shared" si="3"/>
        <v>78433473.338689387</v>
      </c>
      <c r="P48" s="22">
        <f t="shared" si="4"/>
        <v>62.947286235479538</v>
      </c>
      <c r="Q48" s="31">
        <f t="shared" si="22"/>
        <v>984083.8125</v>
      </c>
      <c r="R48" s="31">
        <f t="shared" si="23"/>
        <v>72836977.758970752</v>
      </c>
      <c r="S48" s="32">
        <f t="shared" si="20"/>
        <v>74.015014609307727</v>
      </c>
      <c r="T48" s="31">
        <f t="shared" si="12"/>
        <v>1272018.34375</v>
      </c>
      <c r="U48" s="39">
        <v>313834</v>
      </c>
      <c r="V48" s="37">
        <f t="shared" si="21"/>
        <v>16.520419719827586</v>
      </c>
    </row>
    <row r="49" spans="1:22">
      <c r="A49" s="21">
        <v>26000</v>
      </c>
      <c r="B49" s="21">
        <v>145000</v>
      </c>
      <c r="C49" s="47">
        <v>1300000</v>
      </c>
      <c r="D49" s="13">
        <v>42948</v>
      </c>
      <c r="E49" s="16">
        <f t="shared" si="25"/>
        <v>1246018.34375</v>
      </c>
      <c r="F49" s="16">
        <f t="shared" si="26"/>
        <v>78433473.338689387</v>
      </c>
      <c r="G49" s="14">
        <f t="shared" si="27"/>
        <v>62.947286235479538</v>
      </c>
      <c r="H49" s="46">
        <f t="shared" si="24"/>
        <v>0</v>
      </c>
      <c r="I49" s="23">
        <f t="shared" si="16"/>
        <v>0</v>
      </c>
      <c r="J49" s="22">
        <f>VLOOKUP(D49,Data!$A$5:$V$197,6,FALSE)*6.4</f>
        <v>49.306312203232117</v>
      </c>
      <c r="K49" s="71">
        <f>VLOOKUP(D49,Data!$A$5:$V$197,11,FALSE)</f>
        <v>81407.8125</v>
      </c>
      <c r="L49" s="48">
        <f t="shared" si="17"/>
        <v>5124400.875241749</v>
      </c>
      <c r="M49" s="14">
        <f t="shared" si="11"/>
        <v>62.947286235479538</v>
      </c>
      <c r="N49" s="15">
        <f t="shared" si="2"/>
        <v>1164610.53125</v>
      </c>
      <c r="O49" s="15">
        <f t="shared" si="3"/>
        <v>73309072.46344763</v>
      </c>
      <c r="P49" s="22">
        <f t="shared" si="4"/>
        <v>62.947286235479531</v>
      </c>
      <c r="Q49" s="31">
        <f t="shared" si="22"/>
        <v>1014898.6322115385</v>
      </c>
      <c r="R49" s="31">
        <f t="shared" si="23"/>
        <v>73069537.651087776</v>
      </c>
      <c r="S49" s="32">
        <f t="shared" si="20"/>
        <v>71.996882577192849</v>
      </c>
      <c r="T49" s="31">
        <f t="shared" si="12"/>
        <v>1190610.53125</v>
      </c>
      <c r="U49" s="39">
        <v>313834</v>
      </c>
      <c r="V49" s="37">
        <f t="shared" si="21"/>
        <v>15.116836745689655</v>
      </c>
    </row>
    <row r="50" spans="1:22">
      <c r="A50" s="21">
        <v>26000</v>
      </c>
      <c r="B50" s="21">
        <v>145000</v>
      </c>
      <c r="C50" s="47">
        <v>1300000</v>
      </c>
      <c r="D50" s="13">
        <v>42979</v>
      </c>
      <c r="E50" s="16">
        <f t="shared" si="25"/>
        <v>1164610.53125</v>
      </c>
      <c r="F50" s="16">
        <f t="shared" si="26"/>
        <v>73309072.46344763</v>
      </c>
      <c r="G50" s="14">
        <f t="shared" si="27"/>
        <v>62.947286235479531</v>
      </c>
      <c r="H50" s="46">
        <f t="shared" si="24"/>
        <v>145000</v>
      </c>
      <c r="I50" s="23">
        <f t="shared" si="16"/>
        <v>7221915.2694686567</v>
      </c>
      <c r="J50" s="22">
        <f>VLOOKUP(D50,Data!$A$5:$V$197,6,FALSE)*6.4</f>
        <v>49.806312203232117</v>
      </c>
      <c r="K50" s="71">
        <f>VLOOKUP(D50,Data!$A$5:$V$197,11,FALSE)</f>
        <v>92110.3125</v>
      </c>
      <c r="L50" s="48">
        <f t="shared" si="17"/>
        <v>5664076.6617327742</v>
      </c>
      <c r="M50" s="14">
        <f t="shared" si="11"/>
        <v>61.492318373502144</v>
      </c>
      <c r="N50" s="15">
        <f t="shared" si="2"/>
        <v>1217500.21875</v>
      </c>
      <c r="O50" s="15">
        <f t="shared" si="3"/>
        <v>74866911.071183503</v>
      </c>
      <c r="P50" s="22">
        <f t="shared" si="4"/>
        <v>61.492318373502144</v>
      </c>
      <c r="Q50" s="31">
        <f t="shared" si="22"/>
        <v>1053762.2740384615</v>
      </c>
      <c r="R50" s="31">
        <f t="shared" si="23"/>
        <v>73788106.605821773</v>
      </c>
      <c r="S50" s="32">
        <f t="shared" si="20"/>
        <v>70.023484825504923</v>
      </c>
      <c r="T50" s="31">
        <f t="shared" ref="T50:T81" si="28">N50+A50</f>
        <v>1243500.21875</v>
      </c>
      <c r="U50" s="39">
        <v>313834</v>
      </c>
      <c r="V50" s="37">
        <f t="shared" si="21"/>
        <v>16.028727909482757</v>
      </c>
    </row>
    <row r="51" spans="1:22">
      <c r="A51" s="21">
        <v>26000</v>
      </c>
      <c r="B51" s="21">
        <v>145000</v>
      </c>
      <c r="C51" s="47">
        <v>1300000</v>
      </c>
      <c r="D51" s="13">
        <v>43009</v>
      </c>
      <c r="E51" s="16">
        <f t="shared" si="25"/>
        <v>1217500.21875</v>
      </c>
      <c r="F51" s="16">
        <f t="shared" si="26"/>
        <v>74866911.071183503</v>
      </c>
      <c r="G51" s="14">
        <f t="shared" si="27"/>
        <v>61.492318373502144</v>
      </c>
      <c r="H51" s="46">
        <f t="shared" si="24"/>
        <v>0</v>
      </c>
      <c r="I51" s="23">
        <f t="shared" si="16"/>
        <v>0</v>
      </c>
      <c r="J51" s="22">
        <f>VLOOKUP(D51,Data!$A$5:$V$197,6,FALSE)*6.4</f>
        <v>50.201845200000008</v>
      </c>
      <c r="K51" s="71">
        <f>VLOOKUP(D51,Data!$A$5:$V$197,11,FALSE)</f>
        <v>80990.15625</v>
      </c>
      <c r="L51" s="48">
        <f t="shared" si="17"/>
        <v>4980272.4732446847</v>
      </c>
      <c r="M51" s="14">
        <f t="shared" si="11"/>
        <v>61.492318373502144</v>
      </c>
      <c r="N51" s="15">
        <f t="shared" si="2"/>
        <v>1136510.0625</v>
      </c>
      <c r="O51" s="15">
        <f t="shared" si="3"/>
        <v>69886638.597938821</v>
      </c>
      <c r="P51" s="22">
        <f t="shared" si="4"/>
        <v>61.492318373502144</v>
      </c>
      <c r="Q51" s="31">
        <f t="shared" si="22"/>
        <v>1089928.96875</v>
      </c>
      <c r="R51" s="31">
        <f t="shared" si="23"/>
        <v>74448601.84257929</v>
      </c>
      <c r="S51" s="32">
        <f t="shared" si="20"/>
        <v>68.305920823410801</v>
      </c>
      <c r="T51" s="31">
        <f t="shared" si="28"/>
        <v>1162510.0625</v>
      </c>
      <c r="U51" s="39">
        <v>313834</v>
      </c>
      <c r="V51" s="37">
        <f t="shared" si="21"/>
        <v>14.632345905172414</v>
      </c>
    </row>
    <row r="52" spans="1:22">
      <c r="A52" s="21">
        <v>26000</v>
      </c>
      <c r="B52" s="21">
        <v>145000</v>
      </c>
      <c r="C52" s="47">
        <v>1300000</v>
      </c>
      <c r="D52" s="13">
        <v>43040</v>
      </c>
      <c r="E52" s="16">
        <f t="shared" si="25"/>
        <v>1136510.0625</v>
      </c>
      <c r="F52" s="16">
        <f t="shared" si="26"/>
        <v>69886638.597938821</v>
      </c>
      <c r="G52" s="14">
        <f t="shared" si="27"/>
        <v>61.492318373502144</v>
      </c>
      <c r="H52" s="46">
        <f t="shared" si="24"/>
        <v>145000</v>
      </c>
      <c r="I52" s="23">
        <f t="shared" si="16"/>
        <v>7351767.5540000014</v>
      </c>
      <c r="J52" s="22">
        <f>VLOOKUP(D52,Data!$A$5:$V$197,6,FALSE)*6.4</f>
        <v>50.701845200000008</v>
      </c>
      <c r="K52" s="71">
        <f>VLOOKUP(D52,Data!$A$5:$V$197,11,FALSE)</f>
        <v>25202.03125</v>
      </c>
      <c r="L52" s="48">
        <f t="shared" si="17"/>
        <v>1518961.7175100055</v>
      </c>
      <c r="M52" s="14">
        <f t="shared" si="11"/>
        <v>60.271400445549624</v>
      </c>
      <c r="N52" s="15">
        <f t="shared" si="2"/>
        <v>1256308.03125</v>
      </c>
      <c r="O52" s="15">
        <f t="shared" si="3"/>
        <v>75719444.434428826</v>
      </c>
      <c r="P52" s="22">
        <f t="shared" si="4"/>
        <v>60.271400445549631</v>
      </c>
      <c r="Q52" s="31">
        <f t="shared" si="22"/>
        <v>1137336.2163461538</v>
      </c>
      <c r="R52" s="31">
        <f t="shared" si="23"/>
        <v>75744094.09955059</v>
      </c>
      <c r="S52" s="32">
        <f t="shared" si="20"/>
        <v>66.597803719720389</v>
      </c>
      <c r="T52" s="31">
        <f t="shared" si="28"/>
        <v>1282308.03125</v>
      </c>
      <c r="U52" s="39">
        <v>313834</v>
      </c>
      <c r="V52" s="37">
        <f t="shared" si="21"/>
        <v>16.697828125000001</v>
      </c>
    </row>
    <row r="53" spans="1:22">
      <c r="A53" s="21">
        <v>26000</v>
      </c>
      <c r="B53" s="21">
        <v>145000</v>
      </c>
      <c r="C53" s="47">
        <v>1300000</v>
      </c>
      <c r="D53" s="13">
        <v>43070</v>
      </c>
      <c r="E53" s="16">
        <f t="shared" si="25"/>
        <v>1256308.03125</v>
      </c>
      <c r="F53" s="16">
        <f t="shared" si="26"/>
        <v>75719444.434428826</v>
      </c>
      <c r="G53" s="14">
        <f t="shared" si="27"/>
        <v>60.271400445549631</v>
      </c>
      <c r="H53" s="46">
        <f t="shared" si="24"/>
        <v>0</v>
      </c>
      <c r="I53" s="23">
        <f t="shared" si="16"/>
        <v>0</v>
      </c>
      <c r="J53" s="22">
        <f>VLOOKUP(D53,Data!$A$5:$V$197,6,FALSE)*6.4</f>
        <v>51.201845200000008</v>
      </c>
      <c r="K53" s="71">
        <f>VLOOKUP(D53,Data!$A$5:$V$197,11,FALSE)</f>
        <v>6320.625</v>
      </c>
      <c r="L53" s="48">
        <f t="shared" si="17"/>
        <v>380952.92044115212</v>
      </c>
      <c r="M53" s="14">
        <f t="shared" si="11"/>
        <v>60.271400445549631</v>
      </c>
      <c r="N53" s="15">
        <f t="shared" si="2"/>
        <v>1249987.40625</v>
      </c>
      <c r="O53" s="15">
        <f t="shared" si="3"/>
        <v>75338491.513987675</v>
      </c>
      <c r="P53" s="22">
        <f t="shared" si="4"/>
        <v>60.271400445549631</v>
      </c>
      <c r="Q53" s="31">
        <f t="shared" si="22"/>
        <v>1186219.3413461538</v>
      </c>
      <c r="R53" s="31">
        <f t="shared" si="23"/>
        <v>77190783.694956988</v>
      </c>
      <c r="S53" s="32">
        <f t="shared" si="20"/>
        <v>65.072943092766309</v>
      </c>
      <c r="T53" s="31">
        <f t="shared" si="28"/>
        <v>1275987.40625</v>
      </c>
      <c r="U53" s="39">
        <v>217646</v>
      </c>
      <c r="V53" s="37">
        <f t="shared" si="21"/>
        <v>18.247265625000001</v>
      </c>
    </row>
    <row r="54" spans="1:22">
      <c r="A54" s="21">
        <v>26000</v>
      </c>
      <c r="B54" s="21">
        <v>145000</v>
      </c>
      <c r="C54" s="47">
        <v>1300000</v>
      </c>
      <c r="D54" s="13">
        <v>43101</v>
      </c>
      <c r="E54" s="16">
        <f t="shared" ref="E54:E65" si="29">N53</f>
        <v>1249987.40625</v>
      </c>
      <c r="F54" s="16">
        <f t="shared" ref="F54:F65" si="30">O53</f>
        <v>75338491.513987675</v>
      </c>
      <c r="G54" s="14">
        <f t="shared" ref="G54:G65" si="31">P53</f>
        <v>60.271400445549631</v>
      </c>
      <c r="H54" s="46">
        <f t="shared" si="24"/>
        <v>0</v>
      </c>
      <c r="I54" s="23">
        <f t="shared" ref="I54:I65" si="32">H54*J54</f>
        <v>0</v>
      </c>
      <c r="J54" s="22">
        <f>VLOOKUP(D54,Data!$A$5:$V$197,6,FALSE)*6.4</f>
        <v>49.601845200000007</v>
      </c>
      <c r="K54" s="71">
        <f>VLOOKUP(D54,Data!$A$5:$V$197,11,FALSE)</f>
        <v>633.59375</v>
      </c>
      <c r="L54" s="48">
        <f t="shared" si="17"/>
        <v>38187.582626047464</v>
      </c>
      <c r="M54" s="14">
        <f t="shared" ref="M54:M65" si="33">IF(K54=0,0,L54/K54)</f>
        <v>60.271400445549638</v>
      </c>
      <c r="N54" s="15">
        <f t="shared" ref="N54:N65" si="34">+E54+H54-K54</f>
        <v>1249353.8125</v>
      </c>
      <c r="O54" s="15">
        <f t="shared" ref="O54:O65" si="35">+F54+I54-L54</f>
        <v>75300303.931361631</v>
      </c>
      <c r="P54" s="22">
        <f t="shared" ref="P54:P65" si="36">IF(N54=0,0,O54/N54)</f>
        <v>60.271400445549631</v>
      </c>
      <c r="Q54" s="31">
        <f t="shared" ref="Q54:Q65" si="37">AVERAGE(N42:N54)</f>
        <v>1201099.5576923077</v>
      </c>
      <c r="R54" s="31">
        <f t="shared" ref="R54:R65" si="38">AVERAGE(O42:O54)</f>
        <v>77102134.227266461</v>
      </c>
      <c r="S54" s="32">
        <f t="shared" ref="S54:S65" si="39">IF(Q54=0,0,R54/Q54)</f>
        <v>64.192958638169884</v>
      </c>
      <c r="T54" s="31">
        <f t="shared" si="28"/>
        <v>1275353.8125</v>
      </c>
      <c r="U54" s="39">
        <v>217646</v>
      </c>
      <c r="V54" s="37">
        <f t="shared" si="21"/>
        <v>18.236341594827586</v>
      </c>
    </row>
    <row r="55" spans="1:22">
      <c r="A55" s="21">
        <v>26000</v>
      </c>
      <c r="B55" s="21">
        <v>145000</v>
      </c>
      <c r="C55" s="47">
        <v>1300000</v>
      </c>
      <c r="D55" s="13">
        <v>43132</v>
      </c>
      <c r="E55" s="16">
        <f t="shared" si="29"/>
        <v>1249353.8125</v>
      </c>
      <c r="F55" s="16">
        <f t="shared" si="30"/>
        <v>75300303.931361631</v>
      </c>
      <c r="G55" s="14">
        <f t="shared" si="31"/>
        <v>60.271400445549631</v>
      </c>
      <c r="H55" s="46">
        <f t="shared" si="24"/>
        <v>0</v>
      </c>
      <c r="I55" s="23">
        <f t="shared" si="32"/>
        <v>0</v>
      </c>
      <c r="J55" s="22">
        <f>VLOOKUP(D55,Data!$A$5:$V$197,6,FALSE)*6.4</f>
        <v>49.881845200000008</v>
      </c>
      <c r="K55" s="71">
        <f>VLOOKUP(D55,Data!$A$5:$V$197,11,FALSE)</f>
        <v>35110.15625</v>
      </c>
      <c r="L55" s="48">
        <f t="shared" si="17"/>
        <v>2116138.2870495673</v>
      </c>
      <c r="M55" s="14">
        <f t="shared" si="33"/>
        <v>60.271400445549638</v>
      </c>
      <c r="N55" s="15">
        <f t="shared" si="34"/>
        <v>1214243.65625</v>
      </c>
      <c r="O55" s="15">
        <f t="shared" si="35"/>
        <v>73184165.644312069</v>
      </c>
      <c r="P55" s="22">
        <f t="shared" si="36"/>
        <v>60.271400445549638</v>
      </c>
      <c r="Q55" s="31">
        <f t="shared" si="37"/>
        <v>1202638.4759615385</v>
      </c>
      <c r="R55" s="31">
        <f t="shared" si="38"/>
        <v>76374802.094111264</v>
      </c>
      <c r="S55" s="32">
        <f t="shared" si="39"/>
        <v>63.506035787727285</v>
      </c>
      <c r="T55" s="31">
        <f t="shared" si="28"/>
        <v>1240243.65625</v>
      </c>
      <c r="U55" s="39">
        <v>217646</v>
      </c>
      <c r="V55" s="37">
        <f t="shared" si="21"/>
        <v>17.630994073275861</v>
      </c>
    </row>
    <row r="56" spans="1:22">
      <c r="A56" s="21">
        <v>26000</v>
      </c>
      <c r="B56" s="21">
        <v>145000</v>
      </c>
      <c r="C56" s="47">
        <v>1300000</v>
      </c>
      <c r="D56" s="13">
        <v>43160</v>
      </c>
      <c r="E56" s="16">
        <f t="shared" si="29"/>
        <v>1214243.65625</v>
      </c>
      <c r="F56" s="16">
        <f t="shared" si="30"/>
        <v>73184165.644312069</v>
      </c>
      <c r="G56" s="14">
        <f t="shared" si="31"/>
        <v>60.271400445549638</v>
      </c>
      <c r="H56" s="46">
        <f t="shared" si="24"/>
        <v>0</v>
      </c>
      <c r="I56" s="23">
        <f t="shared" si="32"/>
        <v>0</v>
      </c>
      <c r="J56" s="22">
        <f>VLOOKUP(D56,Data!$A$5:$V$197,6,FALSE)*6.4</f>
        <v>50.191845200000003</v>
      </c>
      <c r="K56" s="71">
        <f>VLOOKUP(D56,Data!$A$5:$V$197,11,FALSE)</f>
        <v>18983.4375</v>
      </c>
      <c r="L56" s="48">
        <f t="shared" si="17"/>
        <v>1144158.3633955638</v>
      </c>
      <c r="M56" s="14">
        <f t="shared" si="33"/>
        <v>60.271400445549645</v>
      </c>
      <c r="N56" s="15">
        <f t="shared" si="34"/>
        <v>1195260.21875</v>
      </c>
      <c r="O56" s="15">
        <f t="shared" si="35"/>
        <v>72040007.280916512</v>
      </c>
      <c r="P56" s="22">
        <f t="shared" si="36"/>
        <v>60.271400445549645</v>
      </c>
      <c r="Q56" s="31">
        <f t="shared" si="37"/>
        <v>1202943.9326923077</v>
      </c>
      <c r="R56" s="31">
        <f t="shared" si="38"/>
        <v>75575152.203238323</v>
      </c>
      <c r="S56" s="32">
        <f t="shared" si="39"/>
        <v>62.82516595274199</v>
      </c>
      <c r="T56" s="31">
        <f t="shared" si="28"/>
        <v>1221260.21875</v>
      </c>
      <c r="U56" s="39">
        <v>217646</v>
      </c>
      <c r="V56" s="37">
        <f t="shared" si="21"/>
        <v>17.303693426724138</v>
      </c>
    </row>
    <row r="57" spans="1:22">
      <c r="A57" s="21">
        <v>26000</v>
      </c>
      <c r="B57" s="21">
        <v>145000</v>
      </c>
      <c r="C57" s="47">
        <v>1300000</v>
      </c>
      <c r="D57" s="13">
        <v>43191</v>
      </c>
      <c r="E57" s="16">
        <f t="shared" si="29"/>
        <v>1195260.21875</v>
      </c>
      <c r="F57" s="16">
        <f t="shared" si="30"/>
        <v>72040007.280916512</v>
      </c>
      <c r="G57" s="14">
        <f t="shared" si="31"/>
        <v>60.271400445549645</v>
      </c>
      <c r="H57" s="46">
        <f t="shared" si="24"/>
        <v>0</v>
      </c>
      <c r="I57" s="23">
        <f t="shared" si="32"/>
        <v>0</v>
      </c>
      <c r="J57" s="22">
        <f>VLOOKUP(D57,Data!$A$5:$V$197,6,FALSE)*6.4</f>
        <v>50.531845200000006</v>
      </c>
      <c r="K57" s="71">
        <f>VLOOKUP(D57,Data!$A$5:$V$197,11,FALSE)</f>
        <v>34345.625</v>
      </c>
      <c r="L57" s="48">
        <f t="shared" si="17"/>
        <v>2070058.917927681</v>
      </c>
      <c r="M57" s="14">
        <f t="shared" si="33"/>
        <v>60.271400445549645</v>
      </c>
      <c r="N57" s="15">
        <f t="shared" si="34"/>
        <v>1160914.59375</v>
      </c>
      <c r="O57" s="15">
        <f t="shared" si="35"/>
        <v>69969948.36298883</v>
      </c>
      <c r="P57" s="22">
        <f t="shared" si="36"/>
        <v>60.271400445549638</v>
      </c>
      <c r="Q57" s="31">
        <f t="shared" si="37"/>
        <v>1205291.1682692308</v>
      </c>
      <c r="R57" s="31">
        <f t="shared" si="38"/>
        <v>74940375.581819564</v>
      </c>
      <c r="S57" s="32">
        <f t="shared" si="39"/>
        <v>62.176159217554172</v>
      </c>
      <c r="T57" s="31">
        <f t="shared" si="28"/>
        <v>1186914.59375</v>
      </c>
      <c r="U57" s="39">
        <v>217646</v>
      </c>
      <c r="V57" s="37">
        <f t="shared" si="21"/>
        <v>16.711527478448275</v>
      </c>
    </row>
    <row r="58" spans="1:22">
      <c r="A58" s="21">
        <v>26000</v>
      </c>
      <c r="B58" s="21">
        <v>145000</v>
      </c>
      <c r="C58" s="47">
        <v>1300000</v>
      </c>
      <c r="D58" s="13">
        <v>43221</v>
      </c>
      <c r="E58" s="16">
        <f t="shared" si="29"/>
        <v>1160914.59375</v>
      </c>
      <c r="F58" s="16">
        <f t="shared" si="30"/>
        <v>69969948.36298883</v>
      </c>
      <c r="G58" s="14">
        <f t="shared" si="31"/>
        <v>60.271400445549638</v>
      </c>
      <c r="H58" s="46">
        <f t="shared" si="24"/>
        <v>145000</v>
      </c>
      <c r="I58" s="23">
        <f t="shared" si="32"/>
        <v>7407515.2694686558</v>
      </c>
      <c r="J58" s="22">
        <f>VLOOKUP(D58,Data!$A$5:$V$197,6,FALSE)*6.4</f>
        <v>51.086312203232112</v>
      </c>
      <c r="K58" s="71">
        <f>VLOOKUP(D58,Data!$A$5:$V$197,11,FALSE)</f>
        <v>38267.96875</v>
      </c>
      <c r="L58" s="48">
        <f t="shared" si="17"/>
        <v>2267436.4574931795</v>
      </c>
      <c r="M58" s="14">
        <f t="shared" si="33"/>
        <v>59.25154983547904</v>
      </c>
      <c r="N58" s="15">
        <f t="shared" si="34"/>
        <v>1267646.625</v>
      </c>
      <c r="O58" s="15">
        <f t="shared" si="35"/>
        <v>75110027.174964294</v>
      </c>
      <c r="P58" s="22">
        <f t="shared" si="36"/>
        <v>59.251549835479025</v>
      </c>
      <c r="Q58" s="31">
        <f t="shared" si="37"/>
        <v>1209236.7451923077</v>
      </c>
      <c r="R58" s="31">
        <f t="shared" si="38"/>
        <v>74477450.663184375</v>
      </c>
      <c r="S58" s="32">
        <f t="shared" si="39"/>
        <v>61.590462710707698</v>
      </c>
      <c r="T58" s="31">
        <f t="shared" si="28"/>
        <v>1293646.625</v>
      </c>
      <c r="U58" s="39">
        <v>217646</v>
      </c>
      <c r="V58" s="37">
        <f t="shared" si="21"/>
        <v>18.551734913793105</v>
      </c>
    </row>
    <row r="59" spans="1:22">
      <c r="A59" s="21">
        <v>26000</v>
      </c>
      <c r="B59" s="21">
        <v>145000</v>
      </c>
      <c r="C59" s="47">
        <v>1300000</v>
      </c>
      <c r="D59" s="13">
        <v>43252</v>
      </c>
      <c r="E59" s="16">
        <f t="shared" si="29"/>
        <v>1267646.625</v>
      </c>
      <c r="F59" s="16">
        <f t="shared" si="30"/>
        <v>75110027.174964294</v>
      </c>
      <c r="G59" s="14">
        <f t="shared" si="31"/>
        <v>59.251549835479025</v>
      </c>
      <c r="H59" s="46">
        <f t="shared" si="24"/>
        <v>0</v>
      </c>
      <c r="I59" s="23">
        <f t="shared" si="32"/>
        <v>0</v>
      </c>
      <c r="J59" s="22">
        <f>VLOOKUP(D59,Data!$A$5:$V$197,6,FALSE)*6.4</f>
        <v>51.556312203232125</v>
      </c>
      <c r="K59" s="71">
        <f>VLOOKUP(D59,Data!$A$5:$V$197,11,FALSE)</f>
        <v>26879.375</v>
      </c>
      <c r="L59" s="48">
        <f t="shared" si="17"/>
        <v>1592644.6273590291</v>
      </c>
      <c r="M59" s="14">
        <f t="shared" si="33"/>
        <v>59.251549835479032</v>
      </c>
      <c r="N59" s="15">
        <f t="shared" si="34"/>
        <v>1240767.25</v>
      </c>
      <c r="O59" s="15">
        <f t="shared" si="35"/>
        <v>73517382.547605261</v>
      </c>
      <c r="P59" s="22">
        <f t="shared" si="36"/>
        <v>59.251549835479025</v>
      </c>
      <c r="Q59" s="31">
        <f t="shared" si="37"/>
        <v>1215792.1778846155</v>
      </c>
      <c r="R59" s="31">
        <f t="shared" si="38"/>
        <v>74203993.22107698</v>
      </c>
      <c r="S59" s="32">
        <f t="shared" si="39"/>
        <v>61.033451745170957</v>
      </c>
      <c r="T59" s="31">
        <f t="shared" si="28"/>
        <v>1266767.25</v>
      </c>
      <c r="U59" s="39">
        <v>313834</v>
      </c>
      <c r="V59" s="37">
        <f t="shared" si="21"/>
        <v>16.429883620689655</v>
      </c>
    </row>
    <row r="60" spans="1:22">
      <c r="A60" s="21">
        <v>26000</v>
      </c>
      <c r="B60" s="21">
        <v>145000</v>
      </c>
      <c r="C60" s="47">
        <v>1300000</v>
      </c>
      <c r="D60" s="13">
        <v>43282</v>
      </c>
      <c r="E60" s="16">
        <f t="shared" si="29"/>
        <v>1240767.25</v>
      </c>
      <c r="F60" s="16">
        <f t="shared" si="30"/>
        <v>73517382.547605261</v>
      </c>
      <c r="G60" s="14">
        <f t="shared" si="31"/>
        <v>59.251549835479025</v>
      </c>
      <c r="H60" s="46">
        <f t="shared" si="24"/>
        <v>0</v>
      </c>
      <c r="I60" s="23">
        <f t="shared" si="32"/>
        <v>0</v>
      </c>
      <c r="J60" s="22">
        <f>VLOOKUP(D60,Data!$A$5:$V$197,6,FALSE)*6.4</f>
        <v>51.996312203232122</v>
      </c>
      <c r="K60" s="71">
        <f>VLOOKUP(D60,Data!$A$5:$V$197,11,FALSE)</f>
        <v>69322.1875</v>
      </c>
      <c r="L60" s="48">
        <f t="shared" si="17"/>
        <v>4107447.0473606712</v>
      </c>
      <c r="M60" s="14">
        <f t="shared" si="33"/>
        <v>59.251549835479025</v>
      </c>
      <c r="N60" s="15">
        <f t="shared" si="34"/>
        <v>1171445.0625</v>
      </c>
      <c r="O60" s="15">
        <f t="shared" si="35"/>
        <v>69409935.500244588</v>
      </c>
      <c r="P60" s="22">
        <f t="shared" si="36"/>
        <v>59.251549835479025</v>
      </c>
      <c r="Q60" s="31">
        <f t="shared" si="37"/>
        <v>1213120.4471153845</v>
      </c>
      <c r="R60" s="31">
        <f t="shared" si="38"/>
        <v>73545061.681697622</v>
      </c>
      <c r="S60" s="32">
        <f t="shared" si="39"/>
        <v>60.624698772967321</v>
      </c>
      <c r="T60" s="31">
        <f t="shared" si="28"/>
        <v>1197445.0625</v>
      </c>
      <c r="U60" s="39">
        <v>313834</v>
      </c>
      <c r="V60" s="37">
        <f t="shared" si="21"/>
        <v>15.23467349137931</v>
      </c>
    </row>
    <row r="61" spans="1:22">
      <c r="A61" s="21">
        <v>26000</v>
      </c>
      <c r="B61" s="21">
        <v>145000</v>
      </c>
      <c r="C61" s="47">
        <v>1300000</v>
      </c>
      <c r="D61" s="13">
        <v>43313</v>
      </c>
      <c r="E61" s="16">
        <f t="shared" si="29"/>
        <v>1171445.0625</v>
      </c>
      <c r="F61" s="16">
        <f t="shared" si="30"/>
        <v>69409935.500244588</v>
      </c>
      <c r="G61" s="14">
        <f t="shared" si="31"/>
        <v>59.251549835479025</v>
      </c>
      <c r="H61" s="46">
        <f t="shared" si="24"/>
        <v>145000</v>
      </c>
      <c r="I61" s="23">
        <f t="shared" si="32"/>
        <v>7604715.2694686595</v>
      </c>
      <c r="J61" s="22">
        <f>VLOOKUP(D61,Data!$A$5:$V$197,6,FALSE)*6.4</f>
        <v>52.446312203232132</v>
      </c>
      <c r="K61" s="71">
        <f>VLOOKUP(D61,Data!$A$5:$V$197,11,FALSE)</f>
        <v>45283.59375</v>
      </c>
      <c r="L61" s="48">
        <f t="shared" si="17"/>
        <v>2649180.1728747184</v>
      </c>
      <c r="M61" s="14">
        <f t="shared" si="33"/>
        <v>58.501986116654408</v>
      </c>
      <c r="N61" s="15">
        <f t="shared" si="34"/>
        <v>1271161.46875</v>
      </c>
      <c r="O61" s="15">
        <f t="shared" si="35"/>
        <v>74365470.596838534</v>
      </c>
      <c r="P61" s="22">
        <f t="shared" si="36"/>
        <v>58.501986116654415</v>
      </c>
      <c r="Q61" s="31">
        <f t="shared" si="37"/>
        <v>1215054.5336538462</v>
      </c>
      <c r="R61" s="31">
        <f t="shared" si="38"/>
        <v>73232138.393862948</v>
      </c>
      <c r="S61" s="32">
        <f t="shared" si="39"/>
        <v>60.270659765075088</v>
      </c>
      <c r="T61" s="31">
        <f t="shared" si="28"/>
        <v>1297161.46875</v>
      </c>
      <c r="U61" s="39">
        <v>313834</v>
      </c>
      <c r="V61" s="37">
        <f t="shared" si="21"/>
        <v>16.953921874999999</v>
      </c>
    </row>
    <row r="62" spans="1:22">
      <c r="A62" s="21">
        <v>26000</v>
      </c>
      <c r="B62" s="21">
        <v>145000</v>
      </c>
      <c r="C62" s="47">
        <v>1300000</v>
      </c>
      <c r="D62" s="13">
        <v>43344</v>
      </c>
      <c r="E62" s="16">
        <f t="shared" si="29"/>
        <v>1271161.46875</v>
      </c>
      <c r="F62" s="16">
        <f t="shared" si="30"/>
        <v>74365470.596838534</v>
      </c>
      <c r="G62" s="14">
        <f t="shared" si="31"/>
        <v>58.501986116654415</v>
      </c>
      <c r="H62" s="46">
        <f t="shared" si="24"/>
        <v>0</v>
      </c>
      <c r="I62" s="23">
        <f t="shared" si="32"/>
        <v>0</v>
      </c>
      <c r="J62" s="22">
        <f>VLOOKUP(D62,Data!$A$5:$V$197,6,FALSE)*6.4</f>
        <v>52.906312203232119</v>
      </c>
      <c r="K62" s="71">
        <f>VLOOKUP(D62,Data!$A$5:$V$197,11,FALSE)</f>
        <v>83554.6875</v>
      </c>
      <c r="L62" s="48">
        <f t="shared" si="17"/>
        <v>4888115.1681063985</v>
      </c>
      <c r="M62" s="14">
        <f t="shared" si="33"/>
        <v>58.501986116654422</v>
      </c>
      <c r="N62" s="15">
        <f t="shared" si="34"/>
        <v>1187606.78125</v>
      </c>
      <c r="O62" s="15">
        <f t="shared" si="35"/>
        <v>69477355.428732142</v>
      </c>
      <c r="P62" s="22">
        <f t="shared" si="36"/>
        <v>58.501986116654422</v>
      </c>
      <c r="Q62" s="31">
        <f t="shared" si="37"/>
        <v>1216823.4759615385</v>
      </c>
      <c r="R62" s="31">
        <f t="shared" si="38"/>
        <v>72937390.929654062</v>
      </c>
      <c r="S62" s="32">
        <f t="shared" si="39"/>
        <v>59.940815057022682</v>
      </c>
      <c r="T62" s="31">
        <f t="shared" si="28"/>
        <v>1213606.78125</v>
      </c>
      <c r="U62" s="39">
        <v>313834</v>
      </c>
      <c r="V62" s="37">
        <f t="shared" si="21"/>
        <v>15.513323814655173</v>
      </c>
    </row>
    <row r="63" spans="1:22">
      <c r="A63" s="21">
        <v>26000</v>
      </c>
      <c r="B63" s="21">
        <v>145000</v>
      </c>
      <c r="C63" s="47">
        <v>1300000</v>
      </c>
      <c r="D63" s="13">
        <v>43374</v>
      </c>
      <c r="E63" s="16">
        <f t="shared" si="29"/>
        <v>1187606.78125</v>
      </c>
      <c r="F63" s="16">
        <f t="shared" si="30"/>
        <v>69477355.428732142</v>
      </c>
      <c r="G63" s="14">
        <f t="shared" si="31"/>
        <v>58.501986116654422</v>
      </c>
      <c r="H63" s="46">
        <f t="shared" si="24"/>
        <v>145000</v>
      </c>
      <c r="I63" s="23">
        <f t="shared" si="32"/>
        <v>7724417.5540000014</v>
      </c>
      <c r="J63" s="22">
        <f>VLOOKUP(D63,Data!$A$5:$V$197,6,FALSE)*6.4</f>
        <v>53.271845200000008</v>
      </c>
      <c r="K63" s="71">
        <f>VLOOKUP(D63,Data!$A$5:$V$197,11,FALSE)</f>
        <v>97650.46875</v>
      </c>
      <c r="L63" s="48">
        <f t="shared" si="17"/>
        <v>5657174.6640996467</v>
      </c>
      <c r="M63" s="14">
        <f t="shared" si="33"/>
        <v>57.932898187953107</v>
      </c>
      <c r="N63" s="15">
        <f t="shared" si="34"/>
        <v>1234956.3125</v>
      </c>
      <c r="O63" s="15">
        <f t="shared" si="35"/>
        <v>71544598.318632498</v>
      </c>
      <c r="P63" s="22">
        <f t="shared" si="36"/>
        <v>57.932898187953107</v>
      </c>
      <c r="Q63" s="31">
        <f t="shared" si="37"/>
        <v>1218166.2524038462</v>
      </c>
      <c r="R63" s="31">
        <f t="shared" si="38"/>
        <v>72681828.410227045</v>
      </c>
      <c r="S63" s="32">
        <f t="shared" si="39"/>
        <v>59.664949892349817</v>
      </c>
      <c r="T63" s="31">
        <f t="shared" si="28"/>
        <v>1260956.3125</v>
      </c>
      <c r="U63" s="39">
        <v>313834</v>
      </c>
      <c r="V63" s="37">
        <f t="shared" si="21"/>
        <v>16.329695043103449</v>
      </c>
    </row>
    <row r="64" spans="1:22">
      <c r="A64" s="21">
        <v>26000</v>
      </c>
      <c r="B64" s="21">
        <v>145000</v>
      </c>
      <c r="C64" s="47">
        <v>1300000</v>
      </c>
      <c r="D64" s="13">
        <v>43405</v>
      </c>
      <c r="E64" s="16">
        <f t="shared" si="29"/>
        <v>1234956.3125</v>
      </c>
      <c r="F64" s="16">
        <f t="shared" si="30"/>
        <v>71544598.318632498</v>
      </c>
      <c r="G64" s="14">
        <f t="shared" si="31"/>
        <v>57.932898187953107</v>
      </c>
      <c r="H64" s="46">
        <f t="shared" si="24"/>
        <v>0</v>
      </c>
      <c r="I64" s="23">
        <f t="shared" si="32"/>
        <v>0</v>
      </c>
      <c r="J64" s="22">
        <f>VLOOKUP(D64,Data!$A$5:$V$197,6,FALSE)*6.4</f>
        <v>53.771845200000008</v>
      </c>
      <c r="K64" s="71">
        <f>VLOOKUP(D64,Data!$A$5:$V$197,11,FALSE)</f>
        <v>30479.0625</v>
      </c>
      <c r="L64" s="48">
        <f t="shared" si="17"/>
        <v>1765740.4246767594</v>
      </c>
      <c r="M64" s="14">
        <f t="shared" si="33"/>
        <v>57.932898187953107</v>
      </c>
      <c r="N64" s="15">
        <f t="shared" si="34"/>
        <v>1204477.25</v>
      </c>
      <c r="O64" s="15">
        <f t="shared" si="35"/>
        <v>69778857.893955737</v>
      </c>
      <c r="P64" s="22">
        <f t="shared" si="36"/>
        <v>57.932898187953107</v>
      </c>
      <c r="Q64" s="31">
        <f t="shared" si="37"/>
        <v>1223394.4975961538</v>
      </c>
      <c r="R64" s="31">
        <f t="shared" si="38"/>
        <v>72673537.586843744</v>
      </c>
      <c r="S64" s="32">
        <f t="shared" si="39"/>
        <v>59.403191472284604</v>
      </c>
      <c r="T64" s="31">
        <f t="shared" si="28"/>
        <v>1230477.25</v>
      </c>
      <c r="U64" s="39">
        <v>313834</v>
      </c>
      <c r="V64" s="37">
        <f t="shared" si="21"/>
        <v>15.804193965517241</v>
      </c>
    </row>
    <row r="65" spans="1:22">
      <c r="A65" s="21">
        <v>26000</v>
      </c>
      <c r="B65" s="21">
        <v>145000</v>
      </c>
      <c r="C65" s="47">
        <v>1300000</v>
      </c>
      <c r="D65" s="13">
        <v>43435</v>
      </c>
      <c r="E65" s="16">
        <f t="shared" si="29"/>
        <v>1204477.25</v>
      </c>
      <c r="F65" s="16">
        <f t="shared" si="30"/>
        <v>69778857.893955737</v>
      </c>
      <c r="G65" s="14">
        <f t="shared" si="31"/>
        <v>57.932898187953107</v>
      </c>
      <c r="H65" s="46">
        <f t="shared" si="24"/>
        <v>0</v>
      </c>
      <c r="I65" s="23">
        <f t="shared" si="32"/>
        <v>0</v>
      </c>
      <c r="J65" s="22">
        <f>VLOOKUP(D65,Data!$A$5:$V$197,6,FALSE)*6.4</f>
        <v>54.261845199999996</v>
      </c>
      <c r="K65" s="71">
        <f>VLOOKUP(D65,Data!$A$5:$V$197,11,FALSE)</f>
        <v>26451.5625</v>
      </c>
      <c r="L65" s="48">
        <f t="shared" si="17"/>
        <v>1532415.6772247783</v>
      </c>
      <c r="M65" s="14">
        <f t="shared" si="33"/>
        <v>57.932898187953107</v>
      </c>
      <c r="N65" s="15">
        <f t="shared" si="34"/>
        <v>1178025.6875</v>
      </c>
      <c r="O65" s="15">
        <f t="shared" si="35"/>
        <v>68246442.216730952</v>
      </c>
      <c r="P65" s="22">
        <f t="shared" si="36"/>
        <v>57.9328981879531</v>
      </c>
      <c r="Q65" s="31">
        <f t="shared" si="37"/>
        <v>1217372.7788461538</v>
      </c>
      <c r="R65" s="31">
        <f t="shared" si="38"/>
        <v>72098691.262405425</v>
      </c>
      <c r="S65" s="32">
        <f t="shared" si="39"/>
        <v>59.224826212018449</v>
      </c>
      <c r="T65" s="31">
        <f t="shared" si="28"/>
        <v>1204025.6875</v>
      </c>
      <c r="U65" s="39">
        <v>217646</v>
      </c>
      <c r="V65" s="37">
        <f t="shared" si="21"/>
        <v>17.006546336206895</v>
      </c>
    </row>
    <row r="66" spans="1:22">
      <c r="A66" s="47">
        <v>26000</v>
      </c>
      <c r="B66" s="47">
        <v>145000</v>
      </c>
      <c r="C66" s="47">
        <v>1300000</v>
      </c>
      <c r="D66" s="13">
        <v>43466</v>
      </c>
      <c r="E66" s="16">
        <f t="shared" ref="E66:E89" si="40">N65</f>
        <v>1178025.6875</v>
      </c>
      <c r="F66" s="16">
        <f t="shared" ref="F66:F89" si="41">O65</f>
        <v>68246442.216730952</v>
      </c>
      <c r="G66" s="14">
        <f t="shared" ref="G66:G89" si="42">P65</f>
        <v>57.9328981879531</v>
      </c>
      <c r="H66" s="46">
        <f t="shared" si="24"/>
        <v>0</v>
      </c>
      <c r="I66" s="74">
        <f t="shared" ref="I66:I89" si="43">H66*J66</f>
        <v>0</v>
      </c>
      <c r="J66" s="22">
        <f>VLOOKUP(D66,Data!$A$5:$V$197,6,FALSE)*6.4</f>
        <v>59.7771248039491</v>
      </c>
      <c r="K66" s="74">
        <f>VLOOKUP(D66,Data!$A$5:$V$197,11,FALSE)</f>
        <v>5438.90625</v>
      </c>
      <c r="L66" s="74">
        <f t="shared" ref="L66:L89" si="44">IF(E66+H66&gt;0,((F66+I66)/(E66+H66)*K66),0)</f>
        <v>315091.60203507182</v>
      </c>
      <c r="M66" s="14">
        <f t="shared" ref="M66:M89" si="45">IF(K66=0,0,L66/K66)</f>
        <v>57.932898187953107</v>
      </c>
      <c r="N66" s="46">
        <f t="shared" ref="N66:N89" si="46">+E66+H66-K66</f>
        <v>1172586.78125</v>
      </c>
      <c r="O66" s="46">
        <f t="shared" ref="O66:O89" si="47">+F66+I66-L66</f>
        <v>67931350.614695877</v>
      </c>
      <c r="P66" s="22">
        <f t="shared" ref="P66:P89" si="48">IF(N66=0,0,O66/N66)</f>
        <v>57.932898187953093</v>
      </c>
      <c r="Q66" s="55">
        <f t="shared" ref="Q66:Q89" si="49">AVERAGE(N54:N66)</f>
        <v>1211418.8846153845</v>
      </c>
      <c r="R66" s="55">
        <f t="shared" ref="R66:R89" si="50">AVERAGE(O54:O66)</f>
        <v>71528911.193229154</v>
      </c>
      <c r="S66" s="32">
        <f t="shared" ref="S66:S89" si="51">IF(Q66=0,0,R66/Q66)</f>
        <v>59.04556392641922</v>
      </c>
      <c r="T66" s="55">
        <f t="shared" si="28"/>
        <v>1198586.78125</v>
      </c>
      <c r="U66" s="39">
        <v>217647</v>
      </c>
      <c r="V66" s="37">
        <f t="shared" ref="V66:V89" si="52">(T66-U66)/58000</f>
        <v>16.912754849137929</v>
      </c>
    </row>
    <row r="67" spans="1:22">
      <c r="A67" s="47">
        <v>26000</v>
      </c>
      <c r="B67" s="47">
        <v>145000</v>
      </c>
      <c r="C67" s="47">
        <v>1300000</v>
      </c>
      <c r="D67" s="13">
        <v>43497</v>
      </c>
      <c r="E67" s="16">
        <f t="shared" si="40"/>
        <v>1172586.78125</v>
      </c>
      <c r="F67" s="16">
        <f t="shared" si="41"/>
        <v>67931350.614695877</v>
      </c>
      <c r="G67" s="14">
        <f t="shared" si="42"/>
        <v>57.932898187953093</v>
      </c>
      <c r="H67" s="46">
        <f t="shared" si="24"/>
        <v>0</v>
      </c>
      <c r="I67" s="74">
        <f t="shared" si="43"/>
        <v>0</v>
      </c>
      <c r="J67" s="22">
        <f>VLOOKUP(D67,Data!$A$5:$V$197,6,FALSE)*6.4</f>
        <v>60.958986101616148</v>
      </c>
      <c r="K67" s="74">
        <f>VLOOKUP(D67,Data!$A$5:$V$197,11,FALSE)</f>
        <v>0</v>
      </c>
      <c r="L67" s="74">
        <f t="shared" si="44"/>
        <v>0</v>
      </c>
      <c r="M67" s="14">
        <f t="shared" si="45"/>
        <v>0</v>
      </c>
      <c r="N67" s="46">
        <f t="shared" si="46"/>
        <v>1172586.78125</v>
      </c>
      <c r="O67" s="46">
        <f t="shared" si="47"/>
        <v>67931350.614695877</v>
      </c>
      <c r="P67" s="22">
        <f t="shared" si="48"/>
        <v>57.932898187953093</v>
      </c>
      <c r="Q67" s="55">
        <f t="shared" si="49"/>
        <v>1205513.7283653845</v>
      </c>
      <c r="R67" s="55">
        <f t="shared" si="50"/>
        <v>70962068.630408704</v>
      </c>
      <c r="S67" s="32">
        <f t="shared" si="51"/>
        <v>58.864587736076359</v>
      </c>
      <c r="T67" s="55">
        <f t="shared" si="28"/>
        <v>1198586.78125</v>
      </c>
      <c r="U67" s="39">
        <v>217648</v>
      </c>
      <c r="V67" s="37">
        <f t="shared" si="52"/>
        <v>16.912737607758622</v>
      </c>
    </row>
    <row r="68" spans="1:22">
      <c r="A68" s="47">
        <v>26000</v>
      </c>
      <c r="B68" s="47">
        <v>145000</v>
      </c>
      <c r="C68" s="47">
        <v>1300000</v>
      </c>
      <c r="D68" s="13">
        <v>43525</v>
      </c>
      <c r="E68" s="16">
        <f t="shared" si="40"/>
        <v>1172586.78125</v>
      </c>
      <c r="F68" s="16">
        <f t="shared" si="41"/>
        <v>67931350.614695877</v>
      </c>
      <c r="G68" s="14">
        <f t="shared" si="42"/>
        <v>57.932898187953093</v>
      </c>
      <c r="H68" s="46">
        <f t="shared" si="24"/>
        <v>0</v>
      </c>
      <c r="I68" s="74">
        <f t="shared" si="43"/>
        <v>0</v>
      </c>
      <c r="J68" s="22">
        <f>VLOOKUP(D68,Data!$A$5:$V$197,6,FALSE)*6.4</f>
        <v>64.062616677213612</v>
      </c>
      <c r="K68" s="74">
        <f>VLOOKUP(D68,Data!$A$5:$V$197,11,FALSE)</f>
        <v>7737.8125</v>
      </c>
      <c r="L68" s="74">
        <f t="shared" si="44"/>
        <v>448273.9037599708</v>
      </c>
      <c r="M68" s="14">
        <f t="shared" si="45"/>
        <v>57.932898187953093</v>
      </c>
      <c r="N68" s="46">
        <f t="shared" si="46"/>
        <v>1164848.96875</v>
      </c>
      <c r="O68" s="46">
        <f t="shared" si="47"/>
        <v>67483076.710935906</v>
      </c>
      <c r="P68" s="22">
        <f t="shared" si="48"/>
        <v>57.932898187953093</v>
      </c>
      <c r="Q68" s="55">
        <f t="shared" si="49"/>
        <v>1201714.1370192308</v>
      </c>
      <c r="R68" s="55">
        <f t="shared" si="50"/>
        <v>70523523.327841312</v>
      </c>
      <c r="S68" s="32">
        <f t="shared" si="51"/>
        <v>58.685773226210067</v>
      </c>
      <c r="T68" s="55">
        <f t="shared" si="28"/>
        <v>1190848.96875</v>
      </c>
      <c r="U68" s="39">
        <v>217649</v>
      </c>
      <c r="V68" s="37">
        <f t="shared" si="52"/>
        <v>16.779309806034483</v>
      </c>
    </row>
    <row r="69" spans="1:22">
      <c r="A69" s="47">
        <v>26000</v>
      </c>
      <c r="B69" s="47">
        <v>145000</v>
      </c>
      <c r="C69" s="47">
        <v>1300000</v>
      </c>
      <c r="D69" s="13">
        <v>43556</v>
      </c>
      <c r="E69" s="16">
        <f t="shared" si="40"/>
        <v>1164848.96875</v>
      </c>
      <c r="F69" s="16">
        <f t="shared" si="41"/>
        <v>67483076.710935906</v>
      </c>
      <c r="G69" s="14">
        <f t="shared" si="42"/>
        <v>57.932898187953093</v>
      </c>
      <c r="H69" s="46">
        <f t="shared" si="24"/>
        <v>145000</v>
      </c>
      <c r="I69" s="74">
        <f t="shared" si="43"/>
        <v>9608829.1965612397</v>
      </c>
      <c r="J69" s="22">
        <f>VLOOKUP(D69,Data!$A$5:$V$197,6,FALSE)*6.4</f>
        <v>66.267787562491307</v>
      </c>
      <c r="K69" s="74">
        <f>VLOOKUP(D69,Data!$A$5:$V$197,11,FALSE)</f>
        <v>42874.0625</v>
      </c>
      <c r="L69" s="74">
        <f t="shared" si="44"/>
        <v>2523377.3289727997</v>
      </c>
      <c r="M69" s="14">
        <f t="shared" si="45"/>
        <v>58.855568654656871</v>
      </c>
      <c r="N69" s="46">
        <f t="shared" si="46"/>
        <v>1266974.90625</v>
      </c>
      <c r="O69" s="46">
        <f t="shared" si="47"/>
        <v>74568528.578524336</v>
      </c>
      <c r="P69" s="22">
        <f t="shared" si="48"/>
        <v>58.855568654656878</v>
      </c>
      <c r="Q69" s="55">
        <f t="shared" si="49"/>
        <v>1207230.6514423077</v>
      </c>
      <c r="R69" s="55">
        <f t="shared" si="50"/>
        <v>70718024.966118842</v>
      </c>
      <c r="S69" s="32">
        <f t="shared" si="51"/>
        <v>58.578718889907492</v>
      </c>
      <c r="T69" s="55">
        <f t="shared" si="28"/>
        <v>1292974.90625</v>
      </c>
      <c r="U69" s="39">
        <v>217650</v>
      </c>
      <c r="V69" s="37">
        <f t="shared" si="52"/>
        <v>18.540084590517242</v>
      </c>
    </row>
    <row r="70" spans="1:22">
      <c r="A70" s="47">
        <v>26000</v>
      </c>
      <c r="B70" s="47">
        <v>145000</v>
      </c>
      <c r="C70" s="47">
        <v>1300000</v>
      </c>
      <c r="D70" s="13">
        <v>43586</v>
      </c>
      <c r="E70" s="16">
        <f t="shared" si="40"/>
        <v>1266974.90625</v>
      </c>
      <c r="F70" s="16">
        <f t="shared" si="41"/>
        <v>74568528.578524336</v>
      </c>
      <c r="G70" s="14">
        <f t="shared" si="42"/>
        <v>58.855568654656878</v>
      </c>
      <c r="H70" s="46">
        <f t="shared" si="24"/>
        <v>0</v>
      </c>
      <c r="I70" s="74">
        <f t="shared" si="43"/>
        <v>0</v>
      </c>
      <c r="J70" s="22">
        <f>VLOOKUP(D70,Data!$A$5:$V$197,6,FALSE)*6.4</f>
        <v>67.719561126058053</v>
      </c>
      <c r="K70" s="74">
        <f>VLOOKUP(D70,Data!$A$5:$V$197,11,FALSE)</f>
        <v>95651.40625</v>
      </c>
      <c r="L70" s="74">
        <f t="shared" si="44"/>
        <v>5629617.9074613508</v>
      </c>
      <c r="M70" s="14">
        <f t="shared" si="45"/>
        <v>58.855568654656878</v>
      </c>
      <c r="N70" s="46">
        <f t="shared" si="46"/>
        <v>1171323.5</v>
      </c>
      <c r="O70" s="46">
        <f t="shared" si="47"/>
        <v>68938910.671062991</v>
      </c>
      <c r="P70" s="22">
        <f t="shared" si="48"/>
        <v>58.855568654656885</v>
      </c>
      <c r="Q70" s="55">
        <f t="shared" si="49"/>
        <v>1208031.3365384615</v>
      </c>
      <c r="R70" s="55">
        <f t="shared" si="50"/>
        <v>70638714.374432236</v>
      </c>
      <c r="S70" s="32">
        <f t="shared" si="51"/>
        <v>58.474240061390354</v>
      </c>
      <c r="T70" s="55">
        <f t="shared" si="28"/>
        <v>1197323.5</v>
      </c>
      <c r="U70" s="39">
        <v>217651</v>
      </c>
      <c r="V70" s="37">
        <f t="shared" si="52"/>
        <v>16.890905172413792</v>
      </c>
    </row>
    <row r="71" spans="1:22">
      <c r="A71" s="47">
        <v>26000</v>
      </c>
      <c r="B71" s="47">
        <v>145000</v>
      </c>
      <c r="C71" s="47">
        <v>1300000</v>
      </c>
      <c r="D71" s="13">
        <v>43617</v>
      </c>
      <c r="E71" s="16">
        <f t="shared" si="40"/>
        <v>1171323.5</v>
      </c>
      <c r="F71" s="16">
        <f t="shared" si="41"/>
        <v>68938910.671062991</v>
      </c>
      <c r="G71" s="14">
        <f t="shared" si="42"/>
        <v>58.855568654656885</v>
      </c>
      <c r="H71" s="46">
        <f t="shared" si="24"/>
        <v>0</v>
      </c>
      <c r="I71" s="74">
        <f t="shared" si="43"/>
        <v>0</v>
      </c>
      <c r="J71" s="22">
        <f>VLOOKUP(D71,Data!$A$5:$V$197,6,FALSE)*6.4</f>
        <v>67.901857295108428</v>
      </c>
      <c r="K71" s="74">
        <f>VLOOKUP(D71,Data!$A$5:$V$197,11,FALSE)</f>
        <v>34117.1875</v>
      </c>
      <c r="L71" s="74">
        <f t="shared" si="44"/>
        <v>2007986.4712100518</v>
      </c>
      <c r="M71" s="14">
        <f t="shared" si="45"/>
        <v>58.855568654656885</v>
      </c>
      <c r="N71" s="46">
        <f t="shared" si="46"/>
        <v>1137206.3125</v>
      </c>
      <c r="O71" s="46">
        <f t="shared" si="47"/>
        <v>66930924.199852936</v>
      </c>
      <c r="P71" s="22">
        <f t="shared" si="48"/>
        <v>58.855568654656878</v>
      </c>
      <c r="Q71" s="55">
        <f t="shared" si="49"/>
        <v>1197997.4663461538</v>
      </c>
      <c r="R71" s="55">
        <f t="shared" si="50"/>
        <v>70009552.607115969</v>
      </c>
      <c r="S71" s="32">
        <f t="shared" si="51"/>
        <v>58.438815251122705</v>
      </c>
      <c r="T71" s="55">
        <f t="shared" si="28"/>
        <v>1163206.3125</v>
      </c>
      <c r="U71" s="39">
        <v>217652</v>
      </c>
      <c r="V71" s="37">
        <f t="shared" si="52"/>
        <v>16.302660560344826</v>
      </c>
    </row>
    <row r="72" spans="1:22">
      <c r="A72" s="47">
        <v>26000</v>
      </c>
      <c r="B72" s="47">
        <v>145000</v>
      </c>
      <c r="C72" s="47">
        <v>1300000</v>
      </c>
      <c r="D72" s="13">
        <v>43647</v>
      </c>
      <c r="E72" s="16">
        <f t="shared" si="40"/>
        <v>1137206.3125</v>
      </c>
      <c r="F72" s="16">
        <f t="shared" si="41"/>
        <v>66930924.199852936</v>
      </c>
      <c r="G72" s="14">
        <f t="shared" si="42"/>
        <v>58.855568654656878</v>
      </c>
      <c r="H72" s="46">
        <f t="shared" si="24"/>
        <v>145000</v>
      </c>
      <c r="I72" s="74">
        <f t="shared" si="43"/>
        <v>9843103.8007810805</v>
      </c>
      <c r="J72" s="22">
        <f>VLOOKUP(D72,Data!$A$5:$V$197,6,FALSE)*6.4</f>
        <v>67.883474488145382</v>
      </c>
      <c r="K72" s="74">
        <f>VLOOKUP(D72,Data!$A$5:$V$197,11,FALSE)</f>
        <v>55417.1875</v>
      </c>
      <c r="L72" s="74">
        <f t="shared" si="44"/>
        <v>3318187.3021245054</v>
      </c>
      <c r="M72" s="14">
        <f t="shared" si="45"/>
        <v>59.876501349414482</v>
      </c>
      <c r="N72" s="46">
        <f t="shared" si="46"/>
        <v>1226789.125</v>
      </c>
      <c r="O72" s="46">
        <f t="shared" si="47"/>
        <v>73455840.698509514</v>
      </c>
      <c r="P72" s="22">
        <f t="shared" si="48"/>
        <v>59.876501349414482</v>
      </c>
      <c r="Q72" s="55">
        <f t="shared" si="49"/>
        <v>1196922.2259615385</v>
      </c>
      <c r="R72" s="55">
        <f t="shared" si="50"/>
        <v>70004818.618724003</v>
      </c>
      <c r="S72" s="32">
        <f t="shared" si="51"/>
        <v>58.487357908728079</v>
      </c>
      <c r="T72" s="55">
        <f t="shared" si="28"/>
        <v>1252789.125</v>
      </c>
      <c r="U72" s="39">
        <v>217653</v>
      </c>
      <c r="V72" s="37">
        <f t="shared" si="52"/>
        <v>17.847174568965517</v>
      </c>
    </row>
    <row r="73" spans="1:22">
      <c r="A73" s="47">
        <v>26000</v>
      </c>
      <c r="B73" s="47">
        <v>145000</v>
      </c>
      <c r="C73" s="47">
        <v>1300000</v>
      </c>
      <c r="D73" s="13">
        <v>43678</v>
      </c>
      <c r="E73" s="16">
        <f t="shared" si="40"/>
        <v>1226789.125</v>
      </c>
      <c r="F73" s="16">
        <f t="shared" si="41"/>
        <v>73455840.698509514</v>
      </c>
      <c r="G73" s="14">
        <f t="shared" si="42"/>
        <v>59.876501349414482</v>
      </c>
      <c r="H73" s="46">
        <f t="shared" si="24"/>
        <v>0</v>
      </c>
      <c r="I73" s="74">
        <f t="shared" si="43"/>
        <v>0</v>
      </c>
      <c r="J73" s="22">
        <f>VLOOKUP(D73,Data!$A$5:$V$197,6,FALSE)*6.4</f>
        <v>69.266780712116017</v>
      </c>
      <c r="K73" s="74">
        <f>VLOOKUP(D73,Data!$A$5:$V$197,11,FALSE)</f>
        <v>69825.46875</v>
      </c>
      <c r="L73" s="74">
        <f t="shared" si="44"/>
        <v>4180904.7738328739</v>
      </c>
      <c r="M73" s="14">
        <f t="shared" si="45"/>
        <v>59.876501349414482</v>
      </c>
      <c r="N73" s="46">
        <f t="shared" si="46"/>
        <v>1156963.65625</v>
      </c>
      <c r="O73" s="46">
        <f t="shared" si="47"/>
        <v>69274935.924676642</v>
      </c>
      <c r="P73" s="22">
        <f t="shared" si="48"/>
        <v>59.876501349414482</v>
      </c>
      <c r="Q73" s="55">
        <f t="shared" si="49"/>
        <v>1195808.2716346155</v>
      </c>
      <c r="R73" s="55">
        <f t="shared" si="50"/>
        <v>69994434.035988003</v>
      </c>
      <c r="S73" s="32">
        <f t="shared" si="51"/>
        <v>58.533157610884224</v>
      </c>
      <c r="T73" s="55">
        <f t="shared" si="28"/>
        <v>1182963.65625</v>
      </c>
      <c r="U73" s="39">
        <v>217654</v>
      </c>
      <c r="V73" s="37">
        <f t="shared" si="52"/>
        <v>16.643269935344829</v>
      </c>
    </row>
    <row r="74" spans="1:22">
      <c r="A74" s="47">
        <v>26000</v>
      </c>
      <c r="B74" s="47">
        <v>145000</v>
      </c>
      <c r="C74" s="47">
        <v>1300000</v>
      </c>
      <c r="D74" s="13">
        <v>43709</v>
      </c>
      <c r="E74" s="16">
        <f t="shared" si="40"/>
        <v>1156963.65625</v>
      </c>
      <c r="F74" s="16">
        <f t="shared" si="41"/>
        <v>69274935.924676642</v>
      </c>
      <c r="G74" s="14">
        <f t="shared" si="42"/>
        <v>59.876501349414482</v>
      </c>
      <c r="H74" s="46">
        <f t="shared" si="24"/>
        <v>145000</v>
      </c>
      <c r="I74" s="74">
        <f t="shared" si="43"/>
        <v>9701831.9292699266</v>
      </c>
      <c r="J74" s="22">
        <f>VLOOKUP(D74,Data!$A$5:$V$197,6,FALSE)*6.4</f>
        <v>66.909185719102936</v>
      </c>
      <c r="K74" s="74">
        <f>VLOOKUP(D74,Data!$A$5:$V$197,11,FALSE)</f>
        <v>92018.75</v>
      </c>
      <c r="L74" s="74">
        <f t="shared" si="44"/>
        <v>5581832.812362995</v>
      </c>
      <c r="M74" s="14">
        <f t="shared" si="45"/>
        <v>60.65973306921682</v>
      </c>
      <c r="N74" s="46">
        <f t="shared" si="46"/>
        <v>1209944.90625</v>
      </c>
      <c r="O74" s="46">
        <f t="shared" si="47"/>
        <v>73394935.041583568</v>
      </c>
      <c r="P74" s="22">
        <f t="shared" si="48"/>
        <v>60.65973306921682</v>
      </c>
      <c r="Q74" s="55">
        <f t="shared" si="49"/>
        <v>1191099.3052884615</v>
      </c>
      <c r="R74" s="55">
        <f t="shared" si="50"/>
        <v>69919777.454814523</v>
      </c>
      <c r="S74" s="32">
        <f t="shared" si="51"/>
        <v>58.701887528917069</v>
      </c>
      <c r="T74" s="55">
        <f t="shared" si="28"/>
        <v>1235944.90625</v>
      </c>
      <c r="U74" s="39">
        <v>217655</v>
      </c>
      <c r="V74" s="37">
        <f t="shared" si="52"/>
        <v>17.556722521551723</v>
      </c>
    </row>
    <row r="75" spans="1:22">
      <c r="A75" s="47">
        <v>26000</v>
      </c>
      <c r="B75" s="47">
        <v>145000</v>
      </c>
      <c r="C75" s="47">
        <v>1300000</v>
      </c>
      <c r="D75" s="13">
        <v>43739</v>
      </c>
      <c r="E75" s="16">
        <f t="shared" si="40"/>
        <v>1209944.90625</v>
      </c>
      <c r="F75" s="16">
        <f t="shared" si="41"/>
        <v>73394935.041583568</v>
      </c>
      <c r="G75" s="14">
        <f t="shared" si="42"/>
        <v>60.65973306921682</v>
      </c>
      <c r="H75" s="46">
        <f t="shared" si="24"/>
        <v>0</v>
      </c>
      <c r="I75" s="74">
        <f t="shared" si="43"/>
        <v>0</v>
      </c>
      <c r="J75" s="22">
        <f>VLOOKUP(D75,Data!$A$5:$V$197,6,FALSE)*6.4</f>
        <v>64.917417200996141</v>
      </c>
      <c r="K75" s="74">
        <f>VLOOKUP(D75,Data!$A$5:$V$197,11,FALSE)</f>
        <v>67842.1875</v>
      </c>
      <c r="L75" s="74">
        <f t="shared" si="44"/>
        <v>4115288.9845817578</v>
      </c>
      <c r="M75" s="14">
        <f t="shared" si="45"/>
        <v>60.65973306921682</v>
      </c>
      <c r="N75" s="46">
        <f t="shared" si="46"/>
        <v>1142102.71875</v>
      </c>
      <c r="O75" s="46">
        <f t="shared" si="47"/>
        <v>69279646.057001814</v>
      </c>
      <c r="P75" s="22">
        <f t="shared" si="48"/>
        <v>60.65973306921682</v>
      </c>
      <c r="Q75" s="55">
        <f t="shared" si="49"/>
        <v>1187598.9927884615</v>
      </c>
      <c r="R75" s="55">
        <f t="shared" si="50"/>
        <v>69904569.041604519</v>
      </c>
      <c r="S75" s="32">
        <f t="shared" si="51"/>
        <v>58.86209862595944</v>
      </c>
      <c r="T75" s="55">
        <f t="shared" si="28"/>
        <v>1168102.71875</v>
      </c>
      <c r="U75" s="39">
        <v>217656</v>
      </c>
      <c r="V75" s="37">
        <f t="shared" si="52"/>
        <v>16.387012392241381</v>
      </c>
    </row>
    <row r="76" spans="1:22">
      <c r="A76" s="47">
        <v>26000</v>
      </c>
      <c r="B76" s="47">
        <v>145000</v>
      </c>
      <c r="C76" s="47">
        <v>1300000</v>
      </c>
      <c r="D76" s="13">
        <v>43770</v>
      </c>
      <c r="E76" s="16">
        <f t="shared" si="40"/>
        <v>1142102.71875</v>
      </c>
      <c r="F76" s="16">
        <f t="shared" si="41"/>
        <v>69279646.057001814</v>
      </c>
      <c r="G76" s="14">
        <f t="shared" si="42"/>
        <v>60.65973306921682</v>
      </c>
      <c r="H76" s="46">
        <f t="shared" si="24"/>
        <v>0</v>
      </c>
      <c r="I76" s="74">
        <f t="shared" si="43"/>
        <v>0</v>
      </c>
      <c r="J76" s="22">
        <f>VLOOKUP(D76,Data!$A$5:$V$197,6,FALSE)*6.4</f>
        <v>63.701854090563465</v>
      </c>
      <c r="K76" s="74">
        <f>VLOOKUP(D76,Data!$A$5:$V$197,11,FALSE)</f>
        <v>8708.90625</v>
      </c>
      <c r="L76" s="74">
        <f t="shared" si="44"/>
        <v>528279.928449834</v>
      </c>
      <c r="M76" s="14">
        <f t="shared" si="45"/>
        <v>60.659733069216813</v>
      </c>
      <c r="N76" s="46">
        <f t="shared" si="46"/>
        <v>1133393.8125</v>
      </c>
      <c r="O76" s="46">
        <f t="shared" si="47"/>
        <v>68751366.128551975</v>
      </c>
      <c r="P76" s="22">
        <f t="shared" si="48"/>
        <v>60.65973306921682</v>
      </c>
      <c r="Q76" s="55">
        <f t="shared" si="49"/>
        <v>1179786.4927884615</v>
      </c>
      <c r="R76" s="55">
        <f t="shared" si="50"/>
        <v>69689705.026982933</v>
      </c>
      <c r="S76" s="32">
        <f t="shared" si="51"/>
        <v>59.06976003960613</v>
      </c>
      <c r="T76" s="55">
        <f t="shared" si="28"/>
        <v>1159393.8125</v>
      </c>
      <c r="U76" s="39">
        <v>217657</v>
      </c>
      <c r="V76" s="37">
        <f t="shared" si="52"/>
        <v>16.236841594827585</v>
      </c>
    </row>
    <row r="77" spans="1:22">
      <c r="A77" s="47">
        <v>26000</v>
      </c>
      <c r="B77" s="47">
        <v>145000</v>
      </c>
      <c r="C77" s="47">
        <v>1300000</v>
      </c>
      <c r="D77" s="13">
        <v>43800</v>
      </c>
      <c r="E77" s="16">
        <f t="shared" si="40"/>
        <v>1133393.8125</v>
      </c>
      <c r="F77" s="16">
        <f t="shared" si="41"/>
        <v>68751366.128551975</v>
      </c>
      <c r="G77" s="14">
        <f t="shared" si="42"/>
        <v>60.65973306921682</v>
      </c>
      <c r="H77" s="46">
        <f t="shared" si="24"/>
        <v>145000</v>
      </c>
      <c r="I77" s="74">
        <f t="shared" si="43"/>
        <v>9114821.8974404708</v>
      </c>
      <c r="J77" s="22">
        <f>VLOOKUP(D77,Data!$A$5:$V$197,6,FALSE)*6.4</f>
        <v>62.860840672003249</v>
      </c>
      <c r="K77" s="74">
        <f>VLOOKUP(D77,Data!$A$5:$V$197,11,FALSE)</f>
        <v>9214.6875</v>
      </c>
      <c r="L77" s="74">
        <f t="shared" si="44"/>
        <v>561260.99990472407</v>
      </c>
      <c r="M77" s="14">
        <f t="shared" si="45"/>
        <v>60.909390568559601</v>
      </c>
      <c r="N77" s="46">
        <f t="shared" si="46"/>
        <v>1269179.125</v>
      </c>
      <c r="O77" s="46">
        <f t="shared" si="47"/>
        <v>77304927.026087731</v>
      </c>
      <c r="P77" s="22">
        <f t="shared" si="48"/>
        <v>60.909390568559601</v>
      </c>
      <c r="Q77" s="55">
        <f t="shared" si="49"/>
        <v>1184763.5600961538</v>
      </c>
      <c r="R77" s="55">
        <f t="shared" si="50"/>
        <v>70268633.421762317</v>
      </c>
      <c r="S77" s="32">
        <f t="shared" si="51"/>
        <v>59.310258846971472</v>
      </c>
      <c r="T77" s="55">
        <f t="shared" si="28"/>
        <v>1295179.125</v>
      </c>
      <c r="U77" s="39">
        <v>217658</v>
      </c>
      <c r="V77" s="37">
        <f t="shared" si="52"/>
        <v>18.577950431034484</v>
      </c>
    </row>
    <row r="78" spans="1:22">
      <c r="A78" s="47">
        <v>26000</v>
      </c>
      <c r="B78" s="47">
        <v>145000</v>
      </c>
      <c r="C78" s="47">
        <v>1300000</v>
      </c>
      <c r="D78" s="13">
        <v>43831</v>
      </c>
      <c r="E78" s="16">
        <f t="shared" si="40"/>
        <v>1269179.125</v>
      </c>
      <c r="F78" s="16">
        <f t="shared" si="41"/>
        <v>77304927.026087731</v>
      </c>
      <c r="G78" s="14">
        <f t="shared" si="42"/>
        <v>60.909390568559601</v>
      </c>
      <c r="H78" s="46">
        <f t="shared" si="24"/>
        <v>0</v>
      </c>
      <c r="I78" s="74">
        <f t="shared" si="43"/>
        <v>0</v>
      </c>
      <c r="J78" s="22">
        <f>VLOOKUP(D78,Data!$A$5:$V$197,6,FALSE)*6.4</f>
        <v>63.034988737732334</v>
      </c>
      <c r="K78" s="74">
        <f>VLOOKUP(D78,Data!$A$5:$V$197,11,FALSE)</f>
        <v>6540.15625</v>
      </c>
      <c r="L78" s="74">
        <f t="shared" si="44"/>
        <v>398356.93141065614</v>
      </c>
      <c r="M78" s="14">
        <f t="shared" si="45"/>
        <v>60.909390568559601</v>
      </c>
      <c r="N78" s="46">
        <f t="shared" si="46"/>
        <v>1262638.96875</v>
      </c>
      <c r="O78" s="46">
        <f t="shared" si="47"/>
        <v>76906570.094677076</v>
      </c>
      <c r="P78" s="22">
        <f t="shared" si="48"/>
        <v>60.909390568559608</v>
      </c>
      <c r="Q78" s="55">
        <f t="shared" si="49"/>
        <v>1191272.2740384615</v>
      </c>
      <c r="R78" s="55">
        <f t="shared" si="50"/>
        <v>70934797.104681253</v>
      </c>
      <c r="S78" s="32">
        <f t="shared" si="51"/>
        <v>59.545410944728367</v>
      </c>
      <c r="T78" s="55">
        <f t="shared" si="28"/>
        <v>1288638.96875</v>
      </c>
      <c r="U78" s="39">
        <v>217659</v>
      </c>
      <c r="V78" s="37">
        <f t="shared" si="52"/>
        <v>18.465171874999999</v>
      </c>
    </row>
    <row r="79" spans="1:22">
      <c r="A79" s="47">
        <v>26000</v>
      </c>
      <c r="B79" s="47">
        <v>145000</v>
      </c>
      <c r="C79" s="47">
        <v>1300000</v>
      </c>
      <c r="D79" s="13">
        <v>43862</v>
      </c>
      <c r="E79" s="16">
        <f t="shared" si="40"/>
        <v>1262638.96875</v>
      </c>
      <c r="F79" s="16">
        <f t="shared" si="41"/>
        <v>76906570.094677076</v>
      </c>
      <c r="G79" s="14">
        <f t="shared" si="42"/>
        <v>60.909390568559608</v>
      </c>
      <c r="H79" s="46">
        <f t="shared" si="24"/>
        <v>0</v>
      </c>
      <c r="I79" s="74">
        <f t="shared" si="43"/>
        <v>0</v>
      </c>
      <c r="J79" s="22">
        <f>VLOOKUP(D79,Data!$A$5:$V$197,6,FALSE)*6.4</f>
        <v>64.294204564134148</v>
      </c>
      <c r="K79" s="74">
        <f>VLOOKUP(D79,Data!$A$5:$V$197,11,FALSE)</f>
        <v>0</v>
      </c>
      <c r="L79" s="74">
        <f t="shared" si="44"/>
        <v>0</v>
      </c>
      <c r="M79" s="14">
        <f t="shared" si="45"/>
        <v>0</v>
      </c>
      <c r="N79" s="46">
        <f t="shared" si="46"/>
        <v>1262638.96875</v>
      </c>
      <c r="O79" s="46">
        <f t="shared" si="47"/>
        <v>76906570.094677076</v>
      </c>
      <c r="P79" s="22">
        <f t="shared" si="48"/>
        <v>60.909390568559608</v>
      </c>
      <c r="Q79" s="55">
        <f t="shared" si="49"/>
        <v>1198199.3653846155</v>
      </c>
      <c r="R79" s="55">
        <f t="shared" si="50"/>
        <v>71625198.603141353</v>
      </c>
      <c r="S79" s="32">
        <f t="shared" si="51"/>
        <v>59.777363160386962</v>
      </c>
      <c r="T79" s="55">
        <f t="shared" si="28"/>
        <v>1288638.96875</v>
      </c>
      <c r="U79" s="39">
        <v>217660</v>
      </c>
      <c r="V79" s="37">
        <f t="shared" si="52"/>
        <v>18.465154633620688</v>
      </c>
    </row>
    <row r="80" spans="1:22">
      <c r="A80" s="47">
        <v>26000</v>
      </c>
      <c r="B80" s="47">
        <v>145000</v>
      </c>
      <c r="C80" s="47">
        <v>1300000</v>
      </c>
      <c r="D80" s="13">
        <v>43891</v>
      </c>
      <c r="E80" s="16">
        <f t="shared" si="40"/>
        <v>1262638.96875</v>
      </c>
      <c r="F80" s="16">
        <f t="shared" si="41"/>
        <v>76906570.094677076</v>
      </c>
      <c r="G80" s="14">
        <f t="shared" si="42"/>
        <v>60.909390568559608</v>
      </c>
      <c r="H80" s="46">
        <f t="shared" si="24"/>
        <v>0</v>
      </c>
      <c r="I80" s="74">
        <f t="shared" si="43"/>
        <v>0</v>
      </c>
      <c r="J80" s="22">
        <f>VLOOKUP(D80,Data!$A$5:$V$197,6,FALSE)*6.4</f>
        <v>67.600972243058365</v>
      </c>
      <c r="K80" s="74">
        <f>VLOOKUP(D80,Data!$A$5:$V$197,11,FALSE)</f>
        <v>24818.75</v>
      </c>
      <c r="L80" s="74">
        <f t="shared" si="44"/>
        <v>1511694.9371734387</v>
      </c>
      <c r="M80" s="14">
        <f t="shared" si="45"/>
        <v>60.909390568559608</v>
      </c>
      <c r="N80" s="46">
        <f t="shared" si="46"/>
        <v>1237820.21875</v>
      </c>
      <c r="O80" s="46">
        <f t="shared" si="47"/>
        <v>75394875.157503635</v>
      </c>
      <c r="P80" s="22">
        <f t="shared" si="48"/>
        <v>60.909390568559601</v>
      </c>
      <c r="Q80" s="55">
        <f t="shared" si="49"/>
        <v>1203217.3221153845</v>
      </c>
      <c r="R80" s="55">
        <f t="shared" si="50"/>
        <v>72199315.875665024</v>
      </c>
      <c r="S80" s="32">
        <f t="shared" si="51"/>
        <v>60.005216471394313</v>
      </c>
      <c r="T80" s="55">
        <f t="shared" si="28"/>
        <v>1263820.21875</v>
      </c>
      <c r="U80" s="39">
        <v>217661</v>
      </c>
      <c r="V80" s="37">
        <f t="shared" si="52"/>
        <v>18.037227909482759</v>
      </c>
    </row>
    <row r="81" spans="1:22">
      <c r="A81" s="47">
        <v>26000</v>
      </c>
      <c r="B81" s="47">
        <v>145000</v>
      </c>
      <c r="C81" s="47">
        <v>1300000</v>
      </c>
      <c r="D81" s="13">
        <v>43922</v>
      </c>
      <c r="E81" s="16">
        <f t="shared" si="40"/>
        <v>1237820.21875</v>
      </c>
      <c r="F81" s="16">
        <f t="shared" si="41"/>
        <v>75394875.157503635</v>
      </c>
      <c r="G81" s="14">
        <f t="shared" si="42"/>
        <v>60.909390568559601</v>
      </c>
      <c r="H81" s="46">
        <f t="shared" si="24"/>
        <v>0</v>
      </c>
      <c r="I81" s="74">
        <f t="shared" si="43"/>
        <v>0</v>
      </c>
      <c r="J81" s="22">
        <f>VLOOKUP(D81,Data!$A$5:$V$197,6,FALSE)*6.4</f>
        <v>69.950474747407554</v>
      </c>
      <c r="K81" s="74">
        <f>VLOOKUP(D81,Data!$A$5:$V$197,11,FALSE)</f>
        <v>37674.6875</v>
      </c>
      <c r="L81" s="74">
        <f t="shared" si="44"/>
        <v>2294742.2554859305</v>
      </c>
      <c r="M81" s="14">
        <f t="shared" si="45"/>
        <v>60.909390568559608</v>
      </c>
      <c r="N81" s="46">
        <f t="shared" si="46"/>
        <v>1200145.53125</v>
      </c>
      <c r="O81" s="46">
        <f t="shared" si="47"/>
        <v>73100132.902017698</v>
      </c>
      <c r="P81" s="22">
        <f t="shared" si="48"/>
        <v>60.909390568559594</v>
      </c>
      <c r="Q81" s="55">
        <f t="shared" si="49"/>
        <v>1205932.4423076923</v>
      </c>
      <c r="R81" s="55">
        <f t="shared" si="50"/>
        <v>72631397.121132851</v>
      </c>
      <c r="S81" s="32">
        <f t="shared" si="51"/>
        <v>60.228412946702228</v>
      </c>
      <c r="T81" s="55">
        <f t="shared" si="28"/>
        <v>1226145.53125</v>
      </c>
      <c r="U81" s="39">
        <v>217662</v>
      </c>
      <c r="V81" s="37">
        <f t="shared" si="52"/>
        <v>17.387647090517241</v>
      </c>
    </row>
    <row r="82" spans="1:22">
      <c r="A82" s="47">
        <v>26000</v>
      </c>
      <c r="B82" s="47">
        <v>145000</v>
      </c>
      <c r="C82" s="47">
        <v>1300000</v>
      </c>
      <c r="D82" s="13">
        <v>43952</v>
      </c>
      <c r="E82" s="16">
        <f t="shared" si="40"/>
        <v>1200145.53125</v>
      </c>
      <c r="F82" s="16">
        <f t="shared" si="41"/>
        <v>73100132.902017698</v>
      </c>
      <c r="G82" s="14">
        <f t="shared" si="42"/>
        <v>60.909390568559594</v>
      </c>
      <c r="H82" s="46">
        <f t="shared" si="24"/>
        <v>0</v>
      </c>
      <c r="I82" s="74">
        <f t="shared" si="43"/>
        <v>0</v>
      </c>
      <c r="J82" s="22">
        <f>VLOOKUP(D82,Data!$A$5:$V$197,6,FALSE)*6.4</f>
        <v>71.490431471080868</v>
      </c>
      <c r="K82" s="74">
        <f>VLOOKUP(D82,Data!$A$5:$V$197,11,FALSE)</f>
        <v>45495.625</v>
      </c>
      <c r="L82" s="74">
        <f t="shared" si="44"/>
        <v>2771110.7922857241</v>
      </c>
      <c r="M82" s="14">
        <f t="shared" si="45"/>
        <v>60.909390568559594</v>
      </c>
      <c r="N82" s="46">
        <f t="shared" si="46"/>
        <v>1154649.90625</v>
      </c>
      <c r="O82" s="46">
        <f t="shared" si="47"/>
        <v>70329022.109731972</v>
      </c>
      <c r="P82" s="22">
        <f t="shared" si="48"/>
        <v>60.909390568559594</v>
      </c>
      <c r="Q82" s="55">
        <f t="shared" si="49"/>
        <v>1197292.0576923077</v>
      </c>
      <c r="R82" s="55">
        <f t="shared" si="50"/>
        <v>72305281.238918051</v>
      </c>
      <c r="S82" s="32">
        <f t="shared" si="51"/>
        <v>60.390679763032217</v>
      </c>
      <c r="T82" s="55">
        <f t="shared" ref="T82:T89" si="53">N82+A82</f>
        <v>1180649.90625</v>
      </c>
      <c r="U82" s="39">
        <v>217663</v>
      </c>
      <c r="V82" s="37">
        <f t="shared" si="52"/>
        <v>16.603222521551725</v>
      </c>
    </row>
    <row r="83" spans="1:22">
      <c r="A83" s="47">
        <v>26000</v>
      </c>
      <c r="B83" s="47">
        <v>145000</v>
      </c>
      <c r="C83" s="47">
        <v>1300000</v>
      </c>
      <c r="D83" s="13">
        <v>43983</v>
      </c>
      <c r="E83" s="16">
        <f t="shared" si="40"/>
        <v>1154649.90625</v>
      </c>
      <c r="F83" s="16">
        <f t="shared" si="41"/>
        <v>70329022.109731972</v>
      </c>
      <c r="G83" s="14">
        <f t="shared" si="42"/>
        <v>60.909390568559594</v>
      </c>
      <c r="H83" s="46">
        <f t="shared" si="24"/>
        <v>0</v>
      </c>
      <c r="I83" s="74">
        <f t="shared" si="43"/>
        <v>0</v>
      </c>
      <c r="J83" s="22">
        <f>VLOOKUP(D83,Data!$A$5:$V$197,6,FALSE)*6.4</f>
        <v>71.684659187661296</v>
      </c>
      <c r="K83" s="74">
        <f>VLOOKUP(D83,Data!$A$5:$V$197,11,FALSE)</f>
        <v>20943.125</v>
      </c>
      <c r="L83" s="74">
        <f t="shared" si="44"/>
        <v>1275632.9803511647</v>
      </c>
      <c r="M83" s="14">
        <f t="shared" si="45"/>
        <v>60.909390568559594</v>
      </c>
      <c r="N83" s="46">
        <f t="shared" si="46"/>
        <v>1133706.78125</v>
      </c>
      <c r="O83" s="46">
        <f t="shared" si="47"/>
        <v>69053389.129380807</v>
      </c>
      <c r="P83" s="22">
        <f t="shared" si="48"/>
        <v>60.909390568559594</v>
      </c>
      <c r="Q83" s="55">
        <f t="shared" si="49"/>
        <v>1194398.4639423077</v>
      </c>
      <c r="R83" s="55">
        <f t="shared" si="50"/>
        <v>72314087.274173275</v>
      </c>
      <c r="S83" s="32">
        <f t="shared" si="51"/>
        <v>60.544357228565737</v>
      </c>
      <c r="T83" s="55">
        <f t="shared" si="53"/>
        <v>1159706.78125</v>
      </c>
      <c r="U83" s="39">
        <v>217664</v>
      </c>
      <c r="V83" s="37">
        <f t="shared" si="52"/>
        <v>16.242116918103449</v>
      </c>
    </row>
    <row r="84" spans="1:22">
      <c r="A84" s="47">
        <v>26000</v>
      </c>
      <c r="B84" s="47">
        <v>145000</v>
      </c>
      <c r="C84" s="47">
        <v>1300000</v>
      </c>
      <c r="D84" s="13">
        <v>44013</v>
      </c>
      <c r="E84" s="16">
        <f t="shared" si="40"/>
        <v>1133706.78125</v>
      </c>
      <c r="F84" s="16">
        <f t="shared" si="41"/>
        <v>69053389.129380807</v>
      </c>
      <c r="G84" s="14">
        <f t="shared" si="42"/>
        <v>60.909390568559594</v>
      </c>
      <c r="H84" s="46">
        <f t="shared" si="24"/>
        <v>145000</v>
      </c>
      <c r="I84" s="74">
        <f t="shared" si="43"/>
        <v>10391435.613918034</v>
      </c>
      <c r="J84" s="22">
        <f>VLOOKUP(D84,Data!$A$5:$V$197,6,FALSE)*6.4</f>
        <v>71.665073199434715</v>
      </c>
      <c r="K84" s="74">
        <f>VLOOKUP(D84,Data!$A$5:$V$197,11,FALSE)</f>
        <v>25933.28125</v>
      </c>
      <c r="L84" s="74">
        <f t="shared" si="44"/>
        <v>1611209.8677625807</v>
      </c>
      <c r="M84" s="14">
        <f t="shared" si="45"/>
        <v>62.129039986506946</v>
      </c>
      <c r="N84" s="46">
        <f t="shared" si="46"/>
        <v>1252773.5</v>
      </c>
      <c r="O84" s="46">
        <f t="shared" si="47"/>
        <v>77833614.875536263</v>
      </c>
      <c r="P84" s="22">
        <f t="shared" si="48"/>
        <v>62.129039986506946</v>
      </c>
      <c r="Q84" s="55">
        <f t="shared" si="49"/>
        <v>1203288.2475961538</v>
      </c>
      <c r="R84" s="55">
        <f t="shared" si="50"/>
        <v>73152755.787687376</v>
      </c>
      <c r="S84" s="32">
        <f t="shared" si="51"/>
        <v>60.794041605431538</v>
      </c>
      <c r="T84" s="55">
        <f t="shared" si="53"/>
        <v>1278773.5</v>
      </c>
      <c r="U84" s="39">
        <v>217665</v>
      </c>
      <c r="V84" s="37">
        <f t="shared" si="52"/>
        <v>18.294974137931035</v>
      </c>
    </row>
    <row r="85" spans="1:22">
      <c r="A85" s="47">
        <v>26000</v>
      </c>
      <c r="B85" s="47">
        <v>145000</v>
      </c>
      <c r="C85" s="47">
        <v>1300000</v>
      </c>
      <c r="D85" s="13">
        <v>44044</v>
      </c>
      <c r="E85" s="16">
        <f t="shared" si="40"/>
        <v>1252773.5</v>
      </c>
      <c r="F85" s="16">
        <f t="shared" si="41"/>
        <v>77833614.875536263</v>
      </c>
      <c r="G85" s="14">
        <f t="shared" si="42"/>
        <v>62.129039986506946</v>
      </c>
      <c r="H85" s="46">
        <f t="shared" si="24"/>
        <v>0</v>
      </c>
      <c r="I85" s="74">
        <f t="shared" si="43"/>
        <v>0</v>
      </c>
      <c r="J85" s="22">
        <f>VLOOKUP(D85,Data!$A$5:$V$197,6,FALSE)*6.4</f>
        <v>73.138918813486328</v>
      </c>
      <c r="K85" s="74">
        <f>VLOOKUP(D85,Data!$A$5:$V$197,11,FALSE)</f>
        <v>55544.375</v>
      </c>
      <c r="L85" s="74">
        <f t="shared" si="44"/>
        <v>3450918.6954005365</v>
      </c>
      <c r="M85" s="14">
        <f t="shared" si="45"/>
        <v>62.129039986506939</v>
      </c>
      <c r="N85" s="46">
        <f t="shared" si="46"/>
        <v>1197229.125</v>
      </c>
      <c r="O85" s="46">
        <f t="shared" si="47"/>
        <v>74382696.180135727</v>
      </c>
      <c r="P85" s="22">
        <f t="shared" si="48"/>
        <v>62.129039986506946</v>
      </c>
      <c r="Q85" s="55">
        <f t="shared" si="49"/>
        <v>1201014.4014423077</v>
      </c>
      <c r="R85" s="55">
        <f t="shared" si="50"/>
        <v>73224052.363197088</v>
      </c>
      <c r="S85" s="32">
        <f t="shared" si="51"/>
        <v>60.968504853282141</v>
      </c>
      <c r="T85" s="55">
        <f t="shared" si="53"/>
        <v>1223229.125</v>
      </c>
      <c r="U85" s="39">
        <v>217666</v>
      </c>
      <c r="V85" s="37">
        <f t="shared" si="52"/>
        <v>17.337295258620689</v>
      </c>
    </row>
    <row r="86" spans="1:22">
      <c r="A86" s="47">
        <v>26000</v>
      </c>
      <c r="B86" s="47">
        <v>145000</v>
      </c>
      <c r="C86" s="47">
        <v>1300000</v>
      </c>
      <c r="D86" s="13">
        <v>44075</v>
      </c>
      <c r="E86" s="16">
        <f t="shared" si="40"/>
        <v>1197229.125</v>
      </c>
      <c r="F86" s="16">
        <f t="shared" si="41"/>
        <v>74382696.180135727</v>
      </c>
      <c r="G86" s="14">
        <f t="shared" si="42"/>
        <v>62.129039986506946</v>
      </c>
      <c r="H86" s="46">
        <f t="shared" si="24"/>
        <v>145000</v>
      </c>
      <c r="I86" s="74">
        <f t="shared" si="43"/>
        <v>10240917.294396617</v>
      </c>
      <c r="J86" s="22">
        <f>VLOOKUP(D86,Data!$A$5:$V$197,6,FALSE)*6.4</f>
        <v>70.627015823424941</v>
      </c>
      <c r="K86" s="74">
        <f>VLOOKUP(D86,Data!$A$5:$V$197,11,FALSE)</f>
        <v>73353.4375</v>
      </c>
      <c r="L86" s="74">
        <f t="shared" si="44"/>
        <v>4624719.3019509735</v>
      </c>
      <c r="M86" s="14">
        <f t="shared" si="45"/>
        <v>63.047069906587176</v>
      </c>
      <c r="N86" s="46">
        <f t="shared" si="46"/>
        <v>1268875.6875</v>
      </c>
      <c r="O86" s="46">
        <f t="shared" si="47"/>
        <v>79998894.17258136</v>
      </c>
      <c r="P86" s="22">
        <f t="shared" si="48"/>
        <v>63.047069906587176</v>
      </c>
      <c r="Q86" s="55">
        <f t="shared" si="49"/>
        <v>1209623.0192307692</v>
      </c>
      <c r="R86" s="55">
        <f t="shared" si="50"/>
        <v>74048972.228420526</v>
      </c>
      <c r="S86" s="32">
        <f t="shared" si="51"/>
        <v>61.216569998403465</v>
      </c>
      <c r="T86" s="55">
        <f t="shared" si="53"/>
        <v>1294875.6875</v>
      </c>
      <c r="U86" s="39">
        <v>217667</v>
      </c>
      <c r="V86" s="37">
        <f t="shared" si="52"/>
        <v>18.572563577586205</v>
      </c>
    </row>
    <row r="87" spans="1:22">
      <c r="A87" s="47">
        <v>26000</v>
      </c>
      <c r="B87" s="47">
        <v>145000</v>
      </c>
      <c r="C87" s="47">
        <v>1300000</v>
      </c>
      <c r="D87" s="13">
        <v>44105</v>
      </c>
      <c r="E87" s="16">
        <f t="shared" si="40"/>
        <v>1268875.6875</v>
      </c>
      <c r="F87" s="16">
        <f t="shared" si="41"/>
        <v>79998894.17258136</v>
      </c>
      <c r="G87" s="14">
        <f t="shared" si="42"/>
        <v>63.047069906587176</v>
      </c>
      <c r="H87" s="46">
        <f t="shared" si="24"/>
        <v>0</v>
      </c>
      <c r="I87" s="74">
        <f t="shared" si="43"/>
        <v>0</v>
      </c>
      <c r="J87" s="22">
        <f>VLOOKUP(D87,Data!$A$5:$V$197,6,FALSE)*6.4</f>
        <v>68.511720695595258</v>
      </c>
      <c r="K87" s="74">
        <f>VLOOKUP(D87,Data!$A$5:$V$197,11,FALSE)</f>
        <v>71706.25</v>
      </c>
      <c r="L87" s="74">
        <f t="shared" si="44"/>
        <v>4520868.9564892165</v>
      </c>
      <c r="M87" s="14">
        <f t="shared" si="45"/>
        <v>63.047069906587176</v>
      </c>
      <c r="N87" s="46">
        <f t="shared" si="46"/>
        <v>1197169.4375</v>
      </c>
      <c r="O87" s="46">
        <f t="shared" si="47"/>
        <v>75478025.216092139</v>
      </c>
      <c r="P87" s="22">
        <f t="shared" si="48"/>
        <v>63.047069906587168</v>
      </c>
      <c r="Q87" s="55">
        <f t="shared" si="49"/>
        <v>1208640.2908653845</v>
      </c>
      <c r="R87" s="55">
        <f t="shared" si="50"/>
        <v>74209209.934151947</v>
      </c>
      <c r="S87" s="32">
        <f t="shared" si="51"/>
        <v>61.398921163730421</v>
      </c>
      <c r="T87" s="55">
        <f t="shared" si="53"/>
        <v>1223169.4375</v>
      </c>
      <c r="U87" s="39">
        <v>217668</v>
      </c>
      <c r="V87" s="37">
        <f t="shared" si="52"/>
        <v>17.336231681034484</v>
      </c>
    </row>
    <row r="88" spans="1:22">
      <c r="A88" s="47">
        <v>26000</v>
      </c>
      <c r="B88" s="47">
        <v>145000</v>
      </c>
      <c r="C88" s="47">
        <v>1300000</v>
      </c>
      <c r="D88" s="13">
        <v>44136</v>
      </c>
      <c r="E88" s="16">
        <f t="shared" si="40"/>
        <v>1197169.4375</v>
      </c>
      <c r="F88" s="16">
        <f t="shared" si="41"/>
        <v>75478025.216092139</v>
      </c>
      <c r="G88" s="14">
        <f t="shared" si="42"/>
        <v>63.047069906587168</v>
      </c>
      <c r="H88" s="46">
        <f t="shared" si="24"/>
        <v>0</v>
      </c>
      <c r="I88" s="74">
        <f t="shared" si="43"/>
        <v>0</v>
      </c>
      <c r="J88" s="22">
        <f>VLOOKUP(D88,Data!$A$5:$V$197,6,FALSE)*6.4</f>
        <v>67.216597224111339</v>
      </c>
      <c r="K88" s="74">
        <f>VLOOKUP(D88,Data!$A$5:$V$197,11,FALSE)</f>
        <v>711.25</v>
      </c>
      <c r="L88" s="74">
        <f t="shared" si="44"/>
        <v>44842.228471060123</v>
      </c>
      <c r="M88" s="14">
        <f t="shared" si="45"/>
        <v>63.047069906587168</v>
      </c>
      <c r="N88" s="46">
        <f t="shared" si="46"/>
        <v>1196458.1875</v>
      </c>
      <c r="O88" s="46">
        <f t="shared" si="47"/>
        <v>75433182.987621084</v>
      </c>
      <c r="P88" s="22">
        <f t="shared" si="48"/>
        <v>63.047069906587176</v>
      </c>
      <c r="Q88" s="55">
        <f t="shared" si="49"/>
        <v>1212821.4807692308</v>
      </c>
      <c r="R88" s="55">
        <f t="shared" si="50"/>
        <v>74682558.928814948</v>
      </c>
      <c r="S88" s="32">
        <f t="shared" si="51"/>
        <v>61.577536441263895</v>
      </c>
      <c r="T88" s="55">
        <f t="shared" si="53"/>
        <v>1222458.1875</v>
      </c>
      <c r="U88" s="39">
        <v>217669</v>
      </c>
      <c r="V88" s="37">
        <f t="shared" si="52"/>
        <v>17.323951508620688</v>
      </c>
    </row>
    <row r="89" spans="1:22">
      <c r="A89" s="47">
        <v>26000</v>
      </c>
      <c r="B89" s="47">
        <v>145000</v>
      </c>
      <c r="C89" s="47">
        <v>1300000</v>
      </c>
      <c r="D89" s="13">
        <v>44166</v>
      </c>
      <c r="E89" s="16">
        <f t="shared" si="40"/>
        <v>1196458.1875</v>
      </c>
      <c r="F89" s="16">
        <f t="shared" si="41"/>
        <v>75433182.987621084</v>
      </c>
      <c r="G89" s="14">
        <f t="shared" si="42"/>
        <v>63.047069906587176</v>
      </c>
      <c r="H89" s="46">
        <f t="shared" si="24"/>
        <v>0</v>
      </c>
      <c r="I89" s="74">
        <f t="shared" si="43"/>
        <v>0</v>
      </c>
      <c r="J89" s="22">
        <f>VLOOKUP(D89,Data!$A$5:$V$197,6,FALSE)*6.4</f>
        <v>66.320538262744421</v>
      </c>
      <c r="K89" s="74">
        <f>VLOOKUP(D89,Data!$A$5:$V$197,11,FALSE)</f>
        <v>12363.125</v>
      </c>
      <c r="L89" s="74">
        <f t="shared" si="44"/>
        <v>779458.80613887555</v>
      </c>
      <c r="M89" s="14">
        <f t="shared" si="45"/>
        <v>63.047069906587176</v>
      </c>
      <c r="N89" s="46">
        <f t="shared" si="46"/>
        <v>1184095.0625</v>
      </c>
      <c r="O89" s="46">
        <f t="shared" si="47"/>
        <v>74653724.181482211</v>
      </c>
      <c r="P89" s="22">
        <f t="shared" si="48"/>
        <v>63.047069906587176</v>
      </c>
      <c r="Q89" s="55">
        <f t="shared" si="49"/>
        <v>1216721.576923077</v>
      </c>
      <c r="R89" s="55">
        <f t="shared" si="50"/>
        <v>75136586.471348062</v>
      </c>
      <c r="S89" s="32">
        <f t="shared" si="51"/>
        <v>61.753311436588682</v>
      </c>
      <c r="T89" s="55">
        <f t="shared" si="53"/>
        <v>1210095.0625</v>
      </c>
      <c r="U89" s="39">
        <v>217670</v>
      </c>
      <c r="V89" s="37">
        <f t="shared" si="52"/>
        <v>17.110776939655171</v>
      </c>
    </row>
  </sheetData>
  <mergeCells count="8">
    <mergeCell ref="T4:V4"/>
    <mergeCell ref="Q6:S17"/>
    <mergeCell ref="T6:V17"/>
    <mergeCell ref="E4:G4"/>
    <mergeCell ref="H4:J4"/>
    <mergeCell ref="K4:M4"/>
    <mergeCell ref="N4:P4"/>
    <mergeCell ref="Q4:S4"/>
  </mergeCells>
  <conditionalFormatting sqref="H30:H89">
    <cfRule type="cellIs" dxfId="1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59999389629810485"/>
  </sheetPr>
  <dimension ref="A1:Q90"/>
  <sheetViews>
    <sheetView workbookViewId="0">
      <selection activeCell="A2" sqref="A2"/>
    </sheetView>
  </sheetViews>
  <sheetFormatPr defaultColWidth="9.109375" defaultRowHeight="10.199999999999999"/>
  <cols>
    <col min="1" max="2" width="6.109375" style="44" bestFit="1" customWidth="1"/>
    <col min="3" max="3" width="6.5546875" style="44" bestFit="1" customWidth="1"/>
    <col min="4" max="4" width="8.6640625" style="44" bestFit="1" customWidth="1"/>
    <col min="5" max="5" width="5.6640625" style="44" bestFit="1" customWidth="1"/>
    <col min="6" max="6" width="6.33203125" style="44" bestFit="1" customWidth="1"/>
    <col min="7" max="7" width="8.44140625" style="44" bestFit="1" customWidth="1"/>
    <col min="8" max="9" width="6.33203125" style="44" bestFit="1" customWidth="1"/>
    <col min="10" max="10" width="8.44140625" style="44" bestFit="1" customWidth="1"/>
    <col min="11" max="11" width="5.6640625" style="44" bestFit="1" customWidth="1"/>
    <col min="12" max="12" width="6.33203125" style="44" bestFit="1" customWidth="1"/>
    <col min="13" max="13" width="8.44140625" style="44" bestFit="1" customWidth="1"/>
    <col min="14" max="15" width="6.33203125" style="44" bestFit="1" customWidth="1"/>
    <col min="16" max="16" width="8.44140625" style="44" bestFit="1" customWidth="1"/>
    <col min="17" max="17" width="6.33203125" style="44" bestFit="1" customWidth="1"/>
    <col min="18" max="16384" width="9.109375" style="44"/>
  </cols>
  <sheetData>
    <row r="1" spans="1:17" s="120" customFormat="1">
      <c r="A1" s="120" t="s">
        <v>78</v>
      </c>
    </row>
    <row r="2" spans="1:17" s="120" customFormat="1">
      <c r="A2" s="120" t="s">
        <v>59</v>
      </c>
    </row>
    <row r="5" spans="1:17">
      <c r="A5" s="18"/>
      <c r="B5" s="19"/>
      <c r="C5" s="106" t="s">
        <v>0</v>
      </c>
      <c r="D5" s="106"/>
      <c r="E5" s="106"/>
      <c r="F5" s="106" t="s">
        <v>1</v>
      </c>
      <c r="G5" s="106"/>
      <c r="H5" s="106"/>
      <c r="I5" s="106" t="s">
        <v>40</v>
      </c>
      <c r="J5" s="106"/>
      <c r="K5" s="106"/>
      <c r="L5" s="106" t="s">
        <v>2</v>
      </c>
      <c r="M5" s="106"/>
      <c r="N5" s="106"/>
      <c r="O5" s="106" t="s">
        <v>29</v>
      </c>
      <c r="P5" s="106"/>
      <c r="Q5" s="106"/>
    </row>
    <row r="6" spans="1:17">
      <c r="A6" s="12" t="s">
        <v>12</v>
      </c>
      <c r="B6" s="9" t="s">
        <v>26</v>
      </c>
      <c r="C6" s="86" t="s">
        <v>32</v>
      </c>
      <c r="D6" s="86" t="s">
        <v>27</v>
      </c>
      <c r="E6" s="86" t="s">
        <v>33</v>
      </c>
      <c r="F6" s="90" t="s">
        <v>32</v>
      </c>
      <c r="G6" s="90" t="s">
        <v>27</v>
      </c>
      <c r="H6" s="90" t="s">
        <v>33</v>
      </c>
      <c r="I6" s="90" t="s">
        <v>32</v>
      </c>
      <c r="J6" s="90" t="s">
        <v>27</v>
      </c>
      <c r="K6" s="90" t="s">
        <v>33</v>
      </c>
      <c r="L6" s="90" t="s">
        <v>32</v>
      </c>
      <c r="M6" s="90" t="s">
        <v>27</v>
      </c>
      <c r="N6" s="90" t="s">
        <v>33</v>
      </c>
      <c r="O6" s="86" t="s">
        <v>32</v>
      </c>
      <c r="P6" s="86" t="s">
        <v>27</v>
      </c>
      <c r="Q6" s="86" t="s">
        <v>33</v>
      </c>
    </row>
    <row r="7" spans="1:17">
      <c r="A7" s="47">
        <v>91000</v>
      </c>
      <c r="B7" s="49">
        <v>41640</v>
      </c>
      <c r="C7" s="50">
        <v>0</v>
      </c>
      <c r="D7" s="50">
        <v>0</v>
      </c>
      <c r="E7" s="53">
        <v>0</v>
      </c>
      <c r="F7" s="51">
        <v>0</v>
      </c>
      <c r="G7" s="54">
        <v>0</v>
      </c>
      <c r="H7" s="52">
        <f t="shared" ref="H7:H70" si="0">IF(F7=0,0,G7/F7)</f>
        <v>0</v>
      </c>
      <c r="I7" s="54">
        <v>0</v>
      </c>
      <c r="J7" s="54">
        <v>0</v>
      </c>
      <c r="K7" s="53">
        <v>0</v>
      </c>
      <c r="L7" s="51">
        <f t="shared" ref="L7:M54" si="1">+C7+F7-I7</f>
        <v>0</v>
      </c>
      <c r="M7" s="51">
        <f t="shared" si="1"/>
        <v>0</v>
      </c>
      <c r="N7" s="52">
        <f t="shared" ref="N7:N70" si="2">IF(L7=0,0,M7/L7)</f>
        <v>0</v>
      </c>
      <c r="O7" s="54">
        <f>AVERAGE(L7:L7)</f>
        <v>0</v>
      </c>
      <c r="P7" s="54">
        <f>AVERAGE(M7:M7)</f>
        <v>0</v>
      </c>
      <c r="Q7" s="56">
        <f t="shared" ref="Q7:Q70" si="3">IF(O7=0,0,P7/O7)</f>
        <v>0</v>
      </c>
    </row>
    <row r="8" spans="1:17">
      <c r="A8" s="47">
        <v>91000</v>
      </c>
      <c r="B8" s="49">
        <v>41671</v>
      </c>
      <c r="C8" s="50">
        <f t="shared" ref="C8:E48" si="4">L7</f>
        <v>0</v>
      </c>
      <c r="D8" s="50">
        <f t="shared" si="4"/>
        <v>0</v>
      </c>
      <c r="E8" s="53">
        <f t="shared" si="4"/>
        <v>0</v>
      </c>
      <c r="F8" s="51">
        <v>0</v>
      </c>
      <c r="G8" s="54">
        <v>0</v>
      </c>
      <c r="H8" s="52">
        <f t="shared" si="0"/>
        <v>0</v>
      </c>
      <c r="I8" s="54">
        <v>0</v>
      </c>
      <c r="J8" s="54">
        <v>0</v>
      </c>
      <c r="K8" s="53">
        <f t="shared" ref="K8:K26" si="5">IF(I8=0,0,J8/I8)</f>
        <v>0</v>
      </c>
      <c r="L8" s="51">
        <f t="shared" si="1"/>
        <v>0</v>
      </c>
      <c r="M8" s="51">
        <f t="shared" si="1"/>
        <v>0</v>
      </c>
      <c r="N8" s="52">
        <f t="shared" si="2"/>
        <v>0</v>
      </c>
      <c r="O8" s="54">
        <f>AVERAGE(L7:L8)</f>
        <v>0</v>
      </c>
      <c r="P8" s="54">
        <f>AVERAGE(M7:M8)</f>
        <v>0</v>
      </c>
      <c r="Q8" s="56">
        <f t="shared" si="3"/>
        <v>0</v>
      </c>
    </row>
    <row r="9" spans="1:17">
      <c r="A9" s="47">
        <v>91000</v>
      </c>
      <c r="B9" s="49">
        <v>41699</v>
      </c>
      <c r="C9" s="50">
        <f t="shared" si="4"/>
        <v>0</v>
      </c>
      <c r="D9" s="50">
        <f t="shared" si="4"/>
        <v>0</v>
      </c>
      <c r="E9" s="53">
        <f t="shared" si="4"/>
        <v>0</v>
      </c>
      <c r="F9" s="51">
        <v>0</v>
      </c>
      <c r="G9" s="54">
        <v>0</v>
      </c>
      <c r="H9" s="52">
        <f t="shared" si="0"/>
        <v>0</v>
      </c>
      <c r="I9" s="54">
        <v>0</v>
      </c>
      <c r="J9" s="54">
        <v>0</v>
      </c>
      <c r="K9" s="53">
        <f t="shared" si="5"/>
        <v>0</v>
      </c>
      <c r="L9" s="51">
        <f t="shared" si="1"/>
        <v>0</v>
      </c>
      <c r="M9" s="51">
        <f t="shared" si="1"/>
        <v>0</v>
      </c>
      <c r="N9" s="52">
        <f t="shared" si="2"/>
        <v>0</v>
      </c>
      <c r="O9" s="54">
        <f>AVERAGE(L7:L9)</f>
        <v>0</v>
      </c>
      <c r="P9" s="54">
        <f>AVERAGE(M7:M9)</f>
        <v>0</v>
      </c>
      <c r="Q9" s="56">
        <f t="shared" si="3"/>
        <v>0</v>
      </c>
    </row>
    <row r="10" spans="1:17">
      <c r="A10" s="47">
        <v>91000</v>
      </c>
      <c r="B10" s="49">
        <v>41730</v>
      </c>
      <c r="C10" s="50">
        <f t="shared" si="4"/>
        <v>0</v>
      </c>
      <c r="D10" s="50">
        <f t="shared" si="4"/>
        <v>0</v>
      </c>
      <c r="E10" s="26">
        <f t="shared" si="4"/>
        <v>0</v>
      </c>
      <c r="F10" s="51">
        <v>0</v>
      </c>
      <c r="G10" s="54">
        <v>0</v>
      </c>
      <c r="H10" s="52">
        <f t="shared" si="0"/>
        <v>0</v>
      </c>
      <c r="I10" s="54">
        <v>0</v>
      </c>
      <c r="J10" s="54">
        <v>0</v>
      </c>
      <c r="K10" s="53">
        <f t="shared" si="5"/>
        <v>0</v>
      </c>
      <c r="L10" s="51">
        <f t="shared" si="1"/>
        <v>0</v>
      </c>
      <c r="M10" s="51">
        <f t="shared" si="1"/>
        <v>0</v>
      </c>
      <c r="N10" s="52">
        <f t="shared" si="2"/>
        <v>0</v>
      </c>
      <c r="O10" s="54">
        <f>AVERAGE(L7:L10)</f>
        <v>0</v>
      </c>
      <c r="P10" s="54">
        <f>AVERAGE(M7:M10)</f>
        <v>0</v>
      </c>
      <c r="Q10" s="56">
        <f t="shared" si="3"/>
        <v>0</v>
      </c>
    </row>
    <row r="11" spans="1:17">
      <c r="A11" s="47">
        <v>91000</v>
      </c>
      <c r="B11" s="49">
        <v>41760</v>
      </c>
      <c r="C11" s="50">
        <f t="shared" si="4"/>
        <v>0</v>
      </c>
      <c r="D11" s="50">
        <f t="shared" si="4"/>
        <v>0</v>
      </c>
      <c r="E11" s="53">
        <f t="shared" si="4"/>
        <v>0</v>
      </c>
      <c r="F11" s="51">
        <v>0</v>
      </c>
      <c r="G11" s="54">
        <v>0</v>
      </c>
      <c r="H11" s="52">
        <f t="shared" si="0"/>
        <v>0</v>
      </c>
      <c r="I11" s="54">
        <v>0</v>
      </c>
      <c r="J11" s="54">
        <v>0</v>
      </c>
      <c r="K11" s="53">
        <f t="shared" si="5"/>
        <v>0</v>
      </c>
      <c r="L11" s="51">
        <f t="shared" si="1"/>
        <v>0</v>
      </c>
      <c r="M11" s="51">
        <f t="shared" si="1"/>
        <v>0</v>
      </c>
      <c r="N11" s="52">
        <f t="shared" si="2"/>
        <v>0</v>
      </c>
      <c r="O11" s="54">
        <f>AVERAGE(L7:L11)</f>
        <v>0</v>
      </c>
      <c r="P11" s="54">
        <f>AVERAGE(M7:M11)</f>
        <v>0</v>
      </c>
      <c r="Q11" s="56">
        <f t="shared" si="3"/>
        <v>0</v>
      </c>
    </row>
    <row r="12" spans="1:17">
      <c r="A12" s="47">
        <v>91000</v>
      </c>
      <c r="B12" s="49">
        <v>41791</v>
      </c>
      <c r="C12" s="50">
        <f t="shared" si="4"/>
        <v>0</v>
      </c>
      <c r="D12" s="50">
        <f t="shared" si="4"/>
        <v>0</v>
      </c>
      <c r="E12" s="53">
        <f t="shared" si="4"/>
        <v>0</v>
      </c>
      <c r="F12" s="51">
        <v>0</v>
      </c>
      <c r="G12" s="54">
        <v>0</v>
      </c>
      <c r="H12" s="52">
        <f t="shared" si="0"/>
        <v>0</v>
      </c>
      <c r="I12" s="54">
        <v>0</v>
      </c>
      <c r="J12" s="54">
        <v>0</v>
      </c>
      <c r="K12" s="53">
        <f t="shared" si="5"/>
        <v>0</v>
      </c>
      <c r="L12" s="51">
        <f t="shared" si="1"/>
        <v>0</v>
      </c>
      <c r="M12" s="51">
        <f t="shared" si="1"/>
        <v>0</v>
      </c>
      <c r="N12" s="52">
        <f t="shared" si="2"/>
        <v>0</v>
      </c>
      <c r="O12" s="54">
        <f>AVERAGE(L7:L12)</f>
        <v>0</v>
      </c>
      <c r="P12" s="54">
        <f>AVERAGE(M7:M12)</f>
        <v>0</v>
      </c>
      <c r="Q12" s="56">
        <f t="shared" si="3"/>
        <v>0</v>
      </c>
    </row>
    <row r="13" spans="1:17">
      <c r="A13" s="47">
        <v>91000</v>
      </c>
      <c r="B13" s="49">
        <v>41821</v>
      </c>
      <c r="C13" s="50">
        <f t="shared" si="4"/>
        <v>0</v>
      </c>
      <c r="D13" s="50">
        <f t="shared" si="4"/>
        <v>0</v>
      </c>
      <c r="E13" s="53">
        <f t="shared" si="4"/>
        <v>0</v>
      </c>
      <c r="F13" s="51">
        <v>0</v>
      </c>
      <c r="G13" s="54">
        <v>0</v>
      </c>
      <c r="H13" s="52">
        <f t="shared" si="0"/>
        <v>0</v>
      </c>
      <c r="I13" s="54">
        <v>0</v>
      </c>
      <c r="J13" s="54">
        <v>0</v>
      </c>
      <c r="K13" s="53">
        <f t="shared" si="5"/>
        <v>0</v>
      </c>
      <c r="L13" s="51">
        <f t="shared" si="1"/>
        <v>0</v>
      </c>
      <c r="M13" s="51">
        <f t="shared" si="1"/>
        <v>0</v>
      </c>
      <c r="N13" s="52">
        <f t="shared" si="2"/>
        <v>0</v>
      </c>
      <c r="O13" s="54">
        <f>AVERAGE(L7:L13)</f>
        <v>0</v>
      </c>
      <c r="P13" s="54">
        <f>AVERAGE(M7:M13)</f>
        <v>0</v>
      </c>
      <c r="Q13" s="56">
        <f t="shared" si="3"/>
        <v>0</v>
      </c>
    </row>
    <row r="14" spans="1:17">
      <c r="A14" s="47">
        <v>91000</v>
      </c>
      <c r="B14" s="49">
        <v>41852</v>
      </c>
      <c r="C14" s="50">
        <f t="shared" si="4"/>
        <v>0</v>
      </c>
      <c r="D14" s="50">
        <f t="shared" si="4"/>
        <v>0</v>
      </c>
      <c r="E14" s="53">
        <f t="shared" si="4"/>
        <v>0</v>
      </c>
      <c r="F14" s="51">
        <v>0</v>
      </c>
      <c r="G14" s="54">
        <v>0</v>
      </c>
      <c r="H14" s="52">
        <f t="shared" si="0"/>
        <v>0</v>
      </c>
      <c r="I14" s="54">
        <v>0</v>
      </c>
      <c r="J14" s="54">
        <v>0</v>
      </c>
      <c r="K14" s="53">
        <f t="shared" si="5"/>
        <v>0</v>
      </c>
      <c r="L14" s="51">
        <f t="shared" si="1"/>
        <v>0</v>
      </c>
      <c r="M14" s="51">
        <f t="shared" si="1"/>
        <v>0</v>
      </c>
      <c r="N14" s="52">
        <f t="shared" si="2"/>
        <v>0</v>
      </c>
      <c r="O14" s="54">
        <f>AVERAGE(L7:L14)</f>
        <v>0</v>
      </c>
      <c r="P14" s="54">
        <f>AVERAGE(M7:M14)</f>
        <v>0</v>
      </c>
      <c r="Q14" s="56">
        <f t="shared" si="3"/>
        <v>0</v>
      </c>
    </row>
    <row r="15" spans="1:17">
      <c r="A15" s="47">
        <v>91000</v>
      </c>
      <c r="B15" s="49">
        <v>41883</v>
      </c>
      <c r="C15" s="50">
        <f t="shared" si="4"/>
        <v>0</v>
      </c>
      <c r="D15" s="50">
        <f t="shared" si="4"/>
        <v>0</v>
      </c>
      <c r="E15" s="53">
        <f t="shared" si="4"/>
        <v>0</v>
      </c>
      <c r="F15" s="51">
        <v>0</v>
      </c>
      <c r="G15" s="54">
        <v>0</v>
      </c>
      <c r="H15" s="52">
        <f t="shared" si="0"/>
        <v>0</v>
      </c>
      <c r="I15" s="54">
        <v>0</v>
      </c>
      <c r="J15" s="54">
        <v>0</v>
      </c>
      <c r="K15" s="53">
        <f t="shared" si="5"/>
        <v>0</v>
      </c>
      <c r="L15" s="51">
        <f t="shared" si="1"/>
        <v>0</v>
      </c>
      <c r="M15" s="51">
        <f t="shared" si="1"/>
        <v>0</v>
      </c>
      <c r="N15" s="52">
        <f t="shared" si="2"/>
        <v>0</v>
      </c>
      <c r="O15" s="54">
        <f>AVERAGE(L7:L15)</f>
        <v>0</v>
      </c>
      <c r="P15" s="54">
        <f>AVERAGE(M7:M15)</f>
        <v>0</v>
      </c>
      <c r="Q15" s="56">
        <f t="shared" si="3"/>
        <v>0</v>
      </c>
    </row>
    <row r="16" spans="1:17">
      <c r="A16" s="47">
        <v>91000</v>
      </c>
      <c r="B16" s="49">
        <v>41913</v>
      </c>
      <c r="C16" s="50">
        <f t="shared" si="4"/>
        <v>0</v>
      </c>
      <c r="D16" s="50">
        <f t="shared" si="4"/>
        <v>0</v>
      </c>
      <c r="E16" s="53">
        <f t="shared" si="4"/>
        <v>0</v>
      </c>
      <c r="F16" s="51">
        <v>0</v>
      </c>
      <c r="G16" s="54">
        <v>0</v>
      </c>
      <c r="H16" s="52">
        <f t="shared" si="0"/>
        <v>0</v>
      </c>
      <c r="I16" s="54">
        <v>0</v>
      </c>
      <c r="J16" s="54">
        <v>0</v>
      </c>
      <c r="K16" s="53">
        <f t="shared" si="5"/>
        <v>0</v>
      </c>
      <c r="L16" s="51">
        <f t="shared" si="1"/>
        <v>0</v>
      </c>
      <c r="M16" s="51">
        <f t="shared" si="1"/>
        <v>0</v>
      </c>
      <c r="N16" s="52">
        <f t="shared" si="2"/>
        <v>0</v>
      </c>
      <c r="O16" s="54">
        <f>AVERAGE(L7:L16)</f>
        <v>0</v>
      </c>
      <c r="P16" s="54">
        <f>AVERAGE(M7:M16)</f>
        <v>0</v>
      </c>
      <c r="Q16" s="56">
        <f t="shared" si="3"/>
        <v>0</v>
      </c>
    </row>
    <row r="17" spans="1:17">
      <c r="A17" s="47">
        <v>91000</v>
      </c>
      <c r="B17" s="49">
        <v>41944</v>
      </c>
      <c r="C17" s="50">
        <f t="shared" si="4"/>
        <v>0</v>
      </c>
      <c r="D17" s="50">
        <f t="shared" si="4"/>
        <v>0</v>
      </c>
      <c r="E17" s="53">
        <f t="shared" si="4"/>
        <v>0</v>
      </c>
      <c r="F17" s="51">
        <v>0</v>
      </c>
      <c r="G17" s="54">
        <v>0</v>
      </c>
      <c r="H17" s="52">
        <f t="shared" si="0"/>
        <v>0</v>
      </c>
      <c r="I17" s="54">
        <v>0</v>
      </c>
      <c r="J17" s="54">
        <v>0</v>
      </c>
      <c r="K17" s="53">
        <f t="shared" si="5"/>
        <v>0</v>
      </c>
      <c r="L17" s="51">
        <f t="shared" si="1"/>
        <v>0</v>
      </c>
      <c r="M17" s="51">
        <f t="shared" si="1"/>
        <v>0</v>
      </c>
      <c r="N17" s="52">
        <f t="shared" si="2"/>
        <v>0</v>
      </c>
      <c r="O17" s="54">
        <f>AVERAGE(L7:L17)</f>
        <v>0</v>
      </c>
      <c r="P17" s="54">
        <f>AVERAGE(M7:M17)</f>
        <v>0</v>
      </c>
      <c r="Q17" s="56">
        <f t="shared" si="3"/>
        <v>0</v>
      </c>
    </row>
    <row r="18" spans="1:17">
      <c r="A18" s="47">
        <v>91000</v>
      </c>
      <c r="B18" s="49">
        <v>41974</v>
      </c>
      <c r="C18" s="50">
        <f t="shared" si="4"/>
        <v>0</v>
      </c>
      <c r="D18" s="50">
        <f t="shared" si="4"/>
        <v>0</v>
      </c>
      <c r="E18" s="53">
        <f t="shared" si="4"/>
        <v>0</v>
      </c>
      <c r="F18" s="51">
        <v>0</v>
      </c>
      <c r="G18" s="54">
        <v>0</v>
      </c>
      <c r="H18" s="52">
        <f t="shared" si="0"/>
        <v>0</v>
      </c>
      <c r="I18" s="54">
        <v>0</v>
      </c>
      <c r="J18" s="54">
        <v>0</v>
      </c>
      <c r="K18" s="53">
        <f t="shared" si="5"/>
        <v>0</v>
      </c>
      <c r="L18" s="51">
        <f t="shared" si="1"/>
        <v>0</v>
      </c>
      <c r="M18" s="51">
        <f t="shared" si="1"/>
        <v>0</v>
      </c>
      <c r="N18" s="52">
        <f t="shared" si="2"/>
        <v>0</v>
      </c>
      <c r="O18" s="54">
        <f>AVERAGE(L7:L18)</f>
        <v>0</v>
      </c>
      <c r="P18" s="54">
        <f>AVERAGE(M7:M18)</f>
        <v>0</v>
      </c>
      <c r="Q18" s="56">
        <f t="shared" si="3"/>
        <v>0</v>
      </c>
    </row>
    <row r="19" spans="1:17">
      <c r="A19" s="47">
        <v>91000</v>
      </c>
      <c r="B19" s="49">
        <v>42005</v>
      </c>
      <c r="C19" s="50">
        <f t="shared" si="4"/>
        <v>0</v>
      </c>
      <c r="D19" s="50">
        <f t="shared" si="4"/>
        <v>0</v>
      </c>
      <c r="E19" s="53">
        <f t="shared" si="4"/>
        <v>0</v>
      </c>
      <c r="F19" s="51">
        <v>0</v>
      </c>
      <c r="G19" s="54">
        <v>0</v>
      </c>
      <c r="H19" s="52">
        <f t="shared" si="0"/>
        <v>0</v>
      </c>
      <c r="I19" s="54">
        <v>0</v>
      </c>
      <c r="J19" s="54">
        <v>0</v>
      </c>
      <c r="K19" s="53">
        <f t="shared" si="5"/>
        <v>0</v>
      </c>
      <c r="L19" s="51">
        <f t="shared" si="1"/>
        <v>0</v>
      </c>
      <c r="M19" s="51">
        <f t="shared" si="1"/>
        <v>0</v>
      </c>
      <c r="N19" s="52">
        <f t="shared" si="2"/>
        <v>0</v>
      </c>
      <c r="O19" s="54">
        <f t="shared" ref="O19:P34" si="6">AVERAGE(L7:L19)</f>
        <v>0</v>
      </c>
      <c r="P19" s="54">
        <f t="shared" si="6"/>
        <v>0</v>
      </c>
      <c r="Q19" s="56">
        <f t="shared" si="3"/>
        <v>0</v>
      </c>
    </row>
    <row r="20" spans="1:17">
      <c r="A20" s="47">
        <v>91000</v>
      </c>
      <c r="B20" s="49">
        <v>42036</v>
      </c>
      <c r="C20" s="50">
        <f t="shared" si="4"/>
        <v>0</v>
      </c>
      <c r="D20" s="50">
        <f t="shared" si="4"/>
        <v>0</v>
      </c>
      <c r="E20" s="53">
        <f t="shared" si="4"/>
        <v>0</v>
      </c>
      <c r="F20" s="51">
        <v>0</v>
      </c>
      <c r="G20" s="54">
        <v>0</v>
      </c>
      <c r="H20" s="52">
        <f t="shared" si="0"/>
        <v>0</v>
      </c>
      <c r="I20" s="54">
        <v>0</v>
      </c>
      <c r="J20" s="54">
        <v>0</v>
      </c>
      <c r="K20" s="53">
        <f t="shared" si="5"/>
        <v>0</v>
      </c>
      <c r="L20" s="51">
        <f t="shared" si="1"/>
        <v>0</v>
      </c>
      <c r="M20" s="51">
        <f t="shared" si="1"/>
        <v>0</v>
      </c>
      <c r="N20" s="52">
        <f t="shared" si="2"/>
        <v>0</v>
      </c>
      <c r="O20" s="54">
        <f t="shared" si="6"/>
        <v>0</v>
      </c>
      <c r="P20" s="54">
        <f t="shared" si="6"/>
        <v>0</v>
      </c>
      <c r="Q20" s="56">
        <f t="shared" si="3"/>
        <v>0</v>
      </c>
    </row>
    <row r="21" spans="1:17">
      <c r="A21" s="47">
        <v>91000</v>
      </c>
      <c r="B21" s="49">
        <v>42064</v>
      </c>
      <c r="C21" s="50">
        <f t="shared" si="4"/>
        <v>0</v>
      </c>
      <c r="D21" s="50">
        <f t="shared" si="4"/>
        <v>0</v>
      </c>
      <c r="E21" s="53">
        <f t="shared" si="4"/>
        <v>0</v>
      </c>
      <c r="F21" s="51">
        <v>0</v>
      </c>
      <c r="G21" s="54">
        <v>0</v>
      </c>
      <c r="H21" s="52">
        <f t="shared" si="0"/>
        <v>0</v>
      </c>
      <c r="I21" s="54">
        <v>0</v>
      </c>
      <c r="J21" s="54">
        <v>0</v>
      </c>
      <c r="K21" s="53">
        <f t="shared" si="5"/>
        <v>0</v>
      </c>
      <c r="L21" s="51">
        <f t="shared" si="1"/>
        <v>0</v>
      </c>
      <c r="M21" s="51">
        <f t="shared" si="1"/>
        <v>0</v>
      </c>
      <c r="N21" s="52">
        <f t="shared" si="2"/>
        <v>0</v>
      </c>
      <c r="O21" s="54">
        <f t="shared" si="6"/>
        <v>0</v>
      </c>
      <c r="P21" s="54">
        <f t="shared" si="6"/>
        <v>0</v>
      </c>
      <c r="Q21" s="56">
        <f t="shared" si="3"/>
        <v>0</v>
      </c>
    </row>
    <row r="22" spans="1:17">
      <c r="A22" s="47">
        <v>91000</v>
      </c>
      <c r="B22" s="49">
        <v>42095</v>
      </c>
      <c r="C22" s="50">
        <f t="shared" si="4"/>
        <v>0</v>
      </c>
      <c r="D22" s="50">
        <f t="shared" si="4"/>
        <v>0</v>
      </c>
      <c r="E22" s="53">
        <f t="shared" si="4"/>
        <v>0</v>
      </c>
      <c r="F22" s="51">
        <v>0</v>
      </c>
      <c r="G22" s="54">
        <v>0</v>
      </c>
      <c r="H22" s="52">
        <f t="shared" si="0"/>
        <v>0</v>
      </c>
      <c r="I22" s="54">
        <v>0</v>
      </c>
      <c r="J22" s="54">
        <v>0</v>
      </c>
      <c r="K22" s="53">
        <f t="shared" si="5"/>
        <v>0</v>
      </c>
      <c r="L22" s="51">
        <f t="shared" si="1"/>
        <v>0</v>
      </c>
      <c r="M22" s="51">
        <f t="shared" si="1"/>
        <v>0</v>
      </c>
      <c r="N22" s="52">
        <f t="shared" si="2"/>
        <v>0</v>
      </c>
      <c r="O22" s="54">
        <f t="shared" si="6"/>
        <v>0</v>
      </c>
      <c r="P22" s="54">
        <f t="shared" si="6"/>
        <v>0</v>
      </c>
      <c r="Q22" s="56">
        <f t="shared" si="3"/>
        <v>0</v>
      </c>
    </row>
    <row r="23" spans="1:17">
      <c r="A23" s="47">
        <v>91000</v>
      </c>
      <c r="B23" s="49">
        <v>42125</v>
      </c>
      <c r="C23" s="50">
        <f t="shared" si="4"/>
        <v>0</v>
      </c>
      <c r="D23" s="50">
        <f t="shared" si="4"/>
        <v>0</v>
      </c>
      <c r="E23" s="53">
        <f t="shared" si="4"/>
        <v>0</v>
      </c>
      <c r="F23" s="51">
        <v>0</v>
      </c>
      <c r="G23" s="54">
        <v>0</v>
      </c>
      <c r="H23" s="52">
        <f t="shared" si="0"/>
        <v>0</v>
      </c>
      <c r="I23" s="54">
        <v>0</v>
      </c>
      <c r="J23" s="54">
        <v>0</v>
      </c>
      <c r="K23" s="53">
        <f t="shared" si="5"/>
        <v>0</v>
      </c>
      <c r="L23" s="51">
        <f t="shared" si="1"/>
        <v>0</v>
      </c>
      <c r="M23" s="51">
        <f t="shared" si="1"/>
        <v>0</v>
      </c>
      <c r="N23" s="52">
        <f t="shared" si="2"/>
        <v>0</v>
      </c>
      <c r="O23" s="54">
        <f t="shared" si="6"/>
        <v>0</v>
      </c>
      <c r="P23" s="54">
        <f t="shared" si="6"/>
        <v>0</v>
      </c>
      <c r="Q23" s="56">
        <f t="shared" si="3"/>
        <v>0</v>
      </c>
    </row>
    <row r="24" spans="1:17">
      <c r="A24" s="47">
        <v>91000</v>
      </c>
      <c r="B24" s="49">
        <v>42156</v>
      </c>
      <c r="C24" s="50">
        <f t="shared" si="4"/>
        <v>0</v>
      </c>
      <c r="D24" s="50">
        <f t="shared" si="4"/>
        <v>0</v>
      </c>
      <c r="E24" s="53">
        <f t="shared" si="4"/>
        <v>0</v>
      </c>
      <c r="F24" s="51">
        <v>0</v>
      </c>
      <c r="G24" s="54">
        <v>0</v>
      </c>
      <c r="H24" s="52">
        <f t="shared" si="0"/>
        <v>0</v>
      </c>
      <c r="I24" s="54">
        <v>0</v>
      </c>
      <c r="J24" s="54">
        <v>0</v>
      </c>
      <c r="K24" s="53">
        <f t="shared" si="5"/>
        <v>0</v>
      </c>
      <c r="L24" s="51">
        <f t="shared" si="1"/>
        <v>0</v>
      </c>
      <c r="M24" s="51">
        <f t="shared" si="1"/>
        <v>0</v>
      </c>
      <c r="N24" s="52">
        <f t="shared" si="2"/>
        <v>0</v>
      </c>
      <c r="O24" s="54">
        <f t="shared" si="6"/>
        <v>0</v>
      </c>
      <c r="P24" s="54">
        <f t="shared" si="6"/>
        <v>0</v>
      </c>
      <c r="Q24" s="56">
        <f t="shared" si="3"/>
        <v>0</v>
      </c>
    </row>
    <row r="25" spans="1:17">
      <c r="A25" s="47">
        <v>91000</v>
      </c>
      <c r="B25" s="49">
        <v>42186</v>
      </c>
      <c r="C25" s="50">
        <f t="shared" si="4"/>
        <v>0</v>
      </c>
      <c r="D25" s="50">
        <f t="shared" si="4"/>
        <v>0</v>
      </c>
      <c r="E25" s="53">
        <f t="shared" si="4"/>
        <v>0</v>
      </c>
      <c r="F25" s="51">
        <v>0</v>
      </c>
      <c r="G25" s="54">
        <v>0</v>
      </c>
      <c r="H25" s="52">
        <f t="shared" si="0"/>
        <v>0</v>
      </c>
      <c r="I25" s="54">
        <v>0</v>
      </c>
      <c r="J25" s="54">
        <v>0</v>
      </c>
      <c r="K25" s="53">
        <f t="shared" si="5"/>
        <v>0</v>
      </c>
      <c r="L25" s="51">
        <f t="shared" si="1"/>
        <v>0</v>
      </c>
      <c r="M25" s="51">
        <f t="shared" si="1"/>
        <v>0</v>
      </c>
      <c r="N25" s="52">
        <f t="shared" si="2"/>
        <v>0</v>
      </c>
      <c r="O25" s="54">
        <f t="shared" si="6"/>
        <v>0</v>
      </c>
      <c r="P25" s="54">
        <f t="shared" si="6"/>
        <v>0</v>
      </c>
      <c r="Q25" s="56">
        <f t="shared" si="3"/>
        <v>0</v>
      </c>
    </row>
    <row r="26" spans="1:17">
      <c r="A26" s="47">
        <v>91000</v>
      </c>
      <c r="B26" s="49">
        <v>42217</v>
      </c>
      <c r="C26" s="50">
        <f t="shared" si="4"/>
        <v>0</v>
      </c>
      <c r="D26" s="50">
        <f t="shared" si="4"/>
        <v>0</v>
      </c>
      <c r="E26" s="53">
        <f t="shared" si="4"/>
        <v>0</v>
      </c>
      <c r="F26" s="51">
        <v>0</v>
      </c>
      <c r="G26" s="54">
        <f t="shared" ref="G26:G89" si="7">F26*H26</f>
        <v>0</v>
      </c>
      <c r="H26" s="52">
        <f t="shared" si="0"/>
        <v>0</v>
      </c>
      <c r="I26" s="54">
        <f>VLOOKUP(B26,Data!$A$5:$X$197,24,FALSE)</f>
        <v>0</v>
      </c>
      <c r="J26" s="54">
        <f t="shared" ref="J26" si="8">IF(C26+G26&gt;0,((D26+G26)/(C26+F26)*I26),0)</f>
        <v>0</v>
      </c>
      <c r="K26" s="53">
        <f t="shared" si="5"/>
        <v>0</v>
      </c>
      <c r="L26" s="51">
        <f t="shared" si="1"/>
        <v>0</v>
      </c>
      <c r="M26" s="51">
        <f t="shared" si="1"/>
        <v>0</v>
      </c>
      <c r="N26" s="52">
        <f t="shared" si="2"/>
        <v>0</v>
      </c>
      <c r="O26" s="54">
        <f t="shared" si="6"/>
        <v>0</v>
      </c>
      <c r="P26" s="54">
        <f t="shared" si="6"/>
        <v>0</v>
      </c>
      <c r="Q26" s="56">
        <f t="shared" si="3"/>
        <v>0</v>
      </c>
    </row>
    <row r="27" spans="1:17">
      <c r="A27" s="47">
        <v>91000</v>
      </c>
      <c r="B27" s="49">
        <v>42248</v>
      </c>
      <c r="C27" s="50">
        <f t="shared" si="4"/>
        <v>0</v>
      </c>
      <c r="D27" s="50">
        <f t="shared" si="4"/>
        <v>0</v>
      </c>
      <c r="E27" s="53">
        <f t="shared" si="4"/>
        <v>0</v>
      </c>
      <c r="F27" s="51">
        <f>SUM(I26:I42)</f>
        <v>47762.600000000006</v>
      </c>
      <c r="G27" s="54">
        <f>F27*103.48</f>
        <v>4942473.8480000012</v>
      </c>
      <c r="H27" s="52">
        <f t="shared" si="0"/>
        <v>103.48000000000002</v>
      </c>
      <c r="I27" s="54">
        <v>0</v>
      </c>
      <c r="J27" s="54">
        <f t="shared" ref="J27:J90" si="9">IF(C27+G27&gt;0,((D27+G27)/(C27+F27)*I27),0)</f>
        <v>0</v>
      </c>
      <c r="K27" s="53">
        <f t="shared" ref="K27:K90" si="10">IF(I27=0,0,J27/I27)</f>
        <v>0</v>
      </c>
      <c r="L27" s="51">
        <f t="shared" si="1"/>
        <v>47762.600000000006</v>
      </c>
      <c r="M27" s="51">
        <f t="shared" si="1"/>
        <v>4942473.8480000012</v>
      </c>
      <c r="N27" s="52">
        <f t="shared" si="2"/>
        <v>103.48000000000002</v>
      </c>
      <c r="O27" s="54">
        <f t="shared" si="6"/>
        <v>3674.0461538461541</v>
      </c>
      <c r="P27" s="54">
        <f t="shared" si="6"/>
        <v>380190.29600000009</v>
      </c>
      <c r="Q27" s="56">
        <f t="shared" si="3"/>
        <v>103.48000000000002</v>
      </c>
    </row>
    <row r="28" spans="1:17">
      <c r="A28" s="47">
        <v>91000</v>
      </c>
      <c r="B28" s="49">
        <v>42278</v>
      </c>
      <c r="C28" s="50">
        <f t="shared" si="4"/>
        <v>47762.600000000006</v>
      </c>
      <c r="D28" s="50">
        <f t="shared" si="4"/>
        <v>4942473.8480000012</v>
      </c>
      <c r="E28" s="53">
        <f t="shared" si="4"/>
        <v>103.48000000000002</v>
      </c>
      <c r="F28" s="51">
        <v>0</v>
      </c>
      <c r="G28" s="54">
        <f t="shared" si="7"/>
        <v>0</v>
      </c>
      <c r="H28" s="52">
        <f t="shared" si="0"/>
        <v>0</v>
      </c>
      <c r="I28" s="54">
        <v>0</v>
      </c>
      <c r="J28" s="54">
        <f t="shared" si="9"/>
        <v>0</v>
      </c>
      <c r="K28" s="53">
        <f t="shared" si="10"/>
        <v>0</v>
      </c>
      <c r="L28" s="51">
        <f t="shared" si="1"/>
        <v>47762.600000000006</v>
      </c>
      <c r="M28" s="51">
        <f t="shared" si="1"/>
        <v>4942473.8480000012</v>
      </c>
      <c r="N28" s="52">
        <f t="shared" si="2"/>
        <v>103.48000000000002</v>
      </c>
      <c r="O28" s="54">
        <f t="shared" si="6"/>
        <v>7348.0923076923082</v>
      </c>
      <c r="P28" s="54">
        <f t="shared" si="6"/>
        <v>760380.59200000018</v>
      </c>
      <c r="Q28" s="56">
        <f t="shared" si="3"/>
        <v>103.48000000000002</v>
      </c>
    </row>
    <row r="29" spans="1:17">
      <c r="A29" s="47">
        <v>91000</v>
      </c>
      <c r="B29" s="49">
        <v>42309</v>
      </c>
      <c r="C29" s="50">
        <f t="shared" si="4"/>
        <v>47762.600000000006</v>
      </c>
      <c r="D29" s="50">
        <f t="shared" si="4"/>
        <v>4942473.8480000012</v>
      </c>
      <c r="E29" s="53">
        <f t="shared" si="4"/>
        <v>103.48000000000002</v>
      </c>
      <c r="F29" s="51">
        <v>0</v>
      </c>
      <c r="G29" s="54">
        <f t="shared" si="7"/>
        <v>0</v>
      </c>
      <c r="H29" s="52">
        <f t="shared" si="0"/>
        <v>0</v>
      </c>
      <c r="I29" s="54">
        <f>VLOOKUP(B29,Data!$A$5:$X$197,24,FALSE)</f>
        <v>0</v>
      </c>
      <c r="J29" s="54">
        <f t="shared" si="9"/>
        <v>0</v>
      </c>
      <c r="K29" s="53">
        <f t="shared" si="10"/>
        <v>0</v>
      </c>
      <c r="L29" s="51">
        <f t="shared" si="1"/>
        <v>47762.600000000006</v>
      </c>
      <c r="M29" s="51">
        <f t="shared" si="1"/>
        <v>4942473.8480000012</v>
      </c>
      <c r="N29" s="52">
        <f t="shared" si="2"/>
        <v>103.48000000000002</v>
      </c>
      <c r="O29" s="54">
        <f t="shared" si="6"/>
        <v>11022.138461538463</v>
      </c>
      <c r="P29" s="54">
        <f t="shared" si="6"/>
        <v>1140570.8880000003</v>
      </c>
      <c r="Q29" s="56">
        <f t="shared" si="3"/>
        <v>103.48</v>
      </c>
    </row>
    <row r="30" spans="1:17">
      <c r="A30" s="47">
        <v>91000</v>
      </c>
      <c r="B30" s="49">
        <v>42339</v>
      </c>
      <c r="C30" s="50">
        <f t="shared" si="4"/>
        <v>47762.600000000006</v>
      </c>
      <c r="D30" s="50">
        <f t="shared" si="4"/>
        <v>4942473.8480000012</v>
      </c>
      <c r="E30" s="53">
        <f t="shared" si="4"/>
        <v>103.48000000000002</v>
      </c>
      <c r="F30" s="51">
        <v>0</v>
      </c>
      <c r="G30" s="54">
        <f t="shared" si="7"/>
        <v>0</v>
      </c>
      <c r="H30" s="52">
        <f t="shared" si="0"/>
        <v>0</v>
      </c>
      <c r="I30" s="54">
        <f>VLOOKUP(B30,Data!$A$5:$X$197,24,FALSE)</f>
        <v>0</v>
      </c>
      <c r="J30" s="54">
        <f t="shared" si="9"/>
        <v>0</v>
      </c>
      <c r="K30" s="53">
        <f t="shared" si="10"/>
        <v>0</v>
      </c>
      <c r="L30" s="51">
        <f t="shared" si="1"/>
        <v>47762.600000000006</v>
      </c>
      <c r="M30" s="51">
        <f t="shared" si="1"/>
        <v>4942473.8480000012</v>
      </c>
      <c r="N30" s="52">
        <f t="shared" si="2"/>
        <v>103.48000000000002</v>
      </c>
      <c r="O30" s="54">
        <f t="shared" si="6"/>
        <v>14696.184615384616</v>
      </c>
      <c r="P30" s="54">
        <f t="shared" si="6"/>
        <v>1520761.1840000004</v>
      </c>
      <c r="Q30" s="56">
        <f t="shared" si="3"/>
        <v>103.48000000000002</v>
      </c>
    </row>
    <row r="31" spans="1:17">
      <c r="A31" s="47">
        <v>91000</v>
      </c>
      <c r="B31" s="13">
        <v>42370</v>
      </c>
      <c r="C31" s="16">
        <f t="shared" si="4"/>
        <v>47762.600000000006</v>
      </c>
      <c r="D31" s="16">
        <f t="shared" si="4"/>
        <v>4942473.8480000012</v>
      </c>
      <c r="E31" s="14">
        <f t="shared" si="4"/>
        <v>103.48000000000002</v>
      </c>
      <c r="F31" s="46">
        <v>0</v>
      </c>
      <c r="G31" s="103">
        <f t="shared" si="7"/>
        <v>0</v>
      </c>
      <c r="H31" s="22">
        <f t="shared" si="0"/>
        <v>0</v>
      </c>
      <c r="I31" s="87">
        <f>VLOOKUP(B31,Data!$A$5:$X$197,24,FALSE)</f>
        <v>0</v>
      </c>
      <c r="J31" s="87">
        <f t="shared" si="9"/>
        <v>0</v>
      </c>
      <c r="K31" s="14">
        <f t="shared" si="10"/>
        <v>0</v>
      </c>
      <c r="L31" s="46">
        <f t="shared" si="1"/>
        <v>47762.600000000006</v>
      </c>
      <c r="M31" s="46">
        <f t="shared" si="1"/>
        <v>4942473.8480000012</v>
      </c>
      <c r="N31" s="22">
        <f t="shared" si="2"/>
        <v>103.48000000000002</v>
      </c>
      <c r="O31" s="55">
        <f t="shared" si="6"/>
        <v>18370.230769230773</v>
      </c>
      <c r="P31" s="55">
        <f t="shared" si="6"/>
        <v>1900951.4800000004</v>
      </c>
      <c r="Q31" s="32">
        <f t="shared" si="3"/>
        <v>103.48</v>
      </c>
    </row>
    <row r="32" spans="1:17">
      <c r="A32" s="47">
        <v>91000</v>
      </c>
      <c r="B32" s="13">
        <v>42401</v>
      </c>
      <c r="C32" s="16">
        <f t="shared" si="4"/>
        <v>47762.600000000006</v>
      </c>
      <c r="D32" s="16">
        <f t="shared" si="4"/>
        <v>4942473.8480000012</v>
      </c>
      <c r="E32" s="14">
        <f t="shared" si="4"/>
        <v>103.48000000000002</v>
      </c>
      <c r="F32" s="46">
        <v>0</v>
      </c>
      <c r="G32" s="103">
        <f t="shared" si="7"/>
        <v>0</v>
      </c>
      <c r="H32" s="22">
        <f t="shared" si="0"/>
        <v>0</v>
      </c>
      <c r="I32" s="91">
        <f>VLOOKUP(B32,Data!$A$5:$X$197,24,FALSE)</f>
        <v>0</v>
      </c>
      <c r="J32" s="87">
        <f t="shared" si="9"/>
        <v>0</v>
      </c>
      <c r="K32" s="14">
        <f t="shared" si="10"/>
        <v>0</v>
      </c>
      <c r="L32" s="46">
        <f t="shared" si="1"/>
        <v>47762.600000000006</v>
      </c>
      <c r="M32" s="46">
        <f t="shared" si="1"/>
        <v>4942473.8480000012</v>
      </c>
      <c r="N32" s="22">
        <f t="shared" si="2"/>
        <v>103.48000000000002</v>
      </c>
      <c r="O32" s="55">
        <f t="shared" si="6"/>
        <v>22044.276923076926</v>
      </c>
      <c r="P32" s="55">
        <f t="shared" si="6"/>
        <v>2281141.7760000005</v>
      </c>
      <c r="Q32" s="32">
        <f t="shared" si="3"/>
        <v>103.48</v>
      </c>
    </row>
    <row r="33" spans="1:17">
      <c r="A33" s="47">
        <v>91000</v>
      </c>
      <c r="B33" s="13">
        <v>42430</v>
      </c>
      <c r="C33" s="16">
        <f t="shared" si="4"/>
        <v>47762.600000000006</v>
      </c>
      <c r="D33" s="16">
        <f t="shared" si="4"/>
        <v>4942473.8480000012</v>
      </c>
      <c r="E33" s="14">
        <f t="shared" si="4"/>
        <v>103.48000000000002</v>
      </c>
      <c r="F33" s="46">
        <v>0</v>
      </c>
      <c r="G33" s="103">
        <f t="shared" si="7"/>
        <v>0</v>
      </c>
      <c r="H33" s="22">
        <f t="shared" si="0"/>
        <v>0</v>
      </c>
      <c r="I33" s="91">
        <f>VLOOKUP(B33,Data!$A$5:$X$197,24,FALSE)</f>
        <v>0</v>
      </c>
      <c r="J33" s="87">
        <f t="shared" si="9"/>
        <v>0</v>
      </c>
      <c r="K33" s="14">
        <f t="shared" si="10"/>
        <v>0</v>
      </c>
      <c r="L33" s="46">
        <f t="shared" si="1"/>
        <v>47762.600000000006</v>
      </c>
      <c r="M33" s="46">
        <f t="shared" si="1"/>
        <v>4942473.8480000012</v>
      </c>
      <c r="N33" s="22">
        <f t="shared" si="2"/>
        <v>103.48000000000002</v>
      </c>
      <c r="O33" s="55">
        <f t="shared" si="6"/>
        <v>25718.323076923083</v>
      </c>
      <c r="P33" s="55">
        <f t="shared" si="6"/>
        <v>2661332.0720000002</v>
      </c>
      <c r="Q33" s="32">
        <f t="shared" si="3"/>
        <v>103.47999999999998</v>
      </c>
    </row>
    <row r="34" spans="1:17">
      <c r="A34" s="47">
        <v>91000</v>
      </c>
      <c r="B34" s="13">
        <v>42461</v>
      </c>
      <c r="C34" s="16">
        <f t="shared" si="4"/>
        <v>47762.600000000006</v>
      </c>
      <c r="D34" s="16">
        <f t="shared" si="4"/>
        <v>4942473.8480000012</v>
      </c>
      <c r="E34" s="14">
        <f t="shared" si="4"/>
        <v>103.48000000000002</v>
      </c>
      <c r="F34" s="46">
        <v>0</v>
      </c>
      <c r="G34" s="103">
        <f t="shared" si="7"/>
        <v>0</v>
      </c>
      <c r="H34" s="22">
        <f t="shared" si="0"/>
        <v>0</v>
      </c>
      <c r="I34" s="91">
        <f>VLOOKUP(B34,Data!$A$5:$X$197,24,FALSE)</f>
        <v>0</v>
      </c>
      <c r="J34" s="87">
        <f t="shared" si="9"/>
        <v>0</v>
      </c>
      <c r="K34" s="14">
        <f t="shared" si="10"/>
        <v>0</v>
      </c>
      <c r="L34" s="46">
        <f t="shared" si="1"/>
        <v>47762.600000000006</v>
      </c>
      <c r="M34" s="46">
        <f t="shared" si="1"/>
        <v>4942473.8480000012</v>
      </c>
      <c r="N34" s="22">
        <f t="shared" si="2"/>
        <v>103.48000000000002</v>
      </c>
      <c r="O34" s="55">
        <f t="shared" si="6"/>
        <v>29392.369230769233</v>
      </c>
      <c r="P34" s="55">
        <f t="shared" si="6"/>
        <v>3041522.3680000007</v>
      </c>
      <c r="Q34" s="32">
        <f t="shared" si="3"/>
        <v>103.48000000000002</v>
      </c>
    </row>
    <row r="35" spans="1:17">
      <c r="A35" s="47">
        <v>91000</v>
      </c>
      <c r="B35" s="13">
        <v>42491</v>
      </c>
      <c r="C35" s="16">
        <f t="shared" si="4"/>
        <v>47762.600000000006</v>
      </c>
      <c r="D35" s="16">
        <f t="shared" si="4"/>
        <v>4942473.8480000012</v>
      </c>
      <c r="E35" s="14">
        <f t="shared" si="4"/>
        <v>103.48000000000002</v>
      </c>
      <c r="F35" s="46">
        <v>0</v>
      </c>
      <c r="G35" s="103">
        <f t="shared" si="7"/>
        <v>0</v>
      </c>
      <c r="H35" s="22">
        <f t="shared" si="0"/>
        <v>0</v>
      </c>
      <c r="I35" s="91">
        <f>VLOOKUP(B35,Data!$A$5:$X$197,24,FALSE)</f>
        <v>19105.04</v>
      </c>
      <c r="J35" s="87">
        <f t="shared" si="9"/>
        <v>1976989.5392000005</v>
      </c>
      <c r="K35" s="14">
        <f t="shared" si="10"/>
        <v>103.48000000000002</v>
      </c>
      <c r="L35" s="46">
        <f t="shared" si="1"/>
        <v>28657.560000000005</v>
      </c>
      <c r="M35" s="46">
        <f t="shared" si="1"/>
        <v>2965484.3088000007</v>
      </c>
      <c r="N35" s="22">
        <f t="shared" si="2"/>
        <v>103.48</v>
      </c>
      <c r="O35" s="55">
        <f t="shared" ref="O35:P50" si="11">AVERAGE(L23:L35)</f>
        <v>31596.796923076927</v>
      </c>
      <c r="P35" s="55">
        <f t="shared" si="11"/>
        <v>3269636.5456000003</v>
      </c>
      <c r="Q35" s="32">
        <f t="shared" si="3"/>
        <v>103.48</v>
      </c>
    </row>
    <row r="36" spans="1:17">
      <c r="A36" s="47">
        <v>91000</v>
      </c>
      <c r="B36" s="13">
        <v>42522</v>
      </c>
      <c r="C36" s="16">
        <f t="shared" si="4"/>
        <v>28657.560000000005</v>
      </c>
      <c r="D36" s="16">
        <f t="shared" si="4"/>
        <v>2965484.3088000007</v>
      </c>
      <c r="E36" s="14">
        <f t="shared" si="4"/>
        <v>103.48</v>
      </c>
      <c r="F36" s="46">
        <v>0</v>
      </c>
      <c r="G36" s="103">
        <f t="shared" si="7"/>
        <v>0</v>
      </c>
      <c r="H36" s="22">
        <f t="shared" si="0"/>
        <v>0</v>
      </c>
      <c r="I36" s="91">
        <f>VLOOKUP(B36,Data!$A$5:$X$197,24,FALSE)</f>
        <v>0</v>
      </c>
      <c r="J36" s="87">
        <f t="shared" si="9"/>
        <v>0</v>
      </c>
      <c r="K36" s="14">
        <f t="shared" si="10"/>
        <v>0</v>
      </c>
      <c r="L36" s="46">
        <f t="shared" si="1"/>
        <v>28657.560000000005</v>
      </c>
      <c r="M36" s="46">
        <f t="shared" si="1"/>
        <v>2965484.3088000007</v>
      </c>
      <c r="N36" s="22">
        <f t="shared" si="2"/>
        <v>103.48</v>
      </c>
      <c r="O36" s="55">
        <f t="shared" si="11"/>
        <v>33801.224615384621</v>
      </c>
      <c r="P36" s="55">
        <f t="shared" si="11"/>
        <v>3497750.7232000004</v>
      </c>
      <c r="Q36" s="32">
        <f t="shared" si="3"/>
        <v>103.47999999999999</v>
      </c>
    </row>
    <row r="37" spans="1:17">
      <c r="A37" s="47">
        <v>91000</v>
      </c>
      <c r="B37" s="13">
        <v>42552</v>
      </c>
      <c r="C37" s="16">
        <f t="shared" si="4"/>
        <v>28657.560000000005</v>
      </c>
      <c r="D37" s="16">
        <f t="shared" si="4"/>
        <v>2965484.3088000007</v>
      </c>
      <c r="E37" s="14">
        <f t="shared" si="4"/>
        <v>103.48</v>
      </c>
      <c r="F37" s="46">
        <v>0</v>
      </c>
      <c r="G37" s="103">
        <f t="shared" si="7"/>
        <v>0</v>
      </c>
      <c r="H37" s="22">
        <f t="shared" si="0"/>
        <v>0</v>
      </c>
      <c r="I37" s="91">
        <f>VLOOKUP(B37,Data!$A$5:$X$197,24,FALSE)</f>
        <v>9552.52</v>
      </c>
      <c r="J37" s="87">
        <f t="shared" si="9"/>
        <v>988494.76960000012</v>
      </c>
      <c r="K37" s="14">
        <f t="shared" si="10"/>
        <v>103.48</v>
      </c>
      <c r="L37" s="46">
        <f t="shared" si="1"/>
        <v>19105.040000000005</v>
      </c>
      <c r="M37" s="46">
        <f t="shared" si="1"/>
        <v>1976989.5392000005</v>
      </c>
      <c r="N37" s="22">
        <f t="shared" si="2"/>
        <v>103.48</v>
      </c>
      <c r="O37" s="55">
        <f t="shared" si="11"/>
        <v>35270.843076923076</v>
      </c>
      <c r="P37" s="55">
        <f t="shared" si="11"/>
        <v>3649826.8416000004</v>
      </c>
      <c r="Q37" s="32">
        <f t="shared" si="3"/>
        <v>103.48000000000002</v>
      </c>
    </row>
    <row r="38" spans="1:17">
      <c r="A38" s="47">
        <v>91000</v>
      </c>
      <c r="B38" s="13">
        <v>42583</v>
      </c>
      <c r="C38" s="16">
        <f t="shared" si="4"/>
        <v>19105.040000000005</v>
      </c>
      <c r="D38" s="16">
        <f t="shared" si="4"/>
        <v>1976989.5392000005</v>
      </c>
      <c r="E38" s="14">
        <f t="shared" si="4"/>
        <v>103.48</v>
      </c>
      <c r="F38" s="46">
        <v>0</v>
      </c>
      <c r="G38" s="103">
        <f t="shared" si="7"/>
        <v>0</v>
      </c>
      <c r="H38" s="22">
        <f t="shared" si="0"/>
        <v>0</v>
      </c>
      <c r="I38" s="91">
        <f>VLOOKUP(B38,Data!$A$5:$X$197,24,FALSE)</f>
        <v>9552.52</v>
      </c>
      <c r="J38" s="87">
        <f t="shared" si="9"/>
        <v>988494.76960000012</v>
      </c>
      <c r="K38" s="14">
        <f t="shared" si="10"/>
        <v>103.48</v>
      </c>
      <c r="L38" s="46">
        <f t="shared" si="1"/>
        <v>9552.5200000000041</v>
      </c>
      <c r="M38" s="46">
        <f t="shared" si="1"/>
        <v>988494.76960000035</v>
      </c>
      <c r="N38" s="22">
        <f t="shared" si="2"/>
        <v>103.47999999999999</v>
      </c>
      <c r="O38" s="55">
        <f t="shared" si="11"/>
        <v>36005.652307692311</v>
      </c>
      <c r="P38" s="55">
        <f t="shared" si="11"/>
        <v>3725864.9008000004</v>
      </c>
      <c r="Q38" s="32">
        <f t="shared" si="3"/>
        <v>103.48</v>
      </c>
    </row>
    <row r="39" spans="1:17">
      <c r="A39" s="47">
        <v>91000</v>
      </c>
      <c r="B39" s="13">
        <v>42614</v>
      </c>
      <c r="C39" s="16">
        <f t="shared" si="4"/>
        <v>9552.5200000000041</v>
      </c>
      <c r="D39" s="16">
        <f t="shared" si="4"/>
        <v>988494.76960000035</v>
      </c>
      <c r="E39" s="14">
        <f t="shared" si="4"/>
        <v>103.47999999999999</v>
      </c>
      <c r="F39" s="46">
        <v>0</v>
      </c>
      <c r="G39" s="103">
        <f t="shared" si="7"/>
        <v>0</v>
      </c>
      <c r="H39" s="22">
        <f t="shared" si="0"/>
        <v>0</v>
      </c>
      <c r="I39" s="91">
        <f>VLOOKUP(B39,Data!$A$5:$X$197,24,FALSE)</f>
        <v>0</v>
      </c>
      <c r="J39" s="87">
        <f t="shared" si="9"/>
        <v>0</v>
      </c>
      <c r="K39" s="14">
        <f t="shared" si="10"/>
        <v>0</v>
      </c>
      <c r="L39" s="46">
        <f t="shared" si="1"/>
        <v>9552.5200000000041</v>
      </c>
      <c r="M39" s="46">
        <f t="shared" si="1"/>
        <v>988494.76960000035</v>
      </c>
      <c r="N39" s="22">
        <f t="shared" si="2"/>
        <v>103.47999999999999</v>
      </c>
      <c r="O39" s="55">
        <f t="shared" si="11"/>
        <v>36740.461538461546</v>
      </c>
      <c r="P39" s="55">
        <f t="shared" si="11"/>
        <v>3801902.9600000009</v>
      </c>
      <c r="Q39" s="32">
        <f t="shared" si="3"/>
        <v>103.48</v>
      </c>
    </row>
    <row r="40" spans="1:17">
      <c r="A40" s="47">
        <v>91000</v>
      </c>
      <c r="B40" s="13">
        <v>42644</v>
      </c>
      <c r="C40" s="16">
        <f t="shared" si="4"/>
        <v>9552.5200000000041</v>
      </c>
      <c r="D40" s="16">
        <f t="shared" si="4"/>
        <v>988494.76960000035</v>
      </c>
      <c r="E40" s="14">
        <f t="shared" si="4"/>
        <v>103.47999999999999</v>
      </c>
      <c r="F40" s="46">
        <v>0</v>
      </c>
      <c r="G40" s="103">
        <f t="shared" si="7"/>
        <v>0</v>
      </c>
      <c r="H40" s="22">
        <f t="shared" si="0"/>
        <v>0</v>
      </c>
      <c r="I40" s="91">
        <f>VLOOKUP(B40,Data!$A$5:$X$197,24,FALSE)</f>
        <v>9552.52</v>
      </c>
      <c r="J40" s="87">
        <f t="shared" si="9"/>
        <v>988494.7696</v>
      </c>
      <c r="K40" s="14">
        <f t="shared" si="10"/>
        <v>103.47999999999999</v>
      </c>
      <c r="L40" s="46">
        <f t="shared" si="1"/>
        <v>0</v>
      </c>
      <c r="M40" s="46">
        <f t="shared" si="1"/>
        <v>0</v>
      </c>
      <c r="N40" s="22">
        <f t="shared" si="2"/>
        <v>0</v>
      </c>
      <c r="O40" s="55">
        <f t="shared" si="11"/>
        <v>33066.415384615393</v>
      </c>
      <c r="P40" s="55">
        <f t="shared" si="11"/>
        <v>3421712.6640000003</v>
      </c>
      <c r="Q40" s="32">
        <f t="shared" si="3"/>
        <v>103.47999999999999</v>
      </c>
    </row>
    <row r="41" spans="1:17">
      <c r="A41" s="47">
        <v>91000</v>
      </c>
      <c r="B41" s="13">
        <v>42675</v>
      </c>
      <c r="C41" s="16">
        <f t="shared" si="4"/>
        <v>0</v>
      </c>
      <c r="D41" s="16">
        <f t="shared" si="4"/>
        <v>0</v>
      </c>
      <c r="E41" s="14">
        <f t="shared" si="4"/>
        <v>0</v>
      </c>
      <c r="F41" s="46">
        <v>0</v>
      </c>
      <c r="G41" s="103">
        <f t="shared" si="7"/>
        <v>0</v>
      </c>
      <c r="H41" s="22">
        <f t="shared" si="0"/>
        <v>0</v>
      </c>
      <c r="I41" s="91">
        <f>VLOOKUP(B41,Data!$A$5:$X$197,24,FALSE)</f>
        <v>0</v>
      </c>
      <c r="J41" s="87">
        <f t="shared" si="9"/>
        <v>0</v>
      </c>
      <c r="K41" s="14">
        <f t="shared" si="10"/>
        <v>0</v>
      </c>
      <c r="L41" s="46">
        <f t="shared" si="1"/>
        <v>0</v>
      </c>
      <c r="M41" s="46">
        <f t="shared" si="1"/>
        <v>0</v>
      </c>
      <c r="N41" s="22">
        <f t="shared" si="2"/>
        <v>0</v>
      </c>
      <c r="O41" s="55">
        <f t="shared" si="11"/>
        <v>29392.369230769233</v>
      </c>
      <c r="P41" s="55">
        <f t="shared" si="11"/>
        <v>3041522.3680000012</v>
      </c>
      <c r="Q41" s="32">
        <f t="shared" si="3"/>
        <v>103.48000000000003</v>
      </c>
    </row>
    <row r="42" spans="1:17">
      <c r="A42" s="47">
        <v>91000</v>
      </c>
      <c r="B42" s="13">
        <v>42705</v>
      </c>
      <c r="C42" s="16">
        <f t="shared" si="4"/>
        <v>0</v>
      </c>
      <c r="D42" s="16">
        <f t="shared" si="4"/>
        <v>0</v>
      </c>
      <c r="E42" s="14">
        <f t="shared" si="4"/>
        <v>0</v>
      </c>
      <c r="F42" s="46">
        <v>0</v>
      </c>
      <c r="G42" s="103">
        <f t="shared" si="7"/>
        <v>0</v>
      </c>
      <c r="H42" s="22">
        <f t="shared" si="0"/>
        <v>0</v>
      </c>
      <c r="I42" s="91">
        <f>VLOOKUP(B42,Data!$A$5:$X$197,24,FALSE)</f>
        <v>0</v>
      </c>
      <c r="J42" s="87">
        <f t="shared" si="9"/>
        <v>0</v>
      </c>
      <c r="K42" s="14">
        <f t="shared" si="10"/>
        <v>0</v>
      </c>
      <c r="L42" s="46">
        <f t="shared" si="1"/>
        <v>0</v>
      </c>
      <c r="M42" s="46">
        <f t="shared" si="1"/>
        <v>0</v>
      </c>
      <c r="N42" s="22">
        <f t="shared" si="2"/>
        <v>0</v>
      </c>
      <c r="O42" s="55">
        <f t="shared" si="11"/>
        <v>25718.323076923083</v>
      </c>
      <c r="P42" s="55">
        <f t="shared" si="11"/>
        <v>2661332.0720000011</v>
      </c>
      <c r="Q42" s="32">
        <f t="shared" si="3"/>
        <v>103.48000000000002</v>
      </c>
    </row>
    <row r="43" spans="1:17">
      <c r="A43" s="47">
        <v>91000</v>
      </c>
      <c r="B43" s="13">
        <v>42736</v>
      </c>
      <c r="C43" s="16">
        <f t="shared" si="4"/>
        <v>0</v>
      </c>
      <c r="D43" s="16">
        <f t="shared" si="4"/>
        <v>0</v>
      </c>
      <c r="E43" s="14">
        <f t="shared" si="4"/>
        <v>0</v>
      </c>
      <c r="F43" s="46">
        <v>0</v>
      </c>
      <c r="G43" s="103">
        <f t="shared" si="7"/>
        <v>0</v>
      </c>
      <c r="H43" s="22">
        <f t="shared" si="0"/>
        <v>0</v>
      </c>
      <c r="I43" s="91">
        <f>VLOOKUP(B43,Data!$A$5:$X$197,24,FALSE)</f>
        <v>0</v>
      </c>
      <c r="J43" s="87">
        <f t="shared" si="9"/>
        <v>0</v>
      </c>
      <c r="K43" s="14">
        <f t="shared" si="10"/>
        <v>0</v>
      </c>
      <c r="L43" s="46">
        <f t="shared" si="1"/>
        <v>0</v>
      </c>
      <c r="M43" s="46">
        <f t="shared" si="1"/>
        <v>0</v>
      </c>
      <c r="N43" s="22">
        <f t="shared" si="2"/>
        <v>0</v>
      </c>
      <c r="O43" s="55">
        <f t="shared" si="11"/>
        <v>22044.276923076926</v>
      </c>
      <c r="P43" s="55">
        <f t="shared" si="11"/>
        <v>2281141.7760000005</v>
      </c>
      <c r="Q43" s="32">
        <f t="shared" si="3"/>
        <v>103.48</v>
      </c>
    </row>
    <row r="44" spans="1:17">
      <c r="A44" s="47">
        <v>91000</v>
      </c>
      <c r="B44" s="13">
        <v>42767</v>
      </c>
      <c r="C44" s="16">
        <f t="shared" si="4"/>
        <v>0</v>
      </c>
      <c r="D44" s="16">
        <f t="shared" si="4"/>
        <v>0</v>
      </c>
      <c r="E44" s="14">
        <f t="shared" si="4"/>
        <v>0</v>
      </c>
      <c r="F44" s="46">
        <v>0</v>
      </c>
      <c r="G44" s="103">
        <f t="shared" si="7"/>
        <v>0</v>
      </c>
      <c r="H44" s="22">
        <f t="shared" si="0"/>
        <v>0</v>
      </c>
      <c r="I44" s="91">
        <f>VLOOKUP(B44,Data!$A$5:$X$197,24,FALSE)</f>
        <v>0</v>
      </c>
      <c r="J44" s="87">
        <f t="shared" si="9"/>
        <v>0</v>
      </c>
      <c r="K44" s="14">
        <f t="shared" si="10"/>
        <v>0</v>
      </c>
      <c r="L44" s="46">
        <f t="shared" si="1"/>
        <v>0</v>
      </c>
      <c r="M44" s="46">
        <f t="shared" si="1"/>
        <v>0</v>
      </c>
      <c r="N44" s="22">
        <f t="shared" si="2"/>
        <v>0</v>
      </c>
      <c r="O44" s="55">
        <f t="shared" si="11"/>
        <v>18370.230769230773</v>
      </c>
      <c r="P44" s="55">
        <f t="shared" si="11"/>
        <v>1900951.4800000004</v>
      </c>
      <c r="Q44" s="32">
        <f t="shared" si="3"/>
        <v>103.48</v>
      </c>
    </row>
    <row r="45" spans="1:17">
      <c r="A45" s="47">
        <v>91000</v>
      </c>
      <c r="B45" s="13">
        <v>42795</v>
      </c>
      <c r="C45" s="16">
        <f t="shared" si="4"/>
        <v>0</v>
      </c>
      <c r="D45" s="16">
        <f t="shared" si="4"/>
        <v>0</v>
      </c>
      <c r="E45" s="14">
        <f t="shared" si="4"/>
        <v>0</v>
      </c>
      <c r="F45" s="46">
        <v>0</v>
      </c>
      <c r="G45" s="103">
        <f t="shared" si="7"/>
        <v>0</v>
      </c>
      <c r="H45" s="22">
        <f t="shared" si="0"/>
        <v>0</v>
      </c>
      <c r="I45" s="91">
        <f>VLOOKUP(B45,Data!$A$5:$X$197,24,FALSE)</f>
        <v>0</v>
      </c>
      <c r="J45" s="87">
        <f t="shared" si="9"/>
        <v>0</v>
      </c>
      <c r="K45" s="14">
        <f t="shared" si="10"/>
        <v>0</v>
      </c>
      <c r="L45" s="46">
        <f t="shared" si="1"/>
        <v>0</v>
      </c>
      <c r="M45" s="46">
        <f t="shared" si="1"/>
        <v>0</v>
      </c>
      <c r="N45" s="22">
        <f t="shared" si="2"/>
        <v>0</v>
      </c>
      <c r="O45" s="55">
        <f t="shared" si="11"/>
        <v>14696.184615384616</v>
      </c>
      <c r="P45" s="55">
        <f t="shared" si="11"/>
        <v>1520761.1840000004</v>
      </c>
      <c r="Q45" s="32">
        <f t="shared" si="3"/>
        <v>103.48000000000002</v>
      </c>
    </row>
    <row r="46" spans="1:17">
      <c r="A46" s="47">
        <v>91000</v>
      </c>
      <c r="B46" s="13">
        <v>42826</v>
      </c>
      <c r="C46" s="16">
        <f t="shared" si="4"/>
        <v>0</v>
      </c>
      <c r="D46" s="16">
        <f t="shared" si="4"/>
        <v>0</v>
      </c>
      <c r="E46" s="14">
        <f t="shared" si="4"/>
        <v>0</v>
      </c>
      <c r="F46" s="46">
        <v>0</v>
      </c>
      <c r="G46" s="103">
        <f t="shared" si="7"/>
        <v>0</v>
      </c>
      <c r="H46" s="22">
        <f t="shared" si="0"/>
        <v>0</v>
      </c>
      <c r="I46" s="91">
        <f>VLOOKUP(B46,Data!$A$5:$X$197,24,FALSE)</f>
        <v>0</v>
      </c>
      <c r="J46" s="87">
        <f t="shared" si="9"/>
        <v>0</v>
      </c>
      <c r="K46" s="14">
        <f t="shared" si="10"/>
        <v>0</v>
      </c>
      <c r="L46" s="46">
        <f t="shared" si="1"/>
        <v>0</v>
      </c>
      <c r="M46" s="46">
        <f t="shared" si="1"/>
        <v>0</v>
      </c>
      <c r="N46" s="22">
        <f t="shared" si="2"/>
        <v>0</v>
      </c>
      <c r="O46" s="55">
        <f t="shared" si="11"/>
        <v>11022.138461538465</v>
      </c>
      <c r="P46" s="55">
        <f t="shared" si="11"/>
        <v>1140570.8880000003</v>
      </c>
      <c r="Q46" s="32">
        <f t="shared" si="3"/>
        <v>103.47999999999999</v>
      </c>
    </row>
    <row r="47" spans="1:17">
      <c r="A47" s="47">
        <v>91000</v>
      </c>
      <c r="B47" s="13">
        <v>42856</v>
      </c>
      <c r="C47" s="16">
        <f t="shared" si="4"/>
        <v>0</v>
      </c>
      <c r="D47" s="16">
        <f t="shared" si="4"/>
        <v>0</v>
      </c>
      <c r="E47" s="14">
        <f t="shared" si="4"/>
        <v>0</v>
      </c>
      <c r="F47" s="46">
        <v>0</v>
      </c>
      <c r="G47" s="103">
        <f t="shared" si="7"/>
        <v>0</v>
      </c>
      <c r="H47" s="22">
        <f t="shared" si="0"/>
        <v>0</v>
      </c>
      <c r="I47" s="91">
        <f>VLOOKUP(B47,Data!$A$5:$X$197,24,FALSE)</f>
        <v>0</v>
      </c>
      <c r="J47" s="87">
        <f t="shared" si="9"/>
        <v>0</v>
      </c>
      <c r="K47" s="14">
        <f t="shared" si="10"/>
        <v>0</v>
      </c>
      <c r="L47" s="46">
        <f t="shared" si="1"/>
        <v>0</v>
      </c>
      <c r="M47" s="46">
        <f t="shared" si="1"/>
        <v>0</v>
      </c>
      <c r="N47" s="22">
        <f t="shared" si="2"/>
        <v>0</v>
      </c>
      <c r="O47" s="55">
        <f t="shared" si="11"/>
        <v>7348.09230769231</v>
      </c>
      <c r="P47" s="55">
        <f t="shared" si="11"/>
        <v>760380.59200000018</v>
      </c>
      <c r="Q47" s="32">
        <f t="shared" si="3"/>
        <v>103.47999999999999</v>
      </c>
    </row>
    <row r="48" spans="1:17">
      <c r="A48" s="47">
        <v>91000</v>
      </c>
      <c r="B48" s="13">
        <v>42887</v>
      </c>
      <c r="C48" s="16">
        <f t="shared" si="4"/>
        <v>0</v>
      </c>
      <c r="D48" s="16">
        <f t="shared" si="4"/>
        <v>0</v>
      </c>
      <c r="E48" s="14">
        <f t="shared" si="4"/>
        <v>0</v>
      </c>
      <c r="F48" s="46">
        <v>0</v>
      </c>
      <c r="G48" s="103">
        <f t="shared" si="7"/>
        <v>0</v>
      </c>
      <c r="H48" s="22">
        <f t="shared" si="0"/>
        <v>0</v>
      </c>
      <c r="I48" s="91">
        <f>VLOOKUP(B48,Data!$A$5:$X$197,24,FALSE)</f>
        <v>0</v>
      </c>
      <c r="J48" s="87">
        <f t="shared" si="9"/>
        <v>0</v>
      </c>
      <c r="K48" s="14">
        <f t="shared" si="10"/>
        <v>0</v>
      </c>
      <c r="L48" s="46">
        <f t="shared" si="1"/>
        <v>0</v>
      </c>
      <c r="M48" s="46">
        <f t="shared" si="1"/>
        <v>0</v>
      </c>
      <c r="N48" s="22">
        <f t="shared" si="2"/>
        <v>0</v>
      </c>
      <c r="O48" s="55">
        <f t="shared" si="11"/>
        <v>5143.6646153846168</v>
      </c>
      <c r="P48" s="55">
        <f t="shared" si="11"/>
        <v>532266.41440000013</v>
      </c>
      <c r="Q48" s="32">
        <f t="shared" si="3"/>
        <v>103.47999999999999</v>
      </c>
    </row>
    <row r="49" spans="1:17">
      <c r="A49" s="47">
        <v>91000</v>
      </c>
      <c r="B49" s="13">
        <v>42917</v>
      </c>
      <c r="C49" s="16">
        <f t="shared" ref="C49:E64" si="12">L48</f>
        <v>0</v>
      </c>
      <c r="D49" s="16">
        <f t="shared" si="12"/>
        <v>0</v>
      </c>
      <c r="E49" s="14">
        <f t="shared" si="12"/>
        <v>0</v>
      </c>
      <c r="F49" s="46">
        <v>0</v>
      </c>
      <c r="G49" s="103">
        <f t="shared" si="7"/>
        <v>0</v>
      </c>
      <c r="H49" s="22">
        <f t="shared" si="0"/>
        <v>0</v>
      </c>
      <c r="I49" s="91">
        <f>VLOOKUP(B49,Data!$A$5:$X$197,24,FALSE)</f>
        <v>0</v>
      </c>
      <c r="J49" s="87">
        <f t="shared" si="9"/>
        <v>0</v>
      </c>
      <c r="K49" s="14">
        <f t="shared" si="10"/>
        <v>0</v>
      </c>
      <c r="L49" s="46">
        <f t="shared" si="1"/>
        <v>0</v>
      </c>
      <c r="M49" s="46">
        <f t="shared" si="1"/>
        <v>0</v>
      </c>
      <c r="N49" s="22">
        <f t="shared" si="2"/>
        <v>0</v>
      </c>
      <c r="O49" s="55">
        <f t="shared" si="11"/>
        <v>2939.2369230769245</v>
      </c>
      <c r="P49" s="55">
        <f t="shared" si="11"/>
        <v>304152.23680000007</v>
      </c>
      <c r="Q49" s="32">
        <f t="shared" si="3"/>
        <v>103.47999999999998</v>
      </c>
    </row>
    <row r="50" spans="1:17">
      <c r="A50" s="47">
        <v>91000</v>
      </c>
      <c r="B50" s="13">
        <v>42948</v>
      </c>
      <c r="C50" s="16">
        <f t="shared" si="12"/>
        <v>0</v>
      </c>
      <c r="D50" s="16">
        <f t="shared" si="12"/>
        <v>0</v>
      </c>
      <c r="E50" s="14">
        <f t="shared" si="12"/>
        <v>0</v>
      </c>
      <c r="F50" s="46">
        <v>0</v>
      </c>
      <c r="G50" s="103">
        <f t="shared" si="7"/>
        <v>0</v>
      </c>
      <c r="H50" s="22">
        <f t="shared" si="0"/>
        <v>0</v>
      </c>
      <c r="I50" s="91">
        <f>VLOOKUP(B50,Data!$A$5:$X$197,24,FALSE)</f>
        <v>0</v>
      </c>
      <c r="J50" s="87">
        <f t="shared" si="9"/>
        <v>0</v>
      </c>
      <c r="K50" s="14">
        <f t="shared" si="10"/>
        <v>0</v>
      </c>
      <c r="L50" s="46">
        <f t="shared" si="1"/>
        <v>0</v>
      </c>
      <c r="M50" s="46">
        <f t="shared" si="1"/>
        <v>0</v>
      </c>
      <c r="N50" s="22">
        <f t="shared" si="2"/>
        <v>0</v>
      </c>
      <c r="O50" s="55">
        <f t="shared" si="11"/>
        <v>1469.6184615384623</v>
      </c>
      <c r="P50" s="55">
        <f t="shared" si="11"/>
        <v>152076.11840000006</v>
      </c>
      <c r="Q50" s="32">
        <f t="shared" si="3"/>
        <v>103.47999999999999</v>
      </c>
    </row>
    <row r="51" spans="1:17">
      <c r="A51" s="47">
        <v>91000</v>
      </c>
      <c r="B51" s="13">
        <v>42979</v>
      </c>
      <c r="C51" s="16">
        <f t="shared" si="12"/>
        <v>0</v>
      </c>
      <c r="D51" s="16">
        <f t="shared" si="12"/>
        <v>0</v>
      </c>
      <c r="E51" s="14">
        <f t="shared" si="12"/>
        <v>0</v>
      </c>
      <c r="F51" s="46">
        <v>0</v>
      </c>
      <c r="G51" s="103">
        <f t="shared" si="7"/>
        <v>0</v>
      </c>
      <c r="H51" s="22">
        <f t="shared" si="0"/>
        <v>0</v>
      </c>
      <c r="I51" s="91">
        <f>VLOOKUP(B51,Data!$A$5:$X$197,24,FALSE)</f>
        <v>0</v>
      </c>
      <c r="J51" s="87">
        <f t="shared" si="9"/>
        <v>0</v>
      </c>
      <c r="K51" s="14">
        <f t="shared" si="10"/>
        <v>0</v>
      </c>
      <c r="L51" s="46">
        <f t="shared" si="1"/>
        <v>0</v>
      </c>
      <c r="M51" s="46">
        <f t="shared" si="1"/>
        <v>0</v>
      </c>
      <c r="N51" s="22">
        <f t="shared" si="2"/>
        <v>0</v>
      </c>
      <c r="O51" s="55">
        <f t="shared" ref="O51:P66" si="13">AVERAGE(L39:L51)</f>
        <v>734.80923076923114</v>
      </c>
      <c r="P51" s="55">
        <f t="shared" si="13"/>
        <v>76038.059200000032</v>
      </c>
      <c r="Q51" s="32">
        <f t="shared" si="3"/>
        <v>103.47999999999999</v>
      </c>
    </row>
    <row r="52" spans="1:17">
      <c r="A52" s="47">
        <v>91000</v>
      </c>
      <c r="B52" s="13">
        <v>43009</v>
      </c>
      <c r="C52" s="16">
        <f t="shared" si="12"/>
        <v>0</v>
      </c>
      <c r="D52" s="16">
        <f t="shared" si="12"/>
        <v>0</v>
      </c>
      <c r="E52" s="14">
        <f t="shared" si="12"/>
        <v>0</v>
      </c>
      <c r="F52" s="46">
        <v>0</v>
      </c>
      <c r="G52" s="103">
        <f t="shared" si="7"/>
        <v>0</v>
      </c>
      <c r="H52" s="22">
        <f t="shared" si="0"/>
        <v>0</v>
      </c>
      <c r="I52" s="91">
        <f>VLOOKUP(B52,Data!$A$5:$X$197,24,FALSE)</f>
        <v>0</v>
      </c>
      <c r="J52" s="87">
        <f t="shared" si="9"/>
        <v>0</v>
      </c>
      <c r="K52" s="14">
        <f t="shared" si="10"/>
        <v>0</v>
      </c>
      <c r="L52" s="46">
        <f t="shared" si="1"/>
        <v>0</v>
      </c>
      <c r="M52" s="46">
        <f t="shared" si="1"/>
        <v>0</v>
      </c>
      <c r="N52" s="22">
        <f t="shared" si="2"/>
        <v>0</v>
      </c>
      <c r="O52" s="55">
        <f t="shared" si="13"/>
        <v>0</v>
      </c>
      <c r="P52" s="55">
        <f t="shared" si="13"/>
        <v>0</v>
      </c>
      <c r="Q52" s="32">
        <f t="shared" si="3"/>
        <v>0</v>
      </c>
    </row>
    <row r="53" spans="1:17">
      <c r="A53" s="47">
        <v>91000</v>
      </c>
      <c r="B53" s="13">
        <v>43040</v>
      </c>
      <c r="C53" s="16">
        <f t="shared" si="12"/>
        <v>0</v>
      </c>
      <c r="D53" s="16">
        <f t="shared" si="12"/>
        <v>0</v>
      </c>
      <c r="E53" s="14">
        <f t="shared" si="12"/>
        <v>0</v>
      </c>
      <c r="F53" s="46">
        <v>0</v>
      </c>
      <c r="G53" s="103">
        <f t="shared" si="7"/>
        <v>0</v>
      </c>
      <c r="H53" s="22">
        <f t="shared" si="0"/>
        <v>0</v>
      </c>
      <c r="I53" s="91">
        <f>VLOOKUP(B53,Data!$A$5:$X$197,24,FALSE)</f>
        <v>0</v>
      </c>
      <c r="J53" s="87">
        <f t="shared" si="9"/>
        <v>0</v>
      </c>
      <c r="K53" s="14">
        <f t="shared" si="10"/>
        <v>0</v>
      </c>
      <c r="L53" s="46">
        <f t="shared" si="1"/>
        <v>0</v>
      </c>
      <c r="M53" s="46">
        <f t="shared" si="1"/>
        <v>0</v>
      </c>
      <c r="N53" s="22">
        <f t="shared" si="2"/>
        <v>0</v>
      </c>
      <c r="O53" s="55">
        <f t="shared" si="13"/>
        <v>0</v>
      </c>
      <c r="P53" s="55">
        <f t="shared" si="13"/>
        <v>0</v>
      </c>
      <c r="Q53" s="32">
        <f t="shared" si="3"/>
        <v>0</v>
      </c>
    </row>
    <row r="54" spans="1:17">
      <c r="A54" s="47">
        <v>91000</v>
      </c>
      <c r="B54" s="13">
        <v>43070</v>
      </c>
      <c r="C54" s="16">
        <f t="shared" si="12"/>
        <v>0</v>
      </c>
      <c r="D54" s="16">
        <f t="shared" si="12"/>
        <v>0</v>
      </c>
      <c r="E54" s="14">
        <f t="shared" si="12"/>
        <v>0</v>
      </c>
      <c r="F54" s="46">
        <v>0</v>
      </c>
      <c r="G54" s="103">
        <f t="shared" si="7"/>
        <v>0</v>
      </c>
      <c r="H54" s="22">
        <f t="shared" si="0"/>
        <v>0</v>
      </c>
      <c r="I54" s="91">
        <f>VLOOKUP(B54,Data!$A$5:$X$197,24,FALSE)</f>
        <v>0</v>
      </c>
      <c r="J54" s="87">
        <f t="shared" si="9"/>
        <v>0</v>
      </c>
      <c r="K54" s="14">
        <f t="shared" si="10"/>
        <v>0</v>
      </c>
      <c r="L54" s="46">
        <f t="shared" si="1"/>
        <v>0</v>
      </c>
      <c r="M54" s="46">
        <f t="shared" si="1"/>
        <v>0</v>
      </c>
      <c r="N54" s="22">
        <f t="shared" si="2"/>
        <v>0</v>
      </c>
      <c r="O54" s="55">
        <f t="shared" si="13"/>
        <v>0</v>
      </c>
      <c r="P54" s="55">
        <f t="shared" si="13"/>
        <v>0</v>
      </c>
      <c r="Q54" s="32">
        <f t="shared" si="3"/>
        <v>0</v>
      </c>
    </row>
    <row r="55" spans="1:17">
      <c r="A55" s="47">
        <v>91000</v>
      </c>
      <c r="B55" s="13">
        <v>43101</v>
      </c>
      <c r="C55" s="16">
        <f t="shared" si="12"/>
        <v>0</v>
      </c>
      <c r="D55" s="16">
        <f t="shared" si="12"/>
        <v>0</v>
      </c>
      <c r="E55" s="14">
        <f t="shared" si="12"/>
        <v>0</v>
      </c>
      <c r="F55" s="46">
        <v>0</v>
      </c>
      <c r="G55" s="103">
        <f t="shared" si="7"/>
        <v>0</v>
      </c>
      <c r="H55" s="22">
        <f t="shared" si="0"/>
        <v>0</v>
      </c>
      <c r="I55" s="91">
        <f>VLOOKUP(B55,Data!$A$5:$X$197,24,FALSE)</f>
        <v>0</v>
      </c>
      <c r="J55" s="87">
        <f t="shared" si="9"/>
        <v>0</v>
      </c>
      <c r="K55" s="14">
        <f t="shared" si="10"/>
        <v>0</v>
      </c>
      <c r="L55" s="46">
        <f t="shared" ref="L55:M70" si="14">+C55+F55-I55</f>
        <v>0</v>
      </c>
      <c r="M55" s="46">
        <f t="shared" si="14"/>
        <v>0</v>
      </c>
      <c r="N55" s="22">
        <f t="shared" si="2"/>
        <v>0</v>
      </c>
      <c r="O55" s="55">
        <f t="shared" si="13"/>
        <v>0</v>
      </c>
      <c r="P55" s="55">
        <f t="shared" si="13"/>
        <v>0</v>
      </c>
      <c r="Q55" s="32">
        <f t="shared" si="3"/>
        <v>0</v>
      </c>
    </row>
    <row r="56" spans="1:17">
      <c r="A56" s="47">
        <v>91000</v>
      </c>
      <c r="B56" s="13">
        <v>43132</v>
      </c>
      <c r="C56" s="16">
        <f t="shared" si="12"/>
        <v>0</v>
      </c>
      <c r="D56" s="16">
        <f t="shared" si="12"/>
        <v>0</v>
      </c>
      <c r="E56" s="14">
        <f t="shared" si="12"/>
        <v>0</v>
      </c>
      <c r="F56" s="46">
        <v>0</v>
      </c>
      <c r="G56" s="103">
        <f t="shared" si="7"/>
        <v>0</v>
      </c>
      <c r="H56" s="22">
        <f t="shared" si="0"/>
        <v>0</v>
      </c>
      <c r="I56" s="91">
        <f>VLOOKUP(B56,Data!$A$5:$X$197,24,FALSE)</f>
        <v>0</v>
      </c>
      <c r="J56" s="87">
        <f t="shared" si="9"/>
        <v>0</v>
      </c>
      <c r="K56" s="14">
        <f t="shared" si="10"/>
        <v>0</v>
      </c>
      <c r="L56" s="46">
        <f t="shared" si="14"/>
        <v>0</v>
      </c>
      <c r="M56" s="46">
        <f t="shared" si="14"/>
        <v>0</v>
      </c>
      <c r="N56" s="22">
        <f t="shared" si="2"/>
        <v>0</v>
      </c>
      <c r="O56" s="55">
        <f t="shared" si="13"/>
        <v>0</v>
      </c>
      <c r="P56" s="55">
        <f t="shared" si="13"/>
        <v>0</v>
      </c>
      <c r="Q56" s="32">
        <f t="shared" si="3"/>
        <v>0</v>
      </c>
    </row>
    <row r="57" spans="1:17">
      <c r="A57" s="47">
        <v>91000</v>
      </c>
      <c r="B57" s="13">
        <v>43160</v>
      </c>
      <c r="C57" s="16">
        <f t="shared" si="12"/>
        <v>0</v>
      </c>
      <c r="D57" s="16">
        <f t="shared" si="12"/>
        <v>0</v>
      </c>
      <c r="E57" s="14">
        <f t="shared" si="12"/>
        <v>0</v>
      </c>
      <c r="F57" s="46">
        <v>0</v>
      </c>
      <c r="G57" s="103">
        <f t="shared" si="7"/>
        <v>0</v>
      </c>
      <c r="H57" s="22">
        <f t="shared" si="0"/>
        <v>0</v>
      </c>
      <c r="I57" s="91">
        <f>VLOOKUP(B57,Data!$A$5:$X$197,24,FALSE)</f>
        <v>0</v>
      </c>
      <c r="J57" s="87">
        <f t="shared" si="9"/>
        <v>0</v>
      </c>
      <c r="K57" s="14">
        <f t="shared" si="10"/>
        <v>0</v>
      </c>
      <c r="L57" s="46">
        <f t="shared" si="14"/>
        <v>0</v>
      </c>
      <c r="M57" s="46">
        <f t="shared" si="14"/>
        <v>0</v>
      </c>
      <c r="N57" s="22">
        <f t="shared" si="2"/>
        <v>0</v>
      </c>
      <c r="O57" s="55">
        <f t="shared" si="13"/>
        <v>0</v>
      </c>
      <c r="P57" s="55">
        <f t="shared" si="13"/>
        <v>0</v>
      </c>
      <c r="Q57" s="32">
        <f t="shared" si="3"/>
        <v>0</v>
      </c>
    </row>
    <row r="58" spans="1:17">
      <c r="A58" s="47">
        <v>91000</v>
      </c>
      <c r="B58" s="13">
        <v>43191</v>
      </c>
      <c r="C58" s="16">
        <f t="shared" si="12"/>
        <v>0</v>
      </c>
      <c r="D58" s="16">
        <f t="shared" si="12"/>
        <v>0</v>
      </c>
      <c r="E58" s="14">
        <f t="shared" si="12"/>
        <v>0</v>
      </c>
      <c r="F58" s="46">
        <v>0</v>
      </c>
      <c r="G58" s="103">
        <f t="shared" si="7"/>
        <v>0</v>
      </c>
      <c r="H58" s="22">
        <f t="shared" si="0"/>
        <v>0</v>
      </c>
      <c r="I58" s="91">
        <f>VLOOKUP(B58,Data!$A$5:$X$197,24,FALSE)</f>
        <v>0</v>
      </c>
      <c r="J58" s="87">
        <f t="shared" si="9"/>
        <v>0</v>
      </c>
      <c r="K58" s="14">
        <f t="shared" si="10"/>
        <v>0</v>
      </c>
      <c r="L58" s="46">
        <f t="shared" si="14"/>
        <v>0</v>
      </c>
      <c r="M58" s="46">
        <f t="shared" si="14"/>
        <v>0</v>
      </c>
      <c r="N58" s="22">
        <f t="shared" si="2"/>
        <v>0</v>
      </c>
      <c r="O58" s="55">
        <f t="shared" si="13"/>
        <v>0</v>
      </c>
      <c r="P58" s="55">
        <f t="shared" si="13"/>
        <v>0</v>
      </c>
      <c r="Q58" s="32">
        <f t="shared" si="3"/>
        <v>0</v>
      </c>
    </row>
    <row r="59" spans="1:17">
      <c r="A59" s="47">
        <v>91000</v>
      </c>
      <c r="B59" s="13">
        <v>43221</v>
      </c>
      <c r="C59" s="16">
        <f t="shared" si="12"/>
        <v>0</v>
      </c>
      <c r="D59" s="16">
        <f t="shared" si="12"/>
        <v>0</v>
      </c>
      <c r="E59" s="14">
        <f t="shared" si="12"/>
        <v>0</v>
      </c>
      <c r="F59" s="46">
        <v>0</v>
      </c>
      <c r="G59" s="103">
        <f t="shared" si="7"/>
        <v>0</v>
      </c>
      <c r="H59" s="22">
        <f t="shared" si="0"/>
        <v>0</v>
      </c>
      <c r="I59" s="91">
        <f>VLOOKUP(B59,Data!$A$5:$X$197,24,FALSE)</f>
        <v>0</v>
      </c>
      <c r="J59" s="87">
        <f t="shared" si="9"/>
        <v>0</v>
      </c>
      <c r="K59" s="14">
        <f t="shared" si="10"/>
        <v>0</v>
      </c>
      <c r="L59" s="46">
        <f t="shared" si="14"/>
        <v>0</v>
      </c>
      <c r="M59" s="46">
        <f t="shared" si="14"/>
        <v>0</v>
      </c>
      <c r="N59" s="22">
        <f t="shared" si="2"/>
        <v>0</v>
      </c>
      <c r="O59" s="55">
        <f t="shared" si="13"/>
        <v>0</v>
      </c>
      <c r="P59" s="55">
        <f t="shared" si="13"/>
        <v>0</v>
      </c>
      <c r="Q59" s="32">
        <f t="shared" si="3"/>
        <v>0</v>
      </c>
    </row>
    <row r="60" spans="1:17">
      <c r="A60" s="47">
        <v>91000</v>
      </c>
      <c r="B60" s="13">
        <v>43252</v>
      </c>
      <c r="C60" s="16">
        <f t="shared" si="12"/>
        <v>0</v>
      </c>
      <c r="D60" s="16">
        <f t="shared" si="12"/>
        <v>0</v>
      </c>
      <c r="E60" s="14">
        <f t="shared" si="12"/>
        <v>0</v>
      </c>
      <c r="F60" s="46">
        <v>0</v>
      </c>
      <c r="G60" s="103">
        <f t="shared" si="7"/>
        <v>0</v>
      </c>
      <c r="H60" s="22">
        <f t="shared" si="0"/>
        <v>0</v>
      </c>
      <c r="I60" s="91">
        <f>VLOOKUP(B60,Data!$A$5:$X$197,24,FALSE)</f>
        <v>0</v>
      </c>
      <c r="J60" s="87">
        <f t="shared" si="9"/>
        <v>0</v>
      </c>
      <c r="K60" s="14">
        <f t="shared" si="10"/>
        <v>0</v>
      </c>
      <c r="L60" s="46">
        <f t="shared" si="14"/>
        <v>0</v>
      </c>
      <c r="M60" s="46">
        <f t="shared" si="14"/>
        <v>0</v>
      </c>
      <c r="N60" s="22">
        <f t="shared" si="2"/>
        <v>0</v>
      </c>
      <c r="O60" s="55">
        <f t="shared" si="13"/>
        <v>0</v>
      </c>
      <c r="P60" s="55">
        <f t="shared" si="13"/>
        <v>0</v>
      </c>
      <c r="Q60" s="32">
        <f t="shared" si="3"/>
        <v>0</v>
      </c>
    </row>
    <row r="61" spans="1:17">
      <c r="A61" s="47">
        <v>91000</v>
      </c>
      <c r="B61" s="13">
        <v>43282</v>
      </c>
      <c r="C61" s="16">
        <f t="shared" si="12"/>
        <v>0</v>
      </c>
      <c r="D61" s="16">
        <f t="shared" si="12"/>
        <v>0</v>
      </c>
      <c r="E61" s="14">
        <f t="shared" si="12"/>
        <v>0</v>
      </c>
      <c r="F61" s="46">
        <v>0</v>
      </c>
      <c r="G61" s="103">
        <f t="shared" si="7"/>
        <v>0</v>
      </c>
      <c r="H61" s="22">
        <f t="shared" si="0"/>
        <v>0</v>
      </c>
      <c r="I61" s="91">
        <f>VLOOKUP(B61,Data!$A$5:$X$197,24,FALSE)</f>
        <v>0</v>
      </c>
      <c r="J61" s="87">
        <f t="shared" si="9"/>
        <v>0</v>
      </c>
      <c r="K61" s="14">
        <f t="shared" si="10"/>
        <v>0</v>
      </c>
      <c r="L61" s="46">
        <f t="shared" si="14"/>
        <v>0</v>
      </c>
      <c r="M61" s="46">
        <f t="shared" si="14"/>
        <v>0</v>
      </c>
      <c r="N61" s="22">
        <f t="shared" si="2"/>
        <v>0</v>
      </c>
      <c r="O61" s="55">
        <f t="shared" si="13"/>
        <v>0</v>
      </c>
      <c r="P61" s="55">
        <f t="shared" si="13"/>
        <v>0</v>
      </c>
      <c r="Q61" s="32">
        <f t="shared" si="3"/>
        <v>0</v>
      </c>
    </row>
    <row r="62" spans="1:17">
      <c r="A62" s="47">
        <v>91000</v>
      </c>
      <c r="B62" s="13">
        <v>43313</v>
      </c>
      <c r="C62" s="16">
        <f t="shared" si="12"/>
        <v>0</v>
      </c>
      <c r="D62" s="16">
        <f t="shared" si="12"/>
        <v>0</v>
      </c>
      <c r="E62" s="14">
        <f t="shared" si="12"/>
        <v>0</v>
      </c>
      <c r="F62" s="46">
        <v>0</v>
      </c>
      <c r="G62" s="103">
        <f t="shared" si="7"/>
        <v>0</v>
      </c>
      <c r="H62" s="22">
        <f t="shared" si="0"/>
        <v>0</v>
      </c>
      <c r="I62" s="91">
        <f>VLOOKUP(B62,Data!$A$5:$X$197,24,FALSE)</f>
        <v>0</v>
      </c>
      <c r="J62" s="87">
        <f t="shared" si="9"/>
        <v>0</v>
      </c>
      <c r="K62" s="14">
        <f t="shared" si="10"/>
        <v>0</v>
      </c>
      <c r="L62" s="46">
        <f t="shared" si="14"/>
        <v>0</v>
      </c>
      <c r="M62" s="46">
        <f t="shared" si="14"/>
        <v>0</v>
      </c>
      <c r="N62" s="22">
        <f t="shared" si="2"/>
        <v>0</v>
      </c>
      <c r="O62" s="55">
        <f t="shared" si="13"/>
        <v>0</v>
      </c>
      <c r="P62" s="55">
        <f t="shared" si="13"/>
        <v>0</v>
      </c>
      <c r="Q62" s="32">
        <f t="shared" si="3"/>
        <v>0</v>
      </c>
    </row>
    <row r="63" spans="1:17">
      <c r="A63" s="47">
        <v>91000</v>
      </c>
      <c r="B63" s="13">
        <v>43344</v>
      </c>
      <c r="C63" s="16">
        <f t="shared" si="12"/>
        <v>0</v>
      </c>
      <c r="D63" s="16">
        <f t="shared" si="12"/>
        <v>0</v>
      </c>
      <c r="E63" s="14">
        <f t="shared" si="12"/>
        <v>0</v>
      </c>
      <c r="F63" s="46">
        <v>0</v>
      </c>
      <c r="G63" s="103">
        <f t="shared" si="7"/>
        <v>0</v>
      </c>
      <c r="H63" s="22">
        <f t="shared" si="0"/>
        <v>0</v>
      </c>
      <c r="I63" s="91">
        <f>VLOOKUP(B63,Data!$A$5:$X$197,24,FALSE)</f>
        <v>0</v>
      </c>
      <c r="J63" s="87">
        <f t="shared" si="9"/>
        <v>0</v>
      </c>
      <c r="K63" s="14">
        <f t="shared" si="10"/>
        <v>0</v>
      </c>
      <c r="L63" s="46">
        <f t="shared" si="14"/>
        <v>0</v>
      </c>
      <c r="M63" s="46">
        <f t="shared" si="14"/>
        <v>0</v>
      </c>
      <c r="N63" s="22">
        <f t="shared" si="2"/>
        <v>0</v>
      </c>
      <c r="O63" s="55">
        <f t="shared" si="13"/>
        <v>0</v>
      </c>
      <c r="P63" s="55">
        <f t="shared" si="13"/>
        <v>0</v>
      </c>
      <c r="Q63" s="32">
        <f t="shared" si="3"/>
        <v>0</v>
      </c>
    </row>
    <row r="64" spans="1:17">
      <c r="A64" s="47">
        <v>91000</v>
      </c>
      <c r="B64" s="13">
        <v>43374</v>
      </c>
      <c r="C64" s="16">
        <f t="shared" si="12"/>
        <v>0</v>
      </c>
      <c r="D64" s="16">
        <f t="shared" si="12"/>
        <v>0</v>
      </c>
      <c r="E64" s="14">
        <f t="shared" si="12"/>
        <v>0</v>
      </c>
      <c r="F64" s="46">
        <v>0</v>
      </c>
      <c r="G64" s="103">
        <f t="shared" si="7"/>
        <v>0</v>
      </c>
      <c r="H64" s="22">
        <f t="shared" si="0"/>
        <v>0</v>
      </c>
      <c r="I64" s="91">
        <f>VLOOKUP(B64,Data!$A$5:$X$197,24,FALSE)</f>
        <v>0</v>
      </c>
      <c r="J64" s="87">
        <f t="shared" si="9"/>
        <v>0</v>
      </c>
      <c r="K64" s="14">
        <f t="shared" si="10"/>
        <v>0</v>
      </c>
      <c r="L64" s="46">
        <f t="shared" si="14"/>
        <v>0</v>
      </c>
      <c r="M64" s="46">
        <f t="shared" si="14"/>
        <v>0</v>
      </c>
      <c r="N64" s="22">
        <f t="shared" si="2"/>
        <v>0</v>
      </c>
      <c r="O64" s="55">
        <f t="shared" si="13"/>
        <v>0</v>
      </c>
      <c r="P64" s="55">
        <f t="shared" si="13"/>
        <v>0</v>
      </c>
      <c r="Q64" s="32">
        <f t="shared" si="3"/>
        <v>0</v>
      </c>
    </row>
    <row r="65" spans="1:17">
      <c r="A65" s="47">
        <v>91000</v>
      </c>
      <c r="B65" s="13">
        <v>43405</v>
      </c>
      <c r="C65" s="16">
        <f t="shared" ref="C65:E80" si="15">L64</f>
        <v>0</v>
      </c>
      <c r="D65" s="16">
        <f t="shared" si="15"/>
        <v>0</v>
      </c>
      <c r="E65" s="14">
        <f t="shared" si="15"/>
        <v>0</v>
      </c>
      <c r="F65" s="46">
        <v>0</v>
      </c>
      <c r="G65" s="103">
        <f t="shared" si="7"/>
        <v>0</v>
      </c>
      <c r="H65" s="22">
        <f t="shared" si="0"/>
        <v>0</v>
      </c>
      <c r="I65" s="91">
        <f>VLOOKUP(B65,Data!$A$5:$X$197,24,FALSE)</f>
        <v>0</v>
      </c>
      <c r="J65" s="87">
        <f t="shared" si="9"/>
        <v>0</v>
      </c>
      <c r="K65" s="14">
        <f t="shared" si="10"/>
        <v>0</v>
      </c>
      <c r="L65" s="46">
        <f t="shared" si="14"/>
        <v>0</v>
      </c>
      <c r="M65" s="46">
        <f t="shared" si="14"/>
        <v>0</v>
      </c>
      <c r="N65" s="22">
        <f t="shared" si="2"/>
        <v>0</v>
      </c>
      <c r="O65" s="55">
        <f t="shared" si="13"/>
        <v>0</v>
      </c>
      <c r="P65" s="55">
        <f t="shared" si="13"/>
        <v>0</v>
      </c>
      <c r="Q65" s="32">
        <f t="shared" si="3"/>
        <v>0</v>
      </c>
    </row>
    <row r="66" spans="1:17">
      <c r="A66" s="47">
        <v>91000</v>
      </c>
      <c r="B66" s="13">
        <v>43435</v>
      </c>
      <c r="C66" s="16">
        <f t="shared" si="15"/>
        <v>0</v>
      </c>
      <c r="D66" s="16">
        <f t="shared" si="15"/>
        <v>0</v>
      </c>
      <c r="E66" s="14">
        <f t="shared" si="15"/>
        <v>0</v>
      </c>
      <c r="F66" s="46">
        <v>0</v>
      </c>
      <c r="G66" s="103">
        <f t="shared" si="7"/>
        <v>0</v>
      </c>
      <c r="H66" s="22">
        <f t="shared" si="0"/>
        <v>0</v>
      </c>
      <c r="I66" s="91">
        <f>VLOOKUP(B66,Data!$A$5:$X$197,24,FALSE)</f>
        <v>0</v>
      </c>
      <c r="J66" s="87">
        <f t="shared" si="9"/>
        <v>0</v>
      </c>
      <c r="K66" s="14">
        <f t="shared" si="10"/>
        <v>0</v>
      </c>
      <c r="L66" s="46">
        <f t="shared" si="14"/>
        <v>0</v>
      </c>
      <c r="M66" s="46">
        <f t="shared" si="14"/>
        <v>0</v>
      </c>
      <c r="N66" s="22">
        <f t="shared" si="2"/>
        <v>0</v>
      </c>
      <c r="O66" s="55">
        <f t="shared" si="13"/>
        <v>0</v>
      </c>
      <c r="P66" s="55">
        <f t="shared" si="13"/>
        <v>0</v>
      </c>
      <c r="Q66" s="32">
        <f t="shared" si="3"/>
        <v>0</v>
      </c>
    </row>
    <row r="67" spans="1:17">
      <c r="A67" s="47">
        <v>91000</v>
      </c>
      <c r="B67" s="13">
        <v>43466</v>
      </c>
      <c r="C67" s="16">
        <f t="shared" si="15"/>
        <v>0</v>
      </c>
      <c r="D67" s="16">
        <f t="shared" si="15"/>
        <v>0</v>
      </c>
      <c r="E67" s="14">
        <f t="shared" si="15"/>
        <v>0</v>
      </c>
      <c r="F67" s="46">
        <v>0</v>
      </c>
      <c r="G67" s="103">
        <f t="shared" si="7"/>
        <v>0</v>
      </c>
      <c r="H67" s="22">
        <f t="shared" si="0"/>
        <v>0</v>
      </c>
      <c r="I67" s="91">
        <f>VLOOKUP(B67,Data!$A$5:$X$197,24,FALSE)</f>
        <v>0</v>
      </c>
      <c r="J67" s="87">
        <f t="shared" si="9"/>
        <v>0</v>
      </c>
      <c r="K67" s="14">
        <f t="shared" si="10"/>
        <v>0</v>
      </c>
      <c r="L67" s="46">
        <f t="shared" si="14"/>
        <v>0</v>
      </c>
      <c r="M67" s="46">
        <f t="shared" si="14"/>
        <v>0</v>
      </c>
      <c r="N67" s="22">
        <f t="shared" si="2"/>
        <v>0</v>
      </c>
      <c r="O67" s="55">
        <f t="shared" ref="O67:P90" si="16">AVERAGE(L55:L67)</f>
        <v>0</v>
      </c>
      <c r="P67" s="55">
        <f t="shared" si="16"/>
        <v>0</v>
      </c>
      <c r="Q67" s="32">
        <f t="shared" si="3"/>
        <v>0</v>
      </c>
    </row>
    <row r="68" spans="1:17">
      <c r="A68" s="47">
        <v>91000</v>
      </c>
      <c r="B68" s="13">
        <v>43497</v>
      </c>
      <c r="C68" s="16">
        <f t="shared" si="15"/>
        <v>0</v>
      </c>
      <c r="D68" s="16">
        <f t="shared" si="15"/>
        <v>0</v>
      </c>
      <c r="E68" s="14">
        <f t="shared" si="15"/>
        <v>0</v>
      </c>
      <c r="F68" s="46">
        <v>0</v>
      </c>
      <c r="G68" s="103">
        <f t="shared" si="7"/>
        <v>0</v>
      </c>
      <c r="H68" s="22">
        <f t="shared" si="0"/>
        <v>0</v>
      </c>
      <c r="I68" s="91">
        <f>VLOOKUP(B68,Data!$A$5:$X$197,24,FALSE)</f>
        <v>0</v>
      </c>
      <c r="J68" s="87">
        <f t="shared" si="9"/>
        <v>0</v>
      </c>
      <c r="K68" s="14">
        <f t="shared" si="10"/>
        <v>0</v>
      </c>
      <c r="L68" s="46">
        <f t="shared" si="14"/>
        <v>0</v>
      </c>
      <c r="M68" s="46">
        <f t="shared" si="14"/>
        <v>0</v>
      </c>
      <c r="N68" s="22">
        <f t="shared" si="2"/>
        <v>0</v>
      </c>
      <c r="O68" s="55">
        <f t="shared" si="16"/>
        <v>0</v>
      </c>
      <c r="P68" s="55">
        <f t="shared" si="16"/>
        <v>0</v>
      </c>
      <c r="Q68" s="32">
        <f t="shared" si="3"/>
        <v>0</v>
      </c>
    </row>
    <row r="69" spans="1:17">
      <c r="A69" s="47">
        <v>91000</v>
      </c>
      <c r="B69" s="13">
        <v>43525</v>
      </c>
      <c r="C69" s="16">
        <f t="shared" si="15"/>
        <v>0</v>
      </c>
      <c r="D69" s="16">
        <f t="shared" si="15"/>
        <v>0</v>
      </c>
      <c r="E69" s="14">
        <f t="shared" si="15"/>
        <v>0</v>
      </c>
      <c r="F69" s="46">
        <v>0</v>
      </c>
      <c r="G69" s="103">
        <f t="shared" si="7"/>
        <v>0</v>
      </c>
      <c r="H69" s="22">
        <f t="shared" si="0"/>
        <v>0</v>
      </c>
      <c r="I69" s="91">
        <f>VLOOKUP(B69,Data!$A$5:$X$197,24,FALSE)</f>
        <v>0</v>
      </c>
      <c r="J69" s="87">
        <f t="shared" si="9"/>
        <v>0</v>
      </c>
      <c r="K69" s="14">
        <f t="shared" si="10"/>
        <v>0</v>
      </c>
      <c r="L69" s="46">
        <f t="shared" si="14"/>
        <v>0</v>
      </c>
      <c r="M69" s="46">
        <f t="shared" si="14"/>
        <v>0</v>
      </c>
      <c r="N69" s="22">
        <f t="shared" si="2"/>
        <v>0</v>
      </c>
      <c r="O69" s="55">
        <f t="shared" si="16"/>
        <v>0</v>
      </c>
      <c r="P69" s="55">
        <f t="shared" si="16"/>
        <v>0</v>
      </c>
      <c r="Q69" s="32">
        <f t="shared" si="3"/>
        <v>0</v>
      </c>
    </row>
    <row r="70" spans="1:17">
      <c r="A70" s="47">
        <v>91000</v>
      </c>
      <c r="B70" s="13">
        <v>43556</v>
      </c>
      <c r="C70" s="16">
        <f t="shared" si="15"/>
        <v>0</v>
      </c>
      <c r="D70" s="16">
        <f t="shared" si="15"/>
        <v>0</v>
      </c>
      <c r="E70" s="14">
        <f t="shared" si="15"/>
        <v>0</v>
      </c>
      <c r="F70" s="46">
        <v>0</v>
      </c>
      <c r="G70" s="103">
        <f t="shared" si="7"/>
        <v>0</v>
      </c>
      <c r="H70" s="22">
        <f t="shared" si="0"/>
        <v>0</v>
      </c>
      <c r="I70" s="91">
        <f>VLOOKUP(B70,Data!$A$5:$X$197,24,FALSE)</f>
        <v>0</v>
      </c>
      <c r="J70" s="87">
        <f t="shared" si="9"/>
        <v>0</v>
      </c>
      <c r="K70" s="14">
        <f t="shared" si="10"/>
        <v>0</v>
      </c>
      <c r="L70" s="46">
        <f t="shared" si="14"/>
        <v>0</v>
      </c>
      <c r="M70" s="46">
        <f t="shared" si="14"/>
        <v>0</v>
      </c>
      <c r="N70" s="22">
        <f t="shared" si="2"/>
        <v>0</v>
      </c>
      <c r="O70" s="55">
        <f t="shared" si="16"/>
        <v>0</v>
      </c>
      <c r="P70" s="55">
        <f t="shared" si="16"/>
        <v>0</v>
      </c>
      <c r="Q70" s="32">
        <f t="shared" si="3"/>
        <v>0</v>
      </c>
    </row>
    <row r="71" spans="1:17">
      <c r="A71" s="47">
        <v>91000</v>
      </c>
      <c r="B71" s="13">
        <v>43586</v>
      </c>
      <c r="C71" s="16">
        <f t="shared" si="15"/>
        <v>0</v>
      </c>
      <c r="D71" s="16">
        <f t="shared" si="15"/>
        <v>0</v>
      </c>
      <c r="E71" s="14">
        <f t="shared" si="15"/>
        <v>0</v>
      </c>
      <c r="F71" s="46">
        <v>0</v>
      </c>
      <c r="G71" s="103">
        <f t="shared" si="7"/>
        <v>0</v>
      </c>
      <c r="H71" s="22">
        <f t="shared" ref="H71:H90" si="17">IF(F71=0,0,G71/F71)</f>
        <v>0</v>
      </c>
      <c r="I71" s="91">
        <f>VLOOKUP(B71,Data!$A$5:$X$197,24,FALSE)</f>
        <v>0</v>
      </c>
      <c r="J71" s="87">
        <f t="shared" si="9"/>
        <v>0</v>
      </c>
      <c r="K71" s="14">
        <f t="shared" si="10"/>
        <v>0</v>
      </c>
      <c r="L71" s="46">
        <f t="shared" ref="L71:M90" si="18">+C71+F71-I71</f>
        <v>0</v>
      </c>
      <c r="M71" s="46">
        <f t="shared" si="18"/>
        <v>0</v>
      </c>
      <c r="N71" s="22">
        <f t="shared" ref="N71:N90" si="19">IF(L71=0,0,M71/L71)</f>
        <v>0</v>
      </c>
      <c r="O71" s="55">
        <f t="shared" si="16"/>
        <v>0</v>
      </c>
      <c r="P71" s="55">
        <f t="shared" si="16"/>
        <v>0</v>
      </c>
      <c r="Q71" s="32">
        <f t="shared" ref="Q71:Q90" si="20">IF(O71=0,0,P71/O71)</f>
        <v>0</v>
      </c>
    </row>
    <row r="72" spans="1:17">
      <c r="A72" s="47">
        <v>91000</v>
      </c>
      <c r="B72" s="13">
        <v>43617</v>
      </c>
      <c r="C72" s="16">
        <f t="shared" si="15"/>
        <v>0</v>
      </c>
      <c r="D72" s="16">
        <f t="shared" si="15"/>
        <v>0</v>
      </c>
      <c r="E72" s="14">
        <f t="shared" si="15"/>
        <v>0</v>
      </c>
      <c r="F72" s="46">
        <v>0</v>
      </c>
      <c r="G72" s="103">
        <f t="shared" si="7"/>
        <v>0</v>
      </c>
      <c r="H72" s="22">
        <f t="shared" si="17"/>
        <v>0</v>
      </c>
      <c r="I72" s="91">
        <f>VLOOKUP(B72,Data!$A$5:$X$197,24,FALSE)</f>
        <v>0</v>
      </c>
      <c r="J72" s="87">
        <f t="shared" si="9"/>
        <v>0</v>
      </c>
      <c r="K72" s="14">
        <f t="shared" si="10"/>
        <v>0</v>
      </c>
      <c r="L72" s="46">
        <f t="shared" si="18"/>
        <v>0</v>
      </c>
      <c r="M72" s="46">
        <f t="shared" si="18"/>
        <v>0</v>
      </c>
      <c r="N72" s="22">
        <f t="shared" si="19"/>
        <v>0</v>
      </c>
      <c r="O72" s="55">
        <f t="shared" si="16"/>
        <v>0</v>
      </c>
      <c r="P72" s="55">
        <f t="shared" si="16"/>
        <v>0</v>
      </c>
      <c r="Q72" s="32">
        <f t="shared" si="20"/>
        <v>0</v>
      </c>
    </row>
    <row r="73" spans="1:17">
      <c r="A73" s="47">
        <v>91000</v>
      </c>
      <c r="B73" s="13">
        <v>43647</v>
      </c>
      <c r="C73" s="16">
        <f t="shared" si="15"/>
        <v>0</v>
      </c>
      <c r="D73" s="16">
        <f t="shared" si="15"/>
        <v>0</v>
      </c>
      <c r="E73" s="14">
        <f t="shared" si="15"/>
        <v>0</v>
      </c>
      <c r="F73" s="46">
        <v>0</v>
      </c>
      <c r="G73" s="103">
        <f t="shared" si="7"/>
        <v>0</v>
      </c>
      <c r="H73" s="22">
        <f t="shared" si="17"/>
        <v>0</v>
      </c>
      <c r="I73" s="91">
        <f>VLOOKUP(B73,Data!$A$5:$X$197,24,FALSE)</f>
        <v>0</v>
      </c>
      <c r="J73" s="87">
        <f t="shared" si="9"/>
        <v>0</v>
      </c>
      <c r="K73" s="14">
        <f t="shared" si="10"/>
        <v>0</v>
      </c>
      <c r="L73" s="46">
        <f t="shared" si="18"/>
        <v>0</v>
      </c>
      <c r="M73" s="46">
        <f t="shared" si="18"/>
        <v>0</v>
      </c>
      <c r="N73" s="22">
        <f t="shared" si="19"/>
        <v>0</v>
      </c>
      <c r="O73" s="55">
        <f t="shared" si="16"/>
        <v>0</v>
      </c>
      <c r="P73" s="55">
        <f t="shared" si="16"/>
        <v>0</v>
      </c>
      <c r="Q73" s="32">
        <f t="shared" si="20"/>
        <v>0</v>
      </c>
    </row>
    <row r="74" spans="1:17">
      <c r="A74" s="47">
        <v>91000</v>
      </c>
      <c r="B74" s="13">
        <v>43678</v>
      </c>
      <c r="C74" s="16">
        <f t="shared" si="15"/>
        <v>0</v>
      </c>
      <c r="D74" s="16">
        <f t="shared" si="15"/>
        <v>0</v>
      </c>
      <c r="E74" s="14">
        <f t="shared" si="15"/>
        <v>0</v>
      </c>
      <c r="F74" s="46">
        <v>0</v>
      </c>
      <c r="G74" s="103">
        <f t="shared" si="7"/>
        <v>0</v>
      </c>
      <c r="H74" s="22">
        <f t="shared" si="17"/>
        <v>0</v>
      </c>
      <c r="I74" s="91">
        <f>VLOOKUP(B74,Data!$A$5:$X$197,24,FALSE)</f>
        <v>0</v>
      </c>
      <c r="J74" s="87">
        <f t="shared" si="9"/>
        <v>0</v>
      </c>
      <c r="K74" s="14">
        <f t="shared" si="10"/>
        <v>0</v>
      </c>
      <c r="L74" s="46">
        <f t="shared" si="18"/>
        <v>0</v>
      </c>
      <c r="M74" s="46">
        <f t="shared" si="18"/>
        <v>0</v>
      </c>
      <c r="N74" s="22">
        <f t="shared" si="19"/>
        <v>0</v>
      </c>
      <c r="O74" s="55">
        <f t="shared" si="16"/>
        <v>0</v>
      </c>
      <c r="P74" s="55">
        <f t="shared" si="16"/>
        <v>0</v>
      </c>
      <c r="Q74" s="32">
        <f t="shared" si="20"/>
        <v>0</v>
      </c>
    </row>
    <row r="75" spans="1:17">
      <c r="A75" s="47">
        <v>91000</v>
      </c>
      <c r="B75" s="13">
        <v>43709</v>
      </c>
      <c r="C75" s="16">
        <f t="shared" si="15"/>
        <v>0</v>
      </c>
      <c r="D75" s="16">
        <f t="shared" si="15"/>
        <v>0</v>
      </c>
      <c r="E75" s="14">
        <f t="shared" si="15"/>
        <v>0</v>
      </c>
      <c r="F75" s="46">
        <v>0</v>
      </c>
      <c r="G75" s="103">
        <f t="shared" si="7"/>
        <v>0</v>
      </c>
      <c r="H75" s="22">
        <f t="shared" si="17"/>
        <v>0</v>
      </c>
      <c r="I75" s="91">
        <f>VLOOKUP(B75,Data!$A$5:$X$197,24,FALSE)</f>
        <v>0</v>
      </c>
      <c r="J75" s="87">
        <f t="shared" si="9"/>
        <v>0</v>
      </c>
      <c r="K75" s="14">
        <f t="shared" si="10"/>
        <v>0</v>
      </c>
      <c r="L75" s="46">
        <f t="shared" si="18"/>
        <v>0</v>
      </c>
      <c r="M75" s="46">
        <f t="shared" si="18"/>
        <v>0</v>
      </c>
      <c r="N75" s="22">
        <f t="shared" si="19"/>
        <v>0</v>
      </c>
      <c r="O75" s="55">
        <f t="shared" si="16"/>
        <v>0</v>
      </c>
      <c r="P75" s="55">
        <f t="shared" si="16"/>
        <v>0</v>
      </c>
      <c r="Q75" s="32">
        <f t="shared" si="20"/>
        <v>0</v>
      </c>
    </row>
    <row r="76" spans="1:17">
      <c r="A76" s="47">
        <v>91000</v>
      </c>
      <c r="B76" s="13">
        <v>43739</v>
      </c>
      <c r="C76" s="16">
        <f t="shared" si="15"/>
        <v>0</v>
      </c>
      <c r="D76" s="16">
        <f t="shared" si="15"/>
        <v>0</v>
      </c>
      <c r="E76" s="14">
        <f t="shared" si="15"/>
        <v>0</v>
      </c>
      <c r="F76" s="46">
        <v>0</v>
      </c>
      <c r="G76" s="103">
        <f t="shared" si="7"/>
        <v>0</v>
      </c>
      <c r="H76" s="22">
        <f t="shared" si="17"/>
        <v>0</v>
      </c>
      <c r="I76" s="91">
        <f>VLOOKUP(B76,Data!$A$5:$X$197,24,FALSE)</f>
        <v>0</v>
      </c>
      <c r="J76" s="87">
        <f t="shared" si="9"/>
        <v>0</v>
      </c>
      <c r="K76" s="14">
        <f t="shared" si="10"/>
        <v>0</v>
      </c>
      <c r="L76" s="46">
        <f t="shared" si="18"/>
        <v>0</v>
      </c>
      <c r="M76" s="46">
        <f t="shared" si="18"/>
        <v>0</v>
      </c>
      <c r="N76" s="22">
        <f t="shared" si="19"/>
        <v>0</v>
      </c>
      <c r="O76" s="55">
        <f t="shared" si="16"/>
        <v>0</v>
      </c>
      <c r="P76" s="55">
        <f t="shared" si="16"/>
        <v>0</v>
      </c>
      <c r="Q76" s="32">
        <f t="shared" si="20"/>
        <v>0</v>
      </c>
    </row>
    <row r="77" spans="1:17">
      <c r="A77" s="47">
        <v>91000</v>
      </c>
      <c r="B77" s="13">
        <v>43770</v>
      </c>
      <c r="C77" s="16">
        <f t="shared" si="15"/>
        <v>0</v>
      </c>
      <c r="D77" s="16">
        <f t="shared" si="15"/>
        <v>0</v>
      </c>
      <c r="E77" s="14">
        <f t="shared" si="15"/>
        <v>0</v>
      </c>
      <c r="F77" s="46">
        <v>0</v>
      </c>
      <c r="G77" s="103">
        <f t="shared" si="7"/>
        <v>0</v>
      </c>
      <c r="H77" s="22">
        <f t="shared" si="17"/>
        <v>0</v>
      </c>
      <c r="I77" s="91">
        <f>VLOOKUP(B77,Data!$A$5:$X$197,24,FALSE)</f>
        <v>0</v>
      </c>
      <c r="J77" s="87">
        <f t="shared" si="9"/>
        <v>0</v>
      </c>
      <c r="K77" s="14">
        <f t="shared" si="10"/>
        <v>0</v>
      </c>
      <c r="L77" s="46">
        <f t="shared" si="18"/>
        <v>0</v>
      </c>
      <c r="M77" s="46">
        <f t="shared" si="18"/>
        <v>0</v>
      </c>
      <c r="N77" s="22">
        <f t="shared" si="19"/>
        <v>0</v>
      </c>
      <c r="O77" s="55">
        <f t="shared" si="16"/>
        <v>0</v>
      </c>
      <c r="P77" s="55">
        <f t="shared" si="16"/>
        <v>0</v>
      </c>
      <c r="Q77" s="32">
        <f t="shared" si="20"/>
        <v>0</v>
      </c>
    </row>
    <row r="78" spans="1:17">
      <c r="A78" s="47">
        <v>91000</v>
      </c>
      <c r="B78" s="13">
        <v>43800</v>
      </c>
      <c r="C78" s="16">
        <f t="shared" si="15"/>
        <v>0</v>
      </c>
      <c r="D78" s="16">
        <f t="shared" si="15"/>
        <v>0</v>
      </c>
      <c r="E78" s="14">
        <f t="shared" si="15"/>
        <v>0</v>
      </c>
      <c r="F78" s="46">
        <v>0</v>
      </c>
      <c r="G78" s="103">
        <f t="shared" si="7"/>
        <v>0</v>
      </c>
      <c r="H78" s="22">
        <f t="shared" si="17"/>
        <v>0</v>
      </c>
      <c r="I78" s="91">
        <f>VLOOKUP(B78,Data!$A$5:$X$197,24,FALSE)</f>
        <v>0</v>
      </c>
      <c r="J78" s="87">
        <f t="shared" si="9"/>
        <v>0</v>
      </c>
      <c r="K78" s="14">
        <f t="shared" si="10"/>
        <v>0</v>
      </c>
      <c r="L78" s="46">
        <f t="shared" si="18"/>
        <v>0</v>
      </c>
      <c r="M78" s="46">
        <f t="shared" si="18"/>
        <v>0</v>
      </c>
      <c r="N78" s="22">
        <f t="shared" si="19"/>
        <v>0</v>
      </c>
      <c r="O78" s="55">
        <f t="shared" si="16"/>
        <v>0</v>
      </c>
      <c r="P78" s="55">
        <f t="shared" si="16"/>
        <v>0</v>
      </c>
      <c r="Q78" s="32">
        <f t="shared" si="20"/>
        <v>0</v>
      </c>
    </row>
    <row r="79" spans="1:17">
      <c r="A79" s="47">
        <v>91000</v>
      </c>
      <c r="B79" s="13">
        <v>43831</v>
      </c>
      <c r="C79" s="16">
        <f t="shared" si="15"/>
        <v>0</v>
      </c>
      <c r="D79" s="16">
        <f t="shared" si="15"/>
        <v>0</v>
      </c>
      <c r="E79" s="14">
        <f t="shared" si="15"/>
        <v>0</v>
      </c>
      <c r="F79" s="46">
        <v>0</v>
      </c>
      <c r="G79" s="103">
        <f t="shared" si="7"/>
        <v>0</v>
      </c>
      <c r="H79" s="22">
        <f t="shared" si="17"/>
        <v>0</v>
      </c>
      <c r="I79" s="91">
        <f>VLOOKUP(B79,Data!$A$5:$X$197,24,FALSE)</f>
        <v>0</v>
      </c>
      <c r="J79" s="87">
        <f t="shared" si="9"/>
        <v>0</v>
      </c>
      <c r="K79" s="14">
        <f t="shared" si="10"/>
        <v>0</v>
      </c>
      <c r="L79" s="46">
        <f t="shared" si="18"/>
        <v>0</v>
      </c>
      <c r="M79" s="46">
        <f t="shared" si="18"/>
        <v>0</v>
      </c>
      <c r="N79" s="22">
        <f t="shared" si="19"/>
        <v>0</v>
      </c>
      <c r="O79" s="55">
        <f t="shared" si="16"/>
        <v>0</v>
      </c>
      <c r="P79" s="55">
        <f t="shared" si="16"/>
        <v>0</v>
      </c>
      <c r="Q79" s="32">
        <f t="shared" si="20"/>
        <v>0</v>
      </c>
    </row>
    <row r="80" spans="1:17">
      <c r="A80" s="47">
        <v>91000</v>
      </c>
      <c r="B80" s="13">
        <v>43862</v>
      </c>
      <c r="C80" s="16">
        <f t="shared" si="15"/>
        <v>0</v>
      </c>
      <c r="D80" s="16">
        <f t="shared" si="15"/>
        <v>0</v>
      </c>
      <c r="E80" s="14">
        <f t="shared" si="15"/>
        <v>0</v>
      </c>
      <c r="F80" s="46">
        <v>0</v>
      </c>
      <c r="G80" s="103">
        <f t="shared" si="7"/>
        <v>0</v>
      </c>
      <c r="H80" s="22">
        <f t="shared" si="17"/>
        <v>0</v>
      </c>
      <c r="I80" s="91">
        <f>VLOOKUP(B80,Data!$A$5:$X$197,24,FALSE)</f>
        <v>0</v>
      </c>
      <c r="J80" s="87">
        <f t="shared" si="9"/>
        <v>0</v>
      </c>
      <c r="K80" s="14">
        <f t="shared" si="10"/>
        <v>0</v>
      </c>
      <c r="L80" s="46">
        <f t="shared" si="18"/>
        <v>0</v>
      </c>
      <c r="M80" s="46">
        <f t="shared" si="18"/>
        <v>0</v>
      </c>
      <c r="N80" s="22">
        <f t="shared" si="19"/>
        <v>0</v>
      </c>
      <c r="O80" s="55">
        <f t="shared" si="16"/>
        <v>0</v>
      </c>
      <c r="P80" s="55">
        <f t="shared" si="16"/>
        <v>0</v>
      </c>
      <c r="Q80" s="32">
        <f t="shared" si="20"/>
        <v>0</v>
      </c>
    </row>
    <row r="81" spans="1:17">
      <c r="A81" s="47">
        <v>91000</v>
      </c>
      <c r="B81" s="13">
        <v>43891</v>
      </c>
      <c r="C81" s="16">
        <f t="shared" ref="C81:E90" si="21">L80</f>
        <v>0</v>
      </c>
      <c r="D81" s="16">
        <f t="shared" si="21"/>
        <v>0</v>
      </c>
      <c r="E81" s="14">
        <f t="shared" si="21"/>
        <v>0</v>
      </c>
      <c r="F81" s="46">
        <v>0</v>
      </c>
      <c r="G81" s="103">
        <f t="shared" si="7"/>
        <v>0</v>
      </c>
      <c r="H81" s="22">
        <f t="shared" si="17"/>
        <v>0</v>
      </c>
      <c r="I81" s="91">
        <f>VLOOKUP(B81,Data!$A$5:$X$197,24,FALSE)</f>
        <v>0</v>
      </c>
      <c r="J81" s="87">
        <f t="shared" si="9"/>
        <v>0</v>
      </c>
      <c r="K81" s="14">
        <f t="shared" si="10"/>
        <v>0</v>
      </c>
      <c r="L81" s="46">
        <f t="shared" si="18"/>
        <v>0</v>
      </c>
      <c r="M81" s="46">
        <f t="shared" si="18"/>
        <v>0</v>
      </c>
      <c r="N81" s="22">
        <f t="shared" si="19"/>
        <v>0</v>
      </c>
      <c r="O81" s="55">
        <f t="shared" si="16"/>
        <v>0</v>
      </c>
      <c r="P81" s="55">
        <f t="shared" si="16"/>
        <v>0</v>
      </c>
      <c r="Q81" s="32">
        <f t="shared" si="20"/>
        <v>0</v>
      </c>
    </row>
    <row r="82" spans="1:17">
      <c r="A82" s="47">
        <v>91000</v>
      </c>
      <c r="B82" s="13">
        <v>43922</v>
      </c>
      <c r="C82" s="16">
        <f t="shared" si="21"/>
        <v>0</v>
      </c>
      <c r="D82" s="16">
        <f t="shared" si="21"/>
        <v>0</v>
      </c>
      <c r="E82" s="14">
        <f t="shared" si="21"/>
        <v>0</v>
      </c>
      <c r="F82" s="46">
        <v>0</v>
      </c>
      <c r="G82" s="103">
        <f t="shared" si="7"/>
        <v>0</v>
      </c>
      <c r="H82" s="22">
        <f t="shared" si="17"/>
        <v>0</v>
      </c>
      <c r="I82" s="91">
        <f>VLOOKUP(B82,Data!$A$5:$X$197,24,FALSE)</f>
        <v>0</v>
      </c>
      <c r="J82" s="87">
        <f t="shared" si="9"/>
        <v>0</v>
      </c>
      <c r="K82" s="14">
        <f t="shared" si="10"/>
        <v>0</v>
      </c>
      <c r="L82" s="46">
        <f t="shared" si="18"/>
        <v>0</v>
      </c>
      <c r="M82" s="46">
        <f t="shared" si="18"/>
        <v>0</v>
      </c>
      <c r="N82" s="22">
        <f t="shared" si="19"/>
        <v>0</v>
      </c>
      <c r="O82" s="55">
        <f t="shared" si="16"/>
        <v>0</v>
      </c>
      <c r="P82" s="55">
        <f t="shared" si="16"/>
        <v>0</v>
      </c>
      <c r="Q82" s="32">
        <f t="shared" si="20"/>
        <v>0</v>
      </c>
    </row>
    <row r="83" spans="1:17">
      <c r="A83" s="47">
        <v>91000</v>
      </c>
      <c r="B83" s="13">
        <v>43952</v>
      </c>
      <c r="C83" s="16">
        <f t="shared" si="21"/>
        <v>0</v>
      </c>
      <c r="D83" s="16">
        <f t="shared" si="21"/>
        <v>0</v>
      </c>
      <c r="E83" s="14">
        <f t="shared" si="21"/>
        <v>0</v>
      </c>
      <c r="F83" s="46">
        <v>0</v>
      </c>
      <c r="G83" s="103">
        <f t="shared" si="7"/>
        <v>0</v>
      </c>
      <c r="H83" s="22">
        <f t="shared" si="17"/>
        <v>0</v>
      </c>
      <c r="I83" s="91">
        <f>VLOOKUP(B83,Data!$A$5:$X$197,24,FALSE)</f>
        <v>0</v>
      </c>
      <c r="J83" s="87">
        <f t="shared" si="9"/>
        <v>0</v>
      </c>
      <c r="K83" s="14">
        <f t="shared" si="10"/>
        <v>0</v>
      </c>
      <c r="L83" s="46">
        <f t="shared" si="18"/>
        <v>0</v>
      </c>
      <c r="M83" s="46">
        <f t="shared" si="18"/>
        <v>0</v>
      </c>
      <c r="N83" s="22">
        <f t="shared" si="19"/>
        <v>0</v>
      </c>
      <c r="O83" s="55">
        <f t="shared" si="16"/>
        <v>0</v>
      </c>
      <c r="P83" s="55">
        <f t="shared" si="16"/>
        <v>0</v>
      </c>
      <c r="Q83" s="32">
        <f t="shared" si="20"/>
        <v>0</v>
      </c>
    </row>
    <row r="84" spans="1:17">
      <c r="A84" s="47">
        <v>91000</v>
      </c>
      <c r="B84" s="13">
        <v>43983</v>
      </c>
      <c r="C84" s="16">
        <f t="shared" si="21"/>
        <v>0</v>
      </c>
      <c r="D84" s="16">
        <f t="shared" si="21"/>
        <v>0</v>
      </c>
      <c r="E84" s="14">
        <f t="shared" si="21"/>
        <v>0</v>
      </c>
      <c r="F84" s="46">
        <v>0</v>
      </c>
      <c r="G84" s="103">
        <f t="shared" si="7"/>
        <v>0</v>
      </c>
      <c r="H84" s="22">
        <f t="shared" si="17"/>
        <v>0</v>
      </c>
      <c r="I84" s="91">
        <f>VLOOKUP(B84,Data!$A$5:$X$197,24,FALSE)</f>
        <v>0</v>
      </c>
      <c r="J84" s="87">
        <f t="shared" si="9"/>
        <v>0</v>
      </c>
      <c r="K84" s="14">
        <f t="shared" si="10"/>
        <v>0</v>
      </c>
      <c r="L84" s="46">
        <f t="shared" si="18"/>
        <v>0</v>
      </c>
      <c r="M84" s="46">
        <f t="shared" si="18"/>
        <v>0</v>
      </c>
      <c r="N84" s="22">
        <f t="shared" si="19"/>
        <v>0</v>
      </c>
      <c r="O84" s="55">
        <f t="shared" si="16"/>
        <v>0</v>
      </c>
      <c r="P84" s="55">
        <f t="shared" si="16"/>
        <v>0</v>
      </c>
      <c r="Q84" s="32">
        <f t="shared" si="20"/>
        <v>0</v>
      </c>
    </row>
    <row r="85" spans="1:17">
      <c r="A85" s="47">
        <v>91000</v>
      </c>
      <c r="B85" s="13">
        <v>44013</v>
      </c>
      <c r="C85" s="16">
        <f t="shared" si="21"/>
        <v>0</v>
      </c>
      <c r="D85" s="16">
        <f t="shared" si="21"/>
        <v>0</v>
      </c>
      <c r="E85" s="14">
        <f t="shared" si="21"/>
        <v>0</v>
      </c>
      <c r="F85" s="46">
        <v>0</v>
      </c>
      <c r="G85" s="103">
        <f t="shared" si="7"/>
        <v>0</v>
      </c>
      <c r="H85" s="22">
        <f t="shared" si="17"/>
        <v>0</v>
      </c>
      <c r="I85" s="91">
        <f>VLOOKUP(B85,Data!$A$5:$X$197,24,FALSE)</f>
        <v>0</v>
      </c>
      <c r="J85" s="87">
        <f t="shared" si="9"/>
        <v>0</v>
      </c>
      <c r="K85" s="14">
        <f t="shared" si="10"/>
        <v>0</v>
      </c>
      <c r="L85" s="46">
        <f t="shared" si="18"/>
        <v>0</v>
      </c>
      <c r="M85" s="46">
        <f t="shared" si="18"/>
        <v>0</v>
      </c>
      <c r="N85" s="22">
        <f t="shared" si="19"/>
        <v>0</v>
      </c>
      <c r="O85" s="55">
        <f t="shared" si="16"/>
        <v>0</v>
      </c>
      <c r="P85" s="55">
        <f t="shared" si="16"/>
        <v>0</v>
      </c>
      <c r="Q85" s="32">
        <f t="shared" si="20"/>
        <v>0</v>
      </c>
    </row>
    <row r="86" spans="1:17">
      <c r="A86" s="47">
        <v>91000</v>
      </c>
      <c r="B86" s="13">
        <v>44044</v>
      </c>
      <c r="C86" s="16">
        <f t="shared" si="21"/>
        <v>0</v>
      </c>
      <c r="D86" s="16">
        <f t="shared" si="21"/>
        <v>0</v>
      </c>
      <c r="E86" s="14">
        <f t="shared" si="21"/>
        <v>0</v>
      </c>
      <c r="F86" s="46">
        <v>0</v>
      </c>
      <c r="G86" s="103">
        <f t="shared" si="7"/>
        <v>0</v>
      </c>
      <c r="H86" s="22">
        <f t="shared" si="17"/>
        <v>0</v>
      </c>
      <c r="I86" s="91">
        <f>VLOOKUP(B86,Data!$A$5:$X$197,24,FALSE)</f>
        <v>0</v>
      </c>
      <c r="J86" s="87">
        <f t="shared" si="9"/>
        <v>0</v>
      </c>
      <c r="K86" s="14">
        <f t="shared" si="10"/>
        <v>0</v>
      </c>
      <c r="L86" s="46">
        <f t="shared" si="18"/>
        <v>0</v>
      </c>
      <c r="M86" s="46">
        <f t="shared" si="18"/>
        <v>0</v>
      </c>
      <c r="N86" s="22">
        <f t="shared" si="19"/>
        <v>0</v>
      </c>
      <c r="O86" s="55">
        <f t="shared" si="16"/>
        <v>0</v>
      </c>
      <c r="P86" s="55">
        <f t="shared" si="16"/>
        <v>0</v>
      </c>
      <c r="Q86" s="32">
        <f t="shared" si="20"/>
        <v>0</v>
      </c>
    </row>
    <row r="87" spans="1:17">
      <c r="A87" s="47">
        <v>91000</v>
      </c>
      <c r="B87" s="13">
        <v>44075</v>
      </c>
      <c r="C87" s="16">
        <f t="shared" si="21"/>
        <v>0</v>
      </c>
      <c r="D87" s="16">
        <f t="shared" si="21"/>
        <v>0</v>
      </c>
      <c r="E87" s="14">
        <f t="shared" si="21"/>
        <v>0</v>
      </c>
      <c r="F87" s="46">
        <v>0</v>
      </c>
      <c r="G87" s="103">
        <f t="shared" si="7"/>
        <v>0</v>
      </c>
      <c r="H87" s="22">
        <f t="shared" si="17"/>
        <v>0</v>
      </c>
      <c r="I87" s="91">
        <f>VLOOKUP(B87,Data!$A$5:$X$197,24,FALSE)</f>
        <v>0</v>
      </c>
      <c r="J87" s="87">
        <f t="shared" si="9"/>
        <v>0</v>
      </c>
      <c r="K87" s="14">
        <f t="shared" si="10"/>
        <v>0</v>
      </c>
      <c r="L87" s="46">
        <f t="shared" si="18"/>
        <v>0</v>
      </c>
      <c r="M87" s="46">
        <f t="shared" si="18"/>
        <v>0</v>
      </c>
      <c r="N87" s="22">
        <f t="shared" si="19"/>
        <v>0</v>
      </c>
      <c r="O87" s="55">
        <f t="shared" si="16"/>
        <v>0</v>
      </c>
      <c r="P87" s="55">
        <f t="shared" si="16"/>
        <v>0</v>
      </c>
      <c r="Q87" s="32">
        <f t="shared" si="20"/>
        <v>0</v>
      </c>
    </row>
    <row r="88" spans="1:17">
      <c r="A88" s="47">
        <v>91000</v>
      </c>
      <c r="B88" s="13">
        <v>44105</v>
      </c>
      <c r="C88" s="16">
        <f t="shared" si="21"/>
        <v>0</v>
      </c>
      <c r="D88" s="16">
        <f t="shared" si="21"/>
        <v>0</v>
      </c>
      <c r="E88" s="14">
        <f t="shared" si="21"/>
        <v>0</v>
      </c>
      <c r="F88" s="46">
        <v>0</v>
      </c>
      <c r="G88" s="103">
        <f t="shared" si="7"/>
        <v>0</v>
      </c>
      <c r="H88" s="22">
        <f t="shared" si="17"/>
        <v>0</v>
      </c>
      <c r="I88" s="91">
        <f>VLOOKUP(B88,Data!$A$5:$X$197,24,FALSE)</f>
        <v>0</v>
      </c>
      <c r="J88" s="87">
        <f t="shared" si="9"/>
        <v>0</v>
      </c>
      <c r="K88" s="14">
        <f t="shared" si="10"/>
        <v>0</v>
      </c>
      <c r="L88" s="46">
        <f t="shared" si="18"/>
        <v>0</v>
      </c>
      <c r="M88" s="46">
        <f t="shared" si="18"/>
        <v>0</v>
      </c>
      <c r="N88" s="22">
        <f t="shared" si="19"/>
        <v>0</v>
      </c>
      <c r="O88" s="55">
        <f t="shared" si="16"/>
        <v>0</v>
      </c>
      <c r="P88" s="55">
        <f t="shared" si="16"/>
        <v>0</v>
      </c>
      <c r="Q88" s="32">
        <f t="shared" si="20"/>
        <v>0</v>
      </c>
    </row>
    <row r="89" spans="1:17">
      <c r="A89" s="47">
        <v>91000</v>
      </c>
      <c r="B89" s="13">
        <v>44136</v>
      </c>
      <c r="C89" s="16">
        <f t="shared" si="21"/>
        <v>0</v>
      </c>
      <c r="D89" s="16">
        <f t="shared" si="21"/>
        <v>0</v>
      </c>
      <c r="E89" s="14">
        <f t="shared" si="21"/>
        <v>0</v>
      </c>
      <c r="F89" s="46">
        <v>0</v>
      </c>
      <c r="G89" s="103">
        <f t="shared" si="7"/>
        <v>0</v>
      </c>
      <c r="H89" s="22">
        <f t="shared" si="17"/>
        <v>0</v>
      </c>
      <c r="I89" s="91">
        <f>VLOOKUP(B89,Data!$A$5:$X$197,24,FALSE)</f>
        <v>0</v>
      </c>
      <c r="J89" s="87">
        <f t="shared" si="9"/>
        <v>0</v>
      </c>
      <c r="K89" s="14">
        <f t="shared" si="10"/>
        <v>0</v>
      </c>
      <c r="L89" s="46">
        <f t="shared" si="18"/>
        <v>0</v>
      </c>
      <c r="M89" s="46">
        <f t="shared" si="18"/>
        <v>0</v>
      </c>
      <c r="N89" s="22">
        <f t="shared" si="19"/>
        <v>0</v>
      </c>
      <c r="O89" s="55">
        <f t="shared" si="16"/>
        <v>0</v>
      </c>
      <c r="P89" s="55">
        <f t="shared" si="16"/>
        <v>0</v>
      </c>
      <c r="Q89" s="32">
        <f t="shared" si="20"/>
        <v>0</v>
      </c>
    </row>
    <row r="90" spans="1:17">
      <c r="A90" s="47">
        <v>91000</v>
      </c>
      <c r="B90" s="13">
        <v>44166</v>
      </c>
      <c r="C90" s="16">
        <f t="shared" si="21"/>
        <v>0</v>
      </c>
      <c r="D90" s="16">
        <f t="shared" si="21"/>
        <v>0</v>
      </c>
      <c r="E90" s="14">
        <f t="shared" si="21"/>
        <v>0</v>
      </c>
      <c r="F90" s="46">
        <v>0</v>
      </c>
      <c r="G90" s="103">
        <f t="shared" ref="G90" si="22">F90*H90</f>
        <v>0</v>
      </c>
      <c r="H90" s="22">
        <f t="shared" si="17"/>
        <v>0</v>
      </c>
      <c r="I90" s="91">
        <f>VLOOKUP(B90,Data!$A$5:$X$197,24,FALSE)</f>
        <v>0</v>
      </c>
      <c r="J90" s="87">
        <f t="shared" si="9"/>
        <v>0</v>
      </c>
      <c r="K90" s="14">
        <f t="shared" si="10"/>
        <v>0</v>
      </c>
      <c r="L90" s="46">
        <f t="shared" si="18"/>
        <v>0</v>
      </c>
      <c r="M90" s="46">
        <f t="shared" si="18"/>
        <v>0</v>
      </c>
      <c r="N90" s="22">
        <f t="shared" si="19"/>
        <v>0</v>
      </c>
      <c r="O90" s="55">
        <f t="shared" si="16"/>
        <v>0</v>
      </c>
      <c r="P90" s="55">
        <f t="shared" si="16"/>
        <v>0</v>
      </c>
      <c r="Q90" s="32">
        <f t="shared" si="20"/>
        <v>0</v>
      </c>
    </row>
  </sheetData>
  <mergeCells count="5"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89"/>
  <sheetViews>
    <sheetView workbookViewId="0">
      <pane xSplit="1" ySplit="5" topLeftCell="B6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9.109375" defaultRowHeight="10.199999999999999"/>
  <cols>
    <col min="1" max="1" width="6.109375" style="95" bestFit="1" customWidth="1"/>
    <col min="2" max="2" width="7.88671875" style="95" bestFit="1" customWidth="1"/>
    <col min="3" max="3" width="8.6640625" style="95" bestFit="1" customWidth="1"/>
    <col min="4" max="4" width="7.6640625" style="95" bestFit="1" customWidth="1"/>
    <col min="5" max="6" width="7.88671875" style="95" bestFit="1" customWidth="1"/>
    <col min="7" max="7" width="7.6640625" style="95" bestFit="1" customWidth="1"/>
    <col min="8" max="9" width="7.88671875" style="95" bestFit="1" customWidth="1"/>
    <col min="10" max="10" width="7.6640625" style="95" bestFit="1" customWidth="1"/>
    <col min="11" max="11" width="8.44140625" style="95" bestFit="1" customWidth="1"/>
    <col min="12" max="12" width="8.6640625" style="95" bestFit="1" customWidth="1"/>
    <col min="13" max="13" width="7.6640625" style="95" bestFit="1" customWidth="1"/>
    <col min="14" max="14" width="8.44140625" style="95" bestFit="1" customWidth="1"/>
    <col min="15" max="15" width="9.33203125" style="95" bestFit="1" customWidth="1"/>
    <col min="16" max="16" width="7.6640625" style="102" bestFit="1" customWidth="1"/>
    <col min="17" max="16384" width="9.109375" style="95"/>
  </cols>
  <sheetData>
    <row r="1" spans="1:16" s="118" customFormat="1">
      <c r="A1" s="118" t="s">
        <v>79</v>
      </c>
      <c r="P1" s="119"/>
    </row>
    <row r="2" spans="1:16" s="118" customFormat="1">
      <c r="A2" s="118" t="s">
        <v>59</v>
      </c>
      <c r="P2" s="119"/>
    </row>
    <row r="3" spans="1:16">
      <c r="B3" s="115" t="s">
        <v>41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7"/>
    </row>
    <row r="4" spans="1:16">
      <c r="A4" s="19"/>
      <c r="B4" s="106" t="s">
        <v>0</v>
      </c>
      <c r="C4" s="106"/>
      <c r="D4" s="106"/>
      <c r="E4" s="106" t="s">
        <v>1</v>
      </c>
      <c r="F4" s="106"/>
      <c r="G4" s="106"/>
      <c r="H4" s="106" t="s">
        <v>40</v>
      </c>
      <c r="I4" s="106"/>
      <c r="J4" s="106"/>
      <c r="K4" s="106" t="s">
        <v>2</v>
      </c>
      <c r="L4" s="106"/>
      <c r="M4" s="106"/>
      <c r="N4" s="106" t="s">
        <v>29</v>
      </c>
      <c r="O4" s="106"/>
      <c r="P4" s="106"/>
    </row>
    <row r="5" spans="1:16">
      <c r="A5" s="9" t="s">
        <v>26</v>
      </c>
      <c r="B5" s="93" t="s">
        <v>30</v>
      </c>
      <c r="C5" s="93" t="s">
        <v>27</v>
      </c>
      <c r="D5" s="93" t="s">
        <v>31</v>
      </c>
      <c r="E5" s="93" t="s">
        <v>30</v>
      </c>
      <c r="F5" s="93" t="s">
        <v>27</v>
      </c>
      <c r="G5" s="93" t="s">
        <v>31</v>
      </c>
      <c r="H5" s="93" t="s">
        <v>30</v>
      </c>
      <c r="I5" s="93" t="s">
        <v>27</v>
      </c>
      <c r="J5" s="93" t="s">
        <v>31</v>
      </c>
      <c r="K5" s="93" t="s">
        <v>30</v>
      </c>
      <c r="L5" s="93" t="s">
        <v>27</v>
      </c>
      <c r="M5" s="93" t="s">
        <v>31</v>
      </c>
      <c r="N5" s="93" t="s">
        <v>30</v>
      </c>
      <c r="O5" s="93" t="s">
        <v>27</v>
      </c>
      <c r="P5" s="41" t="s">
        <v>31</v>
      </c>
    </row>
    <row r="6" spans="1:16" ht="11.25" customHeight="1">
      <c r="A6" s="49">
        <v>41640</v>
      </c>
      <c r="B6" s="97">
        <v>2160866</v>
      </c>
      <c r="C6" s="97">
        <v>8008980.2699999996</v>
      </c>
      <c r="D6" s="38">
        <v>3.7063752541804997</v>
      </c>
      <c r="E6" s="97">
        <v>1025335</v>
      </c>
      <c r="F6" s="97">
        <v>4324857.37</v>
      </c>
      <c r="G6" s="38">
        <v>4.2179944798529263</v>
      </c>
      <c r="H6" s="97">
        <v>2220545</v>
      </c>
      <c r="I6" s="97">
        <v>8535322.4399999995</v>
      </c>
      <c r="J6" s="38">
        <v>3.8437962031843531</v>
      </c>
      <c r="K6" s="97">
        <v>965656</v>
      </c>
      <c r="L6" s="97">
        <v>3798515.1999999993</v>
      </c>
      <c r="M6" s="38">
        <v>3.9336111410274457</v>
      </c>
      <c r="N6" s="98"/>
      <c r="O6" s="98"/>
      <c r="P6" s="99"/>
    </row>
    <row r="7" spans="1:16" ht="11.25" customHeight="1">
      <c r="A7" s="49">
        <v>41671</v>
      </c>
      <c r="B7" s="97">
        <v>965656</v>
      </c>
      <c r="C7" s="97">
        <v>3798515.1999999993</v>
      </c>
      <c r="D7" s="38">
        <v>3.9336111410274457</v>
      </c>
      <c r="E7" s="97">
        <v>930730</v>
      </c>
      <c r="F7" s="97">
        <v>4628994.75</v>
      </c>
      <c r="G7" s="38">
        <v>4.9735097718994767</v>
      </c>
      <c r="H7" s="97">
        <v>977702</v>
      </c>
      <c r="I7" s="97">
        <v>4667940.1592287151</v>
      </c>
      <c r="J7" s="38">
        <v>4.7743997242807268</v>
      </c>
      <c r="K7" s="97">
        <v>918683</v>
      </c>
      <c r="L7" s="97">
        <v>3759570.9</v>
      </c>
      <c r="M7" s="38">
        <v>4.0923483943863115</v>
      </c>
      <c r="N7" s="98"/>
      <c r="O7" s="98"/>
      <c r="P7" s="99"/>
    </row>
    <row r="8" spans="1:16" ht="11.25" customHeight="1">
      <c r="A8" s="49">
        <v>41699</v>
      </c>
      <c r="B8" s="97">
        <v>918683</v>
      </c>
      <c r="C8" s="97">
        <v>3759570.9</v>
      </c>
      <c r="D8" s="38">
        <v>4.0923483943863115</v>
      </c>
      <c r="E8" s="97">
        <v>504873</v>
      </c>
      <c r="F8" s="97">
        <v>2535525.2600000002</v>
      </c>
      <c r="G8" s="38">
        <v>5.0221050838527717</v>
      </c>
      <c r="H8" s="97">
        <v>350282</v>
      </c>
      <c r="I8" s="97">
        <v>1851334.3</v>
      </c>
      <c r="J8" s="38">
        <v>5.2852681553719574</v>
      </c>
      <c r="K8" s="97">
        <v>1073274</v>
      </c>
      <c r="L8" s="97">
        <v>4443761.8599999994</v>
      </c>
      <c r="M8" s="38">
        <v>4.1403796793735799</v>
      </c>
      <c r="N8" s="98"/>
      <c r="O8" s="98"/>
      <c r="P8" s="99"/>
    </row>
    <row r="9" spans="1:16" ht="11.25" customHeight="1">
      <c r="A9" s="49">
        <v>41730</v>
      </c>
      <c r="B9" s="97">
        <v>1073274</v>
      </c>
      <c r="C9" s="97">
        <v>4443734.8599999994</v>
      </c>
      <c r="D9" s="38">
        <v>4.1403545227034284</v>
      </c>
      <c r="E9" s="97">
        <v>1523573</v>
      </c>
      <c r="F9" s="97">
        <v>6799663.6600000001</v>
      </c>
      <c r="G9" s="38">
        <v>4.4629720138122693</v>
      </c>
      <c r="H9" s="97">
        <v>890993</v>
      </c>
      <c r="I9" s="97">
        <v>3962534.6547828666</v>
      </c>
      <c r="J9" s="38">
        <v>4.4473241145361033</v>
      </c>
      <c r="K9" s="97">
        <v>1705854</v>
      </c>
      <c r="L9" s="97">
        <v>7280863.8652171325</v>
      </c>
      <c r="M9" s="38">
        <v>4.268163550466296</v>
      </c>
      <c r="N9" s="98"/>
      <c r="O9" s="98"/>
      <c r="P9" s="99"/>
    </row>
    <row r="10" spans="1:16" ht="11.25" customHeight="1">
      <c r="A10" s="49">
        <v>41760</v>
      </c>
      <c r="B10" s="97">
        <v>1705854</v>
      </c>
      <c r="C10" s="97">
        <v>7280863.8652171325</v>
      </c>
      <c r="D10" s="38">
        <v>4.268163550466296</v>
      </c>
      <c r="E10" s="97">
        <v>907704</v>
      </c>
      <c r="F10" s="97">
        <v>4372581.2</v>
      </c>
      <c r="G10" s="38">
        <v>4.8171884226576065</v>
      </c>
      <c r="H10" s="97">
        <v>434418</v>
      </c>
      <c r="I10" s="97">
        <v>1963857.78</v>
      </c>
      <c r="J10" s="38">
        <v>4.5206639227656309</v>
      </c>
      <c r="K10" s="97">
        <v>2179140</v>
      </c>
      <c r="L10" s="97">
        <v>9689587.2852171324</v>
      </c>
      <c r="M10" s="38">
        <v>4.4465189410580015</v>
      </c>
      <c r="N10" s="98"/>
      <c r="O10" s="98"/>
      <c r="P10" s="99"/>
    </row>
    <row r="11" spans="1:16" ht="11.25" customHeight="1">
      <c r="A11" s="49">
        <v>41791</v>
      </c>
      <c r="B11" s="97">
        <v>2179140</v>
      </c>
      <c r="C11" s="97">
        <v>9689587.2852171324</v>
      </c>
      <c r="D11" s="38">
        <v>4.4465189410580015</v>
      </c>
      <c r="E11" s="97">
        <v>458882</v>
      </c>
      <c r="F11" s="97">
        <v>2170116.79</v>
      </c>
      <c r="G11" s="38">
        <v>4.7291390597146981</v>
      </c>
      <c r="H11" s="97">
        <v>570725</v>
      </c>
      <c r="I11" s="97">
        <v>2593484.0099999998</v>
      </c>
      <c r="J11" s="38">
        <v>4.5441920539664462</v>
      </c>
      <c r="K11" s="97">
        <v>2067297</v>
      </c>
      <c r="L11" s="97">
        <v>9266220.0652171317</v>
      </c>
      <c r="M11" s="38">
        <v>4.4822877724957433</v>
      </c>
      <c r="N11" s="98"/>
      <c r="O11" s="98"/>
      <c r="P11" s="99"/>
    </row>
    <row r="12" spans="1:16" ht="11.25" customHeight="1">
      <c r="A12" s="49">
        <v>41821</v>
      </c>
      <c r="B12" s="97">
        <v>2067297</v>
      </c>
      <c r="C12" s="97">
        <v>9266220.0652171317</v>
      </c>
      <c r="D12" s="38">
        <v>4.4822877724957433</v>
      </c>
      <c r="E12" s="97">
        <v>347900</v>
      </c>
      <c r="F12" s="97">
        <v>1537447.87</v>
      </c>
      <c r="G12" s="38">
        <v>4.4192235412474856</v>
      </c>
      <c r="H12" s="97">
        <v>358975</v>
      </c>
      <c r="I12" s="97">
        <v>1630732.58</v>
      </c>
      <c r="J12" s="38">
        <v>4.5427469322376215</v>
      </c>
      <c r="K12" s="97">
        <v>2056222</v>
      </c>
      <c r="L12" s="97">
        <v>9172935.355217129</v>
      </c>
      <c r="M12" s="38">
        <v>4.4610627428444634</v>
      </c>
      <c r="N12" s="98"/>
      <c r="O12" s="98"/>
      <c r="P12" s="99"/>
    </row>
    <row r="13" spans="1:16" ht="11.25" customHeight="1">
      <c r="A13" s="49">
        <v>41852</v>
      </c>
      <c r="B13" s="97">
        <v>2056222</v>
      </c>
      <c r="C13" s="97">
        <v>9172935.355217129</v>
      </c>
      <c r="D13" s="38">
        <v>4.4610627428444634</v>
      </c>
      <c r="E13" s="97">
        <v>398814</v>
      </c>
      <c r="F13" s="97">
        <v>1575897.09</v>
      </c>
      <c r="G13" s="38">
        <v>3.9514588003430173</v>
      </c>
      <c r="H13" s="97">
        <v>458163</v>
      </c>
      <c r="I13" s="97">
        <v>2002462.19</v>
      </c>
      <c r="J13" s="38">
        <v>4.3706327005890913</v>
      </c>
      <c r="K13" s="97">
        <v>1996873</v>
      </c>
      <c r="L13" s="97">
        <v>8746370.2552171294</v>
      </c>
      <c r="M13" s="38">
        <v>4.3800333096882627</v>
      </c>
      <c r="N13" s="98"/>
      <c r="O13" s="98"/>
      <c r="P13" s="99"/>
    </row>
    <row r="14" spans="1:16" ht="11.25" customHeight="1">
      <c r="A14" s="49">
        <v>41883</v>
      </c>
      <c r="B14" s="97">
        <v>1996873</v>
      </c>
      <c r="C14" s="97">
        <v>8746370.2552171294</v>
      </c>
      <c r="D14" s="38">
        <v>4.3800333096882627</v>
      </c>
      <c r="E14" s="97">
        <v>982357</v>
      </c>
      <c r="F14" s="97">
        <v>3959799.66</v>
      </c>
      <c r="G14" s="38">
        <v>4.0309171309411953</v>
      </c>
      <c r="H14" s="97">
        <v>613150</v>
      </c>
      <c r="I14" s="97">
        <v>2637428.2200000002</v>
      </c>
      <c r="J14" s="38">
        <v>4.3014404631819296</v>
      </c>
      <c r="K14" s="97">
        <v>2366080</v>
      </c>
      <c r="L14" s="97">
        <v>10064733.695217131</v>
      </c>
      <c r="M14" s="38">
        <v>4.2537588311541157</v>
      </c>
      <c r="N14" s="98"/>
      <c r="O14" s="98"/>
      <c r="P14" s="99"/>
    </row>
    <row r="15" spans="1:16" ht="11.25" customHeight="1">
      <c r="A15" s="49">
        <v>41913</v>
      </c>
      <c r="B15" s="97">
        <v>2366080</v>
      </c>
      <c r="C15" s="97">
        <v>10064733.695217131</v>
      </c>
      <c r="D15" s="38">
        <v>4.2537588311541157</v>
      </c>
      <c r="E15" s="97">
        <v>1107999</v>
      </c>
      <c r="F15" s="97">
        <v>4303508.2200000007</v>
      </c>
      <c r="G15" s="38">
        <v>3.884036194978516</v>
      </c>
      <c r="H15" s="97">
        <v>557308</v>
      </c>
      <c r="I15" s="97">
        <v>2330354.1799999997</v>
      </c>
      <c r="J15" s="38">
        <v>4.1814475657984449</v>
      </c>
      <c r="K15" s="97">
        <v>2916771</v>
      </c>
      <c r="L15" s="97">
        <v>12037887.73521713</v>
      </c>
      <c r="M15" s="38">
        <v>4.1271281616613473</v>
      </c>
      <c r="N15" s="98"/>
      <c r="O15" s="98"/>
      <c r="P15" s="99"/>
    </row>
    <row r="16" spans="1:16" ht="11.25" customHeight="1">
      <c r="A16" s="49">
        <v>41944</v>
      </c>
      <c r="B16" s="97">
        <v>2916771</v>
      </c>
      <c r="C16" s="97">
        <v>12037887.73521713</v>
      </c>
      <c r="D16" s="38">
        <v>4.1271281616613473</v>
      </c>
      <c r="E16" s="97">
        <v>567328</v>
      </c>
      <c r="F16" s="97">
        <v>2185452</v>
      </c>
      <c r="G16" s="38">
        <v>3.8521842743527555</v>
      </c>
      <c r="H16" s="97">
        <v>557020</v>
      </c>
      <c r="I16" s="97">
        <v>2299631.0300000003</v>
      </c>
      <c r="J16" s="38">
        <v>4.1284532512297591</v>
      </c>
      <c r="K16" s="97">
        <v>2927079</v>
      </c>
      <c r="L16" s="97">
        <v>11923708.705217129</v>
      </c>
      <c r="M16" s="38">
        <v>4.073586228870874</v>
      </c>
      <c r="N16" s="98"/>
      <c r="O16" s="98"/>
      <c r="P16" s="99"/>
    </row>
    <row r="17" spans="1:16" ht="11.25" customHeight="1">
      <c r="A17" s="49">
        <v>41974</v>
      </c>
      <c r="B17" s="97">
        <v>2927079</v>
      </c>
      <c r="C17" s="97">
        <v>11923826.705217129</v>
      </c>
      <c r="D17" s="38">
        <v>4.0736265420978146</v>
      </c>
      <c r="E17" s="97">
        <v>349000</v>
      </c>
      <c r="F17" s="97">
        <v>1340535.5425000004</v>
      </c>
      <c r="G17" s="38">
        <v>3.8410760530085972</v>
      </c>
      <c r="H17" s="97">
        <v>153000</v>
      </c>
      <c r="I17" s="97">
        <v>603952.39893670427</v>
      </c>
      <c r="J17" s="38">
        <v>3.9474013002398971</v>
      </c>
      <c r="K17" s="97">
        <v>3123079</v>
      </c>
      <c r="L17" s="97">
        <v>12660409.848780425</v>
      </c>
      <c r="M17" s="38">
        <v>4.0538231177566839</v>
      </c>
      <c r="N17" s="98"/>
      <c r="O17" s="98"/>
      <c r="P17" s="99"/>
    </row>
    <row r="18" spans="1:16" ht="11.25" customHeight="1">
      <c r="A18" s="49">
        <v>42005</v>
      </c>
      <c r="B18" s="97">
        <v>3123079</v>
      </c>
      <c r="C18" s="97">
        <v>12660409.848780425</v>
      </c>
      <c r="D18" s="38">
        <v>4.0538231177566839</v>
      </c>
      <c r="E18" s="97">
        <v>185000</v>
      </c>
      <c r="F18" s="97">
        <v>562875</v>
      </c>
      <c r="G18" s="38">
        <v>3.0425675675675676</v>
      </c>
      <c r="H18" s="97">
        <v>375774</v>
      </c>
      <c r="I18" s="97">
        <v>1478432.7494127997</v>
      </c>
      <c r="J18" s="38">
        <v>3.9343667986949593</v>
      </c>
      <c r="K18" s="97">
        <v>2932305</v>
      </c>
      <c r="L18" s="97">
        <v>11744852.099367626</v>
      </c>
      <c r="M18" s="38">
        <v>4.0053309936611727</v>
      </c>
      <c r="N18" s="96">
        <f>AVERAGE(K6:K18)</f>
        <v>2094485.6153846155</v>
      </c>
      <c r="O18" s="96">
        <f t="shared" ref="N18:O65" si="0">AVERAGE(L6:L18)</f>
        <v>8814570.5284526981</v>
      </c>
      <c r="P18" s="100">
        <f t="shared" ref="P18:P69" si="1">IF(N18=0,0,O18/N18)</f>
        <v>4.2084655362190482</v>
      </c>
    </row>
    <row r="19" spans="1:16" ht="11.25" customHeight="1">
      <c r="A19" s="49">
        <v>42036</v>
      </c>
      <c r="B19" s="97">
        <v>2932305</v>
      </c>
      <c r="C19" s="97">
        <v>11744852.099367626</v>
      </c>
      <c r="D19" s="38">
        <v>4.0053309936611727</v>
      </c>
      <c r="E19" s="97">
        <v>814049</v>
      </c>
      <c r="F19" s="97">
        <v>2385189.7587999972</v>
      </c>
      <c r="G19" s="38">
        <v>2.9300321710363839</v>
      </c>
      <c r="H19" s="97">
        <v>1535024</v>
      </c>
      <c r="I19" s="97">
        <v>5661164.7510862295</v>
      </c>
      <c r="J19" s="38">
        <v>3.6879975499316164</v>
      </c>
      <c r="K19" s="97">
        <v>2211330</v>
      </c>
      <c r="L19" s="97">
        <v>8468877.1070813928</v>
      </c>
      <c r="M19" s="38">
        <v>3.8297662976947775</v>
      </c>
      <c r="N19" s="96">
        <f t="shared" si="0"/>
        <v>2190306.6923076925</v>
      </c>
      <c r="O19" s="96">
        <f t="shared" si="0"/>
        <v>9173829.13668973</v>
      </c>
      <c r="P19" s="100">
        <f t="shared" si="1"/>
        <v>4.1883765268617452</v>
      </c>
    </row>
    <row r="20" spans="1:16" ht="11.25" customHeight="1">
      <c r="A20" s="49">
        <v>42064</v>
      </c>
      <c r="B20" s="97">
        <v>2181330</v>
      </c>
      <c r="C20" s="97">
        <v>8368268.1006379491</v>
      </c>
      <c r="D20" s="38">
        <v>3.8363145881814988</v>
      </c>
      <c r="E20" s="97">
        <v>662437</v>
      </c>
      <c r="F20" s="97">
        <v>2011716.6190399998</v>
      </c>
      <c r="G20" s="38">
        <v>3.0368421737312374</v>
      </c>
      <c r="H20" s="97">
        <v>455141</v>
      </c>
      <c r="I20" s="97">
        <v>1672641.7325029229</v>
      </c>
      <c r="J20" s="38">
        <v>3.6749968306589009</v>
      </c>
      <c r="K20" s="97">
        <v>2388626</v>
      </c>
      <c r="L20" s="97">
        <v>8707342.9871750269</v>
      </c>
      <c r="M20" s="38">
        <v>3.6453354301489758</v>
      </c>
      <c r="N20" s="96">
        <f t="shared" si="0"/>
        <v>2303379.230769231</v>
      </c>
      <c r="O20" s="96">
        <f t="shared" si="0"/>
        <v>9554426.9895493481</v>
      </c>
      <c r="P20" s="100">
        <f t="shared" si="1"/>
        <v>4.1480043155371229</v>
      </c>
    </row>
    <row r="21" spans="1:16" ht="11.25" customHeight="1">
      <c r="A21" s="49">
        <v>42095</v>
      </c>
      <c r="B21" s="97">
        <v>2388626</v>
      </c>
      <c r="C21" s="97">
        <v>8707342.9871750269</v>
      </c>
      <c r="D21" s="38">
        <v>3.6453354301489758</v>
      </c>
      <c r="E21" s="97">
        <v>1361263</v>
      </c>
      <c r="F21" s="97">
        <v>3735900.4013999989</v>
      </c>
      <c r="G21" s="38">
        <v>2.7444368952950304</v>
      </c>
      <c r="H21" s="97">
        <v>1026780</v>
      </c>
      <c r="I21" s="97">
        <v>3573696.4860600485</v>
      </c>
      <c r="J21" s="38">
        <v>3.4804889908841705</v>
      </c>
      <c r="K21" s="97">
        <v>2723109</v>
      </c>
      <c r="L21" s="97">
        <v>8869546.9025149774</v>
      </c>
      <c r="M21" s="38">
        <v>3.2571398730329846</v>
      </c>
      <c r="N21" s="96">
        <f t="shared" si="0"/>
        <v>2430289.6153846155</v>
      </c>
      <c r="O21" s="96">
        <f t="shared" si="0"/>
        <v>9894871.9928197302</v>
      </c>
      <c r="P21" s="100">
        <f t="shared" si="1"/>
        <v>4.0714785308638106</v>
      </c>
    </row>
    <row r="22" spans="1:16" ht="11.25" customHeight="1">
      <c r="A22" s="49">
        <v>42125</v>
      </c>
      <c r="B22" s="97">
        <v>2723109</v>
      </c>
      <c r="C22" s="97">
        <v>8869546.9025149774</v>
      </c>
      <c r="D22" s="38">
        <v>3.2571398730329846</v>
      </c>
      <c r="E22" s="97">
        <v>747162</v>
      </c>
      <c r="F22" s="97">
        <v>2049118.6138000004</v>
      </c>
      <c r="G22" s="38">
        <v>2.7425359076077216</v>
      </c>
      <c r="H22" s="97">
        <v>611017</v>
      </c>
      <c r="I22" s="97">
        <v>1895250.3500741464</v>
      </c>
      <c r="J22" s="38">
        <v>3.1017964313172079</v>
      </c>
      <c r="K22" s="97">
        <v>2859254</v>
      </c>
      <c r="L22" s="97">
        <v>9023415.16624083</v>
      </c>
      <c r="M22" s="38">
        <v>3.1558634406879662</v>
      </c>
      <c r="N22" s="96">
        <f t="shared" si="0"/>
        <v>2519012.6923076925</v>
      </c>
      <c r="O22" s="96">
        <f t="shared" si="0"/>
        <v>10028914.400590785</v>
      </c>
      <c r="P22" s="100">
        <f t="shared" si="1"/>
        <v>3.9812877605643173</v>
      </c>
    </row>
    <row r="23" spans="1:16" ht="11.25" customHeight="1">
      <c r="A23" s="49">
        <v>42156</v>
      </c>
      <c r="B23" s="97">
        <v>2859254</v>
      </c>
      <c r="C23" s="97">
        <v>9023415.16624083</v>
      </c>
      <c r="D23" s="38">
        <v>3.1558634406879662</v>
      </c>
      <c r="E23" s="97">
        <v>1148362</v>
      </c>
      <c r="F23" s="97">
        <v>3248168.6338000004</v>
      </c>
      <c r="G23" s="38">
        <v>2.8285232651376484</v>
      </c>
      <c r="H23" s="97">
        <v>576881</v>
      </c>
      <c r="I23" s="97">
        <v>1798003.3919912162</v>
      </c>
      <c r="J23" s="38">
        <v>3.1167665289569535</v>
      </c>
      <c r="K23" s="97">
        <v>3430735</v>
      </c>
      <c r="L23" s="97">
        <v>10473580.408049615</v>
      </c>
      <c r="M23" s="38">
        <v>3.0528677988972088</v>
      </c>
      <c r="N23" s="96">
        <f t="shared" si="0"/>
        <v>2615289.230769231</v>
      </c>
      <c r="O23" s="96">
        <f t="shared" si="0"/>
        <v>10089221.56388559</v>
      </c>
      <c r="P23" s="100">
        <f t="shared" si="1"/>
        <v>3.8577842347930531</v>
      </c>
    </row>
    <row r="24" spans="1:16" ht="11.25" customHeight="1">
      <c r="A24" s="49">
        <v>42186</v>
      </c>
      <c r="B24" s="97">
        <v>3430735</v>
      </c>
      <c r="C24" s="97">
        <v>10473580.408049615</v>
      </c>
      <c r="D24" s="38">
        <v>3.0528677988972088</v>
      </c>
      <c r="E24" s="97">
        <v>1223774</v>
      </c>
      <c r="F24" s="97">
        <v>3522525.4464999996</v>
      </c>
      <c r="G24" s="38">
        <v>2.8784117381967582</v>
      </c>
      <c r="H24" s="97">
        <v>1578545</v>
      </c>
      <c r="I24" s="97">
        <v>4835415.6142063644</v>
      </c>
      <c r="J24" s="38">
        <v>3.0632104971390519</v>
      </c>
      <c r="K24" s="97">
        <v>3075964</v>
      </c>
      <c r="L24" s="97">
        <v>9160690.2403432503</v>
      </c>
      <c r="M24" s="38">
        <v>2.978152618282675</v>
      </c>
      <c r="N24" s="96">
        <f t="shared" si="0"/>
        <v>2692879</v>
      </c>
      <c r="O24" s="96">
        <f t="shared" si="0"/>
        <v>10081103.885049138</v>
      </c>
      <c r="P24" s="100">
        <f t="shared" si="1"/>
        <v>3.7436156192124259</v>
      </c>
    </row>
    <row r="25" spans="1:16" ht="11.25" customHeight="1">
      <c r="A25" s="49">
        <v>42217</v>
      </c>
      <c r="B25" s="97">
        <v>3075964</v>
      </c>
      <c r="C25" s="97">
        <v>9160690.2403432503</v>
      </c>
      <c r="D25" s="38">
        <v>2.978152618282675</v>
      </c>
      <c r="E25" s="97">
        <v>704902</v>
      </c>
      <c r="F25" s="97">
        <v>2020889.274600002</v>
      </c>
      <c r="G25" s="38">
        <v>2.8669081299244463</v>
      </c>
      <c r="H25" s="97">
        <v>967860</v>
      </c>
      <c r="I25" s="97">
        <v>2900854.0659025721</v>
      </c>
      <c r="J25" s="38">
        <v>2.9971835450401629</v>
      </c>
      <c r="K25" s="97">
        <v>2813006</v>
      </c>
      <c r="L25" s="97">
        <v>8280725.4490406811</v>
      </c>
      <c r="M25" s="38">
        <v>2.9437283280023863</v>
      </c>
      <c r="N25" s="96">
        <f t="shared" si="0"/>
        <v>2751093.153846154</v>
      </c>
      <c r="O25" s="96">
        <f t="shared" si="0"/>
        <v>10012472.353804797</v>
      </c>
      <c r="P25" s="100">
        <f t="shared" si="1"/>
        <v>3.6394523172750088</v>
      </c>
    </row>
    <row r="26" spans="1:16" ht="11.25" customHeight="1">
      <c r="A26" s="49">
        <v>42248</v>
      </c>
      <c r="B26" s="97">
        <v>2813006</v>
      </c>
      <c r="C26" s="97">
        <v>8280725.4490406811</v>
      </c>
      <c r="D26" s="38">
        <v>2.9437283280023863</v>
      </c>
      <c r="E26" s="97">
        <v>1351629</v>
      </c>
      <c r="F26" s="97">
        <v>3638597.6899299989</v>
      </c>
      <c r="G26" s="38">
        <v>2.6920091903399519</v>
      </c>
      <c r="H26" s="97">
        <v>994250</v>
      </c>
      <c r="I26" s="97">
        <v>2881806.1674207291</v>
      </c>
      <c r="J26" s="38">
        <v>2.898472383626582</v>
      </c>
      <c r="K26" s="97">
        <v>3170385</v>
      </c>
      <c r="L26" s="97">
        <v>9037516.9715499505</v>
      </c>
      <c r="M26" s="38">
        <v>2.8506055168536157</v>
      </c>
      <c r="N26" s="96">
        <f t="shared" si="0"/>
        <v>2841363.3076923075</v>
      </c>
      <c r="O26" s="96">
        <f t="shared" si="0"/>
        <v>10034868.255061166</v>
      </c>
      <c r="P26" s="100">
        <f t="shared" si="1"/>
        <v>3.5317089609393402</v>
      </c>
    </row>
    <row r="27" spans="1:16" ht="11.25" customHeight="1">
      <c r="A27" s="49">
        <v>42278</v>
      </c>
      <c r="B27" s="97">
        <v>3170386</v>
      </c>
      <c r="C27" s="97">
        <v>9037516.9715499505</v>
      </c>
      <c r="D27" s="38">
        <v>2.8506046177184579</v>
      </c>
      <c r="E27" s="97">
        <v>984194</v>
      </c>
      <c r="F27" s="97">
        <v>2330974.9418339999</v>
      </c>
      <c r="G27" s="38">
        <v>2.3684100307805167</v>
      </c>
      <c r="H27" s="97">
        <v>880642</v>
      </c>
      <c r="I27" s="97">
        <v>2471343.2292564241</v>
      </c>
      <c r="J27" s="38">
        <v>2.806297257292321</v>
      </c>
      <c r="K27" s="97">
        <v>3273938</v>
      </c>
      <c r="L27" s="97">
        <v>8897148.6841275264</v>
      </c>
      <c r="M27" s="38">
        <v>2.7175678599067932</v>
      </c>
      <c r="N27" s="96">
        <f t="shared" si="0"/>
        <v>2911198.5384615385</v>
      </c>
      <c r="O27" s="96">
        <f t="shared" si="0"/>
        <v>9945054.0234388877</v>
      </c>
      <c r="P27" s="100">
        <f t="shared" si="1"/>
        <v>3.4161373372681356</v>
      </c>
    </row>
    <row r="28" spans="1:16" ht="11.25" customHeight="1">
      <c r="A28" s="49">
        <v>42309</v>
      </c>
      <c r="B28" s="97">
        <v>3273938</v>
      </c>
      <c r="C28" s="97">
        <v>8897148.6841275264</v>
      </c>
      <c r="D28" s="38">
        <v>2.7175678599067932</v>
      </c>
      <c r="E28" s="97">
        <v>1039533</v>
      </c>
      <c r="F28" s="97">
        <v>2187811.0838999995</v>
      </c>
      <c r="G28" s="38">
        <v>2.1046095543864403</v>
      </c>
      <c r="H28" s="97">
        <v>1313679</v>
      </c>
      <c r="I28" s="97">
        <v>3492497.5752207246</v>
      </c>
      <c r="J28" s="38">
        <v>2.6585623848906197</v>
      </c>
      <c r="K28" s="97">
        <v>2999792</v>
      </c>
      <c r="L28" s="97">
        <v>7592462.1928068018</v>
      </c>
      <c r="M28" s="38">
        <v>2.5309962133397255</v>
      </c>
      <c r="N28" s="96">
        <f t="shared" si="0"/>
        <v>2917584.769230769</v>
      </c>
      <c r="O28" s="96">
        <f t="shared" si="0"/>
        <v>9603098.212484248</v>
      </c>
      <c r="P28" s="100">
        <f t="shared" si="1"/>
        <v>3.2914547380969967</v>
      </c>
    </row>
    <row r="29" spans="1:16" ht="11.25" customHeight="1">
      <c r="A29" s="49">
        <v>42339</v>
      </c>
      <c r="B29" s="97">
        <v>2999792</v>
      </c>
      <c r="C29" s="97">
        <v>7592462.1928068018</v>
      </c>
      <c r="D29" s="38">
        <v>2.5309962133397255</v>
      </c>
      <c r="E29" s="97">
        <v>872382</v>
      </c>
      <c r="F29" s="97">
        <v>1630063.265587999</v>
      </c>
      <c r="G29" s="38">
        <v>1.8685200584010204</v>
      </c>
      <c r="H29" s="97">
        <v>1183788</v>
      </c>
      <c r="I29" s="97">
        <v>2879975.4599177381</v>
      </c>
      <c r="J29" s="38">
        <v>2.4328473171866398</v>
      </c>
      <c r="K29" s="97">
        <v>2688386</v>
      </c>
      <c r="L29" s="97">
        <v>6342549.9984770622</v>
      </c>
      <c r="M29" s="38">
        <v>2.3592408227379038</v>
      </c>
      <c r="N29" s="96">
        <f>AVERAGE(K17:K29)</f>
        <v>2899223.769230769</v>
      </c>
      <c r="O29" s="96">
        <f t="shared" si="0"/>
        <v>9173778.3119657803</v>
      </c>
      <c r="P29" s="100">
        <f t="shared" si="1"/>
        <v>3.1642187848093544</v>
      </c>
    </row>
    <row r="30" spans="1:16" ht="11.25" customHeight="1">
      <c r="A30" s="13">
        <v>42370</v>
      </c>
      <c r="B30" s="101">
        <f>K29</f>
        <v>2688386</v>
      </c>
      <c r="C30" s="101">
        <f>L29</f>
        <v>6342549.9984770622</v>
      </c>
      <c r="D30" s="40">
        <f t="shared" ref="D30:D61" si="2">IF(B30&gt;0,C30/B30,0)</f>
        <v>2.3592408227379038</v>
      </c>
      <c r="E30" s="101">
        <v>111614</v>
      </c>
      <c r="F30" s="101">
        <v>276921.06048886315</v>
      </c>
      <c r="G30" s="40">
        <f t="shared" ref="G30:G61" si="3">IF(E30&gt;0,F30/E30,0)</f>
        <v>2.4810602656374932</v>
      </c>
      <c r="H30" s="101">
        <v>0</v>
      </c>
      <c r="I30" s="101">
        <v>0</v>
      </c>
      <c r="J30" s="40">
        <f t="shared" ref="J30:J61" si="4">IF(H30&gt;0,I30/H30,0)</f>
        <v>0</v>
      </c>
      <c r="K30" s="16">
        <f t="shared" ref="K30:L30" si="5">+B30+E30-H30</f>
        <v>2800000</v>
      </c>
      <c r="L30" s="16">
        <f t="shared" si="5"/>
        <v>6619471.0589659251</v>
      </c>
      <c r="M30" s="40">
        <f t="shared" ref="M30:M61" si="6">IF(K30&gt;0,L30/K30,0)</f>
        <v>2.3640968067735448</v>
      </c>
      <c r="N30" s="98">
        <f t="shared" si="0"/>
        <v>2874371.5384615385</v>
      </c>
      <c r="O30" s="98">
        <f t="shared" si="0"/>
        <v>8709090.71274928</v>
      </c>
      <c r="P30" s="99">
        <f t="shared" si="1"/>
        <v>3.0299112679812721</v>
      </c>
    </row>
    <row r="31" spans="1:16" ht="11.25" customHeight="1">
      <c r="A31" s="13">
        <v>42401</v>
      </c>
      <c r="B31" s="101">
        <f t="shared" ref="B31:B89" si="7">K30</f>
        <v>2800000</v>
      </c>
      <c r="C31" s="101">
        <f t="shared" ref="C31:C89" si="8">L30</f>
        <v>6619471.0589659251</v>
      </c>
      <c r="D31" s="40">
        <f t="shared" si="2"/>
        <v>2.3640968067735448</v>
      </c>
      <c r="E31" s="101">
        <v>100000</v>
      </c>
      <c r="F31" s="101">
        <v>243821.8857129172</v>
      </c>
      <c r="G31" s="40">
        <f t="shared" si="3"/>
        <v>2.4382188571291721</v>
      </c>
      <c r="H31" s="101">
        <v>0</v>
      </c>
      <c r="I31" s="101">
        <v>0</v>
      </c>
      <c r="J31" s="40">
        <f t="shared" si="4"/>
        <v>0</v>
      </c>
      <c r="K31" s="16">
        <f t="shared" ref="K31:K89" si="9">+B31+E31-H31</f>
        <v>2900000</v>
      </c>
      <c r="L31" s="16">
        <f t="shared" ref="L31:L89" si="10">+C31+F31-I31</f>
        <v>6863292.9446788421</v>
      </c>
      <c r="M31" s="40">
        <f t="shared" si="6"/>
        <v>2.3666527395444281</v>
      </c>
      <c r="N31" s="98">
        <f t="shared" si="0"/>
        <v>2871886.5384615385</v>
      </c>
      <c r="O31" s="98">
        <f t="shared" si="0"/>
        <v>8333586.1623886041</v>
      </c>
      <c r="P31" s="99">
        <f t="shared" si="1"/>
        <v>2.9017811291573108</v>
      </c>
    </row>
    <row r="32" spans="1:16" ht="11.25" customHeight="1">
      <c r="A32" s="13">
        <v>42430</v>
      </c>
      <c r="B32" s="101">
        <f t="shared" si="7"/>
        <v>2900000</v>
      </c>
      <c r="C32" s="101">
        <f t="shared" si="8"/>
        <v>6863292.9446788421</v>
      </c>
      <c r="D32" s="40">
        <f t="shared" si="2"/>
        <v>2.3666527395444281</v>
      </c>
      <c r="E32" s="101">
        <v>100000</v>
      </c>
      <c r="F32" s="101">
        <v>244546.32196054611</v>
      </c>
      <c r="G32" s="40">
        <f t="shared" si="3"/>
        <v>2.4454632196054611</v>
      </c>
      <c r="H32" s="101">
        <v>0</v>
      </c>
      <c r="I32" s="101">
        <v>0</v>
      </c>
      <c r="J32" s="40">
        <f t="shared" si="4"/>
        <v>0</v>
      </c>
      <c r="K32" s="16">
        <f t="shared" si="9"/>
        <v>3000000</v>
      </c>
      <c r="L32" s="16">
        <f t="shared" si="10"/>
        <v>7107839.2666393882</v>
      </c>
      <c r="M32" s="40">
        <f t="shared" si="6"/>
        <v>2.3692797555464629</v>
      </c>
      <c r="N32" s="98">
        <f t="shared" si="0"/>
        <v>2932553.4615384615</v>
      </c>
      <c r="O32" s="98">
        <f t="shared" si="0"/>
        <v>8228890.9438930657</v>
      </c>
      <c r="P32" s="99">
        <f t="shared" si="1"/>
        <v>2.8060497623719591</v>
      </c>
    </row>
    <row r="33" spans="1:16" ht="11.25" customHeight="1">
      <c r="A33" s="13">
        <v>42461</v>
      </c>
      <c r="B33" s="101">
        <f t="shared" si="7"/>
        <v>3000000</v>
      </c>
      <c r="C33" s="101">
        <f t="shared" si="8"/>
        <v>7107839.2666393882</v>
      </c>
      <c r="D33" s="40">
        <f t="shared" si="2"/>
        <v>2.3692797555464629</v>
      </c>
      <c r="E33" s="101">
        <v>100000</v>
      </c>
      <c r="F33" s="101">
        <v>247543.72534021837</v>
      </c>
      <c r="G33" s="40">
        <f t="shared" si="3"/>
        <v>2.4754372534021836</v>
      </c>
      <c r="H33" s="101">
        <v>0</v>
      </c>
      <c r="I33" s="101">
        <v>0</v>
      </c>
      <c r="J33" s="40">
        <f t="shared" si="4"/>
        <v>0</v>
      </c>
      <c r="K33" s="16">
        <f t="shared" si="9"/>
        <v>3100000</v>
      </c>
      <c r="L33" s="16">
        <f t="shared" si="10"/>
        <v>7355382.9919796064</v>
      </c>
      <c r="M33" s="40">
        <f t="shared" si="6"/>
        <v>2.3727041909611635</v>
      </c>
      <c r="N33" s="98">
        <f t="shared" si="0"/>
        <v>2987274.5384615385</v>
      </c>
      <c r="O33" s="98">
        <f t="shared" si="0"/>
        <v>8124894.0211857259</v>
      </c>
      <c r="P33" s="99">
        <f t="shared" si="1"/>
        <v>2.7198350592075435</v>
      </c>
    </row>
    <row r="34" spans="1:16" ht="11.25" customHeight="1">
      <c r="A34" s="13">
        <v>42491</v>
      </c>
      <c r="B34" s="101">
        <f t="shared" si="7"/>
        <v>3100000</v>
      </c>
      <c r="C34" s="101">
        <f t="shared" si="8"/>
        <v>7355382.9919796064</v>
      </c>
      <c r="D34" s="40">
        <f t="shared" si="2"/>
        <v>2.3727041909611635</v>
      </c>
      <c r="E34" s="101">
        <v>0</v>
      </c>
      <c r="F34" s="101">
        <v>0</v>
      </c>
      <c r="G34" s="40">
        <f t="shared" si="3"/>
        <v>0</v>
      </c>
      <c r="H34" s="101">
        <v>0</v>
      </c>
      <c r="I34" s="101">
        <v>0</v>
      </c>
      <c r="J34" s="40">
        <f t="shared" si="4"/>
        <v>0</v>
      </c>
      <c r="K34" s="16">
        <f t="shared" si="9"/>
        <v>3100000</v>
      </c>
      <c r="L34" s="16">
        <f t="shared" si="10"/>
        <v>7355382.9919796064</v>
      </c>
      <c r="M34" s="40">
        <f t="shared" si="6"/>
        <v>2.3727041909611635</v>
      </c>
      <c r="N34" s="98">
        <f t="shared" si="0"/>
        <v>3016266.153846154</v>
      </c>
      <c r="O34" s="98">
        <f t="shared" si="0"/>
        <v>8008419.8742214674</v>
      </c>
      <c r="P34" s="99">
        <f t="shared" si="1"/>
        <v>2.655077325987838</v>
      </c>
    </row>
    <row r="35" spans="1:16" ht="11.25" customHeight="1">
      <c r="A35" s="13">
        <v>42522</v>
      </c>
      <c r="B35" s="101">
        <f t="shared" si="7"/>
        <v>3100000</v>
      </c>
      <c r="C35" s="101">
        <f t="shared" si="8"/>
        <v>7355382.9919796064</v>
      </c>
      <c r="D35" s="40">
        <f t="shared" si="2"/>
        <v>2.3727041909611635</v>
      </c>
      <c r="E35" s="101">
        <v>0</v>
      </c>
      <c r="F35" s="101">
        <v>0</v>
      </c>
      <c r="G35" s="40">
        <f t="shared" si="3"/>
        <v>0</v>
      </c>
      <c r="H35" s="101">
        <v>0</v>
      </c>
      <c r="I35" s="101">
        <v>0</v>
      </c>
      <c r="J35" s="40">
        <f t="shared" si="4"/>
        <v>0</v>
      </c>
      <c r="K35" s="16">
        <f t="shared" si="9"/>
        <v>3100000</v>
      </c>
      <c r="L35" s="16">
        <f t="shared" si="10"/>
        <v>7355382.9919796064</v>
      </c>
      <c r="M35" s="40">
        <f t="shared" si="6"/>
        <v>2.3727041909611635</v>
      </c>
      <c r="N35" s="98">
        <f t="shared" si="0"/>
        <v>3034785.076923077</v>
      </c>
      <c r="O35" s="98">
        <f t="shared" si="0"/>
        <v>7880109.7069706023</v>
      </c>
      <c r="P35" s="99">
        <f t="shared" si="1"/>
        <v>2.5965956426015273</v>
      </c>
    </row>
    <row r="36" spans="1:16" ht="11.25" customHeight="1">
      <c r="A36" s="13">
        <v>42552</v>
      </c>
      <c r="B36" s="101">
        <f t="shared" si="7"/>
        <v>3100000</v>
      </c>
      <c r="C36" s="101">
        <f t="shared" si="8"/>
        <v>7355382.9919796064</v>
      </c>
      <c r="D36" s="40">
        <f t="shared" si="2"/>
        <v>2.3727041909611635</v>
      </c>
      <c r="E36" s="101">
        <v>0</v>
      </c>
      <c r="F36" s="101">
        <v>0</v>
      </c>
      <c r="G36" s="40">
        <f t="shared" si="3"/>
        <v>0</v>
      </c>
      <c r="H36" s="101">
        <v>0</v>
      </c>
      <c r="I36" s="101">
        <v>0</v>
      </c>
      <c r="J36" s="40">
        <f t="shared" si="4"/>
        <v>0</v>
      </c>
      <c r="K36" s="16">
        <f t="shared" si="9"/>
        <v>3100000</v>
      </c>
      <c r="L36" s="16">
        <f t="shared" si="10"/>
        <v>7355382.9919796064</v>
      </c>
      <c r="M36" s="40">
        <f t="shared" si="6"/>
        <v>2.3727041909611635</v>
      </c>
      <c r="N36" s="98">
        <f t="shared" si="0"/>
        <v>3009343.923076923</v>
      </c>
      <c r="O36" s="98">
        <f t="shared" si="0"/>
        <v>7640248.3672729088</v>
      </c>
      <c r="P36" s="99">
        <f t="shared" si="1"/>
        <v>2.5388418746970896</v>
      </c>
    </row>
    <row r="37" spans="1:16" ht="11.25" customHeight="1">
      <c r="A37" s="13">
        <v>42583</v>
      </c>
      <c r="B37" s="101">
        <f t="shared" si="7"/>
        <v>3100000</v>
      </c>
      <c r="C37" s="101">
        <f t="shared" si="8"/>
        <v>7355382.9919796064</v>
      </c>
      <c r="D37" s="40">
        <f t="shared" si="2"/>
        <v>2.3727041909611635</v>
      </c>
      <c r="E37" s="101">
        <v>0</v>
      </c>
      <c r="F37" s="101">
        <v>0</v>
      </c>
      <c r="G37" s="40">
        <f t="shared" si="3"/>
        <v>0</v>
      </c>
      <c r="H37" s="101">
        <v>0</v>
      </c>
      <c r="I37" s="101">
        <v>0</v>
      </c>
      <c r="J37" s="40">
        <f t="shared" si="4"/>
        <v>0</v>
      </c>
      <c r="K37" s="16">
        <f t="shared" si="9"/>
        <v>3100000</v>
      </c>
      <c r="L37" s="16">
        <f t="shared" si="10"/>
        <v>7355382.9919796064</v>
      </c>
      <c r="M37" s="40">
        <f t="shared" si="6"/>
        <v>2.3727041909611635</v>
      </c>
      <c r="N37" s="98">
        <f t="shared" si="0"/>
        <v>3011192.846153846</v>
      </c>
      <c r="O37" s="98">
        <f t="shared" si="0"/>
        <v>7501378.5789372465</v>
      </c>
      <c r="P37" s="99">
        <f t="shared" si="1"/>
        <v>2.4911651170128977</v>
      </c>
    </row>
    <row r="38" spans="1:16" ht="11.25" customHeight="1">
      <c r="A38" s="13">
        <v>42614</v>
      </c>
      <c r="B38" s="101">
        <f t="shared" si="7"/>
        <v>3100000</v>
      </c>
      <c r="C38" s="101">
        <f t="shared" si="8"/>
        <v>7355382.9919796064</v>
      </c>
      <c r="D38" s="40">
        <f t="shared" si="2"/>
        <v>2.3727041909611635</v>
      </c>
      <c r="E38" s="101">
        <v>0</v>
      </c>
      <c r="F38" s="101">
        <v>0</v>
      </c>
      <c r="G38" s="40">
        <f t="shared" si="3"/>
        <v>0</v>
      </c>
      <c r="H38" s="101">
        <v>0</v>
      </c>
      <c r="I38" s="101">
        <v>0</v>
      </c>
      <c r="J38" s="40">
        <f t="shared" si="4"/>
        <v>0</v>
      </c>
      <c r="K38" s="16">
        <f t="shared" si="9"/>
        <v>3100000</v>
      </c>
      <c r="L38" s="16">
        <f t="shared" si="10"/>
        <v>7355382.9919796064</v>
      </c>
      <c r="M38" s="40">
        <f t="shared" si="6"/>
        <v>2.3727041909611635</v>
      </c>
      <c r="N38" s="98">
        <f t="shared" si="0"/>
        <v>3033269.3076923075</v>
      </c>
      <c r="O38" s="98">
        <f t="shared" si="0"/>
        <v>7430198.3899325477</v>
      </c>
      <c r="P38" s="99">
        <f t="shared" si="1"/>
        <v>2.4495676566171425</v>
      </c>
    </row>
    <row r="39" spans="1:16" ht="11.25" customHeight="1">
      <c r="A39" s="13">
        <v>42644</v>
      </c>
      <c r="B39" s="101">
        <f t="shared" si="7"/>
        <v>3100000</v>
      </c>
      <c r="C39" s="101">
        <f t="shared" si="8"/>
        <v>7355382.9919796064</v>
      </c>
      <c r="D39" s="40">
        <f t="shared" si="2"/>
        <v>2.3727041909611635</v>
      </c>
      <c r="E39" s="101">
        <v>0</v>
      </c>
      <c r="F39" s="101">
        <v>0</v>
      </c>
      <c r="G39" s="40">
        <f t="shared" si="3"/>
        <v>0</v>
      </c>
      <c r="H39" s="101">
        <v>0</v>
      </c>
      <c r="I39" s="101">
        <v>0</v>
      </c>
      <c r="J39" s="40">
        <f t="shared" si="4"/>
        <v>0</v>
      </c>
      <c r="K39" s="16">
        <f t="shared" si="9"/>
        <v>3100000</v>
      </c>
      <c r="L39" s="16">
        <f t="shared" si="10"/>
        <v>7355382.9919796064</v>
      </c>
      <c r="M39" s="40">
        <f t="shared" si="6"/>
        <v>2.3727041909611635</v>
      </c>
      <c r="N39" s="98">
        <f t="shared" si="0"/>
        <v>3027855.076923077</v>
      </c>
      <c r="O39" s="98">
        <f t="shared" si="0"/>
        <v>7300803.4684271356</v>
      </c>
      <c r="P39" s="99">
        <f t="shared" si="1"/>
        <v>2.4112129817805719</v>
      </c>
    </row>
    <row r="40" spans="1:16" ht="11.25" customHeight="1">
      <c r="A40" s="13">
        <v>42675</v>
      </c>
      <c r="B40" s="101">
        <f t="shared" si="7"/>
        <v>3100000</v>
      </c>
      <c r="C40" s="101">
        <f t="shared" si="8"/>
        <v>7355382.9919796064</v>
      </c>
      <c r="D40" s="40">
        <f t="shared" si="2"/>
        <v>2.3727041909611635</v>
      </c>
      <c r="E40" s="101">
        <v>0</v>
      </c>
      <c r="F40" s="101">
        <v>0</v>
      </c>
      <c r="G40" s="40">
        <f t="shared" si="3"/>
        <v>0</v>
      </c>
      <c r="H40" s="101">
        <v>0</v>
      </c>
      <c r="I40" s="101">
        <v>0</v>
      </c>
      <c r="J40" s="40">
        <f t="shared" si="4"/>
        <v>0</v>
      </c>
      <c r="K40" s="16">
        <f t="shared" si="9"/>
        <v>3100000</v>
      </c>
      <c r="L40" s="16">
        <f t="shared" si="10"/>
        <v>7355382.9919796064</v>
      </c>
      <c r="M40" s="40">
        <f t="shared" si="6"/>
        <v>2.3727041909611635</v>
      </c>
      <c r="N40" s="98">
        <f t="shared" si="0"/>
        <v>3014475.230769231</v>
      </c>
      <c r="O40" s="98">
        <f t="shared" si="0"/>
        <v>7182206.1074926807</v>
      </c>
      <c r="P40" s="99">
        <f t="shared" si="1"/>
        <v>2.3825726063968791</v>
      </c>
    </row>
    <row r="41" spans="1:16" ht="11.25" customHeight="1">
      <c r="A41" s="13">
        <v>42705</v>
      </c>
      <c r="B41" s="101">
        <f t="shared" si="7"/>
        <v>3100000</v>
      </c>
      <c r="C41" s="101">
        <f t="shared" si="8"/>
        <v>7355382.9919796064</v>
      </c>
      <c r="D41" s="40">
        <f t="shared" si="2"/>
        <v>2.3727041909611635</v>
      </c>
      <c r="E41" s="101">
        <v>0</v>
      </c>
      <c r="F41" s="101">
        <v>0</v>
      </c>
      <c r="G41" s="40">
        <f t="shared" si="3"/>
        <v>0</v>
      </c>
      <c r="H41" s="101">
        <v>0</v>
      </c>
      <c r="I41" s="101">
        <v>0</v>
      </c>
      <c r="J41" s="40">
        <f t="shared" si="4"/>
        <v>0</v>
      </c>
      <c r="K41" s="16">
        <f t="shared" si="9"/>
        <v>3100000</v>
      </c>
      <c r="L41" s="16">
        <f t="shared" si="10"/>
        <v>7355382.9919796064</v>
      </c>
      <c r="M41" s="40">
        <f t="shared" si="6"/>
        <v>2.3727041909611635</v>
      </c>
      <c r="N41" s="98">
        <f t="shared" si="0"/>
        <v>3022183.5384615385</v>
      </c>
      <c r="O41" s="98">
        <f t="shared" si="0"/>
        <v>7163969.2458905894</v>
      </c>
      <c r="P41" s="99">
        <f t="shared" si="1"/>
        <v>2.3704613418473759</v>
      </c>
    </row>
    <row r="42" spans="1:16" ht="11.25" customHeight="1">
      <c r="A42" s="13">
        <v>42736</v>
      </c>
      <c r="B42" s="101">
        <f t="shared" si="7"/>
        <v>3100000</v>
      </c>
      <c r="C42" s="101">
        <f t="shared" si="8"/>
        <v>7355382.9919796064</v>
      </c>
      <c r="D42" s="40">
        <f t="shared" si="2"/>
        <v>2.3727041909611635</v>
      </c>
      <c r="E42" s="101">
        <v>0</v>
      </c>
      <c r="F42" s="101">
        <v>0</v>
      </c>
      <c r="G42" s="40">
        <f t="shared" si="3"/>
        <v>0</v>
      </c>
      <c r="H42" s="101">
        <v>0</v>
      </c>
      <c r="I42" s="101">
        <v>0</v>
      </c>
      <c r="J42" s="40">
        <f t="shared" si="4"/>
        <v>0</v>
      </c>
      <c r="K42" s="16">
        <f t="shared" si="9"/>
        <v>3100000</v>
      </c>
      <c r="L42" s="16">
        <f t="shared" si="10"/>
        <v>7355382.9919796064</v>
      </c>
      <c r="M42" s="40">
        <f t="shared" si="6"/>
        <v>2.3727041909611635</v>
      </c>
      <c r="N42" s="98">
        <f t="shared" si="0"/>
        <v>3053846.153846154</v>
      </c>
      <c r="O42" s="98">
        <f t="shared" si="0"/>
        <v>7241879.476160015</v>
      </c>
      <c r="P42" s="99">
        <f t="shared" si="1"/>
        <v>2.3713963020171334</v>
      </c>
    </row>
    <row r="43" spans="1:16" ht="11.25" customHeight="1">
      <c r="A43" s="13">
        <v>42767</v>
      </c>
      <c r="B43" s="101">
        <f t="shared" si="7"/>
        <v>3100000</v>
      </c>
      <c r="C43" s="101">
        <f t="shared" si="8"/>
        <v>7355382.9919796064</v>
      </c>
      <c r="D43" s="40">
        <f t="shared" si="2"/>
        <v>2.3727041909611635</v>
      </c>
      <c r="E43" s="101">
        <v>0</v>
      </c>
      <c r="F43" s="101">
        <v>0</v>
      </c>
      <c r="G43" s="40">
        <f t="shared" si="3"/>
        <v>0</v>
      </c>
      <c r="H43" s="101">
        <v>0</v>
      </c>
      <c r="I43" s="101">
        <v>0</v>
      </c>
      <c r="J43" s="40">
        <f t="shared" si="4"/>
        <v>0</v>
      </c>
      <c r="K43" s="16">
        <f t="shared" si="9"/>
        <v>3100000</v>
      </c>
      <c r="L43" s="16">
        <f t="shared" si="10"/>
        <v>7355382.9919796064</v>
      </c>
      <c r="M43" s="40">
        <f t="shared" si="6"/>
        <v>2.3727041909611635</v>
      </c>
      <c r="N43" s="98">
        <f t="shared" si="0"/>
        <v>3076923.076923077</v>
      </c>
      <c r="O43" s="98">
        <f t="shared" si="0"/>
        <v>7298488.0863918364</v>
      </c>
      <c r="P43" s="99">
        <f t="shared" si="1"/>
        <v>2.3720086280773467</v>
      </c>
    </row>
    <row r="44" spans="1:16" ht="11.25" customHeight="1">
      <c r="A44" s="13">
        <v>42795</v>
      </c>
      <c r="B44" s="101">
        <f t="shared" si="7"/>
        <v>3100000</v>
      </c>
      <c r="C44" s="101">
        <f t="shared" si="8"/>
        <v>7355382.9919796064</v>
      </c>
      <c r="D44" s="40">
        <f t="shared" si="2"/>
        <v>2.3727041909611635</v>
      </c>
      <c r="E44" s="101">
        <v>0</v>
      </c>
      <c r="F44" s="101">
        <v>0</v>
      </c>
      <c r="G44" s="40">
        <f t="shared" si="3"/>
        <v>0</v>
      </c>
      <c r="H44" s="101">
        <v>0</v>
      </c>
      <c r="I44" s="101">
        <v>0</v>
      </c>
      <c r="J44" s="40">
        <f t="shared" si="4"/>
        <v>0</v>
      </c>
      <c r="K44" s="16">
        <f t="shared" si="9"/>
        <v>3100000</v>
      </c>
      <c r="L44" s="16">
        <f t="shared" si="10"/>
        <v>7355382.9919796064</v>
      </c>
      <c r="M44" s="40">
        <f t="shared" si="6"/>
        <v>2.3727041909611635</v>
      </c>
      <c r="N44" s="98">
        <f t="shared" si="0"/>
        <v>3092307.6923076925</v>
      </c>
      <c r="O44" s="98">
        <f t="shared" si="0"/>
        <v>7336341.1669534352</v>
      </c>
      <c r="P44" s="99">
        <f t="shared" si="1"/>
        <v>2.372448636079469</v>
      </c>
    </row>
    <row r="45" spans="1:16" ht="11.25" customHeight="1">
      <c r="A45" s="13">
        <v>42826</v>
      </c>
      <c r="B45" s="101">
        <f t="shared" si="7"/>
        <v>3100000</v>
      </c>
      <c r="C45" s="101">
        <f t="shared" si="8"/>
        <v>7355382.9919796064</v>
      </c>
      <c r="D45" s="40">
        <f t="shared" si="2"/>
        <v>2.3727041909611635</v>
      </c>
      <c r="E45" s="101">
        <v>0</v>
      </c>
      <c r="F45" s="101">
        <v>0</v>
      </c>
      <c r="G45" s="40">
        <f t="shared" si="3"/>
        <v>0</v>
      </c>
      <c r="H45" s="101">
        <v>0</v>
      </c>
      <c r="I45" s="101">
        <v>0</v>
      </c>
      <c r="J45" s="40">
        <f t="shared" si="4"/>
        <v>0</v>
      </c>
      <c r="K45" s="16">
        <f t="shared" si="9"/>
        <v>3100000</v>
      </c>
      <c r="L45" s="16">
        <f t="shared" si="10"/>
        <v>7355382.9919796064</v>
      </c>
      <c r="M45" s="40">
        <f t="shared" si="6"/>
        <v>2.3727041909611635</v>
      </c>
      <c r="N45" s="98">
        <f t="shared" si="0"/>
        <v>3100000</v>
      </c>
      <c r="O45" s="98">
        <f t="shared" si="0"/>
        <v>7355382.9919796055</v>
      </c>
      <c r="P45" s="99">
        <f t="shared" si="1"/>
        <v>2.372704190961163</v>
      </c>
    </row>
    <row r="46" spans="1:16" ht="11.25" customHeight="1">
      <c r="A46" s="13">
        <v>42856</v>
      </c>
      <c r="B46" s="101">
        <f t="shared" si="7"/>
        <v>3100000</v>
      </c>
      <c r="C46" s="101">
        <f t="shared" si="8"/>
        <v>7355382.9919796064</v>
      </c>
      <c r="D46" s="40">
        <f t="shared" si="2"/>
        <v>2.3727041909611635</v>
      </c>
      <c r="E46" s="101">
        <v>0</v>
      </c>
      <c r="F46" s="101">
        <v>0</v>
      </c>
      <c r="G46" s="40">
        <f t="shared" si="3"/>
        <v>0</v>
      </c>
      <c r="H46" s="101">
        <v>0</v>
      </c>
      <c r="I46" s="101">
        <v>0</v>
      </c>
      <c r="J46" s="40">
        <f t="shared" si="4"/>
        <v>0</v>
      </c>
      <c r="K46" s="16">
        <f t="shared" si="9"/>
        <v>3100000</v>
      </c>
      <c r="L46" s="16">
        <f t="shared" si="10"/>
        <v>7355382.9919796064</v>
      </c>
      <c r="M46" s="40">
        <f t="shared" si="6"/>
        <v>2.3727041909611635</v>
      </c>
      <c r="N46" s="98">
        <f t="shared" si="0"/>
        <v>3100000</v>
      </c>
      <c r="O46" s="98">
        <f t="shared" si="0"/>
        <v>7355382.9919796055</v>
      </c>
      <c r="P46" s="99">
        <f t="shared" si="1"/>
        <v>2.372704190961163</v>
      </c>
    </row>
    <row r="47" spans="1:16" ht="11.25" customHeight="1">
      <c r="A47" s="13">
        <v>42887</v>
      </c>
      <c r="B47" s="101">
        <f t="shared" si="7"/>
        <v>3100000</v>
      </c>
      <c r="C47" s="101">
        <f t="shared" si="8"/>
        <v>7355382.9919796064</v>
      </c>
      <c r="D47" s="40">
        <f t="shared" si="2"/>
        <v>2.3727041909611635</v>
      </c>
      <c r="E47" s="101">
        <v>0</v>
      </c>
      <c r="F47" s="101">
        <v>0</v>
      </c>
      <c r="G47" s="40">
        <f t="shared" si="3"/>
        <v>0</v>
      </c>
      <c r="H47" s="101">
        <v>0</v>
      </c>
      <c r="I47" s="101">
        <v>0</v>
      </c>
      <c r="J47" s="40">
        <f t="shared" si="4"/>
        <v>0</v>
      </c>
      <c r="K47" s="16">
        <f t="shared" si="9"/>
        <v>3100000</v>
      </c>
      <c r="L47" s="16">
        <f t="shared" si="10"/>
        <v>7355382.9919796064</v>
      </c>
      <c r="M47" s="40">
        <f t="shared" si="6"/>
        <v>2.3727041909611635</v>
      </c>
      <c r="N47" s="98">
        <f t="shared" si="0"/>
        <v>3100000</v>
      </c>
      <c r="O47" s="98">
        <f t="shared" si="0"/>
        <v>7355382.9919796055</v>
      </c>
      <c r="P47" s="99">
        <f t="shared" si="1"/>
        <v>2.372704190961163</v>
      </c>
    </row>
    <row r="48" spans="1:16" ht="11.25" customHeight="1">
      <c r="A48" s="13">
        <v>42917</v>
      </c>
      <c r="B48" s="101">
        <f t="shared" si="7"/>
        <v>3100000</v>
      </c>
      <c r="C48" s="101">
        <f t="shared" si="8"/>
        <v>7355382.9919796064</v>
      </c>
      <c r="D48" s="40">
        <f t="shared" si="2"/>
        <v>2.3727041909611635</v>
      </c>
      <c r="E48" s="101">
        <v>0</v>
      </c>
      <c r="F48" s="101">
        <v>0</v>
      </c>
      <c r="G48" s="40">
        <f t="shared" si="3"/>
        <v>0</v>
      </c>
      <c r="H48" s="101">
        <v>0</v>
      </c>
      <c r="I48" s="101">
        <v>0</v>
      </c>
      <c r="J48" s="40">
        <f t="shared" si="4"/>
        <v>0</v>
      </c>
      <c r="K48" s="16">
        <f t="shared" si="9"/>
        <v>3100000</v>
      </c>
      <c r="L48" s="16">
        <f t="shared" si="10"/>
        <v>7355382.9919796064</v>
      </c>
      <c r="M48" s="40">
        <f t="shared" si="6"/>
        <v>2.3727041909611635</v>
      </c>
      <c r="N48" s="98">
        <f t="shared" si="0"/>
        <v>3100000</v>
      </c>
      <c r="O48" s="98">
        <f t="shared" si="0"/>
        <v>7355382.9919796055</v>
      </c>
      <c r="P48" s="99">
        <f t="shared" si="1"/>
        <v>2.372704190961163</v>
      </c>
    </row>
    <row r="49" spans="1:16" ht="11.25" customHeight="1">
      <c r="A49" s="13">
        <v>42948</v>
      </c>
      <c r="B49" s="101">
        <f t="shared" si="7"/>
        <v>3100000</v>
      </c>
      <c r="C49" s="101">
        <f t="shared" si="8"/>
        <v>7355382.9919796064</v>
      </c>
      <c r="D49" s="40">
        <f t="shared" si="2"/>
        <v>2.3727041909611635</v>
      </c>
      <c r="E49" s="101">
        <v>0</v>
      </c>
      <c r="F49" s="101">
        <v>0</v>
      </c>
      <c r="G49" s="40">
        <f t="shared" si="3"/>
        <v>0</v>
      </c>
      <c r="H49" s="101">
        <v>0</v>
      </c>
      <c r="I49" s="101">
        <v>0</v>
      </c>
      <c r="J49" s="40">
        <f t="shared" si="4"/>
        <v>0</v>
      </c>
      <c r="K49" s="16">
        <f t="shared" si="9"/>
        <v>3100000</v>
      </c>
      <c r="L49" s="16">
        <f t="shared" si="10"/>
        <v>7355382.9919796064</v>
      </c>
      <c r="M49" s="40">
        <f t="shared" si="6"/>
        <v>2.3727041909611635</v>
      </c>
      <c r="N49" s="98">
        <f t="shared" si="0"/>
        <v>3100000</v>
      </c>
      <c r="O49" s="98">
        <f t="shared" si="0"/>
        <v>7355382.9919796055</v>
      </c>
      <c r="P49" s="99">
        <f t="shared" si="1"/>
        <v>2.372704190961163</v>
      </c>
    </row>
    <row r="50" spans="1:16" ht="11.25" customHeight="1">
      <c r="A50" s="13">
        <v>42979</v>
      </c>
      <c r="B50" s="101">
        <f t="shared" si="7"/>
        <v>3100000</v>
      </c>
      <c r="C50" s="101">
        <f t="shared" si="8"/>
        <v>7355382.9919796064</v>
      </c>
      <c r="D50" s="40">
        <f t="shared" si="2"/>
        <v>2.3727041909611635</v>
      </c>
      <c r="E50" s="101">
        <v>0</v>
      </c>
      <c r="F50" s="101">
        <v>0</v>
      </c>
      <c r="G50" s="40">
        <f t="shared" si="3"/>
        <v>0</v>
      </c>
      <c r="H50" s="101">
        <v>0</v>
      </c>
      <c r="I50" s="101">
        <v>0</v>
      </c>
      <c r="J50" s="40">
        <f t="shared" si="4"/>
        <v>0</v>
      </c>
      <c r="K50" s="16">
        <f t="shared" si="9"/>
        <v>3100000</v>
      </c>
      <c r="L50" s="16">
        <f t="shared" si="10"/>
        <v>7355382.9919796064</v>
      </c>
      <c r="M50" s="40">
        <f t="shared" si="6"/>
        <v>2.3727041909611635</v>
      </c>
      <c r="N50" s="98">
        <f t="shared" si="0"/>
        <v>3100000</v>
      </c>
      <c r="O50" s="98">
        <f t="shared" si="0"/>
        <v>7355382.9919796055</v>
      </c>
      <c r="P50" s="99">
        <f t="shared" si="1"/>
        <v>2.372704190961163</v>
      </c>
    </row>
    <row r="51" spans="1:16" ht="11.25" customHeight="1">
      <c r="A51" s="13">
        <v>43009</v>
      </c>
      <c r="B51" s="101">
        <f t="shared" si="7"/>
        <v>3100000</v>
      </c>
      <c r="C51" s="101">
        <f t="shared" si="8"/>
        <v>7355382.9919796064</v>
      </c>
      <c r="D51" s="40">
        <f t="shared" si="2"/>
        <v>2.3727041909611635</v>
      </c>
      <c r="E51" s="101">
        <v>0</v>
      </c>
      <c r="F51" s="101">
        <v>0</v>
      </c>
      <c r="G51" s="40">
        <f t="shared" si="3"/>
        <v>0</v>
      </c>
      <c r="H51" s="101">
        <v>0</v>
      </c>
      <c r="I51" s="101">
        <v>0</v>
      </c>
      <c r="J51" s="40">
        <f t="shared" si="4"/>
        <v>0</v>
      </c>
      <c r="K51" s="16">
        <f t="shared" si="9"/>
        <v>3100000</v>
      </c>
      <c r="L51" s="16">
        <f t="shared" si="10"/>
        <v>7355382.9919796064</v>
      </c>
      <c r="M51" s="40">
        <f t="shared" si="6"/>
        <v>2.3727041909611635</v>
      </c>
      <c r="N51" s="98">
        <f t="shared" si="0"/>
        <v>3100000</v>
      </c>
      <c r="O51" s="98">
        <f t="shared" si="0"/>
        <v>7355382.9919796055</v>
      </c>
      <c r="P51" s="99">
        <f t="shared" si="1"/>
        <v>2.372704190961163</v>
      </c>
    </row>
    <row r="52" spans="1:16" ht="11.25" customHeight="1">
      <c r="A52" s="13">
        <v>43040</v>
      </c>
      <c r="B52" s="101">
        <f t="shared" si="7"/>
        <v>3100000</v>
      </c>
      <c r="C52" s="101">
        <f t="shared" si="8"/>
        <v>7355382.9919796064</v>
      </c>
      <c r="D52" s="40">
        <f t="shared" si="2"/>
        <v>2.3727041909611635</v>
      </c>
      <c r="E52" s="101">
        <v>0</v>
      </c>
      <c r="F52" s="101">
        <v>0</v>
      </c>
      <c r="G52" s="40">
        <f t="shared" si="3"/>
        <v>0</v>
      </c>
      <c r="H52" s="101">
        <v>0</v>
      </c>
      <c r="I52" s="101">
        <v>0</v>
      </c>
      <c r="J52" s="40">
        <f t="shared" si="4"/>
        <v>0</v>
      </c>
      <c r="K52" s="16">
        <f t="shared" si="9"/>
        <v>3100000</v>
      </c>
      <c r="L52" s="16">
        <f t="shared" si="10"/>
        <v>7355382.9919796064</v>
      </c>
      <c r="M52" s="40">
        <f t="shared" si="6"/>
        <v>2.3727041909611635</v>
      </c>
      <c r="N52" s="98">
        <f t="shared" si="0"/>
        <v>3100000</v>
      </c>
      <c r="O52" s="98">
        <f t="shared" si="0"/>
        <v>7355382.9919796055</v>
      </c>
      <c r="P52" s="99">
        <f t="shared" si="1"/>
        <v>2.372704190961163</v>
      </c>
    </row>
    <row r="53" spans="1:16" ht="11.25" customHeight="1">
      <c r="A53" s="13">
        <v>43070</v>
      </c>
      <c r="B53" s="101">
        <f t="shared" si="7"/>
        <v>3100000</v>
      </c>
      <c r="C53" s="101">
        <f t="shared" si="8"/>
        <v>7355382.9919796064</v>
      </c>
      <c r="D53" s="40">
        <f t="shared" si="2"/>
        <v>2.3727041909611635</v>
      </c>
      <c r="E53" s="101">
        <v>0</v>
      </c>
      <c r="F53" s="101">
        <v>0</v>
      </c>
      <c r="G53" s="40">
        <f t="shared" si="3"/>
        <v>0</v>
      </c>
      <c r="H53" s="101">
        <v>0</v>
      </c>
      <c r="I53" s="101">
        <v>0</v>
      </c>
      <c r="J53" s="40">
        <f t="shared" si="4"/>
        <v>0</v>
      </c>
      <c r="K53" s="16">
        <f t="shared" si="9"/>
        <v>3100000</v>
      </c>
      <c r="L53" s="16">
        <f t="shared" si="10"/>
        <v>7355382.9919796064</v>
      </c>
      <c r="M53" s="40">
        <f t="shared" si="6"/>
        <v>2.3727041909611635</v>
      </c>
      <c r="N53" s="98">
        <f t="shared" si="0"/>
        <v>3100000</v>
      </c>
      <c r="O53" s="98">
        <f t="shared" si="0"/>
        <v>7355382.9919796055</v>
      </c>
      <c r="P53" s="99">
        <f t="shared" si="1"/>
        <v>2.372704190961163</v>
      </c>
    </row>
    <row r="54" spans="1:16" ht="11.25" customHeight="1">
      <c r="A54" s="13">
        <v>43101</v>
      </c>
      <c r="B54" s="101">
        <f t="shared" si="7"/>
        <v>3100000</v>
      </c>
      <c r="C54" s="101">
        <f t="shared" si="8"/>
        <v>7355382.9919796064</v>
      </c>
      <c r="D54" s="40">
        <f t="shared" si="2"/>
        <v>2.3727041909611635</v>
      </c>
      <c r="E54" s="101">
        <v>0</v>
      </c>
      <c r="F54" s="101">
        <v>0</v>
      </c>
      <c r="G54" s="40">
        <f t="shared" si="3"/>
        <v>0</v>
      </c>
      <c r="H54" s="101">
        <v>0</v>
      </c>
      <c r="I54" s="101">
        <v>0</v>
      </c>
      <c r="J54" s="40">
        <f t="shared" si="4"/>
        <v>0</v>
      </c>
      <c r="K54" s="16">
        <f t="shared" si="9"/>
        <v>3100000</v>
      </c>
      <c r="L54" s="16">
        <f t="shared" si="10"/>
        <v>7355382.9919796064</v>
      </c>
      <c r="M54" s="40">
        <f t="shared" si="6"/>
        <v>2.3727041909611635</v>
      </c>
      <c r="N54" s="98">
        <f t="shared" si="0"/>
        <v>3100000</v>
      </c>
      <c r="O54" s="98">
        <f t="shared" si="0"/>
        <v>7355382.9919796055</v>
      </c>
      <c r="P54" s="99">
        <f t="shared" si="1"/>
        <v>2.372704190961163</v>
      </c>
    </row>
    <row r="55" spans="1:16" ht="11.25" customHeight="1">
      <c r="A55" s="13">
        <v>43132</v>
      </c>
      <c r="B55" s="101">
        <f t="shared" si="7"/>
        <v>3100000</v>
      </c>
      <c r="C55" s="101">
        <f t="shared" si="8"/>
        <v>7355382.9919796064</v>
      </c>
      <c r="D55" s="40">
        <f t="shared" si="2"/>
        <v>2.3727041909611635</v>
      </c>
      <c r="E55" s="101">
        <v>0</v>
      </c>
      <c r="F55" s="101">
        <v>0</v>
      </c>
      <c r="G55" s="40">
        <f t="shared" si="3"/>
        <v>0</v>
      </c>
      <c r="H55" s="101">
        <v>0</v>
      </c>
      <c r="I55" s="101">
        <v>0</v>
      </c>
      <c r="J55" s="40">
        <f t="shared" si="4"/>
        <v>0</v>
      </c>
      <c r="K55" s="16">
        <f t="shared" si="9"/>
        <v>3100000</v>
      </c>
      <c r="L55" s="16">
        <f t="shared" si="10"/>
        <v>7355382.9919796064</v>
      </c>
      <c r="M55" s="40">
        <f t="shared" si="6"/>
        <v>2.3727041909611635</v>
      </c>
      <c r="N55" s="98">
        <f t="shared" si="0"/>
        <v>3100000</v>
      </c>
      <c r="O55" s="98">
        <f t="shared" si="0"/>
        <v>7355382.9919796055</v>
      </c>
      <c r="P55" s="99">
        <f t="shared" si="1"/>
        <v>2.372704190961163</v>
      </c>
    </row>
    <row r="56" spans="1:16" ht="11.25" customHeight="1">
      <c r="A56" s="13">
        <v>43160</v>
      </c>
      <c r="B56" s="101">
        <f t="shared" si="7"/>
        <v>3100000</v>
      </c>
      <c r="C56" s="101">
        <f t="shared" si="8"/>
        <v>7355382.9919796064</v>
      </c>
      <c r="D56" s="40">
        <f t="shared" si="2"/>
        <v>2.3727041909611635</v>
      </c>
      <c r="E56" s="101">
        <v>0</v>
      </c>
      <c r="F56" s="101">
        <v>0</v>
      </c>
      <c r="G56" s="40">
        <f t="shared" si="3"/>
        <v>0</v>
      </c>
      <c r="H56" s="101">
        <v>0</v>
      </c>
      <c r="I56" s="101">
        <v>0</v>
      </c>
      <c r="J56" s="40">
        <f t="shared" si="4"/>
        <v>0</v>
      </c>
      <c r="K56" s="16">
        <f t="shared" si="9"/>
        <v>3100000</v>
      </c>
      <c r="L56" s="16">
        <f t="shared" si="10"/>
        <v>7355382.9919796064</v>
      </c>
      <c r="M56" s="40">
        <f t="shared" si="6"/>
        <v>2.3727041909611635</v>
      </c>
      <c r="N56" s="98">
        <f t="shared" si="0"/>
        <v>3100000</v>
      </c>
      <c r="O56" s="98">
        <f t="shared" si="0"/>
        <v>7355382.9919796055</v>
      </c>
      <c r="P56" s="99">
        <f t="shared" si="1"/>
        <v>2.372704190961163</v>
      </c>
    </row>
    <row r="57" spans="1:16" ht="11.25" customHeight="1">
      <c r="A57" s="13">
        <v>43191</v>
      </c>
      <c r="B57" s="101">
        <f t="shared" si="7"/>
        <v>3100000</v>
      </c>
      <c r="C57" s="101">
        <f t="shared" si="8"/>
        <v>7355382.9919796064</v>
      </c>
      <c r="D57" s="40">
        <f t="shared" si="2"/>
        <v>2.3727041909611635</v>
      </c>
      <c r="E57" s="101">
        <v>0</v>
      </c>
      <c r="F57" s="101">
        <v>0</v>
      </c>
      <c r="G57" s="40">
        <f t="shared" si="3"/>
        <v>0</v>
      </c>
      <c r="H57" s="101">
        <v>0</v>
      </c>
      <c r="I57" s="101">
        <v>0</v>
      </c>
      <c r="J57" s="40">
        <f t="shared" si="4"/>
        <v>0</v>
      </c>
      <c r="K57" s="16">
        <f t="shared" si="9"/>
        <v>3100000</v>
      </c>
      <c r="L57" s="16">
        <f t="shared" si="10"/>
        <v>7355382.9919796064</v>
      </c>
      <c r="M57" s="40">
        <f t="shared" si="6"/>
        <v>2.3727041909611635</v>
      </c>
      <c r="N57" s="98">
        <f t="shared" si="0"/>
        <v>3100000</v>
      </c>
      <c r="O57" s="98">
        <f t="shared" si="0"/>
        <v>7355382.9919796055</v>
      </c>
      <c r="P57" s="99">
        <f t="shared" si="1"/>
        <v>2.372704190961163</v>
      </c>
    </row>
    <row r="58" spans="1:16" ht="11.25" customHeight="1">
      <c r="A58" s="13">
        <v>43221</v>
      </c>
      <c r="B58" s="101">
        <f t="shared" si="7"/>
        <v>3100000</v>
      </c>
      <c r="C58" s="101">
        <f t="shared" si="8"/>
        <v>7355382.9919796064</v>
      </c>
      <c r="D58" s="40">
        <f t="shared" si="2"/>
        <v>2.3727041909611635</v>
      </c>
      <c r="E58" s="101">
        <v>0</v>
      </c>
      <c r="F58" s="101">
        <v>0</v>
      </c>
      <c r="G58" s="40">
        <f t="shared" si="3"/>
        <v>0</v>
      </c>
      <c r="H58" s="101">
        <v>0</v>
      </c>
      <c r="I58" s="101">
        <v>0</v>
      </c>
      <c r="J58" s="40">
        <f t="shared" si="4"/>
        <v>0</v>
      </c>
      <c r="K58" s="16">
        <f t="shared" si="9"/>
        <v>3100000</v>
      </c>
      <c r="L58" s="16">
        <f t="shared" si="10"/>
        <v>7355382.9919796064</v>
      </c>
      <c r="M58" s="40">
        <f t="shared" si="6"/>
        <v>2.3727041909611635</v>
      </c>
      <c r="N58" s="98">
        <f t="shared" si="0"/>
        <v>3100000</v>
      </c>
      <c r="O58" s="98">
        <f t="shared" si="0"/>
        <v>7355382.9919796055</v>
      </c>
      <c r="P58" s="99">
        <f t="shared" si="1"/>
        <v>2.372704190961163</v>
      </c>
    </row>
    <row r="59" spans="1:16" ht="11.25" customHeight="1">
      <c r="A59" s="13">
        <v>43252</v>
      </c>
      <c r="B59" s="101">
        <f t="shared" si="7"/>
        <v>3100000</v>
      </c>
      <c r="C59" s="101">
        <f t="shared" si="8"/>
        <v>7355382.9919796064</v>
      </c>
      <c r="D59" s="40">
        <f t="shared" si="2"/>
        <v>2.3727041909611635</v>
      </c>
      <c r="E59" s="101">
        <v>0</v>
      </c>
      <c r="F59" s="101">
        <v>0</v>
      </c>
      <c r="G59" s="40">
        <f t="shared" si="3"/>
        <v>0</v>
      </c>
      <c r="H59" s="101">
        <v>0</v>
      </c>
      <c r="I59" s="101">
        <v>0</v>
      </c>
      <c r="J59" s="40">
        <f t="shared" si="4"/>
        <v>0</v>
      </c>
      <c r="K59" s="16">
        <f t="shared" si="9"/>
        <v>3100000</v>
      </c>
      <c r="L59" s="16">
        <f t="shared" si="10"/>
        <v>7355382.9919796064</v>
      </c>
      <c r="M59" s="40">
        <f t="shared" si="6"/>
        <v>2.3727041909611635</v>
      </c>
      <c r="N59" s="98">
        <f t="shared" si="0"/>
        <v>3100000</v>
      </c>
      <c r="O59" s="98">
        <f t="shared" si="0"/>
        <v>7355382.9919796055</v>
      </c>
      <c r="P59" s="99">
        <f t="shared" si="1"/>
        <v>2.372704190961163</v>
      </c>
    </row>
    <row r="60" spans="1:16" ht="11.25" customHeight="1">
      <c r="A60" s="13">
        <v>43282</v>
      </c>
      <c r="B60" s="101">
        <f t="shared" si="7"/>
        <v>3100000</v>
      </c>
      <c r="C60" s="101">
        <f t="shared" si="8"/>
        <v>7355382.9919796064</v>
      </c>
      <c r="D60" s="40">
        <f t="shared" si="2"/>
        <v>2.3727041909611635</v>
      </c>
      <c r="E60" s="101">
        <v>0</v>
      </c>
      <c r="F60" s="101">
        <v>0</v>
      </c>
      <c r="G60" s="40">
        <f t="shared" si="3"/>
        <v>0</v>
      </c>
      <c r="H60" s="101">
        <v>0</v>
      </c>
      <c r="I60" s="101">
        <v>0</v>
      </c>
      <c r="J60" s="40">
        <f t="shared" si="4"/>
        <v>0</v>
      </c>
      <c r="K60" s="16">
        <f t="shared" si="9"/>
        <v>3100000</v>
      </c>
      <c r="L60" s="16">
        <f t="shared" si="10"/>
        <v>7355382.9919796064</v>
      </c>
      <c r="M60" s="40">
        <f t="shared" si="6"/>
        <v>2.3727041909611635</v>
      </c>
      <c r="N60" s="98">
        <f t="shared" si="0"/>
        <v>3100000</v>
      </c>
      <c r="O60" s="98">
        <f t="shared" si="0"/>
        <v>7355382.9919796055</v>
      </c>
      <c r="P60" s="99">
        <f t="shared" si="1"/>
        <v>2.372704190961163</v>
      </c>
    </row>
    <row r="61" spans="1:16" ht="11.25" customHeight="1">
      <c r="A61" s="13">
        <v>43313</v>
      </c>
      <c r="B61" s="101">
        <f t="shared" si="7"/>
        <v>3100000</v>
      </c>
      <c r="C61" s="101">
        <f t="shared" si="8"/>
        <v>7355382.9919796064</v>
      </c>
      <c r="D61" s="40">
        <f t="shared" si="2"/>
        <v>2.3727041909611635</v>
      </c>
      <c r="E61" s="101">
        <v>0</v>
      </c>
      <c r="F61" s="101">
        <v>0</v>
      </c>
      <c r="G61" s="40">
        <f t="shared" si="3"/>
        <v>0</v>
      </c>
      <c r="H61" s="101">
        <v>0</v>
      </c>
      <c r="I61" s="101">
        <v>0</v>
      </c>
      <c r="J61" s="40">
        <f t="shared" si="4"/>
        <v>0</v>
      </c>
      <c r="K61" s="16">
        <f t="shared" si="9"/>
        <v>3100000</v>
      </c>
      <c r="L61" s="16">
        <f t="shared" si="10"/>
        <v>7355382.9919796064</v>
      </c>
      <c r="M61" s="40">
        <f t="shared" si="6"/>
        <v>2.3727041909611635</v>
      </c>
      <c r="N61" s="98">
        <f t="shared" si="0"/>
        <v>3100000</v>
      </c>
      <c r="O61" s="98">
        <f t="shared" si="0"/>
        <v>7355382.9919796055</v>
      </c>
      <c r="P61" s="99">
        <f t="shared" si="1"/>
        <v>2.372704190961163</v>
      </c>
    </row>
    <row r="62" spans="1:16" ht="11.25" customHeight="1">
      <c r="A62" s="13">
        <v>43344</v>
      </c>
      <c r="B62" s="101">
        <f t="shared" si="7"/>
        <v>3100000</v>
      </c>
      <c r="C62" s="101">
        <f t="shared" si="8"/>
        <v>7355382.9919796064</v>
      </c>
      <c r="D62" s="40">
        <f t="shared" ref="D62:D89" si="11">IF(B62&gt;0,C62/B62,0)</f>
        <v>2.3727041909611635</v>
      </c>
      <c r="E62" s="101">
        <v>0</v>
      </c>
      <c r="F62" s="101">
        <v>0</v>
      </c>
      <c r="G62" s="40">
        <f t="shared" ref="G62:G89" si="12">IF(E62&gt;0,F62/E62,0)</f>
        <v>0</v>
      </c>
      <c r="H62" s="101">
        <v>0</v>
      </c>
      <c r="I62" s="101">
        <v>0</v>
      </c>
      <c r="J62" s="40">
        <f t="shared" ref="J62:J89" si="13">IF(H62&gt;0,I62/H62,0)</f>
        <v>0</v>
      </c>
      <c r="K62" s="16">
        <f t="shared" si="9"/>
        <v>3100000</v>
      </c>
      <c r="L62" s="16">
        <f t="shared" si="10"/>
        <v>7355382.9919796064</v>
      </c>
      <c r="M62" s="40">
        <f t="shared" ref="M62:M89" si="14">IF(K62&gt;0,L62/K62,0)</f>
        <v>2.3727041909611635</v>
      </c>
      <c r="N62" s="98">
        <f t="shared" si="0"/>
        <v>3100000</v>
      </c>
      <c r="O62" s="98">
        <f t="shared" si="0"/>
        <v>7355382.9919796055</v>
      </c>
      <c r="P62" s="99">
        <f t="shared" si="1"/>
        <v>2.372704190961163</v>
      </c>
    </row>
    <row r="63" spans="1:16" ht="11.25" customHeight="1">
      <c r="A63" s="13">
        <v>43374</v>
      </c>
      <c r="B63" s="101">
        <f t="shared" si="7"/>
        <v>3100000</v>
      </c>
      <c r="C63" s="101">
        <f t="shared" si="8"/>
        <v>7355382.9919796064</v>
      </c>
      <c r="D63" s="40">
        <f t="shared" si="11"/>
        <v>2.3727041909611635</v>
      </c>
      <c r="E63" s="101">
        <v>0</v>
      </c>
      <c r="F63" s="101">
        <v>0</v>
      </c>
      <c r="G63" s="40">
        <f t="shared" si="12"/>
        <v>0</v>
      </c>
      <c r="H63" s="101">
        <v>0</v>
      </c>
      <c r="I63" s="101">
        <v>0</v>
      </c>
      <c r="J63" s="40">
        <f t="shared" si="13"/>
        <v>0</v>
      </c>
      <c r="K63" s="16">
        <f t="shared" si="9"/>
        <v>3100000</v>
      </c>
      <c r="L63" s="16">
        <f t="shared" si="10"/>
        <v>7355382.9919796064</v>
      </c>
      <c r="M63" s="40">
        <f t="shared" si="14"/>
        <v>2.3727041909611635</v>
      </c>
      <c r="N63" s="98">
        <f t="shared" si="0"/>
        <v>3100000</v>
      </c>
      <c r="O63" s="98">
        <f t="shared" si="0"/>
        <v>7355382.9919796055</v>
      </c>
      <c r="P63" s="99">
        <f t="shared" si="1"/>
        <v>2.372704190961163</v>
      </c>
    </row>
    <row r="64" spans="1:16" ht="11.25" customHeight="1">
      <c r="A64" s="13">
        <v>43405</v>
      </c>
      <c r="B64" s="101">
        <f t="shared" si="7"/>
        <v>3100000</v>
      </c>
      <c r="C64" s="101">
        <f t="shared" si="8"/>
        <v>7355382.9919796064</v>
      </c>
      <c r="D64" s="40">
        <f t="shared" si="11"/>
        <v>2.3727041909611635</v>
      </c>
      <c r="E64" s="101">
        <v>0</v>
      </c>
      <c r="F64" s="101">
        <v>0</v>
      </c>
      <c r="G64" s="40">
        <f t="shared" si="12"/>
        <v>0</v>
      </c>
      <c r="H64" s="101">
        <v>0</v>
      </c>
      <c r="I64" s="101">
        <v>0</v>
      </c>
      <c r="J64" s="40">
        <f t="shared" si="13"/>
        <v>0</v>
      </c>
      <c r="K64" s="16">
        <f t="shared" si="9"/>
        <v>3100000</v>
      </c>
      <c r="L64" s="16">
        <f t="shared" si="10"/>
        <v>7355382.9919796064</v>
      </c>
      <c r="M64" s="40">
        <f t="shared" si="14"/>
        <v>2.3727041909611635</v>
      </c>
      <c r="N64" s="98">
        <f t="shared" si="0"/>
        <v>3100000</v>
      </c>
      <c r="O64" s="98">
        <f t="shared" si="0"/>
        <v>7355382.9919796055</v>
      </c>
      <c r="P64" s="99">
        <f t="shared" si="1"/>
        <v>2.372704190961163</v>
      </c>
    </row>
    <row r="65" spans="1:16" ht="11.25" customHeight="1">
      <c r="A65" s="13">
        <v>43435</v>
      </c>
      <c r="B65" s="101">
        <f t="shared" si="7"/>
        <v>3100000</v>
      </c>
      <c r="C65" s="101">
        <f t="shared" si="8"/>
        <v>7355382.9919796064</v>
      </c>
      <c r="D65" s="40">
        <f t="shared" si="11"/>
        <v>2.3727041909611635</v>
      </c>
      <c r="E65" s="101">
        <v>0</v>
      </c>
      <c r="F65" s="101">
        <v>0</v>
      </c>
      <c r="G65" s="40">
        <f t="shared" si="12"/>
        <v>0</v>
      </c>
      <c r="H65" s="101">
        <v>0</v>
      </c>
      <c r="I65" s="101">
        <v>0</v>
      </c>
      <c r="J65" s="40">
        <f t="shared" si="13"/>
        <v>0</v>
      </c>
      <c r="K65" s="16">
        <f t="shared" si="9"/>
        <v>3100000</v>
      </c>
      <c r="L65" s="16">
        <f t="shared" si="10"/>
        <v>7355382.9919796064</v>
      </c>
      <c r="M65" s="40">
        <f t="shared" si="14"/>
        <v>2.3727041909611635</v>
      </c>
      <c r="N65" s="98">
        <f t="shared" si="0"/>
        <v>3100000</v>
      </c>
      <c r="O65" s="98">
        <f t="shared" si="0"/>
        <v>7355382.9919796055</v>
      </c>
      <c r="P65" s="99">
        <f t="shared" si="1"/>
        <v>2.372704190961163</v>
      </c>
    </row>
    <row r="66" spans="1:16" ht="11.25" customHeight="1">
      <c r="A66" s="13">
        <v>43466</v>
      </c>
      <c r="B66" s="101">
        <f t="shared" si="7"/>
        <v>3100000</v>
      </c>
      <c r="C66" s="101">
        <f t="shared" si="8"/>
        <v>7355382.9919796064</v>
      </c>
      <c r="D66" s="40">
        <f t="shared" si="11"/>
        <v>2.3727041909611635</v>
      </c>
      <c r="E66" s="101">
        <v>0</v>
      </c>
      <c r="F66" s="101">
        <v>0</v>
      </c>
      <c r="G66" s="40">
        <f t="shared" si="12"/>
        <v>0</v>
      </c>
      <c r="H66" s="101">
        <v>0</v>
      </c>
      <c r="I66" s="101">
        <v>0</v>
      </c>
      <c r="J66" s="40">
        <f t="shared" si="13"/>
        <v>0</v>
      </c>
      <c r="K66" s="16">
        <f t="shared" si="9"/>
        <v>3100000</v>
      </c>
      <c r="L66" s="16">
        <f t="shared" si="10"/>
        <v>7355382.9919796064</v>
      </c>
      <c r="M66" s="40">
        <f t="shared" si="14"/>
        <v>2.3727041909611635</v>
      </c>
      <c r="N66" s="98">
        <f t="shared" ref="N66:O89" si="15">AVERAGE(K54:K66)</f>
        <v>3100000</v>
      </c>
      <c r="O66" s="98">
        <f t="shared" si="15"/>
        <v>7355382.9919796055</v>
      </c>
      <c r="P66" s="99">
        <f t="shared" si="1"/>
        <v>2.372704190961163</v>
      </c>
    </row>
    <row r="67" spans="1:16" ht="11.25" customHeight="1">
      <c r="A67" s="13">
        <v>43497</v>
      </c>
      <c r="B67" s="101">
        <f t="shared" si="7"/>
        <v>3100000</v>
      </c>
      <c r="C67" s="101">
        <f t="shared" si="8"/>
        <v>7355382.9919796064</v>
      </c>
      <c r="D67" s="40">
        <f t="shared" si="11"/>
        <v>2.3727041909611635</v>
      </c>
      <c r="E67" s="101">
        <v>0</v>
      </c>
      <c r="F67" s="101">
        <v>0</v>
      </c>
      <c r="G67" s="40">
        <f t="shared" si="12"/>
        <v>0</v>
      </c>
      <c r="H67" s="101">
        <v>0</v>
      </c>
      <c r="I67" s="101">
        <v>0</v>
      </c>
      <c r="J67" s="40">
        <f t="shared" si="13"/>
        <v>0</v>
      </c>
      <c r="K67" s="16">
        <f t="shared" si="9"/>
        <v>3100000</v>
      </c>
      <c r="L67" s="16">
        <f t="shared" si="10"/>
        <v>7355382.9919796064</v>
      </c>
      <c r="M67" s="40">
        <f t="shared" si="14"/>
        <v>2.3727041909611635</v>
      </c>
      <c r="N67" s="98">
        <f t="shared" si="15"/>
        <v>3100000</v>
      </c>
      <c r="O67" s="98">
        <f t="shared" si="15"/>
        <v>7355382.9919796055</v>
      </c>
      <c r="P67" s="99">
        <f t="shared" si="1"/>
        <v>2.372704190961163</v>
      </c>
    </row>
    <row r="68" spans="1:16" ht="11.25" customHeight="1">
      <c r="A68" s="13">
        <v>43525</v>
      </c>
      <c r="B68" s="101">
        <f t="shared" si="7"/>
        <v>3100000</v>
      </c>
      <c r="C68" s="101">
        <f t="shared" si="8"/>
        <v>7355382.9919796064</v>
      </c>
      <c r="D68" s="40">
        <f t="shared" si="11"/>
        <v>2.3727041909611635</v>
      </c>
      <c r="E68" s="101">
        <v>0</v>
      </c>
      <c r="F68" s="101">
        <v>0</v>
      </c>
      <c r="G68" s="40">
        <f t="shared" si="12"/>
        <v>0</v>
      </c>
      <c r="H68" s="101">
        <v>0</v>
      </c>
      <c r="I68" s="101">
        <v>0</v>
      </c>
      <c r="J68" s="40">
        <f t="shared" si="13"/>
        <v>0</v>
      </c>
      <c r="K68" s="16">
        <f t="shared" si="9"/>
        <v>3100000</v>
      </c>
      <c r="L68" s="16">
        <f t="shared" si="10"/>
        <v>7355382.9919796064</v>
      </c>
      <c r="M68" s="40">
        <f t="shared" si="14"/>
        <v>2.3727041909611635</v>
      </c>
      <c r="N68" s="98">
        <f t="shared" si="15"/>
        <v>3100000</v>
      </c>
      <c r="O68" s="98">
        <f t="shared" si="15"/>
        <v>7355382.9919796055</v>
      </c>
      <c r="P68" s="99">
        <f t="shared" si="1"/>
        <v>2.372704190961163</v>
      </c>
    </row>
    <row r="69" spans="1:16" ht="11.25" customHeight="1">
      <c r="A69" s="13">
        <v>43556</v>
      </c>
      <c r="B69" s="101">
        <f t="shared" si="7"/>
        <v>3100000</v>
      </c>
      <c r="C69" s="101">
        <f t="shared" si="8"/>
        <v>7355382.9919796064</v>
      </c>
      <c r="D69" s="40">
        <f t="shared" si="11"/>
        <v>2.3727041909611635</v>
      </c>
      <c r="E69" s="101">
        <v>0</v>
      </c>
      <c r="F69" s="101">
        <v>0</v>
      </c>
      <c r="G69" s="40">
        <f t="shared" si="12"/>
        <v>0</v>
      </c>
      <c r="H69" s="101">
        <v>0</v>
      </c>
      <c r="I69" s="101">
        <v>0</v>
      </c>
      <c r="J69" s="40">
        <f t="shared" si="13"/>
        <v>0</v>
      </c>
      <c r="K69" s="16">
        <f t="shared" si="9"/>
        <v>3100000</v>
      </c>
      <c r="L69" s="16">
        <f t="shared" si="10"/>
        <v>7355382.9919796064</v>
      </c>
      <c r="M69" s="40">
        <f t="shared" si="14"/>
        <v>2.3727041909611635</v>
      </c>
      <c r="N69" s="98">
        <f t="shared" si="15"/>
        <v>3100000</v>
      </c>
      <c r="O69" s="98">
        <f t="shared" si="15"/>
        <v>7355382.9919796055</v>
      </c>
      <c r="P69" s="99">
        <f t="shared" si="1"/>
        <v>2.372704190961163</v>
      </c>
    </row>
    <row r="70" spans="1:16" ht="11.25" customHeight="1">
      <c r="A70" s="13">
        <v>43586</v>
      </c>
      <c r="B70" s="101">
        <f t="shared" si="7"/>
        <v>3100000</v>
      </c>
      <c r="C70" s="101">
        <f t="shared" si="8"/>
        <v>7355382.9919796064</v>
      </c>
      <c r="D70" s="40">
        <f t="shared" si="11"/>
        <v>2.3727041909611635</v>
      </c>
      <c r="E70" s="101">
        <v>0</v>
      </c>
      <c r="F70" s="101">
        <v>0</v>
      </c>
      <c r="G70" s="40">
        <f t="shared" si="12"/>
        <v>0</v>
      </c>
      <c r="H70" s="101">
        <v>0</v>
      </c>
      <c r="I70" s="101">
        <v>0</v>
      </c>
      <c r="J70" s="40">
        <f t="shared" si="13"/>
        <v>0</v>
      </c>
      <c r="K70" s="16">
        <f t="shared" si="9"/>
        <v>3100000</v>
      </c>
      <c r="L70" s="16">
        <f t="shared" si="10"/>
        <v>7355382.9919796064</v>
      </c>
      <c r="M70" s="40">
        <f t="shared" si="14"/>
        <v>2.3727041909611635</v>
      </c>
      <c r="N70" s="98">
        <f t="shared" si="15"/>
        <v>3100000</v>
      </c>
      <c r="O70" s="98">
        <f t="shared" si="15"/>
        <v>7355382.9919796055</v>
      </c>
      <c r="P70" s="99">
        <f t="shared" ref="P70:P89" si="16">IF(N70=0,0,O70/N70)</f>
        <v>2.372704190961163</v>
      </c>
    </row>
    <row r="71" spans="1:16" ht="11.25" customHeight="1">
      <c r="A71" s="13">
        <v>43617</v>
      </c>
      <c r="B71" s="101">
        <f t="shared" si="7"/>
        <v>3100000</v>
      </c>
      <c r="C71" s="101">
        <f t="shared" si="8"/>
        <v>7355382.9919796064</v>
      </c>
      <c r="D71" s="40">
        <f t="shared" si="11"/>
        <v>2.3727041909611635</v>
      </c>
      <c r="E71" s="101">
        <v>0</v>
      </c>
      <c r="F71" s="101">
        <v>0</v>
      </c>
      <c r="G71" s="40">
        <f t="shared" si="12"/>
        <v>0</v>
      </c>
      <c r="H71" s="101">
        <v>0</v>
      </c>
      <c r="I71" s="101">
        <v>0</v>
      </c>
      <c r="J71" s="40">
        <f t="shared" si="13"/>
        <v>0</v>
      </c>
      <c r="K71" s="16">
        <f t="shared" si="9"/>
        <v>3100000</v>
      </c>
      <c r="L71" s="16">
        <f t="shared" si="10"/>
        <v>7355382.9919796064</v>
      </c>
      <c r="M71" s="40">
        <f t="shared" si="14"/>
        <v>2.3727041909611635</v>
      </c>
      <c r="N71" s="98">
        <f t="shared" si="15"/>
        <v>3100000</v>
      </c>
      <c r="O71" s="98">
        <f t="shared" si="15"/>
        <v>7355382.9919796055</v>
      </c>
      <c r="P71" s="99">
        <f t="shared" si="16"/>
        <v>2.372704190961163</v>
      </c>
    </row>
    <row r="72" spans="1:16" ht="11.25" customHeight="1">
      <c r="A72" s="13">
        <v>43647</v>
      </c>
      <c r="B72" s="101">
        <f t="shared" si="7"/>
        <v>3100000</v>
      </c>
      <c r="C72" s="101">
        <f t="shared" si="8"/>
        <v>7355382.9919796064</v>
      </c>
      <c r="D72" s="40">
        <f t="shared" si="11"/>
        <v>2.3727041909611635</v>
      </c>
      <c r="E72" s="101">
        <v>0</v>
      </c>
      <c r="F72" s="101">
        <v>0</v>
      </c>
      <c r="G72" s="40">
        <f t="shared" si="12"/>
        <v>0</v>
      </c>
      <c r="H72" s="101">
        <v>0</v>
      </c>
      <c r="I72" s="101">
        <v>0</v>
      </c>
      <c r="J72" s="40">
        <f t="shared" si="13"/>
        <v>0</v>
      </c>
      <c r="K72" s="16">
        <f t="shared" si="9"/>
        <v>3100000</v>
      </c>
      <c r="L72" s="16">
        <f t="shared" si="10"/>
        <v>7355382.9919796064</v>
      </c>
      <c r="M72" s="40">
        <f t="shared" si="14"/>
        <v>2.3727041909611635</v>
      </c>
      <c r="N72" s="98">
        <f t="shared" si="15"/>
        <v>3100000</v>
      </c>
      <c r="O72" s="98">
        <f t="shared" si="15"/>
        <v>7355382.9919796055</v>
      </c>
      <c r="P72" s="99">
        <f t="shared" si="16"/>
        <v>2.372704190961163</v>
      </c>
    </row>
    <row r="73" spans="1:16" ht="11.25" customHeight="1">
      <c r="A73" s="13">
        <v>43678</v>
      </c>
      <c r="B73" s="101">
        <f t="shared" si="7"/>
        <v>3100000</v>
      </c>
      <c r="C73" s="101">
        <f t="shared" si="8"/>
        <v>7355382.9919796064</v>
      </c>
      <c r="D73" s="40">
        <f t="shared" si="11"/>
        <v>2.3727041909611635</v>
      </c>
      <c r="E73" s="101">
        <v>0</v>
      </c>
      <c r="F73" s="101">
        <v>0</v>
      </c>
      <c r="G73" s="40">
        <f t="shared" si="12"/>
        <v>0</v>
      </c>
      <c r="H73" s="101">
        <v>0</v>
      </c>
      <c r="I73" s="101">
        <v>0</v>
      </c>
      <c r="J73" s="40">
        <f t="shared" si="13"/>
        <v>0</v>
      </c>
      <c r="K73" s="16">
        <f t="shared" si="9"/>
        <v>3100000</v>
      </c>
      <c r="L73" s="16">
        <f t="shared" si="10"/>
        <v>7355382.9919796064</v>
      </c>
      <c r="M73" s="40">
        <f t="shared" si="14"/>
        <v>2.3727041909611635</v>
      </c>
      <c r="N73" s="98">
        <f t="shared" si="15"/>
        <v>3100000</v>
      </c>
      <c r="O73" s="98">
        <f t="shared" si="15"/>
        <v>7355382.9919796055</v>
      </c>
      <c r="P73" s="99">
        <f t="shared" si="16"/>
        <v>2.372704190961163</v>
      </c>
    </row>
    <row r="74" spans="1:16" ht="11.25" customHeight="1">
      <c r="A74" s="13">
        <v>43709</v>
      </c>
      <c r="B74" s="101">
        <f t="shared" si="7"/>
        <v>3100000</v>
      </c>
      <c r="C74" s="101">
        <f t="shared" si="8"/>
        <v>7355382.9919796064</v>
      </c>
      <c r="D74" s="40">
        <f t="shared" si="11"/>
        <v>2.3727041909611635</v>
      </c>
      <c r="E74" s="101">
        <v>0</v>
      </c>
      <c r="F74" s="101">
        <v>0</v>
      </c>
      <c r="G74" s="40">
        <f t="shared" si="12"/>
        <v>0</v>
      </c>
      <c r="H74" s="101">
        <v>0</v>
      </c>
      <c r="I74" s="101">
        <v>0</v>
      </c>
      <c r="J74" s="40">
        <f t="shared" si="13"/>
        <v>0</v>
      </c>
      <c r="K74" s="16">
        <f t="shared" si="9"/>
        <v>3100000</v>
      </c>
      <c r="L74" s="16">
        <f t="shared" si="10"/>
        <v>7355382.9919796064</v>
      </c>
      <c r="M74" s="40">
        <f t="shared" si="14"/>
        <v>2.3727041909611635</v>
      </c>
      <c r="N74" s="98">
        <f t="shared" si="15"/>
        <v>3100000</v>
      </c>
      <c r="O74" s="98">
        <f t="shared" si="15"/>
        <v>7355382.9919796055</v>
      </c>
      <c r="P74" s="99">
        <f t="shared" si="16"/>
        <v>2.372704190961163</v>
      </c>
    </row>
    <row r="75" spans="1:16" ht="11.25" customHeight="1">
      <c r="A75" s="13">
        <v>43739</v>
      </c>
      <c r="B75" s="101">
        <f t="shared" si="7"/>
        <v>3100000</v>
      </c>
      <c r="C75" s="101">
        <f t="shared" si="8"/>
        <v>7355382.9919796064</v>
      </c>
      <c r="D75" s="40">
        <f t="shared" si="11"/>
        <v>2.3727041909611635</v>
      </c>
      <c r="E75" s="101">
        <v>0</v>
      </c>
      <c r="F75" s="101">
        <v>0</v>
      </c>
      <c r="G75" s="40">
        <f t="shared" si="12"/>
        <v>0</v>
      </c>
      <c r="H75" s="101">
        <v>0</v>
      </c>
      <c r="I75" s="101">
        <v>0</v>
      </c>
      <c r="J75" s="40">
        <f t="shared" si="13"/>
        <v>0</v>
      </c>
      <c r="K75" s="16">
        <f t="shared" si="9"/>
        <v>3100000</v>
      </c>
      <c r="L75" s="16">
        <f t="shared" si="10"/>
        <v>7355382.9919796064</v>
      </c>
      <c r="M75" s="40">
        <f t="shared" si="14"/>
        <v>2.3727041909611635</v>
      </c>
      <c r="N75" s="98">
        <f t="shared" si="15"/>
        <v>3100000</v>
      </c>
      <c r="O75" s="98">
        <f t="shared" si="15"/>
        <v>7355382.9919796055</v>
      </c>
      <c r="P75" s="99">
        <f t="shared" si="16"/>
        <v>2.372704190961163</v>
      </c>
    </row>
    <row r="76" spans="1:16" ht="11.25" customHeight="1">
      <c r="A76" s="13">
        <v>43770</v>
      </c>
      <c r="B76" s="101">
        <f t="shared" si="7"/>
        <v>3100000</v>
      </c>
      <c r="C76" s="101">
        <f t="shared" si="8"/>
        <v>7355382.9919796064</v>
      </c>
      <c r="D76" s="40">
        <f t="shared" si="11"/>
        <v>2.3727041909611635</v>
      </c>
      <c r="E76" s="101">
        <v>0</v>
      </c>
      <c r="F76" s="101">
        <v>0</v>
      </c>
      <c r="G76" s="40">
        <f t="shared" si="12"/>
        <v>0</v>
      </c>
      <c r="H76" s="101">
        <v>0</v>
      </c>
      <c r="I76" s="101">
        <v>0</v>
      </c>
      <c r="J76" s="40">
        <f t="shared" si="13"/>
        <v>0</v>
      </c>
      <c r="K76" s="16">
        <f t="shared" si="9"/>
        <v>3100000</v>
      </c>
      <c r="L76" s="16">
        <f t="shared" si="10"/>
        <v>7355382.9919796064</v>
      </c>
      <c r="M76" s="40">
        <f t="shared" si="14"/>
        <v>2.3727041909611635</v>
      </c>
      <c r="N76" s="98">
        <f t="shared" si="15"/>
        <v>3100000</v>
      </c>
      <c r="O76" s="98">
        <f t="shared" si="15"/>
        <v>7355382.9919796055</v>
      </c>
      <c r="P76" s="99">
        <f t="shared" si="16"/>
        <v>2.372704190961163</v>
      </c>
    </row>
    <row r="77" spans="1:16" ht="11.25" customHeight="1">
      <c r="A77" s="13">
        <v>43800</v>
      </c>
      <c r="B77" s="101">
        <f t="shared" si="7"/>
        <v>3100000</v>
      </c>
      <c r="C77" s="101">
        <f t="shared" si="8"/>
        <v>7355382.9919796064</v>
      </c>
      <c r="D77" s="40">
        <f t="shared" si="11"/>
        <v>2.3727041909611635</v>
      </c>
      <c r="E77" s="101">
        <v>0</v>
      </c>
      <c r="F77" s="101">
        <v>0</v>
      </c>
      <c r="G77" s="40">
        <f t="shared" si="12"/>
        <v>0</v>
      </c>
      <c r="H77" s="101">
        <v>0</v>
      </c>
      <c r="I77" s="101">
        <v>0</v>
      </c>
      <c r="J77" s="40">
        <f t="shared" si="13"/>
        <v>0</v>
      </c>
      <c r="K77" s="16">
        <f t="shared" si="9"/>
        <v>3100000</v>
      </c>
      <c r="L77" s="16">
        <f t="shared" si="10"/>
        <v>7355382.9919796064</v>
      </c>
      <c r="M77" s="40">
        <f t="shared" si="14"/>
        <v>2.3727041909611635</v>
      </c>
      <c r="N77" s="98">
        <f t="shared" si="15"/>
        <v>3100000</v>
      </c>
      <c r="O77" s="98">
        <f t="shared" si="15"/>
        <v>7355382.9919796055</v>
      </c>
      <c r="P77" s="99">
        <f t="shared" si="16"/>
        <v>2.372704190961163</v>
      </c>
    </row>
    <row r="78" spans="1:16" ht="11.25" customHeight="1">
      <c r="A78" s="13">
        <v>43831</v>
      </c>
      <c r="B78" s="101">
        <f t="shared" si="7"/>
        <v>3100000</v>
      </c>
      <c r="C78" s="101">
        <f t="shared" si="8"/>
        <v>7355382.9919796064</v>
      </c>
      <c r="D78" s="40">
        <f t="shared" si="11"/>
        <v>2.3727041909611635</v>
      </c>
      <c r="E78" s="101">
        <v>0</v>
      </c>
      <c r="F78" s="101">
        <v>0</v>
      </c>
      <c r="G78" s="40">
        <f t="shared" si="12"/>
        <v>0</v>
      </c>
      <c r="H78" s="101">
        <v>0</v>
      </c>
      <c r="I78" s="101">
        <v>0</v>
      </c>
      <c r="J78" s="40">
        <f t="shared" si="13"/>
        <v>0</v>
      </c>
      <c r="K78" s="16">
        <f t="shared" si="9"/>
        <v>3100000</v>
      </c>
      <c r="L78" s="16">
        <f t="shared" si="10"/>
        <v>7355382.9919796064</v>
      </c>
      <c r="M78" s="40">
        <f t="shared" si="14"/>
        <v>2.3727041909611635</v>
      </c>
      <c r="N78" s="98">
        <f t="shared" si="15"/>
        <v>3100000</v>
      </c>
      <c r="O78" s="98">
        <f t="shared" si="15"/>
        <v>7355382.9919796055</v>
      </c>
      <c r="P78" s="99">
        <f t="shared" si="16"/>
        <v>2.372704190961163</v>
      </c>
    </row>
    <row r="79" spans="1:16" ht="11.25" customHeight="1">
      <c r="A79" s="13">
        <v>43862</v>
      </c>
      <c r="B79" s="101">
        <f t="shared" si="7"/>
        <v>3100000</v>
      </c>
      <c r="C79" s="101">
        <f t="shared" si="8"/>
        <v>7355382.9919796064</v>
      </c>
      <c r="D79" s="40">
        <f t="shared" si="11"/>
        <v>2.3727041909611635</v>
      </c>
      <c r="E79" s="101">
        <v>0</v>
      </c>
      <c r="F79" s="101">
        <v>0</v>
      </c>
      <c r="G79" s="40">
        <f t="shared" si="12"/>
        <v>0</v>
      </c>
      <c r="H79" s="101">
        <v>0</v>
      </c>
      <c r="I79" s="101">
        <v>0</v>
      </c>
      <c r="J79" s="40">
        <f t="shared" si="13"/>
        <v>0</v>
      </c>
      <c r="K79" s="16">
        <f t="shared" si="9"/>
        <v>3100000</v>
      </c>
      <c r="L79" s="16">
        <f t="shared" si="10"/>
        <v>7355382.9919796064</v>
      </c>
      <c r="M79" s="40">
        <f t="shared" si="14"/>
        <v>2.3727041909611635</v>
      </c>
      <c r="N79" s="98">
        <f t="shared" si="15"/>
        <v>3100000</v>
      </c>
      <c r="O79" s="98">
        <f t="shared" si="15"/>
        <v>7355382.9919796055</v>
      </c>
      <c r="P79" s="99">
        <f t="shared" si="16"/>
        <v>2.372704190961163</v>
      </c>
    </row>
    <row r="80" spans="1:16" ht="11.25" customHeight="1">
      <c r="A80" s="13">
        <v>43891</v>
      </c>
      <c r="B80" s="101">
        <f t="shared" si="7"/>
        <v>3100000</v>
      </c>
      <c r="C80" s="101">
        <f t="shared" si="8"/>
        <v>7355382.9919796064</v>
      </c>
      <c r="D80" s="40">
        <f t="shared" si="11"/>
        <v>2.3727041909611635</v>
      </c>
      <c r="E80" s="101">
        <v>0</v>
      </c>
      <c r="F80" s="101">
        <v>0</v>
      </c>
      <c r="G80" s="40">
        <f t="shared" si="12"/>
        <v>0</v>
      </c>
      <c r="H80" s="101">
        <v>0</v>
      </c>
      <c r="I80" s="101">
        <v>0</v>
      </c>
      <c r="J80" s="40">
        <f t="shared" si="13"/>
        <v>0</v>
      </c>
      <c r="K80" s="16">
        <f t="shared" si="9"/>
        <v>3100000</v>
      </c>
      <c r="L80" s="16">
        <f t="shared" si="10"/>
        <v>7355382.9919796064</v>
      </c>
      <c r="M80" s="40">
        <f t="shared" si="14"/>
        <v>2.3727041909611635</v>
      </c>
      <c r="N80" s="98">
        <f t="shared" si="15"/>
        <v>3100000</v>
      </c>
      <c r="O80" s="98">
        <f t="shared" si="15"/>
        <v>7355382.9919796055</v>
      </c>
      <c r="P80" s="99">
        <f t="shared" si="16"/>
        <v>2.372704190961163</v>
      </c>
    </row>
    <row r="81" spans="1:16" ht="11.25" customHeight="1">
      <c r="A81" s="13">
        <v>43922</v>
      </c>
      <c r="B81" s="101">
        <f t="shared" si="7"/>
        <v>3100000</v>
      </c>
      <c r="C81" s="101">
        <f t="shared" si="8"/>
        <v>7355382.9919796064</v>
      </c>
      <c r="D81" s="40">
        <f t="shared" si="11"/>
        <v>2.3727041909611635</v>
      </c>
      <c r="E81" s="101">
        <v>0</v>
      </c>
      <c r="F81" s="101">
        <v>0</v>
      </c>
      <c r="G81" s="40">
        <f t="shared" si="12"/>
        <v>0</v>
      </c>
      <c r="H81" s="101">
        <v>0</v>
      </c>
      <c r="I81" s="101">
        <v>0</v>
      </c>
      <c r="J81" s="40">
        <f t="shared" si="13"/>
        <v>0</v>
      </c>
      <c r="K81" s="16">
        <f t="shared" si="9"/>
        <v>3100000</v>
      </c>
      <c r="L81" s="16">
        <f t="shared" si="10"/>
        <v>7355382.9919796064</v>
      </c>
      <c r="M81" s="40">
        <f t="shared" si="14"/>
        <v>2.3727041909611635</v>
      </c>
      <c r="N81" s="98">
        <f t="shared" si="15"/>
        <v>3100000</v>
      </c>
      <c r="O81" s="98">
        <f t="shared" si="15"/>
        <v>7355382.9919796055</v>
      </c>
      <c r="P81" s="99">
        <f t="shared" si="16"/>
        <v>2.372704190961163</v>
      </c>
    </row>
    <row r="82" spans="1:16" ht="11.25" customHeight="1">
      <c r="A82" s="13">
        <v>43952</v>
      </c>
      <c r="B82" s="101">
        <f t="shared" si="7"/>
        <v>3100000</v>
      </c>
      <c r="C82" s="101">
        <f t="shared" si="8"/>
        <v>7355382.9919796064</v>
      </c>
      <c r="D82" s="40">
        <f t="shared" si="11"/>
        <v>2.3727041909611635</v>
      </c>
      <c r="E82" s="101">
        <v>0</v>
      </c>
      <c r="F82" s="101">
        <v>0</v>
      </c>
      <c r="G82" s="40">
        <f t="shared" si="12"/>
        <v>0</v>
      </c>
      <c r="H82" s="101">
        <v>0</v>
      </c>
      <c r="I82" s="101">
        <v>0</v>
      </c>
      <c r="J82" s="40">
        <f t="shared" si="13"/>
        <v>0</v>
      </c>
      <c r="K82" s="16">
        <f t="shared" si="9"/>
        <v>3100000</v>
      </c>
      <c r="L82" s="16">
        <f t="shared" si="10"/>
        <v>7355382.9919796064</v>
      </c>
      <c r="M82" s="40">
        <f t="shared" si="14"/>
        <v>2.3727041909611635</v>
      </c>
      <c r="N82" s="98">
        <f t="shared" si="15"/>
        <v>3100000</v>
      </c>
      <c r="O82" s="98">
        <f t="shared" si="15"/>
        <v>7355382.9919796055</v>
      </c>
      <c r="P82" s="99">
        <f t="shared" si="16"/>
        <v>2.372704190961163</v>
      </c>
    </row>
    <row r="83" spans="1:16" ht="11.25" customHeight="1">
      <c r="A83" s="13">
        <v>43983</v>
      </c>
      <c r="B83" s="101">
        <f t="shared" si="7"/>
        <v>3100000</v>
      </c>
      <c r="C83" s="101">
        <f t="shared" si="8"/>
        <v>7355382.9919796064</v>
      </c>
      <c r="D83" s="40">
        <f t="shared" si="11"/>
        <v>2.3727041909611635</v>
      </c>
      <c r="E83" s="101">
        <v>0</v>
      </c>
      <c r="F83" s="101">
        <v>0</v>
      </c>
      <c r="G83" s="40">
        <f t="shared" si="12"/>
        <v>0</v>
      </c>
      <c r="H83" s="101">
        <v>0</v>
      </c>
      <c r="I83" s="101">
        <v>0</v>
      </c>
      <c r="J83" s="40">
        <f t="shared" si="13"/>
        <v>0</v>
      </c>
      <c r="K83" s="16">
        <f t="shared" si="9"/>
        <v>3100000</v>
      </c>
      <c r="L83" s="16">
        <f t="shared" si="10"/>
        <v>7355382.9919796064</v>
      </c>
      <c r="M83" s="40">
        <f t="shared" si="14"/>
        <v>2.3727041909611635</v>
      </c>
      <c r="N83" s="98">
        <f t="shared" si="15"/>
        <v>3100000</v>
      </c>
      <c r="O83" s="98">
        <f t="shared" si="15"/>
        <v>7355382.9919796055</v>
      </c>
      <c r="P83" s="99">
        <f t="shared" si="16"/>
        <v>2.372704190961163</v>
      </c>
    </row>
    <row r="84" spans="1:16" ht="11.25" customHeight="1">
      <c r="A84" s="13">
        <v>44013</v>
      </c>
      <c r="B84" s="101">
        <f t="shared" si="7"/>
        <v>3100000</v>
      </c>
      <c r="C84" s="101">
        <f t="shared" si="8"/>
        <v>7355382.9919796064</v>
      </c>
      <c r="D84" s="40">
        <f t="shared" si="11"/>
        <v>2.3727041909611635</v>
      </c>
      <c r="E84" s="101">
        <v>0</v>
      </c>
      <c r="F84" s="101">
        <v>0</v>
      </c>
      <c r="G84" s="40">
        <f t="shared" si="12"/>
        <v>0</v>
      </c>
      <c r="H84" s="101">
        <v>0</v>
      </c>
      <c r="I84" s="101">
        <v>0</v>
      </c>
      <c r="J84" s="40">
        <f t="shared" si="13"/>
        <v>0</v>
      </c>
      <c r="K84" s="16">
        <f t="shared" si="9"/>
        <v>3100000</v>
      </c>
      <c r="L84" s="16">
        <f t="shared" si="10"/>
        <v>7355382.9919796064</v>
      </c>
      <c r="M84" s="40">
        <f t="shared" si="14"/>
        <v>2.3727041909611635</v>
      </c>
      <c r="N84" s="98">
        <f t="shared" si="15"/>
        <v>3100000</v>
      </c>
      <c r="O84" s="98">
        <f t="shared" si="15"/>
        <v>7355382.9919796055</v>
      </c>
      <c r="P84" s="99">
        <f t="shared" si="16"/>
        <v>2.372704190961163</v>
      </c>
    </row>
    <row r="85" spans="1:16" ht="11.25" customHeight="1">
      <c r="A85" s="13">
        <v>44044</v>
      </c>
      <c r="B85" s="101">
        <f t="shared" si="7"/>
        <v>3100000</v>
      </c>
      <c r="C85" s="101">
        <f t="shared" si="8"/>
        <v>7355382.9919796064</v>
      </c>
      <c r="D85" s="40">
        <f t="shared" si="11"/>
        <v>2.3727041909611635</v>
      </c>
      <c r="E85" s="101">
        <v>0</v>
      </c>
      <c r="F85" s="101">
        <v>0</v>
      </c>
      <c r="G85" s="40">
        <f t="shared" si="12"/>
        <v>0</v>
      </c>
      <c r="H85" s="101">
        <v>0</v>
      </c>
      <c r="I85" s="101">
        <v>0</v>
      </c>
      <c r="J85" s="40">
        <f t="shared" si="13"/>
        <v>0</v>
      </c>
      <c r="K85" s="16">
        <f t="shared" si="9"/>
        <v>3100000</v>
      </c>
      <c r="L85" s="16">
        <f t="shared" si="10"/>
        <v>7355382.9919796064</v>
      </c>
      <c r="M85" s="40">
        <f t="shared" si="14"/>
        <v>2.3727041909611635</v>
      </c>
      <c r="N85" s="98">
        <f t="shared" si="15"/>
        <v>3100000</v>
      </c>
      <c r="O85" s="98">
        <f t="shared" si="15"/>
        <v>7355382.9919796055</v>
      </c>
      <c r="P85" s="99">
        <f t="shared" si="16"/>
        <v>2.372704190961163</v>
      </c>
    </row>
    <row r="86" spans="1:16" ht="11.25" customHeight="1">
      <c r="A86" s="13">
        <v>44075</v>
      </c>
      <c r="B86" s="101">
        <f t="shared" si="7"/>
        <v>3100000</v>
      </c>
      <c r="C86" s="101">
        <f t="shared" si="8"/>
        <v>7355382.9919796064</v>
      </c>
      <c r="D86" s="40">
        <f t="shared" si="11"/>
        <v>2.3727041909611635</v>
      </c>
      <c r="E86" s="101">
        <v>0</v>
      </c>
      <c r="F86" s="101">
        <v>0</v>
      </c>
      <c r="G86" s="40">
        <f t="shared" si="12"/>
        <v>0</v>
      </c>
      <c r="H86" s="101">
        <v>0</v>
      </c>
      <c r="I86" s="101">
        <v>0</v>
      </c>
      <c r="J86" s="40">
        <f t="shared" si="13"/>
        <v>0</v>
      </c>
      <c r="K86" s="16">
        <f t="shared" si="9"/>
        <v>3100000</v>
      </c>
      <c r="L86" s="16">
        <f t="shared" si="10"/>
        <v>7355382.9919796064</v>
      </c>
      <c r="M86" s="40">
        <f t="shared" si="14"/>
        <v>2.3727041909611635</v>
      </c>
      <c r="N86" s="98">
        <f t="shared" si="15"/>
        <v>3100000</v>
      </c>
      <c r="O86" s="98">
        <f t="shared" si="15"/>
        <v>7355382.9919796055</v>
      </c>
      <c r="P86" s="99">
        <f t="shared" si="16"/>
        <v>2.372704190961163</v>
      </c>
    </row>
    <row r="87" spans="1:16" ht="11.25" customHeight="1">
      <c r="A87" s="13">
        <v>44105</v>
      </c>
      <c r="B87" s="101">
        <f t="shared" si="7"/>
        <v>3100000</v>
      </c>
      <c r="C87" s="101">
        <f t="shared" si="8"/>
        <v>7355382.9919796064</v>
      </c>
      <c r="D87" s="40">
        <f t="shared" si="11"/>
        <v>2.3727041909611635</v>
      </c>
      <c r="E87" s="101">
        <v>0</v>
      </c>
      <c r="F87" s="101">
        <v>0</v>
      </c>
      <c r="G87" s="40">
        <f t="shared" si="12"/>
        <v>0</v>
      </c>
      <c r="H87" s="101">
        <v>0</v>
      </c>
      <c r="I87" s="101">
        <v>0</v>
      </c>
      <c r="J87" s="40">
        <f t="shared" si="13"/>
        <v>0</v>
      </c>
      <c r="K87" s="16">
        <f t="shared" si="9"/>
        <v>3100000</v>
      </c>
      <c r="L87" s="16">
        <f t="shared" si="10"/>
        <v>7355382.9919796064</v>
      </c>
      <c r="M87" s="40">
        <f t="shared" si="14"/>
        <v>2.3727041909611635</v>
      </c>
      <c r="N87" s="98">
        <f t="shared" si="15"/>
        <v>3100000</v>
      </c>
      <c r="O87" s="98">
        <f t="shared" si="15"/>
        <v>7355382.9919796055</v>
      </c>
      <c r="P87" s="99">
        <f t="shared" si="16"/>
        <v>2.372704190961163</v>
      </c>
    </row>
    <row r="88" spans="1:16" ht="11.25" customHeight="1">
      <c r="A88" s="13">
        <v>44136</v>
      </c>
      <c r="B88" s="101">
        <f t="shared" si="7"/>
        <v>3100000</v>
      </c>
      <c r="C88" s="101">
        <f t="shared" si="8"/>
        <v>7355382.9919796064</v>
      </c>
      <c r="D88" s="40">
        <f t="shared" si="11"/>
        <v>2.3727041909611635</v>
      </c>
      <c r="E88" s="101">
        <v>0</v>
      </c>
      <c r="F88" s="101">
        <v>0</v>
      </c>
      <c r="G88" s="40">
        <f t="shared" si="12"/>
        <v>0</v>
      </c>
      <c r="H88" s="101">
        <v>0</v>
      </c>
      <c r="I88" s="101">
        <v>0</v>
      </c>
      <c r="J88" s="40">
        <f t="shared" si="13"/>
        <v>0</v>
      </c>
      <c r="K88" s="16">
        <f t="shared" si="9"/>
        <v>3100000</v>
      </c>
      <c r="L88" s="16">
        <f t="shared" si="10"/>
        <v>7355382.9919796064</v>
      </c>
      <c r="M88" s="40">
        <f t="shared" si="14"/>
        <v>2.3727041909611635</v>
      </c>
      <c r="N88" s="98">
        <f t="shared" si="15"/>
        <v>3100000</v>
      </c>
      <c r="O88" s="98">
        <f t="shared" si="15"/>
        <v>7355382.9919796055</v>
      </c>
      <c r="P88" s="99">
        <f t="shared" si="16"/>
        <v>2.372704190961163</v>
      </c>
    </row>
    <row r="89" spans="1:16" ht="11.25" customHeight="1">
      <c r="A89" s="13">
        <v>44166</v>
      </c>
      <c r="B89" s="101">
        <f t="shared" si="7"/>
        <v>3100000</v>
      </c>
      <c r="C89" s="101">
        <f t="shared" si="8"/>
        <v>7355382.9919796064</v>
      </c>
      <c r="D89" s="40">
        <f t="shared" si="11"/>
        <v>2.3727041909611635</v>
      </c>
      <c r="E89" s="101">
        <v>0</v>
      </c>
      <c r="F89" s="101">
        <v>0</v>
      </c>
      <c r="G89" s="40">
        <f t="shared" si="12"/>
        <v>0</v>
      </c>
      <c r="H89" s="101">
        <v>0</v>
      </c>
      <c r="I89" s="101">
        <v>0</v>
      </c>
      <c r="J89" s="40">
        <f t="shared" si="13"/>
        <v>0</v>
      </c>
      <c r="K89" s="16">
        <f t="shared" si="9"/>
        <v>3100000</v>
      </c>
      <c r="L89" s="16">
        <f t="shared" si="10"/>
        <v>7355382.9919796064</v>
      </c>
      <c r="M89" s="40">
        <f t="shared" si="14"/>
        <v>2.3727041909611635</v>
      </c>
      <c r="N89" s="98">
        <f t="shared" si="15"/>
        <v>3100000</v>
      </c>
      <c r="O89" s="98">
        <f t="shared" si="15"/>
        <v>7355382.9919796055</v>
      </c>
      <c r="P89" s="99">
        <f t="shared" si="16"/>
        <v>2.372704190961163</v>
      </c>
    </row>
  </sheetData>
  <mergeCells count="6">
    <mergeCell ref="B4:D4"/>
    <mergeCell ref="B3:P3"/>
    <mergeCell ref="E4:G4"/>
    <mergeCell ref="H4:J4"/>
    <mergeCell ref="K4:M4"/>
    <mergeCell ref="N4:P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499984740745262"/>
  </sheetPr>
  <dimension ref="A1:V89"/>
  <sheetViews>
    <sheetView workbookViewId="0">
      <selection activeCell="A2" sqref="A2"/>
    </sheetView>
  </sheetViews>
  <sheetFormatPr defaultColWidth="6.33203125" defaultRowHeight="10.199999999999999"/>
  <cols>
    <col min="1" max="1" width="6.33203125" style="1" bestFit="1" customWidth="1"/>
    <col min="2" max="2" width="6.5546875" style="1" bestFit="1" customWidth="1"/>
    <col min="3" max="3" width="7.88671875" style="1" bestFit="1" customWidth="1"/>
    <col min="4" max="4" width="6.109375" style="1" bestFit="1" customWidth="1"/>
    <col min="5" max="5" width="7.88671875" style="1" bestFit="1" customWidth="1"/>
    <col min="6" max="6" width="9.5546875" style="1" bestFit="1" customWidth="1"/>
    <col min="7" max="7" width="5.33203125" style="1" bestFit="1" customWidth="1"/>
    <col min="8" max="8" width="7.109375" style="1" bestFit="1" customWidth="1"/>
    <col min="9" max="9" width="9.33203125" style="1" bestFit="1" customWidth="1"/>
    <col min="10" max="10" width="6.33203125" style="1"/>
    <col min="11" max="12" width="9.33203125" style="1" bestFit="1" customWidth="1"/>
    <col min="13" max="13" width="5.33203125" style="1" bestFit="1" customWidth="1"/>
    <col min="14" max="14" width="8.44140625" style="1" bestFit="1" customWidth="1"/>
    <col min="15" max="15" width="10.109375" style="1" bestFit="1" customWidth="1"/>
    <col min="16" max="16" width="5.44140625" style="1" bestFit="1" customWidth="1"/>
    <col min="17" max="17" width="8.44140625" style="1" bestFit="1" customWidth="1"/>
    <col min="18" max="18" width="10.109375" style="1" bestFit="1" customWidth="1"/>
    <col min="19" max="19" width="5.44140625" style="1" bestFit="1" customWidth="1"/>
    <col min="20" max="20" width="12.6640625" style="1" bestFit="1" customWidth="1"/>
    <col min="21" max="21" width="10.33203125" style="1" bestFit="1" customWidth="1"/>
    <col min="22" max="22" width="8.88671875" style="1" bestFit="1" customWidth="1"/>
    <col min="23" max="16384" width="6.33203125" style="1"/>
  </cols>
  <sheetData>
    <row r="1" spans="1:22" s="120" customFormat="1">
      <c r="A1" s="120" t="s">
        <v>61</v>
      </c>
    </row>
    <row r="2" spans="1:22" s="120" customFormat="1">
      <c r="A2" s="120" t="s">
        <v>59</v>
      </c>
    </row>
    <row r="4" spans="1:22">
      <c r="B4" s="17"/>
      <c r="C4" s="18"/>
      <c r="D4" s="19"/>
      <c r="E4" s="106" t="s">
        <v>0</v>
      </c>
      <c r="F4" s="106"/>
      <c r="G4" s="106"/>
      <c r="H4" s="106" t="s">
        <v>1</v>
      </c>
      <c r="I4" s="106"/>
      <c r="J4" s="106"/>
      <c r="K4" s="106" t="s">
        <v>40</v>
      </c>
      <c r="L4" s="106"/>
      <c r="M4" s="106"/>
      <c r="N4" s="106" t="s">
        <v>2</v>
      </c>
      <c r="O4" s="106"/>
      <c r="P4" s="106"/>
      <c r="Q4" s="106" t="s">
        <v>29</v>
      </c>
      <c r="R4" s="106"/>
      <c r="S4" s="106"/>
      <c r="T4" s="106" t="s">
        <v>48</v>
      </c>
      <c r="U4" s="106"/>
      <c r="V4" s="106"/>
    </row>
    <row r="5" spans="1:22">
      <c r="A5" s="20" t="s">
        <v>49</v>
      </c>
      <c r="B5" s="20" t="s">
        <v>20</v>
      </c>
      <c r="C5" s="12" t="s">
        <v>12</v>
      </c>
      <c r="D5" s="9" t="s">
        <v>26</v>
      </c>
      <c r="E5" s="10" t="s">
        <v>3</v>
      </c>
      <c r="F5" s="10" t="s">
        <v>27</v>
      </c>
      <c r="G5" s="10" t="s">
        <v>28</v>
      </c>
      <c r="H5" s="89" t="s">
        <v>3</v>
      </c>
      <c r="I5" s="89" t="s">
        <v>27</v>
      </c>
      <c r="J5" s="89" t="s">
        <v>28</v>
      </c>
      <c r="K5" s="89" t="s">
        <v>3</v>
      </c>
      <c r="L5" s="89" t="s">
        <v>27</v>
      </c>
      <c r="M5" s="89" t="s">
        <v>28</v>
      </c>
      <c r="N5" s="89" t="s">
        <v>3</v>
      </c>
      <c r="O5" s="89" t="s">
        <v>27</v>
      </c>
      <c r="P5" s="89" t="s">
        <v>28</v>
      </c>
      <c r="Q5" s="67" t="s">
        <v>3</v>
      </c>
      <c r="R5" s="67" t="s">
        <v>27</v>
      </c>
      <c r="S5" s="67" t="s">
        <v>28</v>
      </c>
      <c r="T5" s="68" t="s">
        <v>37</v>
      </c>
      <c r="U5" s="66" t="s">
        <v>38</v>
      </c>
      <c r="V5" s="66" t="s">
        <v>13</v>
      </c>
    </row>
    <row r="6" spans="1:22">
      <c r="A6" s="47">
        <v>30000</v>
      </c>
      <c r="B6" s="21">
        <v>110000</v>
      </c>
      <c r="C6" s="21">
        <v>1200000</v>
      </c>
      <c r="D6" s="24">
        <v>41640</v>
      </c>
      <c r="E6" s="25">
        <v>1312543</v>
      </c>
      <c r="F6" s="25">
        <v>120873155.56000002</v>
      </c>
      <c r="G6" s="29">
        <f>F6/E6</f>
        <v>92.090815737084441</v>
      </c>
      <c r="H6" s="27">
        <v>0</v>
      </c>
      <c r="I6" s="30">
        <v>651037.89</v>
      </c>
      <c r="J6" s="28">
        <f t="shared" ref="J6:J12" si="0">IF(H6=0,0,I6/H6)</f>
        <v>0</v>
      </c>
      <c r="K6" s="30">
        <v>281</v>
      </c>
      <c r="L6" s="30">
        <v>26016.9</v>
      </c>
      <c r="M6" s="29">
        <f t="shared" ref="M6:M46" si="1">IF(K6=0,0,L6/K6)</f>
        <v>92.586832740213524</v>
      </c>
      <c r="N6" s="27">
        <f t="shared" ref="N6:O53" si="2">+E6+H6-K6</f>
        <v>1312262</v>
      </c>
      <c r="O6" s="27">
        <f t="shared" si="2"/>
        <v>121498176.55000001</v>
      </c>
      <c r="P6" s="28">
        <f t="shared" ref="P6:P53" si="3">IF(N6=0,0,O6/N6)</f>
        <v>92.586828354398747</v>
      </c>
      <c r="Q6" s="107"/>
      <c r="R6" s="107"/>
      <c r="S6" s="107"/>
      <c r="T6" s="107"/>
      <c r="U6" s="107"/>
      <c r="V6" s="107"/>
    </row>
    <row r="7" spans="1:22">
      <c r="A7" s="21">
        <v>30000</v>
      </c>
      <c r="B7" s="47">
        <v>110000</v>
      </c>
      <c r="C7" s="47">
        <v>1200000</v>
      </c>
      <c r="D7" s="49">
        <v>41671</v>
      </c>
      <c r="E7" s="50">
        <f t="shared" ref="E7:G47" si="4">N6</f>
        <v>1312262</v>
      </c>
      <c r="F7" s="50">
        <f t="shared" si="4"/>
        <v>121498176.55000001</v>
      </c>
      <c r="G7" s="53">
        <f t="shared" si="4"/>
        <v>92.586828354398747</v>
      </c>
      <c r="H7" s="51">
        <v>0</v>
      </c>
      <c r="I7" s="54">
        <v>0</v>
      </c>
      <c r="J7" s="52">
        <f t="shared" si="0"/>
        <v>0</v>
      </c>
      <c r="K7" s="54">
        <v>709</v>
      </c>
      <c r="L7" s="54">
        <v>65644.06</v>
      </c>
      <c r="M7" s="53">
        <f t="shared" si="1"/>
        <v>92.586826516220029</v>
      </c>
      <c r="N7" s="51">
        <f t="shared" si="2"/>
        <v>1311553</v>
      </c>
      <c r="O7" s="51">
        <f t="shared" si="2"/>
        <v>121432532.49000001</v>
      </c>
      <c r="P7" s="52">
        <f t="shared" si="3"/>
        <v>92.586828355392427</v>
      </c>
      <c r="Q7" s="107"/>
      <c r="R7" s="107"/>
      <c r="S7" s="107"/>
      <c r="T7" s="107"/>
      <c r="U7" s="107"/>
      <c r="V7" s="107"/>
    </row>
    <row r="8" spans="1:22">
      <c r="A8" s="21">
        <v>30000</v>
      </c>
      <c r="B8" s="47">
        <v>110000</v>
      </c>
      <c r="C8" s="47">
        <v>1200000</v>
      </c>
      <c r="D8" s="49">
        <v>41699</v>
      </c>
      <c r="E8" s="50">
        <f t="shared" si="4"/>
        <v>1311553</v>
      </c>
      <c r="F8" s="50">
        <f t="shared" si="4"/>
        <v>121432532.49000001</v>
      </c>
      <c r="G8" s="53">
        <f t="shared" si="4"/>
        <v>92.586828355392427</v>
      </c>
      <c r="H8" s="51">
        <v>1781</v>
      </c>
      <c r="I8" s="54">
        <v>198750.22</v>
      </c>
      <c r="J8" s="52">
        <f t="shared" si="0"/>
        <v>111.59473329590118</v>
      </c>
      <c r="K8" s="54">
        <v>69484</v>
      </c>
      <c r="L8" s="54">
        <v>6435094.25</v>
      </c>
      <c r="M8" s="53">
        <f t="shared" si="1"/>
        <v>92.612605060157733</v>
      </c>
      <c r="N8" s="51">
        <f t="shared" si="2"/>
        <v>1243850</v>
      </c>
      <c r="O8" s="51">
        <f t="shared" si="2"/>
        <v>115196188.46000001</v>
      </c>
      <c r="P8" s="52">
        <f t="shared" si="3"/>
        <v>92.612604783535005</v>
      </c>
      <c r="Q8" s="107"/>
      <c r="R8" s="107"/>
      <c r="S8" s="107"/>
      <c r="T8" s="107"/>
      <c r="U8" s="107"/>
      <c r="V8" s="107"/>
    </row>
    <row r="9" spans="1:22">
      <c r="A9" s="21">
        <v>30000</v>
      </c>
      <c r="B9" s="47">
        <v>110000</v>
      </c>
      <c r="C9" s="47">
        <v>1200000</v>
      </c>
      <c r="D9" s="49">
        <v>41730</v>
      </c>
      <c r="E9" s="50">
        <f t="shared" si="4"/>
        <v>1243850</v>
      </c>
      <c r="F9" s="50">
        <f t="shared" si="4"/>
        <v>115196188.46000001</v>
      </c>
      <c r="G9" s="53">
        <f t="shared" si="4"/>
        <v>92.612604783535005</v>
      </c>
      <c r="H9" s="51">
        <v>112</v>
      </c>
      <c r="I9" s="54">
        <v>82784.37</v>
      </c>
      <c r="J9" s="52">
        <f t="shared" si="0"/>
        <v>739.14616071428566</v>
      </c>
      <c r="K9" s="54">
        <v>161056</v>
      </c>
      <c r="L9" s="54">
        <v>14925190.779999999</v>
      </c>
      <c r="M9" s="53">
        <f t="shared" si="1"/>
        <v>92.670814996026223</v>
      </c>
      <c r="N9" s="51">
        <f t="shared" si="2"/>
        <v>1082906</v>
      </c>
      <c r="O9" s="51">
        <f t="shared" si="2"/>
        <v>100353782.05000001</v>
      </c>
      <c r="P9" s="52">
        <f t="shared" si="3"/>
        <v>92.670815426269698</v>
      </c>
      <c r="Q9" s="107"/>
      <c r="R9" s="107"/>
      <c r="S9" s="107"/>
      <c r="T9" s="107"/>
      <c r="U9" s="107"/>
      <c r="V9" s="107"/>
    </row>
    <row r="10" spans="1:22">
      <c r="A10" s="21">
        <v>30000</v>
      </c>
      <c r="B10" s="47">
        <v>110000</v>
      </c>
      <c r="C10" s="47">
        <v>1200000</v>
      </c>
      <c r="D10" s="49">
        <v>41760</v>
      </c>
      <c r="E10" s="50">
        <f t="shared" si="4"/>
        <v>1082906</v>
      </c>
      <c r="F10" s="50">
        <f t="shared" si="4"/>
        <v>100353782.05000001</v>
      </c>
      <c r="G10" s="53">
        <f t="shared" si="4"/>
        <v>92.670815426269698</v>
      </c>
      <c r="H10" s="51">
        <v>0</v>
      </c>
      <c r="I10" s="51">
        <v>0</v>
      </c>
      <c r="J10" s="52">
        <f t="shared" si="0"/>
        <v>0</v>
      </c>
      <c r="K10" s="54">
        <v>235</v>
      </c>
      <c r="L10" s="54">
        <v>21777.64</v>
      </c>
      <c r="M10" s="53">
        <f t="shared" si="1"/>
        <v>92.670808510638295</v>
      </c>
      <c r="N10" s="51">
        <f t="shared" si="2"/>
        <v>1082671</v>
      </c>
      <c r="O10" s="51">
        <f t="shared" si="2"/>
        <v>100332004.41000001</v>
      </c>
      <c r="P10" s="52">
        <f t="shared" si="3"/>
        <v>92.670815427770776</v>
      </c>
      <c r="Q10" s="107"/>
      <c r="R10" s="107"/>
      <c r="S10" s="107"/>
      <c r="T10" s="107"/>
      <c r="U10" s="107"/>
      <c r="V10" s="107"/>
    </row>
    <row r="11" spans="1:22">
      <c r="A11" s="21">
        <v>30000</v>
      </c>
      <c r="B11" s="47">
        <v>110000</v>
      </c>
      <c r="C11" s="47">
        <v>1200000</v>
      </c>
      <c r="D11" s="49">
        <v>41791</v>
      </c>
      <c r="E11" s="50">
        <f t="shared" si="4"/>
        <v>1082671</v>
      </c>
      <c r="F11" s="50">
        <f t="shared" si="4"/>
        <v>100332004.41000001</v>
      </c>
      <c r="G11" s="53">
        <f t="shared" si="4"/>
        <v>92.670815427770776</v>
      </c>
      <c r="H11" s="51">
        <v>23064</v>
      </c>
      <c r="I11" s="51">
        <v>2524531.16</v>
      </c>
      <c r="J11" s="52">
        <f t="shared" si="0"/>
        <v>109.45764654873396</v>
      </c>
      <c r="K11" s="54">
        <v>19158</v>
      </c>
      <c r="L11" s="54">
        <v>1782095.63</v>
      </c>
      <c r="M11" s="53">
        <f t="shared" si="1"/>
        <v>93.020964088109395</v>
      </c>
      <c r="N11" s="51">
        <f t="shared" si="2"/>
        <v>1086577</v>
      </c>
      <c r="O11" s="51">
        <f t="shared" si="2"/>
        <v>101074439.94000001</v>
      </c>
      <c r="P11" s="52">
        <f t="shared" si="3"/>
        <v>93.020963944570894</v>
      </c>
      <c r="Q11" s="107"/>
      <c r="R11" s="107"/>
      <c r="S11" s="107"/>
      <c r="T11" s="107"/>
      <c r="U11" s="107"/>
      <c r="V11" s="107"/>
    </row>
    <row r="12" spans="1:22">
      <c r="A12" s="21">
        <v>30000</v>
      </c>
      <c r="B12" s="47">
        <v>110000</v>
      </c>
      <c r="C12" s="47">
        <v>1200000</v>
      </c>
      <c r="D12" s="49">
        <v>41821</v>
      </c>
      <c r="E12" s="50">
        <f t="shared" si="4"/>
        <v>1086577</v>
      </c>
      <c r="F12" s="50">
        <f t="shared" si="4"/>
        <v>101074439.94000001</v>
      </c>
      <c r="G12" s="53">
        <f t="shared" si="4"/>
        <v>93.020963944570894</v>
      </c>
      <c r="H12" s="51">
        <v>1490</v>
      </c>
      <c r="I12" s="54">
        <v>180913.28</v>
      </c>
      <c r="J12" s="52">
        <f t="shared" si="0"/>
        <v>121.41830872483222</v>
      </c>
      <c r="K12" s="54">
        <v>6502</v>
      </c>
      <c r="L12" s="54">
        <v>605075.15</v>
      </c>
      <c r="M12" s="53">
        <f t="shared" si="1"/>
        <v>93.059850815133814</v>
      </c>
      <c r="N12" s="51">
        <f t="shared" si="2"/>
        <v>1081565</v>
      </c>
      <c r="O12" s="51">
        <f t="shared" si="2"/>
        <v>100650278.07000001</v>
      </c>
      <c r="P12" s="52">
        <f t="shared" si="3"/>
        <v>93.059851298812376</v>
      </c>
      <c r="Q12" s="107"/>
      <c r="R12" s="107"/>
      <c r="S12" s="107"/>
      <c r="T12" s="107"/>
      <c r="U12" s="107"/>
      <c r="V12" s="107"/>
    </row>
    <row r="13" spans="1:22">
      <c r="A13" s="21">
        <v>30000</v>
      </c>
      <c r="B13" s="47">
        <v>110000</v>
      </c>
      <c r="C13" s="47">
        <v>1200000</v>
      </c>
      <c r="D13" s="49">
        <v>41852</v>
      </c>
      <c r="E13" s="50">
        <f t="shared" si="4"/>
        <v>1081565</v>
      </c>
      <c r="F13" s="50">
        <f t="shared" si="4"/>
        <v>100650278.07000001</v>
      </c>
      <c r="G13" s="53">
        <f t="shared" si="4"/>
        <v>93.059851298812376</v>
      </c>
      <c r="H13" s="51">
        <v>11</v>
      </c>
      <c r="I13" s="54">
        <v>8186.13</v>
      </c>
      <c r="J13" s="52">
        <f t="shared" ref="J13:J14" si="5">IF(H13=0,0,I13/H13)</f>
        <v>744.19363636363641</v>
      </c>
      <c r="K13" s="54">
        <v>11671</v>
      </c>
      <c r="L13" s="54">
        <v>1086178.82</v>
      </c>
      <c r="M13" s="53">
        <f t="shared" si="1"/>
        <v>93.066474166738075</v>
      </c>
      <c r="N13" s="51">
        <f t="shared" si="2"/>
        <v>1069905</v>
      </c>
      <c r="O13" s="51">
        <f t="shared" si="2"/>
        <v>99572285.38000001</v>
      </c>
      <c r="P13" s="52">
        <f t="shared" si="3"/>
        <v>93.066473546716779</v>
      </c>
      <c r="Q13" s="107"/>
      <c r="R13" s="107"/>
      <c r="S13" s="107"/>
      <c r="T13" s="107"/>
      <c r="U13" s="107"/>
      <c r="V13" s="107"/>
    </row>
    <row r="14" spans="1:22">
      <c r="A14" s="21">
        <v>30000</v>
      </c>
      <c r="B14" s="47">
        <v>110000</v>
      </c>
      <c r="C14" s="47">
        <v>1200000</v>
      </c>
      <c r="D14" s="49">
        <v>41883</v>
      </c>
      <c r="E14" s="50">
        <f t="shared" si="4"/>
        <v>1069905</v>
      </c>
      <c r="F14" s="50">
        <f t="shared" si="4"/>
        <v>99572285.38000001</v>
      </c>
      <c r="G14" s="53">
        <f t="shared" si="4"/>
        <v>93.066473546716779</v>
      </c>
      <c r="H14" s="51">
        <v>5289</v>
      </c>
      <c r="I14" s="54">
        <v>238843.51</v>
      </c>
      <c r="J14" s="52">
        <f t="shared" si="5"/>
        <v>45.158538476082434</v>
      </c>
      <c r="K14" s="54">
        <v>357</v>
      </c>
      <c r="L14" s="54">
        <v>33140.6</v>
      </c>
      <c r="M14" s="53">
        <f t="shared" si="1"/>
        <v>92.830812324929965</v>
      </c>
      <c r="N14" s="51">
        <f t="shared" si="2"/>
        <v>1074837</v>
      </c>
      <c r="O14" s="51">
        <f t="shared" si="2"/>
        <v>99777988.290000021</v>
      </c>
      <c r="P14" s="52">
        <f t="shared" si="3"/>
        <v>92.830809034300103</v>
      </c>
      <c r="Q14" s="107"/>
      <c r="R14" s="107"/>
      <c r="S14" s="107"/>
      <c r="T14" s="107"/>
      <c r="U14" s="107"/>
      <c r="V14" s="107"/>
    </row>
    <row r="15" spans="1:22">
      <c r="A15" s="21">
        <v>30000</v>
      </c>
      <c r="B15" s="47">
        <v>110000</v>
      </c>
      <c r="C15" s="47">
        <v>1200000</v>
      </c>
      <c r="D15" s="49">
        <v>41913</v>
      </c>
      <c r="E15" s="50">
        <f t="shared" si="4"/>
        <v>1074837</v>
      </c>
      <c r="F15" s="50">
        <f t="shared" si="4"/>
        <v>99777988.290000021</v>
      </c>
      <c r="G15" s="53">
        <f t="shared" si="4"/>
        <v>92.830809034300103</v>
      </c>
      <c r="H15" s="51">
        <v>18055</v>
      </c>
      <c r="I15" s="54">
        <v>2295586.7999999998</v>
      </c>
      <c r="J15" s="52">
        <f t="shared" ref="J15:J16" si="6">IF(H15=0,0,I15/H15)</f>
        <v>127.14410412628079</v>
      </c>
      <c r="K15" s="54">
        <v>4771</v>
      </c>
      <c r="L15" s="54">
        <v>445600.32</v>
      </c>
      <c r="M15" s="53">
        <f t="shared" si="1"/>
        <v>93.39767763571578</v>
      </c>
      <c r="N15" s="51">
        <f t="shared" si="2"/>
        <v>1088121</v>
      </c>
      <c r="O15" s="51">
        <f t="shared" si="2"/>
        <v>101627974.77000003</v>
      </c>
      <c r="P15" s="52">
        <f t="shared" si="3"/>
        <v>93.397677988017904</v>
      </c>
      <c r="Q15" s="107"/>
      <c r="R15" s="107"/>
      <c r="S15" s="107"/>
      <c r="T15" s="107"/>
      <c r="U15" s="107"/>
      <c r="V15" s="107"/>
    </row>
    <row r="16" spans="1:22">
      <c r="A16" s="21">
        <v>30000</v>
      </c>
      <c r="B16" s="47">
        <v>110000</v>
      </c>
      <c r="C16" s="47">
        <v>1200000</v>
      </c>
      <c r="D16" s="49">
        <v>41944</v>
      </c>
      <c r="E16" s="50">
        <f t="shared" si="4"/>
        <v>1088121</v>
      </c>
      <c r="F16" s="50">
        <f t="shared" si="4"/>
        <v>101627974.77000003</v>
      </c>
      <c r="G16" s="53">
        <f t="shared" si="4"/>
        <v>93.397677988017904</v>
      </c>
      <c r="H16" s="51">
        <v>-4000</v>
      </c>
      <c r="I16" s="54">
        <v>-373590.71</v>
      </c>
      <c r="J16" s="52">
        <f t="shared" si="6"/>
        <v>93.3976775</v>
      </c>
      <c r="K16" s="54">
        <v>1897</v>
      </c>
      <c r="L16" s="54">
        <v>177175.39</v>
      </c>
      <c r="M16" s="53">
        <f t="shared" si="1"/>
        <v>93.397675276752778</v>
      </c>
      <c r="N16" s="51">
        <f t="shared" si="2"/>
        <v>1082224</v>
      </c>
      <c r="O16" s="51">
        <f t="shared" si="2"/>
        <v>101077208.67000003</v>
      </c>
      <c r="P16" s="52">
        <f t="shared" si="3"/>
        <v>93.397677994574167</v>
      </c>
      <c r="Q16" s="107"/>
      <c r="R16" s="107"/>
      <c r="S16" s="107"/>
      <c r="T16" s="107"/>
      <c r="U16" s="107"/>
      <c r="V16" s="107"/>
    </row>
    <row r="17" spans="1:22">
      <c r="A17" s="21">
        <v>30000</v>
      </c>
      <c r="B17" s="47">
        <v>110000</v>
      </c>
      <c r="C17" s="47">
        <v>1200000</v>
      </c>
      <c r="D17" s="49">
        <v>41974</v>
      </c>
      <c r="E17" s="50">
        <f t="shared" si="4"/>
        <v>1082224</v>
      </c>
      <c r="F17" s="50">
        <f t="shared" si="4"/>
        <v>101077208.67000003</v>
      </c>
      <c r="G17" s="53">
        <f t="shared" si="4"/>
        <v>93.397677994574167</v>
      </c>
      <c r="H17" s="51">
        <v>0</v>
      </c>
      <c r="I17" s="54">
        <v>0</v>
      </c>
      <c r="J17" s="52">
        <f t="shared" ref="J17:J29" si="7">IF(H17=0,0,I17/H17)</f>
        <v>0</v>
      </c>
      <c r="K17" s="54">
        <v>14712</v>
      </c>
      <c r="L17" s="54">
        <v>1374066.64</v>
      </c>
      <c r="M17" s="53">
        <f t="shared" si="1"/>
        <v>93.397678085916255</v>
      </c>
      <c r="N17" s="51">
        <f t="shared" si="2"/>
        <v>1067512</v>
      </c>
      <c r="O17" s="51">
        <f t="shared" si="2"/>
        <v>99703142.030000031</v>
      </c>
      <c r="P17" s="52">
        <f t="shared" si="3"/>
        <v>93.397677993315327</v>
      </c>
      <c r="Q17" s="107"/>
      <c r="R17" s="107"/>
      <c r="S17" s="107"/>
      <c r="T17" s="107"/>
      <c r="U17" s="107"/>
      <c r="V17" s="107"/>
    </row>
    <row r="18" spans="1:22">
      <c r="A18" s="21">
        <v>30000</v>
      </c>
      <c r="B18" s="47">
        <v>110000</v>
      </c>
      <c r="C18" s="47">
        <v>1200000</v>
      </c>
      <c r="D18" s="49">
        <v>42005</v>
      </c>
      <c r="E18" s="50">
        <f t="shared" si="4"/>
        <v>1067512</v>
      </c>
      <c r="F18" s="50">
        <f t="shared" si="4"/>
        <v>99703142.030000031</v>
      </c>
      <c r="G18" s="53">
        <f t="shared" si="4"/>
        <v>93.397677993315327</v>
      </c>
      <c r="H18" s="51">
        <v>119</v>
      </c>
      <c r="I18" s="54">
        <v>14206.04</v>
      </c>
      <c r="J18" s="52">
        <f t="shared" si="7"/>
        <v>119.37848739495799</v>
      </c>
      <c r="K18" s="54">
        <v>117188</v>
      </c>
      <c r="L18" s="54">
        <v>10945426.470000001</v>
      </c>
      <c r="M18" s="53">
        <f t="shared" si="1"/>
        <v>93.40057403488413</v>
      </c>
      <c r="N18" s="51">
        <f t="shared" si="2"/>
        <v>950443</v>
      </c>
      <c r="O18" s="51">
        <f t="shared" si="2"/>
        <v>88771921.600000039</v>
      </c>
      <c r="P18" s="52">
        <f t="shared" si="3"/>
        <v>93.400573837673633</v>
      </c>
      <c r="Q18" s="54">
        <f>AVERAGE(N6:N18)</f>
        <v>1118032.7692307692</v>
      </c>
      <c r="R18" s="54">
        <f t="shared" ref="Q18:R29" si="8">AVERAGE(O6:O18)</f>
        <v>103928301.7469231</v>
      </c>
      <c r="S18" s="56">
        <f t="shared" ref="S18:S29" si="9">IF(Q18=0,0,R18/Q18)</f>
        <v>92.956400391044014</v>
      </c>
      <c r="T18" s="54">
        <f t="shared" ref="T18:T29" si="10">N18+A18</f>
        <v>980443</v>
      </c>
      <c r="U18" s="58">
        <v>83414</v>
      </c>
      <c r="V18" s="75">
        <f>(T18-U18)/57000</f>
        <v>15.737350877192982</v>
      </c>
    </row>
    <row r="19" spans="1:22">
      <c r="A19" s="21">
        <v>30000</v>
      </c>
      <c r="B19" s="47">
        <v>110000</v>
      </c>
      <c r="C19" s="47">
        <v>1200000</v>
      </c>
      <c r="D19" s="49">
        <v>42036</v>
      </c>
      <c r="E19" s="50">
        <f t="shared" si="4"/>
        <v>950443</v>
      </c>
      <c r="F19" s="50">
        <f t="shared" si="4"/>
        <v>88771921.600000039</v>
      </c>
      <c r="G19" s="53">
        <f t="shared" si="4"/>
        <v>93.400573837673633</v>
      </c>
      <c r="H19" s="51">
        <v>256</v>
      </c>
      <c r="I19" s="54">
        <v>30296.5</v>
      </c>
      <c r="J19" s="52">
        <f t="shared" si="7"/>
        <v>118.345703125</v>
      </c>
      <c r="K19" s="54">
        <v>26556</v>
      </c>
      <c r="L19" s="54">
        <v>2480524.02</v>
      </c>
      <c r="M19" s="53">
        <f t="shared" si="1"/>
        <v>93.407291007681877</v>
      </c>
      <c r="N19" s="51">
        <f t="shared" si="2"/>
        <v>924143</v>
      </c>
      <c r="O19" s="51">
        <f t="shared" si="2"/>
        <v>86321694.080000043</v>
      </c>
      <c r="P19" s="52">
        <f t="shared" si="3"/>
        <v>93.407290949560888</v>
      </c>
      <c r="Q19" s="54">
        <f t="shared" si="8"/>
        <v>1088177.4615384615</v>
      </c>
      <c r="R19" s="54">
        <f t="shared" si="8"/>
        <v>101222418.48000002</v>
      </c>
      <c r="S19" s="56">
        <f t="shared" si="9"/>
        <v>93.020138771200166</v>
      </c>
      <c r="T19" s="54">
        <f t="shared" si="10"/>
        <v>954143</v>
      </c>
      <c r="U19" s="58">
        <v>83414</v>
      </c>
      <c r="V19" s="75">
        <f t="shared" ref="V19:V29" si="11">(T19-U19)/57000</f>
        <v>15.275947368421052</v>
      </c>
    </row>
    <row r="20" spans="1:22">
      <c r="A20" s="21">
        <v>30000</v>
      </c>
      <c r="B20" s="47">
        <v>110000</v>
      </c>
      <c r="C20" s="47">
        <v>1200000</v>
      </c>
      <c r="D20" s="49">
        <v>42064</v>
      </c>
      <c r="E20" s="50">
        <f t="shared" si="4"/>
        <v>924143</v>
      </c>
      <c r="F20" s="50">
        <f t="shared" si="4"/>
        <v>86321694.080000043</v>
      </c>
      <c r="G20" s="53">
        <f t="shared" si="4"/>
        <v>93.407290949560888</v>
      </c>
      <c r="H20" s="51">
        <v>160</v>
      </c>
      <c r="I20" s="54">
        <v>18984.39</v>
      </c>
      <c r="J20" s="52">
        <f t="shared" si="7"/>
        <v>118.65243749999999</v>
      </c>
      <c r="K20" s="54">
        <v>-530</v>
      </c>
      <c r="L20" s="54">
        <v>-49508.18</v>
      </c>
      <c r="M20" s="53">
        <f t="shared" si="1"/>
        <v>93.411660377358487</v>
      </c>
      <c r="N20" s="51">
        <f t="shared" si="2"/>
        <v>924833</v>
      </c>
      <c r="O20" s="51">
        <f t="shared" si="2"/>
        <v>86390186.650000051</v>
      </c>
      <c r="P20" s="52">
        <f t="shared" si="3"/>
        <v>93.411660970142776</v>
      </c>
      <c r="Q20" s="54">
        <f t="shared" si="8"/>
        <v>1058429.7692307692</v>
      </c>
      <c r="R20" s="54">
        <f t="shared" si="8"/>
        <v>98526853.415384665</v>
      </c>
      <c r="S20" s="56">
        <f t="shared" si="9"/>
        <v>93.087757241550975</v>
      </c>
      <c r="T20" s="54">
        <f t="shared" si="10"/>
        <v>954833</v>
      </c>
      <c r="U20" s="58">
        <v>83414</v>
      </c>
      <c r="V20" s="75">
        <f t="shared" si="11"/>
        <v>15.288052631578948</v>
      </c>
    </row>
    <row r="21" spans="1:22">
      <c r="A21" s="21">
        <v>30000</v>
      </c>
      <c r="B21" s="47">
        <v>110000</v>
      </c>
      <c r="C21" s="47">
        <v>1200000</v>
      </c>
      <c r="D21" s="49">
        <v>42095</v>
      </c>
      <c r="E21" s="50">
        <f t="shared" si="4"/>
        <v>924833</v>
      </c>
      <c r="F21" s="50">
        <f t="shared" si="4"/>
        <v>86390186.650000051</v>
      </c>
      <c r="G21" s="53">
        <f t="shared" si="4"/>
        <v>93.411660970142776</v>
      </c>
      <c r="H21" s="51">
        <v>229</v>
      </c>
      <c r="I21" s="54">
        <v>27296.02</v>
      </c>
      <c r="J21" s="52">
        <f t="shared" si="7"/>
        <v>119.19659388646288</v>
      </c>
      <c r="K21" s="54">
        <v>10336</v>
      </c>
      <c r="L21" s="54">
        <v>965568.9</v>
      </c>
      <c r="M21" s="53">
        <f t="shared" si="1"/>
        <v>93.418043730650155</v>
      </c>
      <c r="N21" s="51">
        <f t="shared" si="2"/>
        <v>914726</v>
      </c>
      <c r="O21" s="51">
        <f t="shared" si="2"/>
        <v>85451913.770000041</v>
      </c>
      <c r="P21" s="52">
        <f t="shared" si="3"/>
        <v>93.418044059095337</v>
      </c>
      <c r="Q21" s="54">
        <f t="shared" si="8"/>
        <v>1033112.5384615385</v>
      </c>
      <c r="R21" s="54">
        <f t="shared" si="8"/>
        <v>96238832.28538464</v>
      </c>
      <c r="S21" s="56">
        <f t="shared" si="9"/>
        <v>93.154258323782301</v>
      </c>
      <c r="T21" s="54">
        <f t="shared" si="10"/>
        <v>944726</v>
      </c>
      <c r="U21" s="58">
        <v>83414</v>
      </c>
      <c r="V21" s="75">
        <f t="shared" si="11"/>
        <v>15.110736842105263</v>
      </c>
    </row>
    <row r="22" spans="1:22">
      <c r="A22" s="21">
        <v>30000</v>
      </c>
      <c r="B22" s="47">
        <v>110000</v>
      </c>
      <c r="C22" s="47">
        <v>1200000</v>
      </c>
      <c r="D22" s="49">
        <v>42125</v>
      </c>
      <c r="E22" s="50">
        <f t="shared" si="4"/>
        <v>914726</v>
      </c>
      <c r="F22" s="50">
        <f t="shared" si="4"/>
        <v>85451913.770000041</v>
      </c>
      <c r="G22" s="53">
        <f t="shared" si="4"/>
        <v>93.418044059095337</v>
      </c>
      <c r="H22" s="51">
        <v>0</v>
      </c>
      <c r="I22" s="54">
        <v>0</v>
      </c>
      <c r="J22" s="52">
        <f t="shared" si="7"/>
        <v>0</v>
      </c>
      <c r="K22" s="54">
        <v>8834</v>
      </c>
      <c r="L22" s="54">
        <v>825255</v>
      </c>
      <c r="M22" s="53">
        <f t="shared" si="1"/>
        <v>93.418043921213496</v>
      </c>
      <c r="N22" s="51">
        <f t="shared" si="2"/>
        <v>905892</v>
      </c>
      <c r="O22" s="51">
        <f t="shared" si="2"/>
        <v>84626658.770000041</v>
      </c>
      <c r="P22" s="52">
        <f t="shared" si="3"/>
        <v>93.418044060439925</v>
      </c>
      <c r="Q22" s="54">
        <f t="shared" si="8"/>
        <v>1019496.0769230769</v>
      </c>
      <c r="R22" s="54">
        <f t="shared" si="8"/>
        <v>95029053.571538478</v>
      </c>
      <c r="S22" s="56">
        <f t="shared" si="9"/>
        <v>93.211789356114039</v>
      </c>
      <c r="T22" s="54">
        <f t="shared" si="10"/>
        <v>935892</v>
      </c>
      <c r="U22" s="58">
        <v>83414</v>
      </c>
      <c r="V22" s="75">
        <f t="shared" si="11"/>
        <v>14.955754385964912</v>
      </c>
    </row>
    <row r="23" spans="1:22">
      <c r="A23" s="21">
        <v>30000</v>
      </c>
      <c r="B23" s="47">
        <v>110000</v>
      </c>
      <c r="C23" s="47">
        <v>1200000</v>
      </c>
      <c r="D23" s="49">
        <v>42156</v>
      </c>
      <c r="E23" s="50">
        <f t="shared" si="4"/>
        <v>905892</v>
      </c>
      <c r="F23" s="50">
        <f t="shared" si="4"/>
        <v>84626658.770000041</v>
      </c>
      <c r="G23" s="53">
        <f t="shared" si="4"/>
        <v>93.418044060439925</v>
      </c>
      <c r="H23" s="51">
        <v>73850</v>
      </c>
      <c r="I23" s="54">
        <v>4898758.25</v>
      </c>
      <c r="J23" s="52">
        <f t="shared" si="7"/>
        <v>66.333896411645227</v>
      </c>
      <c r="K23" s="54">
        <v>37182</v>
      </c>
      <c r="L23" s="54">
        <v>3397561.88</v>
      </c>
      <c r="M23" s="53">
        <f t="shared" si="1"/>
        <v>91.37652304878705</v>
      </c>
      <c r="N23" s="51">
        <f t="shared" si="2"/>
        <v>942560</v>
      </c>
      <c r="O23" s="51">
        <f t="shared" si="2"/>
        <v>86127855.140000045</v>
      </c>
      <c r="P23" s="52">
        <f t="shared" si="3"/>
        <v>91.376522598030945</v>
      </c>
      <c r="Q23" s="54">
        <f t="shared" si="8"/>
        <v>1008718.3076923077</v>
      </c>
      <c r="R23" s="54">
        <f t="shared" si="8"/>
        <v>93936426.704615414</v>
      </c>
      <c r="S23" s="56">
        <f t="shared" si="9"/>
        <v>93.1245383257871</v>
      </c>
      <c r="T23" s="54">
        <f t="shared" si="10"/>
        <v>972560</v>
      </c>
      <c r="U23" s="58">
        <v>133414</v>
      </c>
      <c r="V23" s="75">
        <f t="shared" si="11"/>
        <v>14.721859649122807</v>
      </c>
    </row>
    <row r="24" spans="1:22">
      <c r="A24" s="21">
        <v>30000</v>
      </c>
      <c r="B24" s="47">
        <v>110000</v>
      </c>
      <c r="C24" s="47">
        <v>1200000</v>
      </c>
      <c r="D24" s="49">
        <v>42186</v>
      </c>
      <c r="E24" s="50">
        <f t="shared" si="4"/>
        <v>942560</v>
      </c>
      <c r="F24" s="50">
        <f t="shared" si="4"/>
        <v>86127855.140000045</v>
      </c>
      <c r="G24" s="53">
        <f t="shared" si="4"/>
        <v>91.376522598030945</v>
      </c>
      <c r="H24" s="51">
        <v>0</v>
      </c>
      <c r="I24" s="54">
        <v>0</v>
      </c>
      <c r="J24" s="52">
        <f t="shared" si="7"/>
        <v>0</v>
      </c>
      <c r="K24" s="54">
        <v>4706</v>
      </c>
      <c r="L24" s="54">
        <v>430017.92</v>
      </c>
      <c r="M24" s="53">
        <f t="shared" si="1"/>
        <v>91.376523586910324</v>
      </c>
      <c r="N24" s="51">
        <f t="shared" si="2"/>
        <v>937854</v>
      </c>
      <c r="O24" s="51">
        <f t="shared" si="2"/>
        <v>85697837.220000044</v>
      </c>
      <c r="P24" s="52">
        <f t="shared" si="3"/>
        <v>91.376522593068898</v>
      </c>
      <c r="Q24" s="54">
        <f t="shared" si="8"/>
        <v>997278.07692307688</v>
      </c>
      <c r="R24" s="54">
        <f t="shared" si="8"/>
        <v>92753611.110769257</v>
      </c>
      <c r="S24" s="56">
        <f t="shared" si="9"/>
        <v>93.006768379932637</v>
      </c>
      <c r="T24" s="54">
        <f t="shared" si="10"/>
        <v>967854</v>
      </c>
      <c r="U24" s="58">
        <v>133414</v>
      </c>
      <c r="V24" s="75">
        <f t="shared" si="11"/>
        <v>14.639298245614036</v>
      </c>
    </row>
    <row r="25" spans="1:22">
      <c r="A25" s="21">
        <v>30000</v>
      </c>
      <c r="B25" s="47">
        <v>110000</v>
      </c>
      <c r="C25" s="47">
        <v>1200000</v>
      </c>
      <c r="D25" s="49">
        <v>42217</v>
      </c>
      <c r="E25" s="50">
        <f t="shared" si="4"/>
        <v>937854</v>
      </c>
      <c r="F25" s="50">
        <f t="shared" si="4"/>
        <v>85697837.220000044</v>
      </c>
      <c r="G25" s="53">
        <f t="shared" si="4"/>
        <v>91.376522593068898</v>
      </c>
      <c r="H25" s="51">
        <v>0</v>
      </c>
      <c r="I25" s="54">
        <v>0</v>
      </c>
      <c r="J25" s="52">
        <f t="shared" si="7"/>
        <v>0</v>
      </c>
      <c r="K25" s="54">
        <v>3352</v>
      </c>
      <c r="L25" s="54">
        <v>306294.11</v>
      </c>
      <c r="M25" s="53">
        <f t="shared" si="1"/>
        <v>91.376524463007158</v>
      </c>
      <c r="N25" s="51">
        <f t="shared" si="2"/>
        <v>934502</v>
      </c>
      <c r="O25" s="51">
        <f t="shared" si="2"/>
        <v>85391543.110000044</v>
      </c>
      <c r="P25" s="52">
        <f t="shared" si="3"/>
        <v>91.37652258636156</v>
      </c>
      <c r="Q25" s="54">
        <f t="shared" si="8"/>
        <v>985965.5384615385</v>
      </c>
      <c r="R25" s="54">
        <f t="shared" si="8"/>
        <v>91579862.267692342</v>
      </c>
      <c r="S25" s="56">
        <f t="shared" si="9"/>
        <v>92.883431210577527</v>
      </c>
      <c r="T25" s="54">
        <f t="shared" si="10"/>
        <v>964502</v>
      </c>
      <c r="U25" s="58">
        <v>133414</v>
      </c>
      <c r="V25" s="75">
        <f t="shared" si="11"/>
        <v>14.580491228070175</v>
      </c>
    </row>
    <row r="26" spans="1:22">
      <c r="A26" s="21">
        <v>30000</v>
      </c>
      <c r="B26" s="47">
        <v>110000</v>
      </c>
      <c r="C26" s="47">
        <v>1200000</v>
      </c>
      <c r="D26" s="49">
        <v>42248</v>
      </c>
      <c r="E26" s="50">
        <f t="shared" si="4"/>
        <v>934502</v>
      </c>
      <c r="F26" s="50">
        <f t="shared" si="4"/>
        <v>85391543.110000044</v>
      </c>
      <c r="G26" s="53">
        <f t="shared" si="4"/>
        <v>91.37652258636156</v>
      </c>
      <c r="H26" s="51">
        <v>4000</v>
      </c>
      <c r="I26" s="54">
        <v>407779.51</v>
      </c>
      <c r="J26" s="52">
        <f t="shared" si="7"/>
        <v>101.9448775</v>
      </c>
      <c r="K26" s="54">
        <v>9513</v>
      </c>
      <c r="L26" s="54">
        <v>869693.35</v>
      </c>
      <c r="M26" s="53">
        <f t="shared" si="1"/>
        <v>91.42156522653211</v>
      </c>
      <c r="N26" s="51">
        <f t="shared" si="2"/>
        <v>928989</v>
      </c>
      <c r="O26" s="51">
        <f t="shared" si="2"/>
        <v>84929629.270000055</v>
      </c>
      <c r="P26" s="52">
        <f t="shared" si="3"/>
        <v>91.421566100352166</v>
      </c>
      <c r="Q26" s="54">
        <f t="shared" si="8"/>
        <v>975125.84615384613</v>
      </c>
      <c r="R26" s="54">
        <f t="shared" si="8"/>
        <v>90453504.105384663</v>
      </c>
      <c r="S26" s="56">
        <f t="shared" si="9"/>
        <v>92.760851804059115</v>
      </c>
      <c r="T26" s="54">
        <f t="shared" si="10"/>
        <v>958989</v>
      </c>
      <c r="U26" s="58">
        <v>133414</v>
      </c>
      <c r="V26" s="75">
        <f t="shared" si="11"/>
        <v>14.483771929824561</v>
      </c>
    </row>
    <row r="27" spans="1:22">
      <c r="A27" s="21">
        <v>30000</v>
      </c>
      <c r="B27" s="47">
        <v>110000</v>
      </c>
      <c r="C27" s="47">
        <v>1200000</v>
      </c>
      <c r="D27" s="49">
        <v>42278</v>
      </c>
      <c r="E27" s="50">
        <f t="shared" si="4"/>
        <v>928989</v>
      </c>
      <c r="F27" s="50">
        <f t="shared" si="4"/>
        <v>84929629.270000055</v>
      </c>
      <c r="G27" s="53">
        <f t="shared" si="4"/>
        <v>91.421566100352166</v>
      </c>
      <c r="H27" s="51">
        <v>-4000</v>
      </c>
      <c r="I27" s="54">
        <v>-365686.26</v>
      </c>
      <c r="J27" s="52">
        <f t="shared" si="7"/>
        <v>91.421565000000001</v>
      </c>
      <c r="K27" s="54">
        <v>3723</v>
      </c>
      <c r="L27" s="54">
        <v>340362.49</v>
      </c>
      <c r="M27" s="53">
        <f t="shared" si="1"/>
        <v>91.421565941445067</v>
      </c>
      <c r="N27" s="51">
        <f t="shared" si="2"/>
        <v>921266</v>
      </c>
      <c r="O27" s="51">
        <f t="shared" si="2"/>
        <v>84223580.520000055</v>
      </c>
      <c r="P27" s="52">
        <f t="shared" si="3"/>
        <v>91.421566105771902</v>
      </c>
      <c r="Q27" s="54">
        <f t="shared" si="8"/>
        <v>963312.69230769225</v>
      </c>
      <c r="R27" s="54">
        <f t="shared" si="8"/>
        <v>89257011.200000033</v>
      </c>
      <c r="S27" s="56">
        <f t="shared" si="9"/>
        <v>92.656322202272406</v>
      </c>
      <c r="T27" s="54">
        <f t="shared" si="10"/>
        <v>951266</v>
      </c>
      <c r="U27" s="58">
        <v>133414</v>
      </c>
      <c r="V27" s="75">
        <f t="shared" si="11"/>
        <v>14.348280701754385</v>
      </c>
    </row>
    <row r="28" spans="1:22">
      <c r="A28" s="21">
        <v>30000</v>
      </c>
      <c r="B28" s="47">
        <v>110000</v>
      </c>
      <c r="C28" s="47">
        <v>1200000</v>
      </c>
      <c r="D28" s="49">
        <v>42309</v>
      </c>
      <c r="E28" s="50">
        <f t="shared" si="4"/>
        <v>921266</v>
      </c>
      <c r="F28" s="50">
        <f t="shared" si="4"/>
        <v>84223580.520000055</v>
      </c>
      <c r="G28" s="53">
        <f t="shared" si="4"/>
        <v>91.421566105771902</v>
      </c>
      <c r="H28" s="51">
        <v>0</v>
      </c>
      <c r="I28" s="54">
        <v>0</v>
      </c>
      <c r="J28" s="52">
        <f t="shared" si="7"/>
        <v>0</v>
      </c>
      <c r="K28" s="54">
        <v>35350</v>
      </c>
      <c r="L28" s="54">
        <v>3231752.35</v>
      </c>
      <c r="M28" s="53">
        <f t="shared" si="1"/>
        <v>91.421565770862799</v>
      </c>
      <c r="N28" s="51">
        <f t="shared" si="2"/>
        <v>885916</v>
      </c>
      <c r="O28" s="51">
        <f t="shared" si="2"/>
        <v>80991828.170000061</v>
      </c>
      <c r="P28" s="52">
        <f t="shared" si="3"/>
        <v>91.42156611913552</v>
      </c>
      <c r="Q28" s="54">
        <f t="shared" si="8"/>
        <v>947758.4615384615</v>
      </c>
      <c r="R28" s="54">
        <f t="shared" si="8"/>
        <v>87669615.307692349</v>
      </c>
      <c r="S28" s="56">
        <f t="shared" si="9"/>
        <v>92.50206552140034</v>
      </c>
      <c r="T28" s="54">
        <f t="shared" si="10"/>
        <v>915916</v>
      </c>
      <c r="U28" s="58">
        <v>133414</v>
      </c>
      <c r="V28" s="75">
        <f t="shared" si="11"/>
        <v>13.728105263157895</v>
      </c>
    </row>
    <row r="29" spans="1:22">
      <c r="A29" s="21">
        <v>30000</v>
      </c>
      <c r="B29" s="47">
        <v>110000</v>
      </c>
      <c r="C29" s="47">
        <v>1200000</v>
      </c>
      <c r="D29" s="49">
        <v>42339</v>
      </c>
      <c r="E29" s="50">
        <f t="shared" si="4"/>
        <v>885916</v>
      </c>
      <c r="F29" s="50">
        <f t="shared" si="4"/>
        <v>80991828.170000061</v>
      </c>
      <c r="G29" s="53">
        <f t="shared" si="4"/>
        <v>91.42156611913552</v>
      </c>
      <c r="H29" s="51">
        <v>0</v>
      </c>
      <c r="I29" s="54">
        <v>0</v>
      </c>
      <c r="J29" s="52">
        <f t="shared" si="7"/>
        <v>0</v>
      </c>
      <c r="K29" s="54">
        <v>1286</v>
      </c>
      <c r="L29" s="54">
        <v>117568.13</v>
      </c>
      <c r="M29" s="53">
        <f t="shared" si="1"/>
        <v>91.42156298600311</v>
      </c>
      <c r="N29" s="51">
        <f t="shared" si="2"/>
        <v>884630</v>
      </c>
      <c r="O29" s="51">
        <f t="shared" si="2"/>
        <v>80874260.040000066</v>
      </c>
      <c r="P29" s="52">
        <f t="shared" si="3"/>
        <v>91.421566123690212</v>
      </c>
      <c r="Q29" s="54">
        <f t="shared" si="8"/>
        <v>932558.92307692312</v>
      </c>
      <c r="R29" s="54">
        <f t="shared" si="8"/>
        <v>86115542.336153895</v>
      </c>
      <c r="S29" s="56">
        <f t="shared" si="9"/>
        <v>92.343272049792574</v>
      </c>
      <c r="T29" s="54">
        <f t="shared" si="10"/>
        <v>914630</v>
      </c>
      <c r="U29" s="58">
        <v>83414</v>
      </c>
      <c r="V29" s="75">
        <f t="shared" si="11"/>
        <v>14.582736842105263</v>
      </c>
    </row>
    <row r="30" spans="1:22">
      <c r="A30" s="21">
        <v>30000</v>
      </c>
      <c r="B30" s="47">
        <v>110000</v>
      </c>
      <c r="C30" s="47">
        <v>1200000</v>
      </c>
      <c r="D30" s="13">
        <v>42370</v>
      </c>
      <c r="E30" s="16">
        <f t="shared" si="4"/>
        <v>884630</v>
      </c>
      <c r="F30" s="16">
        <f t="shared" si="4"/>
        <v>80874260.040000066</v>
      </c>
      <c r="G30" s="14">
        <f t="shared" si="4"/>
        <v>91.421566123690212</v>
      </c>
      <c r="H30" s="46">
        <v>0</v>
      </c>
      <c r="I30" s="23">
        <f t="shared" ref="I30:I53" si="12">H30*J30</f>
        <v>0</v>
      </c>
      <c r="J30" s="22">
        <f>VLOOKUP(D30,Data!$A$5:$V$197,7,FALSE)*6.4</f>
        <v>37.141845199999999</v>
      </c>
      <c r="K30" s="71">
        <f>VLOOKUP(D30,Data!$A$5:$V$197,12,FALSE)</f>
        <v>3723.125</v>
      </c>
      <c r="L30" s="48">
        <f t="shared" ref="L30:L65" si="13">IF(E30+H30&gt;0,((F30+I30)/(E30+H30)*K30),0)</f>
        <v>340373.91837426415</v>
      </c>
      <c r="M30" s="14">
        <f t="shared" si="1"/>
        <v>91.421566123690212</v>
      </c>
      <c r="N30" s="15">
        <f t="shared" si="2"/>
        <v>880906.875</v>
      </c>
      <c r="O30" s="15">
        <f t="shared" si="2"/>
        <v>80533886.121625796</v>
      </c>
      <c r="P30" s="22">
        <f t="shared" si="3"/>
        <v>91.421566123690198</v>
      </c>
      <c r="Q30" s="31">
        <f t="shared" ref="Q30:R31" si="14">AVERAGE(N18:N30)</f>
        <v>918204.68269230775</v>
      </c>
      <c r="R30" s="31">
        <f t="shared" si="14"/>
        <v>84640984.18935588</v>
      </c>
      <c r="S30" s="32">
        <f t="shared" ref="S30:S53" si="15">IF(Q30=0,0,R30/Q30)</f>
        <v>92.180954622422945</v>
      </c>
      <c r="T30" s="31">
        <f t="shared" ref="T30:T65" si="16">N30+A30</f>
        <v>910906.875</v>
      </c>
      <c r="U30" s="39">
        <v>83414</v>
      </c>
      <c r="V30" s="37">
        <f t="shared" ref="V30:V65" si="17">(T30-U30)/57000</f>
        <v>14.517418859649123</v>
      </c>
    </row>
    <row r="31" spans="1:22">
      <c r="A31" s="21">
        <v>30000</v>
      </c>
      <c r="B31" s="47">
        <v>110000</v>
      </c>
      <c r="C31" s="47">
        <v>1200000</v>
      </c>
      <c r="D31" s="13">
        <v>42401</v>
      </c>
      <c r="E31" s="16">
        <f t="shared" si="4"/>
        <v>880906.875</v>
      </c>
      <c r="F31" s="16">
        <f t="shared" si="4"/>
        <v>80533886.121625796</v>
      </c>
      <c r="G31" s="14">
        <f t="shared" si="4"/>
        <v>91.421566123690198</v>
      </c>
      <c r="H31" s="46">
        <v>0</v>
      </c>
      <c r="I31" s="23">
        <f t="shared" si="12"/>
        <v>0</v>
      </c>
      <c r="J31" s="22">
        <f>VLOOKUP(D31,Data!$A$5:$V$197,7,FALSE)*6.4</f>
        <v>40.701845200000008</v>
      </c>
      <c r="K31" s="71">
        <f>VLOOKUP(D31,Data!$A$5:$V$197,12,FALSE)</f>
        <v>704.53125</v>
      </c>
      <c r="L31" s="48">
        <f t="shared" si="13"/>
        <v>64409.350258081111</v>
      </c>
      <c r="M31" s="14">
        <f t="shared" si="1"/>
        <v>91.421566123690198</v>
      </c>
      <c r="N31" s="15">
        <f t="shared" si="2"/>
        <v>880202.34375</v>
      </c>
      <c r="O31" s="15">
        <f t="shared" si="2"/>
        <v>80469476.771367714</v>
      </c>
      <c r="P31" s="22">
        <f t="shared" si="3"/>
        <v>91.421566123690198</v>
      </c>
      <c r="Q31" s="31">
        <f t="shared" si="14"/>
        <v>912801.5552884615</v>
      </c>
      <c r="R31" s="31">
        <f t="shared" si="14"/>
        <v>84002334.587153405</v>
      </c>
      <c r="S31" s="32">
        <f t="shared" si="15"/>
        <v>92.026940686584581</v>
      </c>
      <c r="T31" s="31">
        <f t="shared" si="16"/>
        <v>910202.34375</v>
      </c>
      <c r="U31" s="39">
        <v>83414</v>
      </c>
      <c r="V31" s="37">
        <f t="shared" si="17"/>
        <v>14.505058662280701</v>
      </c>
    </row>
    <row r="32" spans="1:22">
      <c r="A32" s="21">
        <v>30000</v>
      </c>
      <c r="B32" s="47">
        <v>110000</v>
      </c>
      <c r="C32" s="47">
        <v>1200000</v>
      </c>
      <c r="D32" s="13">
        <v>42430</v>
      </c>
      <c r="E32" s="16">
        <f t="shared" si="4"/>
        <v>880202.34375</v>
      </c>
      <c r="F32" s="16">
        <f t="shared" si="4"/>
        <v>80469476.771367714</v>
      </c>
      <c r="G32" s="14">
        <f t="shared" si="4"/>
        <v>91.421566123690198</v>
      </c>
      <c r="H32" s="46">
        <v>0</v>
      </c>
      <c r="I32" s="23">
        <f t="shared" si="12"/>
        <v>0</v>
      </c>
      <c r="J32" s="22">
        <f>VLOOKUP(D32,Data!$A$5:$V$197,7,FALSE)*6.4</f>
        <v>41.401845199999997</v>
      </c>
      <c r="K32" s="71">
        <f>VLOOKUP(D32,Data!$A$5:$V$197,12,FALSE)</f>
        <v>571.5625</v>
      </c>
      <c r="L32" s="48">
        <f t="shared" si="13"/>
        <v>52253.13888757168</v>
      </c>
      <c r="M32" s="14">
        <f t="shared" si="1"/>
        <v>91.421566123690198</v>
      </c>
      <c r="N32" s="15">
        <f t="shared" si="2"/>
        <v>879630.78125</v>
      </c>
      <c r="O32" s="15">
        <f t="shared" si="2"/>
        <v>80417223.632480145</v>
      </c>
      <c r="P32" s="22">
        <f t="shared" si="3"/>
        <v>91.421566123690198</v>
      </c>
      <c r="Q32" s="31">
        <f t="shared" ref="Q32:R47" si="18">AVERAGE(N20:N32)</f>
        <v>909377.5384615385</v>
      </c>
      <c r="R32" s="31">
        <f t="shared" si="18"/>
        <v>83548144.552728787</v>
      </c>
      <c r="S32" s="32">
        <f t="shared" si="15"/>
        <v>91.873991845095915</v>
      </c>
      <c r="T32" s="31">
        <f t="shared" si="16"/>
        <v>909630.78125</v>
      </c>
      <c r="U32" s="39">
        <v>83414</v>
      </c>
      <c r="V32" s="37">
        <f t="shared" si="17"/>
        <v>14.49503125</v>
      </c>
    </row>
    <row r="33" spans="1:22">
      <c r="A33" s="21">
        <v>30000</v>
      </c>
      <c r="B33" s="47">
        <v>110000</v>
      </c>
      <c r="C33" s="47">
        <v>1200000</v>
      </c>
      <c r="D33" s="13">
        <v>42461</v>
      </c>
      <c r="E33" s="16">
        <f t="shared" si="4"/>
        <v>879630.78125</v>
      </c>
      <c r="F33" s="16">
        <f t="shared" si="4"/>
        <v>80417223.632480145</v>
      </c>
      <c r="G33" s="14">
        <f t="shared" si="4"/>
        <v>91.421566123690198</v>
      </c>
      <c r="H33" s="46">
        <v>0</v>
      </c>
      <c r="I33" s="23">
        <f t="shared" si="12"/>
        <v>0</v>
      </c>
      <c r="J33" s="22">
        <f>VLOOKUP(D33,Data!$A$5:$V$197,7,FALSE)*6.4</f>
        <v>42.101845200000007</v>
      </c>
      <c r="K33" s="71">
        <f>VLOOKUP(D33,Data!$A$5:$V$197,12,FALSE)</f>
        <v>0</v>
      </c>
      <c r="L33" s="48">
        <f t="shared" si="13"/>
        <v>0</v>
      </c>
      <c r="M33" s="14">
        <f t="shared" si="1"/>
        <v>0</v>
      </c>
      <c r="N33" s="15">
        <f t="shared" si="2"/>
        <v>879630.78125</v>
      </c>
      <c r="O33" s="15">
        <f t="shared" si="2"/>
        <v>80417223.632480145</v>
      </c>
      <c r="P33" s="22">
        <f t="shared" si="3"/>
        <v>91.421566123690198</v>
      </c>
      <c r="Q33" s="31">
        <f t="shared" si="18"/>
        <v>905900.4447115385</v>
      </c>
      <c r="R33" s="31">
        <f t="shared" si="18"/>
        <v>83088685.8590734</v>
      </c>
      <c r="S33" s="32">
        <f t="shared" si="15"/>
        <v>91.719444828764736</v>
      </c>
      <c r="T33" s="31">
        <f t="shared" si="16"/>
        <v>909630.78125</v>
      </c>
      <c r="U33" s="39">
        <v>83414</v>
      </c>
      <c r="V33" s="37">
        <f t="shared" si="17"/>
        <v>14.49503125</v>
      </c>
    </row>
    <row r="34" spans="1:22">
      <c r="A34" s="21">
        <v>30000</v>
      </c>
      <c r="B34" s="47">
        <v>110000</v>
      </c>
      <c r="C34" s="47">
        <v>1200000</v>
      </c>
      <c r="D34" s="13">
        <v>42491</v>
      </c>
      <c r="E34" s="16">
        <f t="shared" si="4"/>
        <v>879630.78125</v>
      </c>
      <c r="F34" s="16">
        <f t="shared" si="4"/>
        <v>80417223.632480145</v>
      </c>
      <c r="G34" s="14">
        <f t="shared" si="4"/>
        <v>91.421566123690198</v>
      </c>
      <c r="H34" s="46">
        <v>0</v>
      </c>
      <c r="I34" s="23">
        <f t="shared" si="12"/>
        <v>0</v>
      </c>
      <c r="J34" s="22">
        <f>VLOOKUP(D34,Data!$A$5:$V$197,7,FALSE)*6.4</f>
        <v>42.906312203232119</v>
      </c>
      <c r="K34" s="71">
        <f>VLOOKUP(D34,Data!$A$5:$V$197,12,FALSE)</f>
        <v>1828.28125</v>
      </c>
      <c r="L34" s="48">
        <f t="shared" si="13"/>
        <v>167144.33518957798</v>
      </c>
      <c r="M34" s="14">
        <f t="shared" si="1"/>
        <v>91.421566123690198</v>
      </c>
      <c r="N34" s="15">
        <f t="shared" si="2"/>
        <v>877802.5</v>
      </c>
      <c r="O34" s="15">
        <f t="shared" si="2"/>
        <v>80250079.297290564</v>
      </c>
      <c r="P34" s="22">
        <f t="shared" si="3"/>
        <v>91.421566123690198</v>
      </c>
      <c r="Q34" s="31">
        <f t="shared" si="18"/>
        <v>903060.17548076925</v>
      </c>
      <c r="R34" s="31">
        <f t="shared" si="18"/>
        <v>82688544.745788068</v>
      </c>
      <c r="S34" s="32">
        <f t="shared" si="15"/>
        <v>91.564822578701936</v>
      </c>
      <c r="T34" s="31">
        <f t="shared" si="16"/>
        <v>907802.5</v>
      </c>
      <c r="U34" s="39">
        <v>83414</v>
      </c>
      <c r="V34" s="37">
        <f t="shared" si="17"/>
        <v>14.462956140350878</v>
      </c>
    </row>
    <row r="35" spans="1:22">
      <c r="A35" s="21">
        <v>30000</v>
      </c>
      <c r="B35" s="47">
        <v>110000</v>
      </c>
      <c r="C35" s="47">
        <v>1200000</v>
      </c>
      <c r="D35" s="13">
        <v>42522</v>
      </c>
      <c r="E35" s="16">
        <f t="shared" si="4"/>
        <v>877802.5</v>
      </c>
      <c r="F35" s="16">
        <f t="shared" si="4"/>
        <v>80250079.297290564</v>
      </c>
      <c r="G35" s="14">
        <f t="shared" si="4"/>
        <v>91.421566123690198</v>
      </c>
      <c r="H35" s="46">
        <v>0</v>
      </c>
      <c r="I35" s="23">
        <f t="shared" si="12"/>
        <v>0</v>
      </c>
      <c r="J35" s="22">
        <f>VLOOKUP(D35,Data!$A$5:$V$197,7,FALSE)*6.4</f>
        <v>43.606312203232115</v>
      </c>
      <c r="K35" s="71">
        <f>VLOOKUP(D35,Data!$A$5:$V$197,12,FALSE)</f>
        <v>10950</v>
      </c>
      <c r="L35" s="48">
        <f t="shared" si="13"/>
        <v>1001066.1490544077</v>
      </c>
      <c r="M35" s="14">
        <f t="shared" si="1"/>
        <v>91.421566123690198</v>
      </c>
      <c r="N35" s="15">
        <f t="shared" si="2"/>
        <v>866852.5</v>
      </c>
      <c r="O35" s="15">
        <f t="shared" si="2"/>
        <v>79249013.148236156</v>
      </c>
      <c r="P35" s="22">
        <f t="shared" si="3"/>
        <v>91.421566123690198</v>
      </c>
      <c r="Q35" s="31">
        <f t="shared" si="18"/>
        <v>900057.13701923075</v>
      </c>
      <c r="R35" s="31">
        <f t="shared" si="18"/>
        <v>82274879.697960064</v>
      </c>
      <c r="S35" s="32">
        <f t="shared" si="15"/>
        <v>91.410729734819228</v>
      </c>
      <c r="T35" s="31">
        <f t="shared" si="16"/>
        <v>896852.5</v>
      </c>
      <c r="U35" s="39">
        <v>133414</v>
      </c>
      <c r="V35" s="37">
        <f t="shared" si="17"/>
        <v>13.393657894736842</v>
      </c>
    </row>
    <row r="36" spans="1:22">
      <c r="A36" s="21">
        <v>30000</v>
      </c>
      <c r="B36" s="47">
        <v>110000</v>
      </c>
      <c r="C36" s="47">
        <v>1200000</v>
      </c>
      <c r="D36" s="13">
        <v>42552</v>
      </c>
      <c r="E36" s="16">
        <f t="shared" si="4"/>
        <v>866852.5</v>
      </c>
      <c r="F36" s="16">
        <f t="shared" si="4"/>
        <v>79249013.148236156</v>
      </c>
      <c r="G36" s="14">
        <f t="shared" si="4"/>
        <v>91.421566123690198</v>
      </c>
      <c r="H36" s="46">
        <v>0</v>
      </c>
      <c r="I36" s="23">
        <f t="shared" si="12"/>
        <v>0</v>
      </c>
      <c r="J36" s="22">
        <f>VLOOKUP(D36,Data!$A$5:$V$197,7,FALSE)*6.4</f>
        <v>44.306312203232117</v>
      </c>
      <c r="K36" s="71">
        <f>VLOOKUP(D36,Data!$A$5:$V$197,12,FALSE)</f>
        <v>14710.625</v>
      </c>
      <c r="L36" s="48">
        <f t="shared" si="13"/>
        <v>1344868.3761583101</v>
      </c>
      <c r="M36" s="14">
        <f t="shared" si="1"/>
        <v>91.421566123690198</v>
      </c>
      <c r="N36" s="15">
        <f t="shared" si="2"/>
        <v>852141.875</v>
      </c>
      <c r="O36" s="15">
        <f t="shared" si="2"/>
        <v>77904144.772077844</v>
      </c>
      <c r="P36" s="22">
        <f t="shared" si="3"/>
        <v>91.421566123690198</v>
      </c>
      <c r="Q36" s="31">
        <f t="shared" si="18"/>
        <v>893101.89663461538</v>
      </c>
      <c r="R36" s="31">
        <f t="shared" si="18"/>
        <v>81642286.592735276</v>
      </c>
      <c r="S36" s="32">
        <f t="shared" si="15"/>
        <v>91.414302108616681</v>
      </c>
      <c r="T36" s="31">
        <f t="shared" si="16"/>
        <v>882141.875</v>
      </c>
      <c r="U36" s="39">
        <v>133414</v>
      </c>
      <c r="V36" s="37">
        <f t="shared" si="17"/>
        <v>13.135576754385966</v>
      </c>
    </row>
    <row r="37" spans="1:22">
      <c r="A37" s="21">
        <v>30000</v>
      </c>
      <c r="B37" s="47">
        <v>110000</v>
      </c>
      <c r="C37" s="47">
        <v>1200000</v>
      </c>
      <c r="D37" s="13">
        <v>42583</v>
      </c>
      <c r="E37" s="16">
        <f t="shared" si="4"/>
        <v>852141.875</v>
      </c>
      <c r="F37" s="16">
        <f t="shared" si="4"/>
        <v>77904144.772077844</v>
      </c>
      <c r="G37" s="14">
        <f t="shared" si="4"/>
        <v>91.421566123690198</v>
      </c>
      <c r="H37" s="46">
        <v>0</v>
      </c>
      <c r="I37" s="23">
        <f t="shared" si="12"/>
        <v>0</v>
      </c>
      <c r="J37" s="22">
        <f>VLOOKUP(D37,Data!$A$5:$V$197,7,FALSE)*6.4</f>
        <v>45.006312203232113</v>
      </c>
      <c r="K37" s="71">
        <f>VLOOKUP(D37,Data!$A$5:$V$197,12,FALSE)</f>
        <v>23308.28125</v>
      </c>
      <c r="L37" s="48">
        <f t="shared" si="13"/>
        <v>2130879.5755264433</v>
      </c>
      <c r="M37" s="14">
        <f t="shared" si="1"/>
        <v>91.421566123690198</v>
      </c>
      <c r="N37" s="15">
        <f t="shared" si="2"/>
        <v>828833.59375</v>
      </c>
      <c r="O37" s="15">
        <f t="shared" si="2"/>
        <v>75773265.196551397</v>
      </c>
      <c r="P37" s="22">
        <f t="shared" si="3"/>
        <v>91.421566123690184</v>
      </c>
      <c r="Q37" s="31">
        <f t="shared" si="18"/>
        <v>884715.7115384615</v>
      </c>
      <c r="R37" s="31">
        <f t="shared" si="18"/>
        <v>80878857.975546926</v>
      </c>
      <c r="S37" s="32">
        <f t="shared" si="15"/>
        <v>91.417906250250709</v>
      </c>
      <c r="T37" s="31">
        <f t="shared" si="16"/>
        <v>858833.59375</v>
      </c>
      <c r="U37" s="39">
        <v>133414</v>
      </c>
      <c r="V37" s="37">
        <f t="shared" si="17"/>
        <v>12.726659539473685</v>
      </c>
    </row>
    <row r="38" spans="1:22">
      <c r="A38" s="21">
        <v>30000</v>
      </c>
      <c r="B38" s="47">
        <v>110000</v>
      </c>
      <c r="C38" s="47">
        <v>1200000</v>
      </c>
      <c r="D38" s="13">
        <v>42614</v>
      </c>
      <c r="E38" s="16">
        <f t="shared" si="4"/>
        <v>828833.59375</v>
      </c>
      <c r="F38" s="16">
        <f t="shared" si="4"/>
        <v>75773265.196551397</v>
      </c>
      <c r="G38" s="14">
        <f t="shared" si="4"/>
        <v>91.421566123690184</v>
      </c>
      <c r="H38" s="46">
        <v>0</v>
      </c>
      <c r="I38" s="23">
        <f t="shared" si="12"/>
        <v>0</v>
      </c>
      <c r="J38" s="22">
        <f>VLOOKUP(D38,Data!$A$5:$V$197,7,FALSE)*6.4</f>
        <v>45.706312203232116</v>
      </c>
      <c r="K38" s="71">
        <f>VLOOKUP(D38,Data!$A$5:$V$197,12,FALSE)</f>
        <v>25985.46875</v>
      </c>
      <c r="L38" s="48">
        <f t="shared" si="13"/>
        <v>2375632.2495832099</v>
      </c>
      <c r="M38" s="14">
        <f t="shared" si="1"/>
        <v>91.421566123690184</v>
      </c>
      <c r="N38" s="15">
        <f t="shared" si="2"/>
        <v>802848.125</v>
      </c>
      <c r="O38" s="15">
        <f t="shared" si="2"/>
        <v>73397632.946968183</v>
      </c>
      <c r="P38" s="22">
        <f t="shared" si="3"/>
        <v>91.421566123690184</v>
      </c>
      <c r="Q38" s="31">
        <f t="shared" si="18"/>
        <v>874588.49038461538</v>
      </c>
      <c r="R38" s="31">
        <f t="shared" si="18"/>
        <v>79956249.501467556</v>
      </c>
      <c r="S38" s="32">
        <f t="shared" si="15"/>
        <v>91.421566119976518</v>
      </c>
      <c r="T38" s="31">
        <f t="shared" si="16"/>
        <v>832848.125</v>
      </c>
      <c r="U38" s="39">
        <v>133414</v>
      </c>
      <c r="V38" s="37">
        <f t="shared" si="17"/>
        <v>12.270774122807017</v>
      </c>
    </row>
    <row r="39" spans="1:22">
      <c r="A39" s="21">
        <v>30000</v>
      </c>
      <c r="B39" s="47">
        <v>110000</v>
      </c>
      <c r="C39" s="47">
        <v>1200000</v>
      </c>
      <c r="D39" s="13">
        <v>42644</v>
      </c>
      <c r="E39" s="16">
        <f t="shared" si="4"/>
        <v>802848.125</v>
      </c>
      <c r="F39" s="16">
        <f t="shared" si="4"/>
        <v>73397632.946968183</v>
      </c>
      <c r="G39" s="14">
        <f t="shared" si="4"/>
        <v>91.421566123690184</v>
      </c>
      <c r="H39" s="46">
        <v>0</v>
      </c>
      <c r="I39" s="23">
        <f t="shared" si="12"/>
        <v>0</v>
      </c>
      <c r="J39" s="22">
        <f>VLOOKUP(D39,Data!$A$5:$V$197,7,FALSE)*6.4</f>
        <v>46.201845200000008</v>
      </c>
      <c r="K39" s="71">
        <f>VLOOKUP(D39,Data!$A$5:$V$197,12,FALSE)</f>
        <v>9768.28125</v>
      </c>
      <c r="L39" s="48">
        <f t="shared" si="13"/>
        <v>893031.57021167804</v>
      </c>
      <c r="M39" s="14">
        <f t="shared" si="1"/>
        <v>91.421566123690184</v>
      </c>
      <c r="N39" s="15">
        <f t="shared" si="2"/>
        <v>793079.84375</v>
      </c>
      <c r="O39" s="15">
        <f t="shared" si="2"/>
        <v>72504601.376756504</v>
      </c>
      <c r="P39" s="22">
        <f t="shared" si="3"/>
        <v>91.421566123690184</v>
      </c>
      <c r="Q39" s="31">
        <f t="shared" si="18"/>
        <v>864133.93990384613</v>
      </c>
      <c r="R39" s="31">
        <f t="shared" si="18"/>
        <v>79000478.125064209</v>
      </c>
      <c r="S39" s="32">
        <f t="shared" si="15"/>
        <v>91.421566121861559</v>
      </c>
      <c r="T39" s="31">
        <f t="shared" si="16"/>
        <v>823079.84375</v>
      </c>
      <c r="U39" s="39">
        <v>133414</v>
      </c>
      <c r="V39" s="37">
        <f t="shared" si="17"/>
        <v>12.099400767543859</v>
      </c>
    </row>
    <row r="40" spans="1:22">
      <c r="A40" s="21">
        <v>30000</v>
      </c>
      <c r="B40" s="47">
        <v>110000</v>
      </c>
      <c r="C40" s="47">
        <v>1200000</v>
      </c>
      <c r="D40" s="13">
        <v>42675</v>
      </c>
      <c r="E40" s="16">
        <f t="shared" si="4"/>
        <v>793079.84375</v>
      </c>
      <c r="F40" s="16">
        <f t="shared" si="4"/>
        <v>72504601.376756504</v>
      </c>
      <c r="G40" s="14">
        <f t="shared" si="4"/>
        <v>91.421566123690184</v>
      </c>
      <c r="H40" s="46">
        <v>0</v>
      </c>
      <c r="I40" s="23">
        <f t="shared" si="12"/>
        <v>0</v>
      </c>
      <c r="J40" s="22">
        <f>VLOOKUP(D40,Data!$A$5:$V$197,7,FALSE)*6.4</f>
        <v>46.801845200000002</v>
      </c>
      <c r="K40" s="71">
        <f>VLOOKUP(D40,Data!$A$5:$V$197,12,FALSE)</f>
        <v>18810.46875</v>
      </c>
      <c r="L40" s="48">
        <f t="shared" si="13"/>
        <v>1719682.5126457328</v>
      </c>
      <c r="M40" s="14">
        <f t="shared" si="1"/>
        <v>91.421566123690184</v>
      </c>
      <c r="N40" s="15">
        <f t="shared" si="2"/>
        <v>774269.375</v>
      </c>
      <c r="O40" s="15">
        <f t="shared" si="2"/>
        <v>70784918.864110768</v>
      </c>
      <c r="P40" s="22">
        <f t="shared" si="3"/>
        <v>91.421566123690184</v>
      </c>
      <c r="Q40" s="31">
        <f t="shared" si="18"/>
        <v>852826.5072115385</v>
      </c>
      <c r="R40" s="31">
        <f t="shared" si="18"/>
        <v>77966734.920765027</v>
      </c>
      <c r="S40" s="32">
        <f t="shared" si="15"/>
        <v>91.421566123326244</v>
      </c>
      <c r="T40" s="31">
        <f t="shared" si="16"/>
        <v>804269.375</v>
      </c>
      <c r="U40" s="39">
        <v>133414</v>
      </c>
      <c r="V40" s="37">
        <f t="shared" si="17"/>
        <v>11.769392543859649</v>
      </c>
    </row>
    <row r="41" spans="1:22">
      <c r="A41" s="21">
        <v>30000</v>
      </c>
      <c r="B41" s="47">
        <v>110000</v>
      </c>
      <c r="C41" s="47">
        <v>1200000</v>
      </c>
      <c r="D41" s="13">
        <v>42705</v>
      </c>
      <c r="E41" s="16">
        <f t="shared" si="4"/>
        <v>774269.375</v>
      </c>
      <c r="F41" s="16">
        <f t="shared" si="4"/>
        <v>70784918.864110768</v>
      </c>
      <c r="G41" s="14">
        <f t="shared" si="4"/>
        <v>91.421566123690184</v>
      </c>
      <c r="H41" s="46">
        <v>430000</v>
      </c>
      <c r="I41" s="23">
        <f t="shared" si="12"/>
        <v>20361293.436000004</v>
      </c>
      <c r="J41" s="22">
        <f>VLOOKUP(D41,Data!$A$5:$V$197,7,FALSE)*6.4</f>
        <v>47.351845200000007</v>
      </c>
      <c r="K41" s="71">
        <f>VLOOKUP(D41,Data!$A$5:$V$197,12,FALSE)</f>
        <v>0</v>
      </c>
      <c r="L41" s="48">
        <f t="shared" si="13"/>
        <v>0</v>
      </c>
      <c r="M41" s="14">
        <f t="shared" si="1"/>
        <v>0</v>
      </c>
      <c r="N41" s="15">
        <f t="shared" si="2"/>
        <v>1204269.375</v>
      </c>
      <c r="O41" s="15">
        <f t="shared" si="2"/>
        <v>91146212.300110772</v>
      </c>
      <c r="P41" s="22">
        <f t="shared" si="3"/>
        <v>75.685900673269856</v>
      </c>
      <c r="Q41" s="31">
        <f t="shared" si="18"/>
        <v>877315.22836538462</v>
      </c>
      <c r="R41" s="31">
        <f t="shared" si="18"/>
        <v>78747841.39231202</v>
      </c>
      <c r="S41" s="32">
        <f t="shared" si="15"/>
        <v>89.760030199219443</v>
      </c>
      <c r="T41" s="31">
        <f t="shared" si="16"/>
        <v>1234269.375</v>
      </c>
      <c r="U41" s="39">
        <v>83414</v>
      </c>
      <c r="V41" s="37">
        <f t="shared" si="17"/>
        <v>20.190445175438597</v>
      </c>
    </row>
    <row r="42" spans="1:22">
      <c r="A42" s="21">
        <v>30000</v>
      </c>
      <c r="B42" s="47">
        <v>110000</v>
      </c>
      <c r="C42" s="47">
        <v>1200000</v>
      </c>
      <c r="D42" s="13">
        <v>42736</v>
      </c>
      <c r="E42" s="16">
        <f t="shared" si="4"/>
        <v>1204269.375</v>
      </c>
      <c r="F42" s="16">
        <f t="shared" si="4"/>
        <v>91146212.300110772</v>
      </c>
      <c r="G42" s="14">
        <f t="shared" si="4"/>
        <v>75.685900673269856</v>
      </c>
      <c r="H42" s="46">
        <f t="shared" ref="H42:H89" si="19">IF(E42+A42-K42&lt;C42-B42,B42,0)</f>
        <v>0</v>
      </c>
      <c r="I42" s="23">
        <f t="shared" si="12"/>
        <v>0</v>
      </c>
      <c r="J42" s="22">
        <f>VLOOKUP(D42,Data!$A$5:$V$197,7,FALSE)*6.4</f>
        <v>47.851845200000007</v>
      </c>
      <c r="K42" s="71">
        <f>VLOOKUP(D42,Data!$A$5:$V$197,12,FALSE)</f>
        <v>4408.90625</v>
      </c>
      <c r="L42" s="48">
        <f t="shared" si="13"/>
        <v>333692.04051525868</v>
      </c>
      <c r="M42" s="14">
        <f t="shared" si="1"/>
        <v>75.685900673269856</v>
      </c>
      <c r="N42" s="15">
        <f t="shared" si="2"/>
        <v>1199860.46875</v>
      </c>
      <c r="O42" s="15">
        <f t="shared" si="2"/>
        <v>90812520.259595513</v>
      </c>
      <c r="P42" s="22">
        <f t="shared" si="3"/>
        <v>75.685900673269856</v>
      </c>
      <c r="Q42" s="31">
        <f t="shared" si="18"/>
        <v>901563.7259615385</v>
      </c>
      <c r="R42" s="31">
        <f t="shared" si="18"/>
        <v>79512322.947665513</v>
      </c>
      <c r="S42" s="32">
        <f t="shared" si="15"/>
        <v>88.193791140902206</v>
      </c>
      <c r="T42" s="31">
        <f t="shared" si="16"/>
        <v>1229860.46875</v>
      </c>
      <c r="U42" s="39">
        <v>83414</v>
      </c>
      <c r="V42" s="37">
        <f t="shared" si="17"/>
        <v>20.113095942982458</v>
      </c>
    </row>
    <row r="43" spans="1:22">
      <c r="A43" s="21">
        <v>30000</v>
      </c>
      <c r="B43" s="47">
        <v>110000</v>
      </c>
      <c r="C43" s="47">
        <v>1200000</v>
      </c>
      <c r="D43" s="13">
        <v>42767</v>
      </c>
      <c r="E43" s="16">
        <f t="shared" si="4"/>
        <v>1199860.46875</v>
      </c>
      <c r="F43" s="16">
        <f t="shared" si="4"/>
        <v>90812520.259595513</v>
      </c>
      <c r="G43" s="14">
        <f t="shared" si="4"/>
        <v>75.685900673269856</v>
      </c>
      <c r="H43" s="46">
        <f t="shared" si="19"/>
        <v>0</v>
      </c>
      <c r="I43" s="23">
        <f t="shared" si="12"/>
        <v>0</v>
      </c>
      <c r="J43" s="22">
        <f>VLOOKUP(D43,Data!$A$5:$V$197,7,FALSE)*6.4</f>
        <v>48.301845200000002</v>
      </c>
      <c r="K43" s="71">
        <f>VLOOKUP(D43,Data!$A$5:$V$197,12,FALSE)</f>
        <v>8359.0625</v>
      </c>
      <c r="L43" s="48">
        <f t="shared" si="13"/>
        <v>632663.17409665475</v>
      </c>
      <c r="M43" s="14">
        <f t="shared" si="1"/>
        <v>75.685900673269856</v>
      </c>
      <c r="N43" s="15">
        <f t="shared" si="2"/>
        <v>1191501.40625</v>
      </c>
      <c r="O43" s="15">
        <f t="shared" si="2"/>
        <v>90179857.085498855</v>
      </c>
      <c r="P43" s="22">
        <f t="shared" si="3"/>
        <v>75.685900673269856</v>
      </c>
      <c r="Q43" s="31">
        <f t="shared" si="18"/>
        <v>925455.61298076925</v>
      </c>
      <c r="R43" s="31">
        <f t="shared" si="18"/>
        <v>80254320.714117274</v>
      </c>
      <c r="S43" s="32">
        <f t="shared" si="15"/>
        <v>86.718714099781394</v>
      </c>
      <c r="T43" s="31">
        <f t="shared" si="16"/>
        <v>1221501.40625</v>
      </c>
      <c r="U43" s="39">
        <v>83414</v>
      </c>
      <c r="V43" s="37">
        <f t="shared" si="17"/>
        <v>19.96644572368421</v>
      </c>
    </row>
    <row r="44" spans="1:22">
      <c r="A44" s="21">
        <v>30000</v>
      </c>
      <c r="B44" s="47">
        <v>110000</v>
      </c>
      <c r="C44" s="47">
        <v>1200000</v>
      </c>
      <c r="D44" s="13">
        <v>42795</v>
      </c>
      <c r="E44" s="16">
        <f t="shared" si="4"/>
        <v>1191501.40625</v>
      </c>
      <c r="F44" s="16">
        <f t="shared" si="4"/>
        <v>90179857.085498855</v>
      </c>
      <c r="G44" s="14">
        <f t="shared" si="4"/>
        <v>75.685900673269856</v>
      </c>
      <c r="H44" s="46">
        <f t="shared" si="19"/>
        <v>0</v>
      </c>
      <c r="I44" s="23">
        <f t="shared" si="12"/>
        <v>0</v>
      </c>
      <c r="J44" s="22">
        <f>VLOOKUP(D44,Data!$A$5:$V$197,7,FALSE)*6.4</f>
        <v>48.751845200000005</v>
      </c>
      <c r="K44" s="71">
        <f>VLOOKUP(D44,Data!$A$5:$V$197,12,FALSE)</f>
        <v>72239.6875</v>
      </c>
      <c r="L44" s="48">
        <f t="shared" si="13"/>
        <v>5467525.8127930537</v>
      </c>
      <c r="M44" s="14">
        <f t="shared" si="1"/>
        <v>75.685900673269856</v>
      </c>
      <c r="N44" s="15">
        <f t="shared" si="2"/>
        <v>1119261.71875</v>
      </c>
      <c r="O44" s="15">
        <f t="shared" si="2"/>
        <v>84712331.272705793</v>
      </c>
      <c r="P44" s="22">
        <f t="shared" si="3"/>
        <v>75.685900673269856</v>
      </c>
      <c r="Q44" s="31">
        <f t="shared" si="18"/>
        <v>943844.79567307688</v>
      </c>
      <c r="R44" s="31">
        <f t="shared" si="18"/>
        <v>80580694.137297124</v>
      </c>
      <c r="S44" s="32">
        <f t="shared" si="15"/>
        <v>85.374941416965939</v>
      </c>
      <c r="T44" s="31">
        <f t="shared" si="16"/>
        <v>1149261.71875</v>
      </c>
      <c r="U44" s="39">
        <v>83414</v>
      </c>
      <c r="V44" s="37">
        <f t="shared" si="17"/>
        <v>18.699082785087718</v>
      </c>
    </row>
    <row r="45" spans="1:22">
      <c r="A45" s="21">
        <v>30000</v>
      </c>
      <c r="B45" s="47">
        <v>110000</v>
      </c>
      <c r="C45" s="47">
        <v>1200000</v>
      </c>
      <c r="D45" s="13">
        <v>42826</v>
      </c>
      <c r="E45" s="16">
        <f t="shared" si="4"/>
        <v>1119261.71875</v>
      </c>
      <c r="F45" s="16">
        <f t="shared" si="4"/>
        <v>84712331.272705793</v>
      </c>
      <c r="G45" s="14">
        <f t="shared" si="4"/>
        <v>75.685900673269856</v>
      </c>
      <c r="H45" s="46">
        <f t="shared" si="19"/>
        <v>0</v>
      </c>
      <c r="I45" s="23">
        <f t="shared" si="12"/>
        <v>0</v>
      </c>
      <c r="J45" s="22">
        <f>VLOOKUP(D45,Data!$A$5:$V$197,7,FALSE)*6.4</f>
        <v>49.201845200000008</v>
      </c>
      <c r="K45" s="71">
        <f>VLOOKUP(D45,Data!$A$5:$V$197,12,FALSE)</f>
        <v>42200.9375</v>
      </c>
      <c r="L45" s="48">
        <f t="shared" si="13"/>
        <v>3194015.9639438693</v>
      </c>
      <c r="M45" s="14">
        <f t="shared" si="1"/>
        <v>75.685900673269856</v>
      </c>
      <c r="N45" s="15">
        <f t="shared" si="2"/>
        <v>1077060.78125</v>
      </c>
      <c r="O45" s="15">
        <f t="shared" si="2"/>
        <v>81518315.308761925</v>
      </c>
      <c r="P45" s="22">
        <f t="shared" si="3"/>
        <v>75.685900673269856</v>
      </c>
      <c r="Q45" s="31">
        <f t="shared" si="18"/>
        <v>959031.71875</v>
      </c>
      <c r="R45" s="31">
        <f t="shared" si="18"/>
        <v>80665393.49701111</v>
      </c>
      <c r="S45" s="32">
        <f t="shared" si="15"/>
        <v>84.111288417186259</v>
      </c>
      <c r="T45" s="31">
        <f t="shared" si="16"/>
        <v>1107060.78125</v>
      </c>
      <c r="U45" s="39">
        <v>83414</v>
      </c>
      <c r="V45" s="37">
        <f t="shared" si="17"/>
        <v>17.958715460526317</v>
      </c>
    </row>
    <row r="46" spans="1:22">
      <c r="A46" s="21">
        <v>30000</v>
      </c>
      <c r="B46" s="47">
        <v>110000</v>
      </c>
      <c r="C46" s="47">
        <v>1200000</v>
      </c>
      <c r="D46" s="13">
        <v>42856</v>
      </c>
      <c r="E46" s="16">
        <f t="shared" si="4"/>
        <v>1077060.78125</v>
      </c>
      <c r="F46" s="16">
        <f t="shared" si="4"/>
        <v>81518315.308761925</v>
      </c>
      <c r="G46" s="14">
        <f t="shared" si="4"/>
        <v>75.685900673269856</v>
      </c>
      <c r="H46" s="46">
        <f t="shared" si="19"/>
        <v>110000</v>
      </c>
      <c r="I46" s="23">
        <f t="shared" si="12"/>
        <v>5478694.3423555326</v>
      </c>
      <c r="J46" s="22">
        <f>VLOOKUP(D46,Data!$A$5:$V$197,7,FALSE)*6.4</f>
        <v>49.806312203232117</v>
      </c>
      <c r="K46" s="71">
        <f>VLOOKUP(D46,Data!$A$5:$V$197,12,FALSE)</f>
        <v>24119.375</v>
      </c>
      <c r="L46" s="48">
        <f t="shared" si="13"/>
        <v>1767654.641445026</v>
      </c>
      <c r="M46" s="14">
        <f t="shared" si="1"/>
        <v>73.287746529295475</v>
      </c>
      <c r="N46" s="15">
        <f t="shared" si="2"/>
        <v>1162941.40625</v>
      </c>
      <c r="O46" s="15">
        <f t="shared" si="2"/>
        <v>85229355.009672433</v>
      </c>
      <c r="P46" s="22">
        <f t="shared" si="3"/>
        <v>73.287746529295475</v>
      </c>
      <c r="Q46" s="31">
        <f t="shared" si="18"/>
        <v>980824.84375</v>
      </c>
      <c r="R46" s="31">
        <f t="shared" si="18"/>
        <v>81035557.449102819</v>
      </c>
      <c r="S46" s="32">
        <f t="shared" si="15"/>
        <v>82.619805121655105</v>
      </c>
      <c r="T46" s="31">
        <f t="shared" si="16"/>
        <v>1192941.40625</v>
      </c>
      <c r="U46" s="39">
        <v>83414</v>
      </c>
      <c r="V46" s="37">
        <f t="shared" si="17"/>
        <v>19.465393092105263</v>
      </c>
    </row>
    <row r="47" spans="1:22">
      <c r="A47" s="21">
        <v>30000</v>
      </c>
      <c r="B47" s="47">
        <v>110000</v>
      </c>
      <c r="C47" s="47">
        <v>1200000</v>
      </c>
      <c r="D47" s="13">
        <v>42887</v>
      </c>
      <c r="E47" s="16">
        <f t="shared" si="4"/>
        <v>1162941.40625</v>
      </c>
      <c r="F47" s="16">
        <f t="shared" si="4"/>
        <v>85229355.009672433</v>
      </c>
      <c r="G47" s="14">
        <f t="shared" si="4"/>
        <v>73.287746529295475</v>
      </c>
      <c r="H47" s="46">
        <f t="shared" si="19"/>
        <v>0</v>
      </c>
      <c r="I47" s="23">
        <f t="shared" si="12"/>
        <v>0</v>
      </c>
      <c r="J47" s="22">
        <f>VLOOKUP(D47,Data!$A$5:$V$197,7,FALSE)*6.4</f>
        <v>50.306312203232117</v>
      </c>
      <c r="K47" s="71">
        <f>VLOOKUP(D47,Data!$A$5:$V$197,12,FALSE)</f>
        <v>44380.3125</v>
      </c>
      <c r="L47" s="48">
        <f t="shared" si="13"/>
        <v>3252533.0933909235</v>
      </c>
      <c r="M47" s="14">
        <f t="shared" ref="M47:M53" si="20">IF(K47=0,0,L47/K47)</f>
        <v>73.287746529295475</v>
      </c>
      <c r="N47" s="15">
        <f t="shared" si="2"/>
        <v>1118561.09375</v>
      </c>
      <c r="O47" s="15">
        <f t="shared" si="2"/>
        <v>81976821.916281506</v>
      </c>
      <c r="P47" s="22">
        <f t="shared" si="3"/>
        <v>73.287746529295475</v>
      </c>
      <c r="Q47" s="31">
        <f t="shared" si="18"/>
        <v>999344.73557692312</v>
      </c>
      <c r="R47" s="31">
        <f t="shared" si="18"/>
        <v>81168383.804409817</v>
      </c>
      <c r="S47" s="32">
        <f t="shared" si="15"/>
        <v>81.221605432835148</v>
      </c>
      <c r="T47" s="31">
        <f t="shared" si="16"/>
        <v>1148561.09375</v>
      </c>
      <c r="U47" s="39">
        <v>133414</v>
      </c>
      <c r="V47" s="37">
        <f t="shared" si="17"/>
        <v>17.809598135964912</v>
      </c>
    </row>
    <row r="48" spans="1:22">
      <c r="A48" s="21">
        <v>30000</v>
      </c>
      <c r="B48" s="47">
        <v>110000</v>
      </c>
      <c r="C48" s="47">
        <v>1200000</v>
      </c>
      <c r="D48" s="13">
        <v>42917</v>
      </c>
      <c r="E48" s="16">
        <f t="shared" ref="E48:G53" si="21">N47</f>
        <v>1118561.09375</v>
      </c>
      <c r="F48" s="16">
        <f t="shared" si="21"/>
        <v>81976821.916281506</v>
      </c>
      <c r="G48" s="14">
        <f t="shared" si="21"/>
        <v>73.287746529295475</v>
      </c>
      <c r="H48" s="46">
        <f t="shared" si="19"/>
        <v>0</v>
      </c>
      <c r="I48" s="23">
        <f t="shared" si="12"/>
        <v>0</v>
      </c>
      <c r="J48" s="22">
        <f>VLOOKUP(D48,Data!$A$5:$V$197,7,FALSE)*6.4</f>
        <v>50.806312203232117</v>
      </c>
      <c r="K48" s="71">
        <f>VLOOKUP(D48,Data!$A$5:$V$197,12,FALSE)</f>
        <v>30447.8125</v>
      </c>
      <c r="L48" s="48">
        <f t="shared" si="13"/>
        <v>2231451.5648715142</v>
      </c>
      <c r="M48" s="14">
        <f t="shared" si="20"/>
        <v>73.287746529295475</v>
      </c>
      <c r="N48" s="15">
        <f t="shared" si="2"/>
        <v>1088113.28125</v>
      </c>
      <c r="O48" s="15">
        <f t="shared" si="2"/>
        <v>79745370.351409987</v>
      </c>
      <c r="P48" s="22">
        <f t="shared" si="3"/>
        <v>73.287746529295461</v>
      </c>
      <c r="Q48" s="31">
        <f t="shared" ref="Q48:R53" si="22">AVERAGE(N36:N48)</f>
        <v>1016364.7956730769</v>
      </c>
      <c r="R48" s="31">
        <f t="shared" si="22"/>
        <v>81206565.127730876</v>
      </c>
      <c r="S48" s="32">
        <f t="shared" si="15"/>
        <v>79.899033765679263</v>
      </c>
      <c r="T48" s="31">
        <f t="shared" si="16"/>
        <v>1118113.28125</v>
      </c>
      <c r="U48" s="39">
        <v>133414</v>
      </c>
      <c r="V48" s="37">
        <f t="shared" si="17"/>
        <v>17.275425986842105</v>
      </c>
    </row>
    <row r="49" spans="1:22">
      <c r="A49" s="21">
        <v>30000</v>
      </c>
      <c r="B49" s="47">
        <v>110000</v>
      </c>
      <c r="C49" s="47">
        <v>1200000</v>
      </c>
      <c r="D49" s="13">
        <v>42948</v>
      </c>
      <c r="E49" s="16">
        <f t="shared" si="21"/>
        <v>1088113.28125</v>
      </c>
      <c r="F49" s="16">
        <f t="shared" si="21"/>
        <v>79745370.351409987</v>
      </c>
      <c r="G49" s="14">
        <f t="shared" si="21"/>
        <v>73.287746529295461</v>
      </c>
      <c r="H49" s="46">
        <f t="shared" si="19"/>
        <v>110000</v>
      </c>
      <c r="I49" s="23">
        <f t="shared" si="12"/>
        <v>5643694.3423555335</v>
      </c>
      <c r="J49" s="22">
        <f>VLOOKUP(D49,Data!$A$5:$V$197,7,FALSE)*6.4</f>
        <v>51.306312203232125</v>
      </c>
      <c r="K49" s="71">
        <f>VLOOKUP(D49,Data!$A$5:$V$197,12,FALSE)</f>
        <v>33985.3125</v>
      </c>
      <c r="L49" s="48">
        <f t="shared" si="13"/>
        <v>2422119.922310425</v>
      </c>
      <c r="M49" s="14">
        <f t="shared" si="20"/>
        <v>71.26960866728605</v>
      </c>
      <c r="N49" s="15">
        <f t="shared" si="2"/>
        <v>1164127.96875</v>
      </c>
      <c r="O49" s="15">
        <f t="shared" si="2"/>
        <v>82966944.771455094</v>
      </c>
      <c r="P49" s="22">
        <f t="shared" si="3"/>
        <v>71.269608667286036</v>
      </c>
      <c r="Q49" s="31">
        <f t="shared" si="22"/>
        <v>1040363.7259615385</v>
      </c>
      <c r="R49" s="31">
        <f t="shared" si="22"/>
        <v>81596011.281529129</v>
      </c>
      <c r="S49" s="32">
        <f t="shared" si="15"/>
        <v>78.430273225948355</v>
      </c>
      <c r="T49" s="31">
        <f t="shared" si="16"/>
        <v>1194127.96875</v>
      </c>
      <c r="U49" s="39">
        <v>133414</v>
      </c>
      <c r="V49" s="37">
        <f t="shared" si="17"/>
        <v>18.609016995614034</v>
      </c>
    </row>
    <row r="50" spans="1:22">
      <c r="A50" s="21">
        <v>30000</v>
      </c>
      <c r="B50" s="47">
        <v>110000</v>
      </c>
      <c r="C50" s="47">
        <v>1200000</v>
      </c>
      <c r="D50" s="13">
        <v>42979</v>
      </c>
      <c r="E50" s="16">
        <f t="shared" si="21"/>
        <v>1164127.96875</v>
      </c>
      <c r="F50" s="16">
        <f t="shared" si="21"/>
        <v>82966944.771455094</v>
      </c>
      <c r="G50" s="14">
        <f t="shared" si="21"/>
        <v>71.269608667286036</v>
      </c>
      <c r="H50" s="46">
        <f t="shared" si="19"/>
        <v>0</v>
      </c>
      <c r="I50" s="23">
        <f t="shared" si="12"/>
        <v>0</v>
      </c>
      <c r="J50" s="22">
        <f>VLOOKUP(D50,Data!$A$5:$V$197,7,FALSE)*6.4</f>
        <v>51.806312203232125</v>
      </c>
      <c r="K50" s="71">
        <f>VLOOKUP(D50,Data!$A$5:$V$197,12,FALSE)</f>
        <v>47092.5</v>
      </c>
      <c r="L50" s="48">
        <f t="shared" si="13"/>
        <v>3356264.0461641676</v>
      </c>
      <c r="M50" s="14">
        <f t="shared" si="20"/>
        <v>71.269608667286036</v>
      </c>
      <c r="N50" s="15">
        <f t="shared" si="2"/>
        <v>1117035.46875</v>
      </c>
      <c r="O50" s="15">
        <f t="shared" si="2"/>
        <v>79610680.725290924</v>
      </c>
      <c r="P50" s="22">
        <f t="shared" si="3"/>
        <v>71.269608667286036</v>
      </c>
      <c r="Q50" s="31">
        <f t="shared" si="22"/>
        <v>1062533.1009615385</v>
      </c>
      <c r="R50" s="31">
        <f t="shared" si="22"/>
        <v>81891197.091432169</v>
      </c>
      <c r="S50" s="32">
        <f t="shared" si="15"/>
        <v>77.071666771910259</v>
      </c>
      <c r="T50" s="31">
        <f t="shared" si="16"/>
        <v>1147035.46875</v>
      </c>
      <c r="U50" s="39">
        <v>133414</v>
      </c>
      <c r="V50" s="37">
        <f t="shared" si="17"/>
        <v>17.78283278508772</v>
      </c>
    </row>
    <row r="51" spans="1:22">
      <c r="A51" s="21">
        <v>30000</v>
      </c>
      <c r="B51" s="47">
        <v>110000</v>
      </c>
      <c r="C51" s="47">
        <v>1200000</v>
      </c>
      <c r="D51" s="13">
        <v>43009</v>
      </c>
      <c r="E51" s="16">
        <f t="shared" si="21"/>
        <v>1117035.46875</v>
      </c>
      <c r="F51" s="16">
        <f t="shared" si="21"/>
        <v>79610680.725290924</v>
      </c>
      <c r="G51" s="14">
        <f t="shared" si="21"/>
        <v>71.269608667286036</v>
      </c>
      <c r="H51" s="46">
        <f t="shared" si="19"/>
        <v>0</v>
      </c>
      <c r="I51" s="23">
        <f t="shared" si="12"/>
        <v>0</v>
      </c>
      <c r="J51" s="22">
        <f>VLOOKUP(D51,Data!$A$5:$V$197,7,FALSE)*6.4</f>
        <v>52.201845200000008</v>
      </c>
      <c r="K51" s="71">
        <f>VLOOKUP(D51,Data!$A$5:$V$197,12,FALSE)</f>
        <v>34875.3125</v>
      </c>
      <c r="L51" s="48">
        <f t="shared" si="13"/>
        <v>2485549.8740243092</v>
      </c>
      <c r="M51" s="14">
        <f t="shared" si="20"/>
        <v>71.269608667286036</v>
      </c>
      <c r="N51" s="15">
        <f t="shared" si="2"/>
        <v>1082160.15625</v>
      </c>
      <c r="O51" s="15">
        <f t="shared" si="2"/>
        <v>77125130.851266623</v>
      </c>
      <c r="P51" s="22">
        <f t="shared" si="3"/>
        <v>71.26960866728605</v>
      </c>
      <c r="Q51" s="31">
        <f t="shared" si="22"/>
        <v>1084018.641826923</v>
      </c>
      <c r="R51" s="31">
        <f t="shared" si="22"/>
        <v>82177927.699455127</v>
      </c>
      <c r="S51" s="32">
        <f t="shared" si="15"/>
        <v>75.808592701836446</v>
      </c>
      <c r="T51" s="31">
        <f t="shared" si="16"/>
        <v>1112160.15625</v>
      </c>
      <c r="U51" s="39">
        <v>133414</v>
      </c>
      <c r="V51" s="37">
        <f t="shared" si="17"/>
        <v>17.17098519736842</v>
      </c>
    </row>
    <row r="52" spans="1:22">
      <c r="A52" s="21">
        <v>30000</v>
      </c>
      <c r="B52" s="47">
        <v>110000</v>
      </c>
      <c r="C52" s="47">
        <v>1200000</v>
      </c>
      <c r="D52" s="13">
        <v>43040</v>
      </c>
      <c r="E52" s="16">
        <f t="shared" si="21"/>
        <v>1082160.15625</v>
      </c>
      <c r="F52" s="16">
        <f t="shared" si="21"/>
        <v>77125130.851266623</v>
      </c>
      <c r="G52" s="14">
        <f t="shared" si="21"/>
        <v>71.26960866728605</v>
      </c>
      <c r="H52" s="46">
        <f t="shared" si="19"/>
        <v>0</v>
      </c>
      <c r="I52" s="23">
        <f t="shared" si="12"/>
        <v>0</v>
      </c>
      <c r="J52" s="22">
        <f>VLOOKUP(D52,Data!$A$5:$V$197,7,FALSE)*6.4</f>
        <v>52.701845200000008</v>
      </c>
      <c r="K52" s="71">
        <f>VLOOKUP(D52,Data!$A$5:$V$197,12,FALSE)</f>
        <v>7284.53125</v>
      </c>
      <c r="L52" s="48">
        <f t="shared" si="13"/>
        <v>519165.69151211611</v>
      </c>
      <c r="M52" s="14">
        <f t="shared" si="20"/>
        <v>71.26960866728605</v>
      </c>
      <c r="N52" s="15">
        <f t="shared" si="2"/>
        <v>1074875.625</v>
      </c>
      <c r="O52" s="15">
        <f t="shared" si="2"/>
        <v>76605965.1597545</v>
      </c>
      <c r="P52" s="22">
        <f t="shared" si="3"/>
        <v>71.269608667286036</v>
      </c>
      <c r="Q52" s="31">
        <f t="shared" si="22"/>
        <v>1105695.2403846155</v>
      </c>
      <c r="R52" s="31">
        <f t="shared" si="22"/>
        <v>82493417.221224204</v>
      </c>
      <c r="S52" s="32">
        <f t="shared" si="15"/>
        <v>74.607734761098286</v>
      </c>
      <c r="T52" s="31">
        <f t="shared" si="16"/>
        <v>1104875.625</v>
      </c>
      <c r="U52" s="39">
        <v>133414</v>
      </c>
      <c r="V52" s="37">
        <f t="shared" si="17"/>
        <v>17.043186403508773</v>
      </c>
    </row>
    <row r="53" spans="1:22">
      <c r="A53" s="21">
        <v>30000</v>
      </c>
      <c r="B53" s="47">
        <v>110000</v>
      </c>
      <c r="C53" s="47">
        <v>1200000</v>
      </c>
      <c r="D53" s="13">
        <v>43070</v>
      </c>
      <c r="E53" s="16">
        <f t="shared" si="21"/>
        <v>1074875.625</v>
      </c>
      <c r="F53" s="16">
        <f t="shared" si="21"/>
        <v>76605965.1597545</v>
      </c>
      <c r="G53" s="14">
        <f t="shared" si="21"/>
        <v>71.269608667286036</v>
      </c>
      <c r="H53" s="46">
        <f t="shared" si="19"/>
        <v>0</v>
      </c>
      <c r="I53" s="23">
        <f t="shared" si="12"/>
        <v>0</v>
      </c>
      <c r="J53" s="22">
        <f>VLOOKUP(D53,Data!$A$5:$V$197,7,FALSE)*6.4</f>
        <v>53.201845200000008</v>
      </c>
      <c r="K53" s="71">
        <f>VLOOKUP(D53,Data!$A$5:$V$197,12,FALSE)</f>
        <v>1875.46875</v>
      </c>
      <c r="L53" s="48">
        <f t="shared" si="13"/>
        <v>133663.92388022412</v>
      </c>
      <c r="M53" s="14">
        <f t="shared" si="20"/>
        <v>71.269608667286036</v>
      </c>
      <c r="N53" s="15">
        <f t="shared" si="2"/>
        <v>1073000.15625</v>
      </c>
      <c r="O53" s="15">
        <f t="shared" si="2"/>
        <v>76472301.23587428</v>
      </c>
      <c r="P53" s="22">
        <f t="shared" si="3"/>
        <v>71.26960866728605</v>
      </c>
      <c r="Q53" s="31">
        <f t="shared" si="22"/>
        <v>1128674.53125</v>
      </c>
      <c r="R53" s="31">
        <f t="shared" si="22"/>
        <v>82930908.172898307</v>
      </c>
      <c r="S53" s="32">
        <f t="shared" si="15"/>
        <v>73.476370624800794</v>
      </c>
      <c r="T53" s="31">
        <f t="shared" si="16"/>
        <v>1103000.15625</v>
      </c>
      <c r="U53" s="39">
        <v>83414</v>
      </c>
      <c r="V53" s="37">
        <f t="shared" si="17"/>
        <v>17.887476425438596</v>
      </c>
    </row>
    <row r="54" spans="1:22">
      <c r="A54" s="21">
        <v>30000</v>
      </c>
      <c r="B54" s="47">
        <v>110000</v>
      </c>
      <c r="C54" s="47">
        <v>1200000</v>
      </c>
      <c r="D54" s="13">
        <v>43101</v>
      </c>
      <c r="E54" s="16">
        <f t="shared" ref="E54:E65" si="23">N53</f>
        <v>1073000.15625</v>
      </c>
      <c r="F54" s="16">
        <f t="shared" ref="F54:F65" si="24">O53</f>
        <v>76472301.23587428</v>
      </c>
      <c r="G54" s="14">
        <f t="shared" ref="G54:G65" si="25">P53</f>
        <v>71.26960866728605</v>
      </c>
      <c r="H54" s="46">
        <f t="shared" si="19"/>
        <v>0</v>
      </c>
      <c r="I54" s="23">
        <f t="shared" ref="I54:I65" si="26">H54*J54</f>
        <v>0</v>
      </c>
      <c r="J54" s="22">
        <f>VLOOKUP(D54,Data!$A$5:$V$197,7,FALSE)*6.4</f>
        <v>51.601845200000007</v>
      </c>
      <c r="K54" s="71">
        <f>VLOOKUP(D54,Data!$A$5:$V$197,12,FALSE)</f>
        <v>1380</v>
      </c>
      <c r="L54" s="48">
        <f t="shared" si="13"/>
        <v>98352.059960854749</v>
      </c>
      <c r="M54" s="14">
        <f t="shared" ref="M54:M65" si="27">IF(K54=0,0,L54/K54)</f>
        <v>71.26960866728605</v>
      </c>
      <c r="N54" s="15">
        <f t="shared" ref="N54:N65" si="28">+E54+H54-K54</f>
        <v>1071620.15625</v>
      </c>
      <c r="O54" s="15">
        <f t="shared" ref="O54:O65" si="29">+F54+I54-L54</f>
        <v>76373949.175913423</v>
      </c>
      <c r="P54" s="22">
        <f t="shared" ref="P54:P65" si="30">IF(N54=0,0,O54/N54)</f>
        <v>71.269608667286036</v>
      </c>
      <c r="Q54" s="31">
        <f t="shared" ref="Q54:Q65" si="31">AVERAGE(N42:N54)</f>
        <v>1118470.7451923077</v>
      </c>
      <c r="R54" s="31">
        <f t="shared" ref="R54:R65" si="32">AVERAGE(O42:O54)</f>
        <v>81794580.240267754</v>
      </c>
      <c r="S54" s="32">
        <f t="shared" ref="S54:S65" si="33">IF(Q54=0,0,R54/Q54)</f>
        <v>73.130728355531687</v>
      </c>
      <c r="T54" s="31">
        <f t="shared" si="16"/>
        <v>1101620.15625</v>
      </c>
      <c r="U54" s="39">
        <v>83414</v>
      </c>
      <c r="V54" s="37">
        <f t="shared" si="17"/>
        <v>17.863265899122808</v>
      </c>
    </row>
    <row r="55" spans="1:22">
      <c r="A55" s="21">
        <v>30000</v>
      </c>
      <c r="B55" s="47">
        <v>110000</v>
      </c>
      <c r="C55" s="47">
        <v>1200000</v>
      </c>
      <c r="D55" s="13">
        <v>43132</v>
      </c>
      <c r="E55" s="16">
        <f t="shared" si="23"/>
        <v>1071620.15625</v>
      </c>
      <c r="F55" s="16">
        <f t="shared" si="24"/>
        <v>76373949.175913423</v>
      </c>
      <c r="G55" s="14">
        <f t="shared" si="25"/>
        <v>71.269608667286036</v>
      </c>
      <c r="H55" s="46">
        <f t="shared" si="19"/>
        <v>110000</v>
      </c>
      <c r="I55" s="23">
        <f t="shared" si="26"/>
        <v>5707002.9720000001</v>
      </c>
      <c r="J55" s="22">
        <f>VLOOKUP(D55,Data!$A$5:$V$197,7,FALSE)*6.4</f>
        <v>51.881845200000001</v>
      </c>
      <c r="K55" s="71">
        <f>VLOOKUP(D55,Data!$A$5:$V$197,12,FALSE)</f>
        <v>25359.21875</v>
      </c>
      <c r="L55" s="48">
        <f t="shared" si="13"/>
        <v>1761571.8636123419</v>
      </c>
      <c r="M55" s="14">
        <f t="shared" si="27"/>
        <v>69.464752876598055</v>
      </c>
      <c r="N55" s="15">
        <f t="shared" si="28"/>
        <v>1156260.9375</v>
      </c>
      <c r="O55" s="15">
        <f t="shared" si="29"/>
        <v>80319380.284301087</v>
      </c>
      <c r="P55" s="22">
        <f t="shared" si="30"/>
        <v>69.464752876598055</v>
      </c>
      <c r="Q55" s="31">
        <f t="shared" si="31"/>
        <v>1115116.9350961538</v>
      </c>
      <c r="R55" s="31">
        <f t="shared" si="32"/>
        <v>80987415.62678358</v>
      </c>
      <c r="S55" s="32">
        <f t="shared" si="33"/>
        <v>72.626836771876512</v>
      </c>
      <c r="T55" s="31">
        <f t="shared" si="16"/>
        <v>1186260.9375</v>
      </c>
      <c r="U55" s="39">
        <v>83414</v>
      </c>
      <c r="V55" s="37">
        <f t="shared" si="17"/>
        <v>19.348191885964912</v>
      </c>
    </row>
    <row r="56" spans="1:22">
      <c r="A56" s="21">
        <v>30000</v>
      </c>
      <c r="B56" s="47">
        <v>110000</v>
      </c>
      <c r="C56" s="47">
        <v>1200000</v>
      </c>
      <c r="D56" s="13">
        <v>43160</v>
      </c>
      <c r="E56" s="16">
        <f t="shared" si="23"/>
        <v>1156260.9375</v>
      </c>
      <c r="F56" s="16">
        <f t="shared" si="24"/>
        <v>80319380.284301087</v>
      </c>
      <c r="G56" s="14">
        <f t="shared" si="25"/>
        <v>69.464752876598055</v>
      </c>
      <c r="H56" s="46">
        <f t="shared" si="19"/>
        <v>0</v>
      </c>
      <c r="I56" s="23">
        <f t="shared" si="26"/>
        <v>0</v>
      </c>
      <c r="J56" s="22">
        <f>VLOOKUP(D56,Data!$A$5:$V$197,7,FALSE)*6.4</f>
        <v>52.191845200000003</v>
      </c>
      <c r="K56" s="71">
        <f>VLOOKUP(D56,Data!$A$5:$V$197,12,FALSE)</f>
        <v>4708.125</v>
      </c>
      <c r="L56" s="48">
        <f t="shared" si="13"/>
        <v>327048.7396371332</v>
      </c>
      <c r="M56" s="14">
        <f t="shared" si="27"/>
        <v>69.464752876598055</v>
      </c>
      <c r="N56" s="15">
        <f t="shared" si="28"/>
        <v>1151552.8125</v>
      </c>
      <c r="O56" s="15">
        <f t="shared" si="29"/>
        <v>79992331.544663951</v>
      </c>
      <c r="P56" s="22">
        <f t="shared" si="30"/>
        <v>69.464752876598055</v>
      </c>
      <c r="Q56" s="31">
        <f t="shared" si="31"/>
        <v>1112043.9663461538</v>
      </c>
      <c r="R56" s="31">
        <f t="shared" si="32"/>
        <v>80203759.815950125</v>
      </c>
      <c r="S56" s="32">
        <f t="shared" si="33"/>
        <v>72.12283168935835</v>
      </c>
      <c r="T56" s="31">
        <f t="shared" si="16"/>
        <v>1181552.8125</v>
      </c>
      <c r="U56" s="39">
        <v>83414</v>
      </c>
      <c r="V56" s="37">
        <f t="shared" si="17"/>
        <v>19.265593201754385</v>
      </c>
    </row>
    <row r="57" spans="1:22">
      <c r="A57" s="21">
        <v>30000</v>
      </c>
      <c r="B57" s="47">
        <v>110000</v>
      </c>
      <c r="C57" s="47">
        <v>1200000</v>
      </c>
      <c r="D57" s="13">
        <v>43191</v>
      </c>
      <c r="E57" s="16">
        <f t="shared" si="23"/>
        <v>1151552.8125</v>
      </c>
      <c r="F57" s="16">
        <f t="shared" si="24"/>
        <v>79992331.544663951</v>
      </c>
      <c r="G57" s="14">
        <f t="shared" si="25"/>
        <v>69.464752876598055</v>
      </c>
      <c r="H57" s="46">
        <f t="shared" si="19"/>
        <v>0</v>
      </c>
      <c r="I57" s="23">
        <f t="shared" si="26"/>
        <v>0</v>
      </c>
      <c r="J57" s="22">
        <f>VLOOKUP(D57,Data!$A$5:$V$197,7,FALSE)*6.4</f>
        <v>52.531845199999999</v>
      </c>
      <c r="K57" s="71">
        <f>VLOOKUP(D57,Data!$A$5:$V$197,12,FALSE)</f>
        <v>8319.53125</v>
      </c>
      <c r="L57" s="48">
        <f t="shared" si="13"/>
        <v>577914.18233038497</v>
      </c>
      <c r="M57" s="14">
        <f t="shared" si="27"/>
        <v>69.464752876598055</v>
      </c>
      <c r="N57" s="15">
        <f t="shared" si="28"/>
        <v>1143233.28125</v>
      </c>
      <c r="O57" s="15">
        <f t="shared" si="29"/>
        <v>79414417.362333566</v>
      </c>
      <c r="P57" s="22">
        <f t="shared" si="30"/>
        <v>69.464752876598055</v>
      </c>
      <c r="Q57" s="31">
        <f t="shared" si="31"/>
        <v>1113887.9326923077</v>
      </c>
      <c r="R57" s="31">
        <f t="shared" si="32"/>
        <v>79796227.97669071</v>
      </c>
      <c r="S57" s="32">
        <f t="shared" si="33"/>
        <v>71.63757289642264</v>
      </c>
      <c r="T57" s="31">
        <f t="shared" si="16"/>
        <v>1173233.28125</v>
      </c>
      <c r="U57" s="39">
        <v>83414</v>
      </c>
      <c r="V57" s="37">
        <f t="shared" si="17"/>
        <v>19.119636513157896</v>
      </c>
    </row>
    <row r="58" spans="1:22">
      <c r="A58" s="21">
        <v>30000</v>
      </c>
      <c r="B58" s="47">
        <v>110000</v>
      </c>
      <c r="C58" s="47">
        <v>1200000</v>
      </c>
      <c r="D58" s="13">
        <v>43221</v>
      </c>
      <c r="E58" s="16">
        <f t="shared" si="23"/>
        <v>1143233.28125</v>
      </c>
      <c r="F58" s="16">
        <f t="shared" si="24"/>
        <v>79414417.362333566</v>
      </c>
      <c r="G58" s="14">
        <f t="shared" si="25"/>
        <v>69.464752876598055</v>
      </c>
      <c r="H58" s="46">
        <f t="shared" si="19"/>
        <v>0</v>
      </c>
      <c r="I58" s="23">
        <f t="shared" si="26"/>
        <v>0</v>
      </c>
      <c r="J58" s="22">
        <f>VLOOKUP(D58,Data!$A$5:$V$197,7,FALSE)*6.4</f>
        <v>53.086312203232119</v>
      </c>
      <c r="K58" s="71">
        <f>VLOOKUP(D58,Data!$A$5:$V$197,12,FALSE)</f>
        <v>37486.875</v>
      </c>
      <c r="L58" s="48">
        <f t="shared" si="13"/>
        <v>2604016.5079909218</v>
      </c>
      <c r="M58" s="14">
        <f t="shared" si="27"/>
        <v>69.464752876598055</v>
      </c>
      <c r="N58" s="15">
        <f t="shared" si="28"/>
        <v>1105746.40625</v>
      </c>
      <c r="O58" s="15">
        <f t="shared" si="29"/>
        <v>76810400.854342639</v>
      </c>
      <c r="P58" s="22">
        <f t="shared" si="30"/>
        <v>69.464752876598041</v>
      </c>
      <c r="Q58" s="31">
        <f t="shared" si="31"/>
        <v>1116094.5192307692</v>
      </c>
      <c r="R58" s="31">
        <f t="shared" si="32"/>
        <v>79434080.71096614</v>
      </c>
      <c r="S58" s="32">
        <f t="shared" si="33"/>
        <v>71.171463834186213</v>
      </c>
      <c r="T58" s="31">
        <f t="shared" si="16"/>
        <v>1135746.40625</v>
      </c>
      <c r="U58" s="39">
        <v>83414</v>
      </c>
      <c r="V58" s="37">
        <f t="shared" si="17"/>
        <v>18.461972039473686</v>
      </c>
    </row>
    <row r="59" spans="1:22">
      <c r="A59" s="21">
        <v>30000</v>
      </c>
      <c r="B59" s="47">
        <v>110000</v>
      </c>
      <c r="C59" s="47">
        <v>1200000</v>
      </c>
      <c r="D59" s="13">
        <v>43252</v>
      </c>
      <c r="E59" s="16">
        <f t="shared" si="23"/>
        <v>1105746.40625</v>
      </c>
      <c r="F59" s="16">
        <f t="shared" si="24"/>
        <v>76810400.854342639</v>
      </c>
      <c r="G59" s="14">
        <f t="shared" si="25"/>
        <v>69.464752876598041</v>
      </c>
      <c r="H59" s="46">
        <f t="shared" si="19"/>
        <v>0</v>
      </c>
      <c r="I59" s="23">
        <f t="shared" si="26"/>
        <v>0</v>
      </c>
      <c r="J59" s="22">
        <f>VLOOKUP(D59,Data!$A$5:$V$197,7,FALSE)*6.4</f>
        <v>53.556312203232125</v>
      </c>
      <c r="K59" s="71">
        <f>VLOOKUP(D59,Data!$A$5:$V$197,12,FALSE)</f>
        <v>29525.9375</v>
      </c>
      <c r="L59" s="48">
        <f t="shared" si="13"/>
        <v>2051011.9518873789</v>
      </c>
      <c r="M59" s="14">
        <f t="shared" si="27"/>
        <v>69.464752876598041</v>
      </c>
      <c r="N59" s="15">
        <f t="shared" si="28"/>
        <v>1076220.46875</v>
      </c>
      <c r="O59" s="15">
        <f t="shared" si="29"/>
        <v>74759388.902455255</v>
      </c>
      <c r="P59" s="22">
        <f t="shared" si="30"/>
        <v>69.464752876598041</v>
      </c>
      <c r="Q59" s="31">
        <f t="shared" si="31"/>
        <v>1109423.6778846155</v>
      </c>
      <c r="R59" s="31">
        <f t="shared" si="32"/>
        <v>78628698.702718675</v>
      </c>
      <c r="S59" s="32">
        <f t="shared" si="33"/>
        <v>70.873463646136798</v>
      </c>
      <c r="T59" s="31">
        <f t="shared" si="16"/>
        <v>1106220.46875</v>
      </c>
      <c r="U59" s="39">
        <v>133414</v>
      </c>
      <c r="V59" s="37">
        <f t="shared" si="17"/>
        <v>17.066780153508773</v>
      </c>
    </row>
    <row r="60" spans="1:22">
      <c r="A60" s="21">
        <v>30000</v>
      </c>
      <c r="B60" s="47">
        <v>110000</v>
      </c>
      <c r="C60" s="47">
        <v>1200000</v>
      </c>
      <c r="D60" s="13">
        <v>43282</v>
      </c>
      <c r="E60" s="16">
        <f t="shared" si="23"/>
        <v>1076220.46875</v>
      </c>
      <c r="F60" s="16">
        <f t="shared" si="24"/>
        <v>74759388.902455255</v>
      </c>
      <c r="G60" s="14">
        <f t="shared" si="25"/>
        <v>69.464752876598041</v>
      </c>
      <c r="H60" s="46">
        <f t="shared" si="19"/>
        <v>110000</v>
      </c>
      <c r="I60" s="23">
        <f t="shared" si="26"/>
        <v>5939594.3423555335</v>
      </c>
      <c r="J60" s="22">
        <f>VLOOKUP(D60,Data!$A$5:$V$197,7,FALSE)*6.4</f>
        <v>53.996312203232122</v>
      </c>
      <c r="K60" s="71">
        <f>VLOOKUP(D60,Data!$A$5:$V$197,12,FALSE)</f>
        <v>38764.84375</v>
      </c>
      <c r="L60" s="48">
        <f t="shared" si="13"/>
        <v>2637185.5474433349</v>
      </c>
      <c r="M60" s="14">
        <f t="shared" si="27"/>
        <v>68.030341214604661</v>
      </c>
      <c r="N60" s="15">
        <f t="shared" si="28"/>
        <v>1147455.625</v>
      </c>
      <c r="O60" s="15">
        <f t="shared" si="29"/>
        <v>78061797.69736746</v>
      </c>
      <c r="P60" s="22">
        <f t="shared" si="30"/>
        <v>68.030341214604675</v>
      </c>
      <c r="Q60" s="31">
        <f t="shared" si="31"/>
        <v>1111646.3341346155</v>
      </c>
      <c r="R60" s="31">
        <f t="shared" si="32"/>
        <v>78327542.99357143</v>
      </c>
      <c r="S60" s="32">
        <f t="shared" si="33"/>
        <v>70.460847653086674</v>
      </c>
      <c r="T60" s="31">
        <f t="shared" si="16"/>
        <v>1177455.625</v>
      </c>
      <c r="U60" s="39">
        <v>133414</v>
      </c>
      <c r="V60" s="37">
        <f t="shared" si="17"/>
        <v>18.316519736842107</v>
      </c>
    </row>
    <row r="61" spans="1:22">
      <c r="A61" s="21">
        <v>30000</v>
      </c>
      <c r="B61" s="47">
        <v>110000</v>
      </c>
      <c r="C61" s="47">
        <v>1200000</v>
      </c>
      <c r="D61" s="13">
        <v>43313</v>
      </c>
      <c r="E61" s="16">
        <f t="shared" si="23"/>
        <v>1147455.625</v>
      </c>
      <c r="F61" s="16">
        <f t="shared" si="24"/>
        <v>78061797.69736746</v>
      </c>
      <c r="G61" s="14">
        <f t="shared" si="25"/>
        <v>68.030341214604675</v>
      </c>
      <c r="H61" s="46">
        <f t="shared" si="19"/>
        <v>0</v>
      </c>
      <c r="I61" s="23">
        <f t="shared" si="26"/>
        <v>0</v>
      </c>
      <c r="J61" s="22">
        <f>VLOOKUP(D61,Data!$A$5:$V$197,7,FALSE)*6.4</f>
        <v>54.446312203232132</v>
      </c>
      <c r="K61" s="71">
        <f>VLOOKUP(D61,Data!$A$5:$V$197,12,FALSE)</f>
        <v>24733.59375</v>
      </c>
      <c r="L61" s="48">
        <f t="shared" si="13"/>
        <v>1682634.8222759136</v>
      </c>
      <c r="M61" s="14">
        <f t="shared" si="27"/>
        <v>68.030341214604675</v>
      </c>
      <c r="N61" s="15">
        <f t="shared" si="28"/>
        <v>1122722.03125</v>
      </c>
      <c r="O61" s="15">
        <f t="shared" si="29"/>
        <v>76379162.875091553</v>
      </c>
      <c r="P61" s="22">
        <f t="shared" si="30"/>
        <v>68.030341214604675</v>
      </c>
      <c r="Q61" s="31">
        <f t="shared" si="31"/>
        <v>1114308.545673077</v>
      </c>
      <c r="R61" s="31">
        <f t="shared" si="32"/>
        <v>78068603.956931546</v>
      </c>
      <c r="S61" s="32">
        <f t="shared" si="33"/>
        <v>70.060132142104038</v>
      </c>
      <c r="T61" s="31">
        <f t="shared" si="16"/>
        <v>1152722.03125</v>
      </c>
      <c r="U61" s="39">
        <v>133414</v>
      </c>
      <c r="V61" s="37">
        <f t="shared" si="17"/>
        <v>17.882597039473684</v>
      </c>
    </row>
    <row r="62" spans="1:22">
      <c r="A62" s="21">
        <v>30000</v>
      </c>
      <c r="B62" s="47">
        <v>110000</v>
      </c>
      <c r="C62" s="47">
        <v>1200000</v>
      </c>
      <c r="D62" s="13">
        <v>43344</v>
      </c>
      <c r="E62" s="16">
        <f t="shared" si="23"/>
        <v>1122722.03125</v>
      </c>
      <c r="F62" s="16">
        <f t="shared" si="24"/>
        <v>76379162.875091553</v>
      </c>
      <c r="G62" s="14">
        <f t="shared" si="25"/>
        <v>68.030341214604675</v>
      </c>
      <c r="H62" s="46">
        <f t="shared" si="19"/>
        <v>0</v>
      </c>
      <c r="I62" s="23">
        <f t="shared" si="26"/>
        <v>0</v>
      </c>
      <c r="J62" s="22">
        <f>VLOOKUP(D62,Data!$A$5:$V$197,7,FALSE)*6.4</f>
        <v>54.906312203232119</v>
      </c>
      <c r="K62" s="71">
        <f>VLOOKUP(D62,Data!$A$5:$V$197,12,FALSE)</f>
        <v>41969.53125</v>
      </c>
      <c r="L62" s="48">
        <f t="shared" si="13"/>
        <v>2855201.5315545141</v>
      </c>
      <c r="M62" s="14">
        <f t="shared" si="27"/>
        <v>68.030341214604675</v>
      </c>
      <c r="N62" s="15">
        <f t="shared" si="28"/>
        <v>1080752.5</v>
      </c>
      <c r="O62" s="15">
        <f t="shared" si="29"/>
        <v>73523961.343537033</v>
      </c>
      <c r="P62" s="22">
        <f t="shared" si="30"/>
        <v>68.030341214604675</v>
      </c>
      <c r="Q62" s="31">
        <f t="shared" si="31"/>
        <v>1107895.048076923</v>
      </c>
      <c r="R62" s="31">
        <f t="shared" si="32"/>
        <v>77342220.616322488</v>
      </c>
      <c r="S62" s="32">
        <f t="shared" si="33"/>
        <v>69.810060754917728</v>
      </c>
      <c r="T62" s="31">
        <f t="shared" si="16"/>
        <v>1110752.5</v>
      </c>
      <c r="U62" s="39">
        <v>133414</v>
      </c>
      <c r="V62" s="37">
        <f t="shared" si="17"/>
        <v>17.14628947368421</v>
      </c>
    </row>
    <row r="63" spans="1:22">
      <c r="A63" s="21">
        <v>30000</v>
      </c>
      <c r="B63" s="47">
        <v>110000</v>
      </c>
      <c r="C63" s="47">
        <v>1200000</v>
      </c>
      <c r="D63" s="13">
        <v>43374</v>
      </c>
      <c r="E63" s="16">
        <f t="shared" si="23"/>
        <v>1080752.5</v>
      </c>
      <c r="F63" s="16">
        <f t="shared" si="24"/>
        <v>73523961.343537033</v>
      </c>
      <c r="G63" s="14">
        <f t="shared" si="25"/>
        <v>68.030341214604675</v>
      </c>
      <c r="H63" s="46">
        <f t="shared" si="19"/>
        <v>110000</v>
      </c>
      <c r="I63" s="23">
        <f t="shared" si="26"/>
        <v>6079902.972000001</v>
      </c>
      <c r="J63" s="22">
        <f>VLOOKUP(D63,Data!$A$5:$V$197,7,FALSE)*6.4</f>
        <v>55.271845200000008</v>
      </c>
      <c r="K63" s="71">
        <f>VLOOKUP(D63,Data!$A$5:$V$197,12,FALSE)</f>
        <v>45104.375</v>
      </c>
      <c r="L63" s="48">
        <f t="shared" si="13"/>
        <v>3015305.4875275092</v>
      </c>
      <c r="M63" s="14">
        <f t="shared" si="27"/>
        <v>66.851729738578783</v>
      </c>
      <c r="N63" s="15">
        <f t="shared" si="28"/>
        <v>1145648.125</v>
      </c>
      <c r="O63" s="15">
        <f t="shared" si="29"/>
        <v>76588558.828009531</v>
      </c>
      <c r="P63" s="22">
        <f t="shared" si="30"/>
        <v>66.851729738578797</v>
      </c>
      <c r="Q63" s="31">
        <f t="shared" si="31"/>
        <v>1110096.0216346155</v>
      </c>
      <c r="R63" s="31">
        <f t="shared" si="32"/>
        <v>77109749.701146975</v>
      </c>
      <c r="S63" s="32">
        <f t="shared" si="33"/>
        <v>69.462234075573875</v>
      </c>
      <c r="T63" s="31">
        <f t="shared" si="16"/>
        <v>1175648.125</v>
      </c>
      <c r="U63" s="39">
        <v>133414</v>
      </c>
      <c r="V63" s="37">
        <f t="shared" si="17"/>
        <v>18.284809210526316</v>
      </c>
    </row>
    <row r="64" spans="1:22">
      <c r="A64" s="21">
        <v>30000</v>
      </c>
      <c r="B64" s="47">
        <v>110000</v>
      </c>
      <c r="C64" s="47">
        <v>1200000</v>
      </c>
      <c r="D64" s="13">
        <v>43405</v>
      </c>
      <c r="E64" s="16">
        <f t="shared" si="23"/>
        <v>1145648.125</v>
      </c>
      <c r="F64" s="16">
        <f t="shared" si="24"/>
        <v>76588558.828009531</v>
      </c>
      <c r="G64" s="14">
        <f t="shared" si="25"/>
        <v>66.851729738578797</v>
      </c>
      <c r="H64" s="46">
        <f t="shared" si="19"/>
        <v>0</v>
      </c>
      <c r="I64" s="23">
        <f t="shared" si="26"/>
        <v>0</v>
      </c>
      <c r="J64" s="22">
        <f>VLOOKUP(D64,Data!$A$5:$V$197,7,FALSE)*6.4</f>
        <v>55.771845200000008</v>
      </c>
      <c r="K64" s="71">
        <f>VLOOKUP(D64,Data!$A$5:$V$197,12,FALSE)</f>
        <v>9436.71875</v>
      </c>
      <c r="L64" s="48">
        <f t="shared" si="13"/>
        <v>630860.9714939791</v>
      </c>
      <c r="M64" s="14">
        <f t="shared" si="27"/>
        <v>66.851729738578797</v>
      </c>
      <c r="N64" s="15">
        <f t="shared" si="28"/>
        <v>1136211.40625</v>
      </c>
      <c r="O64" s="15">
        <f t="shared" si="29"/>
        <v>75957697.856515557</v>
      </c>
      <c r="P64" s="22">
        <f t="shared" si="30"/>
        <v>66.851729738578797</v>
      </c>
      <c r="Q64" s="31">
        <f t="shared" si="31"/>
        <v>1114253.8100961538</v>
      </c>
      <c r="R64" s="31">
        <f t="shared" si="32"/>
        <v>77019947.163089201</v>
      </c>
      <c r="S64" s="32">
        <f t="shared" si="33"/>
        <v>69.122444514183726</v>
      </c>
      <c r="T64" s="31">
        <f t="shared" si="16"/>
        <v>1166211.40625</v>
      </c>
      <c r="U64" s="39">
        <v>133414</v>
      </c>
      <c r="V64" s="37">
        <f t="shared" si="17"/>
        <v>18.11925274122807</v>
      </c>
    </row>
    <row r="65" spans="1:22">
      <c r="A65" s="21">
        <v>30000</v>
      </c>
      <c r="B65" s="47">
        <v>110000</v>
      </c>
      <c r="C65" s="47">
        <v>1200000</v>
      </c>
      <c r="D65" s="13">
        <v>43435</v>
      </c>
      <c r="E65" s="16">
        <f t="shared" si="23"/>
        <v>1136211.40625</v>
      </c>
      <c r="F65" s="16">
        <f t="shared" si="24"/>
        <v>75957697.856515557</v>
      </c>
      <c r="G65" s="14">
        <f t="shared" si="25"/>
        <v>66.851729738578797</v>
      </c>
      <c r="H65" s="46">
        <f t="shared" si="19"/>
        <v>0</v>
      </c>
      <c r="I65" s="23">
        <f t="shared" si="26"/>
        <v>0</v>
      </c>
      <c r="J65" s="22">
        <f>VLOOKUP(D65,Data!$A$5:$V$197,7,FALSE)*6.4</f>
        <v>56.261845199999996</v>
      </c>
      <c r="K65" s="71">
        <f>VLOOKUP(D65,Data!$A$5:$V$197,12,FALSE)</f>
        <v>4700.9375</v>
      </c>
      <c r="L65" s="48">
        <f t="shared" si="13"/>
        <v>314265.80326795025</v>
      </c>
      <c r="M65" s="14">
        <f t="shared" si="27"/>
        <v>66.851729738578797</v>
      </c>
      <c r="N65" s="15">
        <f t="shared" si="28"/>
        <v>1131510.46875</v>
      </c>
      <c r="O65" s="15">
        <f t="shared" si="29"/>
        <v>75643432.053247601</v>
      </c>
      <c r="P65" s="22">
        <f t="shared" si="30"/>
        <v>66.851729738578783</v>
      </c>
      <c r="Q65" s="31">
        <f t="shared" si="31"/>
        <v>1118610.3365384615</v>
      </c>
      <c r="R65" s="31">
        <f t="shared" si="32"/>
        <v>76945906.154896379</v>
      </c>
      <c r="S65" s="32">
        <f t="shared" si="33"/>
        <v>68.787050898354295</v>
      </c>
      <c r="T65" s="31">
        <f t="shared" si="16"/>
        <v>1161510.46875</v>
      </c>
      <c r="U65" s="39">
        <v>83414</v>
      </c>
      <c r="V65" s="37">
        <f t="shared" si="17"/>
        <v>18.913973135964913</v>
      </c>
    </row>
    <row r="66" spans="1:22">
      <c r="A66" s="47">
        <v>30000</v>
      </c>
      <c r="B66" s="47">
        <v>110000</v>
      </c>
      <c r="C66" s="47">
        <v>1200000</v>
      </c>
      <c r="D66" s="13">
        <v>43466</v>
      </c>
      <c r="E66" s="16">
        <f t="shared" ref="E66:E89" si="34">N65</f>
        <v>1131510.46875</v>
      </c>
      <c r="F66" s="16">
        <f t="shared" ref="F66:F89" si="35">O65</f>
        <v>75643432.053247601</v>
      </c>
      <c r="G66" s="14">
        <f t="shared" ref="G66:G89" si="36">P65</f>
        <v>66.851729738578783</v>
      </c>
      <c r="H66" s="46">
        <f t="shared" si="19"/>
        <v>0</v>
      </c>
      <c r="I66" s="74">
        <f t="shared" ref="I66:I89" si="37">H66*J66</f>
        <v>0</v>
      </c>
      <c r="J66" s="22">
        <f>VLOOKUP(D66,Data!$A$5:$V$197,7,FALSE)*6.4</f>
        <v>61.7771248039491</v>
      </c>
      <c r="K66" s="74">
        <f>VLOOKUP(D66,Data!$A$5:$V$197,12,FALSE)</f>
        <v>2405.46875</v>
      </c>
      <c r="L66" s="74">
        <f t="shared" ref="L66:L89" si="38">IF(E66+H66&gt;0,((F66+I66)/(E66+H66)*K66),0)</f>
        <v>160809.74676959694</v>
      </c>
      <c r="M66" s="14">
        <f t="shared" ref="M66:M89" si="39">IF(K66=0,0,L66/K66)</f>
        <v>66.851729738578783</v>
      </c>
      <c r="N66" s="46">
        <f t="shared" ref="N66:N89" si="40">+E66+H66-K66</f>
        <v>1129105</v>
      </c>
      <c r="O66" s="46">
        <f t="shared" ref="O66:O89" si="41">+F66+I66-L66</f>
        <v>75482622.306478009</v>
      </c>
      <c r="P66" s="22">
        <f t="shared" ref="P66:P89" si="42">IF(N66=0,0,O66/N66)</f>
        <v>66.851729738578797</v>
      </c>
      <c r="Q66" s="55">
        <f t="shared" ref="Q66:Q89" si="43">AVERAGE(N54:N66)</f>
        <v>1122926.09375</v>
      </c>
      <c r="R66" s="55">
        <f t="shared" ref="R66:R89" si="44">AVERAGE(O54:O66)</f>
        <v>76869777.006481275</v>
      </c>
      <c r="S66" s="32">
        <f t="shared" ref="S66:S89" si="45">IF(Q66=0,0,R66/Q66)</f>
        <v>68.454885352049715</v>
      </c>
      <c r="T66" s="55">
        <f t="shared" ref="T66:T89" si="46">N66+A66</f>
        <v>1159105</v>
      </c>
      <c r="U66" s="39">
        <v>83415</v>
      </c>
      <c r="V66" s="37">
        <f t="shared" ref="V66:V89" si="47">(T66-U66)/57000</f>
        <v>18.871754385964913</v>
      </c>
    </row>
    <row r="67" spans="1:22">
      <c r="A67" s="47">
        <v>30000</v>
      </c>
      <c r="B67" s="47">
        <v>110000</v>
      </c>
      <c r="C67" s="47">
        <v>1200000</v>
      </c>
      <c r="D67" s="13">
        <v>43497</v>
      </c>
      <c r="E67" s="16">
        <f t="shared" si="34"/>
        <v>1129105</v>
      </c>
      <c r="F67" s="16">
        <f t="shared" si="35"/>
        <v>75482622.306478009</v>
      </c>
      <c r="G67" s="14">
        <f t="shared" si="36"/>
        <v>66.851729738578797</v>
      </c>
      <c r="H67" s="46">
        <f t="shared" si="19"/>
        <v>0</v>
      </c>
      <c r="I67" s="74">
        <f t="shared" si="37"/>
        <v>0</v>
      </c>
      <c r="J67" s="22">
        <f>VLOOKUP(D67,Data!$A$5:$V$197,7,FALSE)*6.4</f>
        <v>62.958986101616148</v>
      </c>
      <c r="K67" s="74">
        <f>VLOOKUP(D67,Data!$A$5:$V$197,12,FALSE)</f>
        <v>666.25</v>
      </c>
      <c r="L67" s="74">
        <f t="shared" si="38"/>
        <v>44539.964938328121</v>
      </c>
      <c r="M67" s="14">
        <f t="shared" si="39"/>
        <v>66.851729738578797</v>
      </c>
      <c r="N67" s="46">
        <f t="shared" si="40"/>
        <v>1128438.75</v>
      </c>
      <c r="O67" s="46">
        <f t="shared" si="41"/>
        <v>75438082.341539681</v>
      </c>
      <c r="P67" s="22">
        <f t="shared" si="42"/>
        <v>66.851729738578797</v>
      </c>
      <c r="Q67" s="55">
        <f t="shared" si="43"/>
        <v>1127296.7548076923</v>
      </c>
      <c r="R67" s="55">
        <f t="shared" si="44"/>
        <v>76797787.249991</v>
      </c>
      <c r="S67" s="32">
        <f t="shared" si="45"/>
        <v>68.125617254253598</v>
      </c>
      <c r="T67" s="55">
        <f t="shared" si="46"/>
        <v>1158438.75</v>
      </c>
      <c r="U67" s="39">
        <v>83416</v>
      </c>
      <c r="V67" s="37">
        <f t="shared" si="47"/>
        <v>18.860048245614035</v>
      </c>
    </row>
    <row r="68" spans="1:22">
      <c r="A68" s="47">
        <v>30000</v>
      </c>
      <c r="B68" s="47">
        <v>110000</v>
      </c>
      <c r="C68" s="47">
        <v>1200000</v>
      </c>
      <c r="D68" s="13">
        <v>43525</v>
      </c>
      <c r="E68" s="16">
        <f t="shared" si="34"/>
        <v>1128438.75</v>
      </c>
      <c r="F68" s="16">
        <f t="shared" si="35"/>
        <v>75438082.341539681</v>
      </c>
      <c r="G68" s="14">
        <f t="shared" si="36"/>
        <v>66.851729738578797</v>
      </c>
      <c r="H68" s="46">
        <f t="shared" si="19"/>
        <v>0</v>
      </c>
      <c r="I68" s="74">
        <f t="shared" si="37"/>
        <v>0</v>
      </c>
      <c r="J68" s="22">
        <f>VLOOKUP(D68,Data!$A$5:$V$197,7,FALSE)*6.4</f>
        <v>66.062616677213612</v>
      </c>
      <c r="K68" s="74">
        <f>VLOOKUP(D68,Data!$A$5:$V$197,12,FALSE)</f>
        <v>3755.46875</v>
      </c>
      <c r="L68" s="74">
        <f t="shared" si="38"/>
        <v>251059.58191667835</v>
      </c>
      <c r="M68" s="14">
        <f t="shared" si="39"/>
        <v>66.851729738578797</v>
      </c>
      <c r="N68" s="46">
        <f t="shared" si="40"/>
        <v>1124683.28125</v>
      </c>
      <c r="O68" s="46">
        <f t="shared" si="41"/>
        <v>75187022.759623006</v>
      </c>
      <c r="P68" s="22">
        <f t="shared" si="42"/>
        <v>66.851729738578797</v>
      </c>
      <c r="Q68" s="55">
        <f t="shared" si="43"/>
        <v>1124867.704326923</v>
      </c>
      <c r="R68" s="55">
        <f t="shared" si="44"/>
        <v>76402990.517323464</v>
      </c>
      <c r="S68" s="32">
        <f t="shared" si="45"/>
        <v>67.921756686080727</v>
      </c>
      <c r="T68" s="55">
        <f t="shared" si="46"/>
        <v>1154683.28125</v>
      </c>
      <c r="U68" s="39">
        <v>83417</v>
      </c>
      <c r="V68" s="37">
        <f t="shared" si="47"/>
        <v>18.794145285087719</v>
      </c>
    </row>
    <row r="69" spans="1:22">
      <c r="A69" s="47">
        <v>30000</v>
      </c>
      <c r="B69" s="47">
        <v>110000</v>
      </c>
      <c r="C69" s="47">
        <v>1200000</v>
      </c>
      <c r="D69" s="13">
        <v>43556</v>
      </c>
      <c r="E69" s="16">
        <f t="shared" si="34"/>
        <v>1124683.28125</v>
      </c>
      <c r="F69" s="16">
        <f t="shared" si="35"/>
        <v>75187022.759623006</v>
      </c>
      <c r="G69" s="14">
        <f t="shared" si="36"/>
        <v>66.851729738578797</v>
      </c>
      <c r="H69" s="46">
        <f t="shared" si="19"/>
        <v>0</v>
      </c>
      <c r="I69" s="74">
        <f t="shared" si="37"/>
        <v>0</v>
      </c>
      <c r="J69" s="22">
        <f>VLOOKUP(D69,Data!$A$5:$V$197,7,FALSE)*6.4</f>
        <v>68.267787562491307</v>
      </c>
      <c r="K69" s="74">
        <f>VLOOKUP(D69,Data!$A$5:$V$197,12,FALSE)</f>
        <v>43389.0625</v>
      </c>
      <c r="L69" s="74">
        <f t="shared" si="38"/>
        <v>2900633.8798603043</v>
      </c>
      <c r="M69" s="14">
        <f t="shared" si="39"/>
        <v>66.851729738578797</v>
      </c>
      <c r="N69" s="46">
        <f t="shared" si="40"/>
        <v>1081294.21875</v>
      </c>
      <c r="O69" s="46">
        <f t="shared" si="41"/>
        <v>72286388.879762709</v>
      </c>
      <c r="P69" s="22">
        <f t="shared" si="42"/>
        <v>66.851729738578797</v>
      </c>
      <c r="Q69" s="55">
        <f t="shared" si="43"/>
        <v>1119463.1971153845</v>
      </c>
      <c r="R69" s="55">
        <f t="shared" si="44"/>
        <v>75810225.696946412</v>
      </c>
      <c r="S69" s="32">
        <f t="shared" si="45"/>
        <v>67.720158994322489</v>
      </c>
      <c r="T69" s="55">
        <f t="shared" si="46"/>
        <v>1111294.21875</v>
      </c>
      <c r="U69" s="39">
        <v>83418</v>
      </c>
      <c r="V69" s="37">
        <f t="shared" si="47"/>
        <v>18.032916118421053</v>
      </c>
    </row>
    <row r="70" spans="1:22">
      <c r="A70" s="47">
        <v>30000</v>
      </c>
      <c r="B70" s="47">
        <v>110000</v>
      </c>
      <c r="C70" s="47">
        <v>1200000</v>
      </c>
      <c r="D70" s="13">
        <v>43586</v>
      </c>
      <c r="E70" s="16">
        <f t="shared" si="34"/>
        <v>1081294.21875</v>
      </c>
      <c r="F70" s="16">
        <f t="shared" si="35"/>
        <v>72286388.879762709</v>
      </c>
      <c r="G70" s="14">
        <f t="shared" si="36"/>
        <v>66.851729738578797</v>
      </c>
      <c r="H70" s="46">
        <f t="shared" si="19"/>
        <v>110000</v>
      </c>
      <c r="I70" s="74">
        <f t="shared" si="37"/>
        <v>7669151.7238663863</v>
      </c>
      <c r="J70" s="22">
        <f>VLOOKUP(D70,Data!$A$5:$V$197,7,FALSE)*6.4</f>
        <v>69.719561126058053</v>
      </c>
      <c r="K70" s="74">
        <f>VLOOKUP(D70,Data!$A$5:$V$197,12,FALSE)</f>
        <v>52731.40625</v>
      </c>
      <c r="L70" s="74">
        <f t="shared" si="38"/>
        <v>3539149.2942291554</v>
      </c>
      <c r="M70" s="14">
        <f t="shared" si="39"/>
        <v>67.116535399227203</v>
      </c>
      <c r="N70" s="46">
        <f t="shared" si="40"/>
        <v>1138562.8125</v>
      </c>
      <c r="O70" s="46">
        <f t="shared" si="41"/>
        <v>76416391.309399948</v>
      </c>
      <c r="P70" s="22">
        <f t="shared" si="42"/>
        <v>67.116535399227217</v>
      </c>
      <c r="Q70" s="55">
        <f t="shared" si="43"/>
        <v>1119103.9302884615</v>
      </c>
      <c r="R70" s="55">
        <f t="shared" si="44"/>
        <v>75579608.308259219</v>
      </c>
      <c r="S70" s="32">
        <f t="shared" si="45"/>
        <v>67.535825996766661</v>
      </c>
      <c r="T70" s="55">
        <f t="shared" si="46"/>
        <v>1168562.8125</v>
      </c>
      <c r="U70" s="39">
        <v>83419</v>
      </c>
      <c r="V70" s="37">
        <f t="shared" si="47"/>
        <v>19.037610745614035</v>
      </c>
    </row>
    <row r="71" spans="1:22">
      <c r="A71" s="47">
        <v>30000</v>
      </c>
      <c r="B71" s="47">
        <v>110000</v>
      </c>
      <c r="C71" s="47">
        <v>1200000</v>
      </c>
      <c r="D71" s="13">
        <v>43617</v>
      </c>
      <c r="E71" s="16">
        <f t="shared" si="34"/>
        <v>1138562.8125</v>
      </c>
      <c r="F71" s="16">
        <f t="shared" si="35"/>
        <v>76416391.309399948</v>
      </c>
      <c r="G71" s="14">
        <f t="shared" si="36"/>
        <v>67.116535399227217</v>
      </c>
      <c r="H71" s="46">
        <f t="shared" si="19"/>
        <v>0</v>
      </c>
      <c r="I71" s="74">
        <f t="shared" si="37"/>
        <v>0</v>
      </c>
      <c r="J71" s="22">
        <f>VLOOKUP(D71,Data!$A$5:$V$197,7,FALSE)*6.4</f>
        <v>69.901857295108428</v>
      </c>
      <c r="K71" s="74">
        <f>VLOOKUP(D71,Data!$A$5:$V$197,12,FALSE)</f>
        <v>33173.90625</v>
      </c>
      <c r="L71" s="74">
        <f t="shared" si="38"/>
        <v>2226517.6531587699</v>
      </c>
      <c r="M71" s="14">
        <f t="shared" si="39"/>
        <v>67.116535399227217</v>
      </c>
      <c r="N71" s="46">
        <f t="shared" si="40"/>
        <v>1105388.90625</v>
      </c>
      <c r="O71" s="46">
        <f t="shared" si="41"/>
        <v>74189873.656241179</v>
      </c>
      <c r="P71" s="22">
        <f t="shared" si="42"/>
        <v>67.116535399227217</v>
      </c>
      <c r="Q71" s="55">
        <f t="shared" si="43"/>
        <v>1119076.4302884615</v>
      </c>
      <c r="R71" s="55">
        <f t="shared" si="44"/>
        <v>75378029.293020666</v>
      </c>
      <c r="S71" s="32">
        <f t="shared" si="45"/>
        <v>67.357355809549716</v>
      </c>
      <c r="T71" s="55">
        <f t="shared" si="46"/>
        <v>1135388.90625</v>
      </c>
      <c r="U71" s="39">
        <v>83420</v>
      </c>
      <c r="V71" s="37">
        <f t="shared" si="47"/>
        <v>18.455594846491227</v>
      </c>
    </row>
    <row r="72" spans="1:22">
      <c r="A72" s="47">
        <v>30000</v>
      </c>
      <c r="B72" s="47">
        <v>110000</v>
      </c>
      <c r="C72" s="47">
        <v>1200000</v>
      </c>
      <c r="D72" s="13">
        <v>43647</v>
      </c>
      <c r="E72" s="16">
        <f t="shared" si="34"/>
        <v>1105388.90625</v>
      </c>
      <c r="F72" s="16">
        <f t="shared" si="35"/>
        <v>74189873.656241179</v>
      </c>
      <c r="G72" s="14">
        <f t="shared" si="36"/>
        <v>67.116535399227217</v>
      </c>
      <c r="H72" s="46">
        <f t="shared" si="19"/>
        <v>0</v>
      </c>
      <c r="I72" s="74">
        <f t="shared" si="37"/>
        <v>0</v>
      </c>
      <c r="J72" s="22">
        <f>VLOOKUP(D72,Data!$A$5:$V$197,7,FALSE)*6.4</f>
        <v>69.883474488145382</v>
      </c>
      <c r="K72" s="74">
        <f>VLOOKUP(D72,Data!$A$5:$V$197,12,FALSE)</f>
        <v>23638.125</v>
      </c>
      <c r="L72" s="74">
        <f t="shared" si="38"/>
        <v>1586509.0533338578</v>
      </c>
      <c r="M72" s="14">
        <f t="shared" si="39"/>
        <v>67.116535399227217</v>
      </c>
      <c r="N72" s="46">
        <f t="shared" si="40"/>
        <v>1081750.78125</v>
      </c>
      <c r="O72" s="46">
        <f t="shared" si="41"/>
        <v>72603364.602907315</v>
      </c>
      <c r="P72" s="22">
        <f t="shared" si="42"/>
        <v>67.116535399227203</v>
      </c>
      <c r="Q72" s="55">
        <f t="shared" si="43"/>
        <v>1119501.8389423077</v>
      </c>
      <c r="R72" s="55">
        <f t="shared" si="44"/>
        <v>75212181.269978508</v>
      </c>
      <c r="S72" s="32">
        <f t="shared" si="45"/>
        <v>67.183615652688971</v>
      </c>
      <c r="T72" s="55">
        <f t="shared" si="46"/>
        <v>1111750.78125</v>
      </c>
      <c r="U72" s="39">
        <v>83421</v>
      </c>
      <c r="V72" s="37">
        <f t="shared" si="47"/>
        <v>18.040873355263159</v>
      </c>
    </row>
    <row r="73" spans="1:22">
      <c r="A73" s="47">
        <v>30000</v>
      </c>
      <c r="B73" s="47">
        <v>110000</v>
      </c>
      <c r="C73" s="47">
        <v>1200000</v>
      </c>
      <c r="D73" s="13">
        <v>43678</v>
      </c>
      <c r="E73" s="16">
        <f t="shared" si="34"/>
        <v>1081750.78125</v>
      </c>
      <c r="F73" s="16">
        <f t="shared" si="35"/>
        <v>72603364.602907315</v>
      </c>
      <c r="G73" s="14">
        <f t="shared" si="36"/>
        <v>67.116535399227203</v>
      </c>
      <c r="H73" s="46">
        <f t="shared" si="19"/>
        <v>0</v>
      </c>
      <c r="I73" s="74">
        <f t="shared" si="37"/>
        <v>0</v>
      </c>
      <c r="J73" s="22">
        <f>VLOOKUP(D73,Data!$A$5:$V$197,7,FALSE)*6.4</f>
        <v>71.266780712116017</v>
      </c>
      <c r="K73" s="74">
        <f>VLOOKUP(D73,Data!$A$5:$V$197,12,FALSE)</f>
        <v>14466.25</v>
      </c>
      <c r="L73" s="74">
        <f t="shared" si="38"/>
        <v>970924.58021907054</v>
      </c>
      <c r="M73" s="14">
        <f t="shared" si="39"/>
        <v>67.116535399227203</v>
      </c>
      <c r="N73" s="46">
        <f t="shared" si="40"/>
        <v>1067284.53125</v>
      </c>
      <c r="O73" s="46">
        <f t="shared" si="41"/>
        <v>71632440.02268824</v>
      </c>
      <c r="P73" s="22">
        <f t="shared" si="42"/>
        <v>67.116535399227203</v>
      </c>
      <c r="Q73" s="55">
        <f t="shared" si="43"/>
        <v>1113334.8317307692</v>
      </c>
      <c r="R73" s="55">
        <f t="shared" si="44"/>
        <v>74717615.295003191</v>
      </c>
      <c r="S73" s="32">
        <f t="shared" si="45"/>
        <v>67.111540181356403</v>
      </c>
      <c r="T73" s="55">
        <f t="shared" si="46"/>
        <v>1097284.53125</v>
      </c>
      <c r="U73" s="39">
        <v>83422</v>
      </c>
      <c r="V73" s="37">
        <f t="shared" si="47"/>
        <v>17.787061951754385</v>
      </c>
    </row>
    <row r="74" spans="1:22">
      <c r="A74" s="47">
        <v>30000</v>
      </c>
      <c r="B74" s="47">
        <v>110000</v>
      </c>
      <c r="C74" s="47">
        <v>1200000</v>
      </c>
      <c r="D74" s="13">
        <v>43709</v>
      </c>
      <c r="E74" s="16">
        <f t="shared" si="34"/>
        <v>1067284.53125</v>
      </c>
      <c r="F74" s="16">
        <f t="shared" si="35"/>
        <v>71632440.02268824</v>
      </c>
      <c r="G74" s="14">
        <f t="shared" si="36"/>
        <v>67.116535399227203</v>
      </c>
      <c r="H74" s="46">
        <f t="shared" si="19"/>
        <v>110000</v>
      </c>
      <c r="I74" s="74">
        <f t="shared" si="37"/>
        <v>7580010.4291013228</v>
      </c>
      <c r="J74" s="22">
        <f>VLOOKUP(D74,Data!$A$5:$V$197,7,FALSE)*6.4</f>
        <v>68.909185719102936</v>
      </c>
      <c r="K74" s="74">
        <f>VLOOKUP(D74,Data!$A$5:$V$197,12,FALSE)</f>
        <v>38560.15625</v>
      </c>
      <c r="L74" s="74">
        <f t="shared" si="38"/>
        <v>2594482.7994327634</v>
      </c>
      <c r="M74" s="14">
        <f t="shared" si="39"/>
        <v>67.28403232112845</v>
      </c>
      <c r="N74" s="46">
        <f t="shared" si="40"/>
        <v>1138724.375</v>
      </c>
      <c r="O74" s="46">
        <f t="shared" si="41"/>
        <v>76617967.652356789</v>
      </c>
      <c r="P74" s="22">
        <f t="shared" si="42"/>
        <v>67.28403232112845</v>
      </c>
      <c r="Q74" s="55">
        <f t="shared" si="43"/>
        <v>1114565.78125</v>
      </c>
      <c r="R74" s="55">
        <f t="shared" si="44"/>
        <v>74735984.893254355</v>
      </c>
      <c r="S74" s="32">
        <f t="shared" si="45"/>
        <v>67.05390220166008</v>
      </c>
      <c r="T74" s="55">
        <f t="shared" si="46"/>
        <v>1168724.375</v>
      </c>
      <c r="U74" s="39">
        <v>83423</v>
      </c>
      <c r="V74" s="37">
        <f t="shared" si="47"/>
        <v>19.040375000000001</v>
      </c>
    </row>
    <row r="75" spans="1:22">
      <c r="A75" s="47">
        <v>30000</v>
      </c>
      <c r="B75" s="47">
        <v>110000</v>
      </c>
      <c r="C75" s="47">
        <v>1200000</v>
      </c>
      <c r="D75" s="13">
        <v>43739</v>
      </c>
      <c r="E75" s="16">
        <f t="shared" si="34"/>
        <v>1138724.375</v>
      </c>
      <c r="F75" s="16">
        <f t="shared" si="35"/>
        <v>76617967.652356789</v>
      </c>
      <c r="G75" s="14">
        <f t="shared" si="36"/>
        <v>67.28403232112845</v>
      </c>
      <c r="H75" s="46">
        <f t="shared" si="19"/>
        <v>0</v>
      </c>
      <c r="I75" s="74">
        <f t="shared" si="37"/>
        <v>0</v>
      </c>
      <c r="J75" s="22">
        <f>VLOOKUP(D75,Data!$A$5:$V$197,7,FALSE)*6.4</f>
        <v>66.917417200996141</v>
      </c>
      <c r="K75" s="74">
        <f>VLOOKUP(D75,Data!$A$5:$V$197,12,FALSE)</f>
        <v>36895.3125</v>
      </c>
      <c r="L75" s="74">
        <f t="shared" si="38"/>
        <v>2482465.3987481347</v>
      </c>
      <c r="M75" s="14">
        <f t="shared" si="39"/>
        <v>67.28403232112845</v>
      </c>
      <c r="N75" s="46">
        <f t="shared" si="40"/>
        <v>1101829.0625</v>
      </c>
      <c r="O75" s="46">
        <f t="shared" si="41"/>
        <v>74135502.253608659</v>
      </c>
      <c r="P75" s="22">
        <f t="shared" si="42"/>
        <v>67.28403232112845</v>
      </c>
      <c r="Q75" s="55">
        <f t="shared" si="43"/>
        <v>1116187.0552884615</v>
      </c>
      <c r="R75" s="55">
        <f t="shared" si="44"/>
        <v>74783026.501721397</v>
      </c>
      <c r="S75" s="32">
        <f t="shared" si="45"/>
        <v>66.998650582267203</v>
      </c>
      <c r="T75" s="55">
        <f t="shared" si="46"/>
        <v>1131829.0625</v>
      </c>
      <c r="U75" s="39">
        <v>83424</v>
      </c>
      <c r="V75" s="37">
        <f t="shared" si="47"/>
        <v>18.393071271929823</v>
      </c>
    </row>
    <row r="76" spans="1:22">
      <c r="A76" s="47">
        <v>30000</v>
      </c>
      <c r="B76" s="47">
        <v>110000</v>
      </c>
      <c r="C76" s="47">
        <v>1200000</v>
      </c>
      <c r="D76" s="13">
        <v>43770</v>
      </c>
      <c r="E76" s="16">
        <f t="shared" si="34"/>
        <v>1101829.0625</v>
      </c>
      <c r="F76" s="16">
        <f t="shared" si="35"/>
        <v>74135502.253608659</v>
      </c>
      <c r="G76" s="14">
        <f t="shared" si="36"/>
        <v>67.28403232112845</v>
      </c>
      <c r="H76" s="46">
        <f t="shared" si="19"/>
        <v>0</v>
      </c>
      <c r="I76" s="74">
        <f t="shared" si="37"/>
        <v>0</v>
      </c>
      <c r="J76" s="22">
        <f>VLOOKUP(D76,Data!$A$5:$V$197,7,FALSE)*6.4</f>
        <v>65.701854090563458</v>
      </c>
      <c r="K76" s="74">
        <f>VLOOKUP(D76,Data!$A$5:$V$197,12,FALSE)</f>
        <v>0</v>
      </c>
      <c r="L76" s="74">
        <f t="shared" si="38"/>
        <v>0</v>
      </c>
      <c r="M76" s="14">
        <f t="shared" si="39"/>
        <v>0</v>
      </c>
      <c r="N76" s="46">
        <f t="shared" si="40"/>
        <v>1101829.0625</v>
      </c>
      <c r="O76" s="46">
        <f t="shared" si="41"/>
        <v>74135502.253608659</v>
      </c>
      <c r="P76" s="22">
        <f t="shared" si="42"/>
        <v>67.28403232112845</v>
      </c>
      <c r="Q76" s="55">
        <f t="shared" si="43"/>
        <v>1112816.358173077</v>
      </c>
      <c r="R76" s="55">
        <f t="shared" si="44"/>
        <v>74594329.842152104</v>
      </c>
      <c r="S76" s="32">
        <f t="shared" si="45"/>
        <v>67.032021316270402</v>
      </c>
      <c r="T76" s="55">
        <f t="shared" si="46"/>
        <v>1131829.0625</v>
      </c>
      <c r="U76" s="39">
        <v>83425</v>
      </c>
      <c r="V76" s="37">
        <f t="shared" si="47"/>
        <v>18.393053728070175</v>
      </c>
    </row>
    <row r="77" spans="1:22">
      <c r="A77" s="47">
        <v>30000</v>
      </c>
      <c r="B77" s="47">
        <v>110000</v>
      </c>
      <c r="C77" s="47">
        <v>1200000</v>
      </c>
      <c r="D77" s="13">
        <v>43800</v>
      </c>
      <c r="E77" s="16">
        <f t="shared" si="34"/>
        <v>1101829.0625</v>
      </c>
      <c r="F77" s="16">
        <f t="shared" si="35"/>
        <v>74135502.253608659</v>
      </c>
      <c r="G77" s="14">
        <f t="shared" si="36"/>
        <v>67.28403232112845</v>
      </c>
      <c r="H77" s="46">
        <f t="shared" si="19"/>
        <v>0</v>
      </c>
      <c r="I77" s="74">
        <f t="shared" si="37"/>
        <v>0</v>
      </c>
      <c r="J77" s="22">
        <f>VLOOKUP(D77,Data!$A$5:$V$197,7,FALSE)*6.4</f>
        <v>64.860840672003249</v>
      </c>
      <c r="K77" s="74">
        <f>VLOOKUP(D77,Data!$A$5:$V$197,12,FALSE)</f>
        <v>0</v>
      </c>
      <c r="L77" s="74">
        <f t="shared" si="38"/>
        <v>0</v>
      </c>
      <c r="M77" s="14">
        <f t="shared" si="39"/>
        <v>0</v>
      </c>
      <c r="N77" s="46">
        <f t="shared" si="40"/>
        <v>1101829.0625</v>
      </c>
      <c r="O77" s="46">
        <f t="shared" si="41"/>
        <v>74135502.253608659</v>
      </c>
      <c r="P77" s="22">
        <f t="shared" si="42"/>
        <v>67.28403232112845</v>
      </c>
      <c r="Q77" s="55">
        <f t="shared" si="43"/>
        <v>1110171.5625</v>
      </c>
      <c r="R77" s="55">
        <f t="shared" si="44"/>
        <v>74454160.949620813</v>
      </c>
      <c r="S77" s="32">
        <f t="shared" si="45"/>
        <v>67.065454984234307</v>
      </c>
      <c r="T77" s="55">
        <f t="shared" si="46"/>
        <v>1131829.0625</v>
      </c>
      <c r="U77" s="39">
        <v>83426</v>
      </c>
      <c r="V77" s="37">
        <f t="shared" si="47"/>
        <v>18.393036184210526</v>
      </c>
    </row>
    <row r="78" spans="1:22">
      <c r="A78" s="47">
        <v>30000</v>
      </c>
      <c r="B78" s="47">
        <v>110000</v>
      </c>
      <c r="C78" s="47">
        <v>1200000</v>
      </c>
      <c r="D78" s="13">
        <v>43831</v>
      </c>
      <c r="E78" s="16">
        <f t="shared" si="34"/>
        <v>1101829.0625</v>
      </c>
      <c r="F78" s="16">
        <f t="shared" si="35"/>
        <v>74135502.253608659</v>
      </c>
      <c r="G78" s="14">
        <f t="shared" si="36"/>
        <v>67.28403232112845</v>
      </c>
      <c r="H78" s="46">
        <f t="shared" si="19"/>
        <v>0</v>
      </c>
      <c r="I78" s="74">
        <f t="shared" si="37"/>
        <v>0</v>
      </c>
      <c r="J78" s="22">
        <f>VLOOKUP(D78,Data!$A$5:$V$197,7,FALSE)*6.4</f>
        <v>65.034988737732334</v>
      </c>
      <c r="K78" s="74">
        <f>VLOOKUP(D78,Data!$A$5:$V$197,12,FALSE)</f>
        <v>3210.3125</v>
      </c>
      <c r="L78" s="74">
        <f t="shared" si="38"/>
        <v>216002.77001092269</v>
      </c>
      <c r="M78" s="14">
        <f t="shared" si="39"/>
        <v>67.28403232112845</v>
      </c>
      <c r="N78" s="46">
        <f t="shared" si="40"/>
        <v>1098618.75</v>
      </c>
      <c r="O78" s="46">
        <f t="shared" si="41"/>
        <v>73919499.483597741</v>
      </c>
      <c r="P78" s="22">
        <f t="shared" si="42"/>
        <v>67.28403232112845</v>
      </c>
      <c r="Q78" s="55">
        <f t="shared" si="43"/>
        <v>1107641.4302884615</v>
      </c>
      <c r="R78" s="55">
        <f t="shared" si="44"/>
        <v>74321550.751955435</v>
      </c>
      <c r="S78" s="32">
        <f t="shared" si="45"/>
        <v>67.098926348935848</v>
      </c>
      <c r="T78" s="55">
        <f t="shared" si="46"/>
        <v>1128618.75</v>
      </c>
      <c r="U78" s="39">
        <v>83427</v>
      </c>
      <c r="V78" s="37">
        <f t="shared" si="47"/>
        <v>18.336697368421053</v>
      </c>
    </row>
    <row r="79" spans="1:22">
      <c r="A79" s="47">
        <v>30000</v>
      </c>
      <c r="B79" s="47">
        <v>110000</v>
      </c>
      <c r="C79" s="47">
        <v>1200000</v>
      </c>
      <c r="D79" s="13">
        <v>43862</v>
      </c>
      <c r="E79" s="16">
        <f t="shared" si="34"/>
        <v>1098618.75</v>
      </c>
      <c r="F79" s="16">
        <f t="shared" si="35"/>
        <v>73919499.483597741</v>
      </c>
      <c r="G79" s="14">
        <f t="shared" si="36"/>
        <v>67.28403232112845</v>
      </c>
      <c r="H79" s="46">
        <f t="shared" si="19"/>
        <v>0</v>
      </c>
      <c r="I79" s="74">
        <f t="shared" si="37"/>
        <v>0</v>
      </c>
      <c r="J79" s="22">
        <f>VLOOKUP(D79,Data!$A$5:$V$197,7,FALSE)*6.4</f>
        <v>66.294204564134148</v>
      </c>
      <c r="K79" s="74">
        <f>VLOOKUP(D79,Data!$A$5:$V$197,12,FALSE)</f>
        <v>0</v>
      </c>
      <c r="L79" s="74">
        <f t="shared" si="38"/>
        <v>0</v>
      </c>
      <c r="M79" s="14">
        <f t="shared" si="39"/>
        <v>0</v>
      </c>
      <c r="N79" s="46">
        <f t="shared" si="40"/>
        <v>1098618.75</v>
      </c>
      <c r="O79" s="46">
        <f t="shared" si="41"/>
        <v>73919499.483597741</v>
      </c>
      <c r="P79" s="22">
        <f t="shared" si="42"/>
        <v>67.28403232112845</v>
      </c>
      <c r="Q79" s="55">
        <f t="shared" si="43"/>
        <v>1105296.3341346155</v>
      </c>
      <c r="R79" s="55">
        <f t="shared" si="44"/>
        <v>74201310.534810796</v>
      </c>
      <c r="S79" s="32">
        <f t="shared" si="45"/>
        <v>67.1325039659217</v>
      </c>
      <c r="T79" s="55">
        <f t="shared" si="46"/>
        <v>1128618.75</v>
      </c>
      <c r="U79" s="39">
        <v>83428</v>
      </c>
      <c r="V79" s="37">
        <f t="shared" si="47"/>
        <v>18.336679824561404</v>
      </c>
    </row>
    <row r="80" spans="1:22">
      <c r="A80" s="47">
        <v>30000</v>
      </c>
      <c r="B80" s="47">
        <v>110000</v>
      </c>
      <c r="C80" s="47">
        <v>1200000</v>
      </c>
      <c r="D80" s="13">
        <v>43891</v>
      </c>
      <c r="E80" s="16">
        <f t="shared" si="34"/>
        <v>1098618.75</v>
      </c>
      <c r="F80" s="16">
        <f t="shared" si="35"/>
        <v>73919499.483597741</v>
      </c>
      <c r="G80" s="14">
        <f t="shared" si="36"/>
        <v>67.28403232112845</v>
      </c>
      <c r="H80" s="46">
        <f t="shared" si="19"/>
        <v>0</v>
      </c>
      <c r="I80" s="74">
        <f t="shared" si="37"/>
        <v>0</v>
      </c>
      <c r="J80" s="22">
        <f>VLOOKUP(D80,Data!$A$5:$V$197,7,FALSE)*6.4</f>
        <v>69.600972243058365</v>
      </c>
      <c r="K80" s="74">
        <f>VLOOKUP(D80,Data!$A$5:$V$197,12,FALSE)</f>
        <v>8972.5</v>
      </c>
      <c r="L80" s="74">
        <f t="shared" si="38"/>
        <v>603705.98000132502</v>
      </c>
      <c r="M80" s="14">
        <f t="shared" si="39"/>
        <v>67.28403232112845</v>
      </c>
      <c r="N80" s="46">
        <f t="shared" si="40"/>
        <v>1089646.25</v>
      </c>
      <c r="O80" s="46">
        <f t="shared" si="41"/>
        <v>73315793.50359641</v>
      </c>
      <c r="P80" s="22">
        <f t="shared" si="42"/>
        <v>67.28403232112845</v>
      </c>
      <c r="Q80" s="55">
        <f t="shared" si="43"/>
        <v>1102312.295673077</v>
      </c>
      <c r="R80" s="55">
        <f t="shared" si="44"/>
        <v>74038057.547276706</v>
      </c>
      <c r="S80" s="32">
        <f t="shared" si="45"/>
        <v>67.166135983331955</v>
      </c>
      <c r="T80" s="55">
        <f t="shared" si="46"/>
        <v>1119646.25</v>
      </c>
      <c r="U80" s="39">
        <v>83429</v>
      </c>
      <c r="V80" s="37">
        <f t="shared" si="47"/>
        <v>18.17925</v>
      </c>
    </row>
    <row r="81" spans="1:22">
      <c r="A81" s="47">
        <v>30000</v>
      </c>
      <c r="B81" s="47">
        <v>110000</v>
      </c>
      <c r="C81" s="47">
        <v>1200000</v>
      </c>
      <c r="D81" s="13">
        <v>43922</v>
      </c>
      <c r="E81" s="16">
        <f t="shared" si="34"/>
        <v>1089646.25</v>
      </c>
      <c r="F81" s="16">
        <f t="shared" si="35"/>
        <v>73315793.50359641</v>
      </c>
      <c r="G81" s="14">
        <f t="shared" si="36"/>
        <v>67.28403232112845</v>
      </c>
      <c r="H81" s="46">
        <f t="shared" si="19"/>
        <v>0</v>
      </c>
      <c r="I81" s="74">
        <f t="shared" si="37"/>
        <v>0</v>
      </c>
      <c r="J81" s="22">
        <f>VLOOKUP(D81,Data!$A$5:$V$197,7,FALSE)*6.4</f>
        <v>71.950474747407554</v>
      </c>
      <c r="K81" s="74">
        <f>VLOOKUP(D81,Data!$A$5:$V$197,12,FALSE)</f>
        <v>1556.875</v>
      </c>
      <c r="L81" s="74">
        <f t="shared" si="38"/>
        <v>104752.82781995686</v>
      </c>
      <c r="M81" s="14">
        <f t="shared" si="39"/>
        <v>67.28403232112845</v>
      </c>
      <c r="N81" s="46">
        <f t="shared" si="40"/>
        <v>1088089.375</v>
      </c>
      <c r="O81" s="46">
        <f t="shared" si="41"/>
        <v>73211040.675776452</v>
      </c>
      <c r="P81" s="22">
        <f t="shared" si="42"/>
        <v>67.28403232112845</v>
      </c>
      <c r="Q81" s="55">
        <f t="shared" si="43"/>
        <v>1099497.3798076923</v>
      </c>
      <c r="R81" s="55">
        <f t="shared" si="44"/>
        <v>73886058.925442353</v>
      </c>
      <c r="S81" s="32">
        <f t="shared" si="45"/>
        <v>67.199849933580921</v>
      </c>
      <c r="T81" s="55">
        <f t="shared" si="46"/>
        <v>1118089.375</v>
      </c>
      <c r="U81" s="39">
        <v>83430</v>
      </c>
      <c r="V81" s="37">
        <f t="shared" si="47"/>
        <v>18.151918859649122</v>
      </c>
    </row>
    <row r="82" spans="1:22">
      <c r="A82" s="47">
        <v>30000</v>
      </c>
      <c r="B82" s="47">
        <v>110000</v>
      </c>
      <c r="C82" s="47">
        <v>1200000</v>
      </c>
      <c r="D82" s="13">
        <v>43952</v>
      </c>
      <c r="E82" s="16">
        <f t="shared" si="34"/>
        <v>1088089.375</v>
      </c>
      <c r="F82" s="16">
        <f t="shared" si="35"/>
        <v>73211040.675776452</v>
      </c>
      <c r="G82" s="14">
        <f t="shared" si="36"/>
        <v>67.28403232112845</v>
      </c>
      <c r="H82" s="46">
        <f t="shared" si="19"/>
        <v>0</v>
      </c>
      <c r="I82" s="74">
        <f t="shared" si="37"/>
        <v>0</v>
      </c>
      <c r="J82" s="22">
        <f>VLOOKUP(D82,Data!$A$5:$V$197,7,FALSE)*6.4</f>
        <v>73.490431471080868</v>
      </c>
      <c r="K82" s="74">
        <f>VLOOKUP(D82,Data!$A$5:$V$197,12,FALSE)</f>
        <v>27244.53125</v>
      </c>
      <c r="L82" s="74">
        <f t="shared" si="38"/>
        <v>1833121.9211989942</v>
      </c>
      <c r="M82" s="14">
        <f t="shared" si="39"/>
        <v>67.28403232112845</v>
      </c>
      <c r="N82" s="46">
        <f t="shared" si="40"/>
        <v>1060844.84375</v>
      </c>
      <c r="O82" s="46">
        <f t="shared" si="41"/>
        <v>71377918.754577458</v>
      </c>
      <c r="P82" s="22">
        <f t="shared" si="42"/>
        <v>67.28403232112845</v>
      </c>
      <c r="Q82" s="55">
        <f t="shared" si="43"/>
        <v>1097924.3509615385</v>
      </c>
      <c r="R82" s="55">
        <f t="shared" si="44"/>
        <v>73816176.608120412</v>
      </c>
      <c r="S82" s="32">
        <f t="shared" si="45"/>
        <v>67.2324796726421</v>
      </c>
      <c r="T82" s="55">
        <f t="shared" si="46"/>
        <v>1090844.84375</v>
      </c>
      <c r="U82" s="39">
        <v>83431</v>
      </c>
      <c r="V82" s="37">
        <f t="shared" si="47"/>
        <v>17.673927083333332</v>
      </c>
    </row>
    <row r="83" spans="1:22">
      <c r="A83" s="47">
        <v>30000</v>
      </c>
      <c r="B83" s="47">
        <v>110000</v>
      </c>
      <c r="C83" s="47">
        <v>1200000</v>
      </c>
      <c r="D83" s="13">
        <v>43983</v>
      </c>
      <c r="E83" s="16">
        <f t="shared" si="34"/>
        <v>1060844.84375</v>
      </c>
      <c r="F83" s="16">
        <f t="shared" si="35"/>
        <v>71377918.754577458</v>
      </c>
      <c r="G83" s="14">
        <f t="shared" si="36"/>
        <v>67.28403232112845</v>
      </c>
      <c r="H83" s="46">
        <f t="shared" si="19"/>
        <v>110000</v>
      </c>
      <c r="I83" s="74">
        <f t="shared" si="37"/>
        <v>8105312.5106427427</v>
      </c>
      <c r="J83" s="22">
        <f>VLOOKUP(D83,Data!$A$5:$V$197,7,FALSE)*6.4</f>
        <v>73.684659187661296</v>
      </c>
      <c r="K83" s="74">
        <f>VLOOKUP(D83,Data!$A$5:$V$197,12,FALSE)</f>
        <v>23807.03125</v>
      </c>
      <c r="L83" s="74">
        <f t="shared" si="38"/>
        <v>1616149.0403130744</v>
      </c>
      <c r="M83" s="14">
        <f t="shared" si="39"/>
        <v>67.885366442448571</v>
      </c>
      <c r="N83" s="46">
        <f t="shared" si="40"/>
        <v>1147037.8125</v>
      </c>
      <c r="O83" s="46">
        <f t="shared" si="41"/>
        <v>77867082.224907115</v>
      </c>
      <c r="P83" s="22">
        <f t="shared" si="42"/>
        <v>67.885366442448571</v>
      </c>
      <c r="Q83" s="55">
        <f t="shared" si="43"/>
        <v>1098576.2740384615</v>
      </c>
      <c r="R83" s="55">
        <f t="shared" si="44"/>
        <v>73927768.217005566</v>
      </c>
      <c r="S83" s="32">
        <f t="shared" si="45"/>
        <v>67.294160600465815</v>
      </c>
      <c r="T83" s="55">
        <f t="shared" si="46"/>
        <v>1177037.8125</v>
      </c>
      <c r="U83" s="39">
        <v>83432</v>
      </c>
      <c r="V83" s="37">
        <f t="shared" si="47"/>
        <v>19.186066885964912</v>
      </c>
    </row>
    <row r="84" spans="1:22">
      <c r="A84" s="47">
        <v>30000</v>
      </c>
      <c r="B84" s="47">
        <v>110000</v>
      </c>
      <c r="C84" s="47">
        <v>1200000</v>
      </c>
      <c r="D84" s="13">
        <v>44013</v>
      </c>
      <c r="E84" s="16">
        <f t="shared" si="34"/>
        <v>1147037.8125</v>
      </c>
      <c r="F84" s="16">
        <f t="shared" si="35"/>
        <v>77867082.224907115</v>
      </c>
      <c r="G84" s="14">
        <f t="shared" si="36"/>
        <v>67.885366442448571</v>
      </c>
      <c r="H84" s="46">
        <f t="shared" si="19"/>
        <v>0</v>
      </c>
      <c r="I84" s="74">
        <f t="shared" si="37"/>
        <v>0</v>
      </c>
      <c r="J84" s="22">
        <f>VLOOKUP(D84,Data!$A$5:$V$197,7,FALSE)*6.4</f>
        <v>73.665073199434715</v>
      </c>
      <c r="K84" s="74">
        <f>VLOOKUP(D84,Data!$A$5:$V$197,12,FALSE)</f>
        <v>28408.75</v>
      </c>
      <c r="L84" s="74">
        <f t="shared" si="38"/>
        <v>1928538.4039219108</v>
      </c>
      <c r="M84" s="14">
        <f t="shared" si="39"/>
        <v>67.885366442448571</v>
      </c>
      <c r="N84" s="46">
        <f t="shared" si="40"/>
        <v>1118629.0625</v>
      </c>
      <c r="O84" s="46">
        <f t="shared" si="41"/>
        <v>75938543.820985198</v>
      </c>
      <c r="P84" s="22">
        <f t="shared" si="42"/>
        <v>67.885366442448571</v>
      </c>
      <c r="Q84" s="55">
        <f t="shared" si="43"/>
        <v>1099594.7475961538</v>
      </c>
      <c r="R84" s="55">
        <f t="shared" si="44"/>
        <v>74062281.306601271</v>
      </c>
      <c r="S84" s="32">
        <f t="shared" si="45"/>
        <v>67.354160674657933</v>
      </c>
      <c r="T84" s="55">
        <f t="shared" si="46"/>
        <v>1148629.0625</v>
      </c>
      <c r="U84" s="39">
        <v>83433</v>
      </c>
      <c r="V84" s="37">
        <f t="shared" si="47"/>
        <v>18.687650219298245</v>
      </c>
    </row>
    <row r="85" spans="1:22">
      <c r="A85" s="47">
        <v>30000</v>
      </c>
      <c r="B85" s="47">
        <v>110000</v>
      </c>
      <c r="C85" s="47">
        <v>1200000</v>
      </c>
      <c r="D85" s="13">
        <v>44044</v>
      </c>
      <c r="E85" s="16">
        <f t="shared" si="34"/>
        <v>1118629.0625</v>
      </c>
      <c r="F85" s="16">
        <f t="shared" si="35"/>
        <v>75938543.820985198</v>
      </c>
      <c r="G85" s="14">
        <f t="shared" si="36"/>
        <v>67.885366442448571</v>
      </c>
      <c r="H85" s="46">
        <f t="shared" si="19"/>
        <v>0</v>
      </c>
      <c r="I85" s="74">
        <f t="shared" si="37"/>
        <v>0</v>
      </c>
      <c r="J85" s="22">
        <f>VLOOKUP(D85,Data!$A$5:$V$197,7,FALSE)*6.4</f>
        <v>75.138918813486328</v>
      </c>
      <c r="K85" s="74">
        <f>VLOOKUP(D85,Data!$A$5:$V$197,12,FALSE)</f>
        <v>33961.40625</v>
      </c>
      <c r="L85" s="74">
        <f t="shared" si="38"/>
        <v>2305482.5081821131</v>
      </c>
      <c r="M85" s="14">
        <f t="shared" si="39"/>
        <v>67.885366442448571</v>
      </c>
      <c r="N85" s="46">
        <f t="shared" si="40"/>
        <v>1084667.65625</v>
      </c>
      <c r="O85" s="46">
        <f t="shared" si="41"/>
        <v>73633061.31280309</v>
      </c>
      <c r="P85" s="22">
        <f t="shared" si="42"/>
        <v>67.885366442448571</v>
      </c>
      <c r="Q85" s="55">
        <f t="shared" si="43"/>
        <v>1099819.1225961538</v>
      </c>
      <c r="R85" s="55">
        <f t="shared" si="44"/>
        <v>74141488.745824024</v>
      </c>
      <c r="S85" s="32">
        <f t="shared" si="45"/>
        <v>67.412438302410095</v>
      </c>
      <c r="T85" s="55">
        <f t="shared" si="46"/>
        <v>1114667.65625</v>
      </c>
      <c r="U85" s="39">
        <v>83434</v>
      </c>
      <c r="V85" s="37">
        <f t="shared" si="47"/>
        <v>18.091818530701754</v>
      </c>
    </row>
    <row r="86" spans="1:22">
      <c r="A86" s="47">
        <v>30000</v>
      </c>
      <c r="B86" s="47">
        <v>110000</v>
      </c>
      <c r="C86" s="47">
        <v>1200000</v>
      </c>
      <c r="D86" s="13">
        <v>44075</v>
      </c>
      <c r="E86" s="16">
        <f t="shared" si="34"/>
        <v>1084667.65625</v>
      </c>
      <c r="F86" s="16">
        <f t="shared" si="35"/>
        <v>73633061.31280309</v>
      </c>
      <c r="G86" s="14">
        <f t="shared" si="36"/>
        <v>67.885366442448571</v>
      </c>
      <c r="H86" s="46">
        <f t="shared" si="19"/>
        <v>110000</v>
      </c>
      <c r="I86" s="74">
        <f t="shared" si="37"/>
        <v>7988971.7405767431</v>
      </c>
      <c r="J86" s="22">
        <f>VLOOKUP(D86,Data!$A$5:$V$197,7,FALSE)*6.4</f>
        <v>72.627015823424941</v>
      </c>
      <c r="K86" s="74">
        <f>VLOOKUP(D86,Data!$A$5:$V$197,12,FALSE)</f>
        <v>36042.1875</v>
      </c>
      <c r="L86" s="74">
        <f t="shared" si="38"/>
        <v>2462472.8091119383</v>
      </c>
      <c r="M86" s="14">
        <f t="shared" si="39"/>
        <v>68.321957681173998</v>
      </c>
      <c r="N86" s="46">
        <f t="shared" si="40"/>
        <v>1158625.46875</v>
      </c>
      <c r="O86" s="46">
        <f t="shared" si="41"/>
        <v>79159560.244267896</v>
      </c>
      <c r="P86" s="22">
        <f t="shared" si="42"/>
        <v>68.321957681174013</v>
      </c>
      <c r="Q86" s="55">
        <f t="shared" si="43"/>
        <v>1106845.3485576923</v>
      </c>
      <c r="R86" s="55">
        <f t="shared" si="44"/>
        <v>74720497.99363786</v>
      </c>
      <c r="S86" s="32">
        <f t="shared" si="45"/>
        <v>67.507622533721289</v>
      </c>
      <c r="T86" s="55">
        <f t="shared" si="46"/>
        <v>1188625.46875</v>
      </c>
      <c r="U86" s="39">
        <v>83435</v>
      </c>
      <c r="V86" s="37">
        <f t="shared" si="47"/>
        <v>19.389306469298244</v>
      </c>
    </row>
    <row r="87" spans="1:22">
      <c r="A87" s="47">
        <v>30000</v>
      </c>
      <c r="B87" s="47">
        <v>110000</v>
      </c>
      <c r="C87" s="47">
        <v>1200000</v>
      </c>
      <c r="D87" s="13">
        <v>44105</v>
      </c>
      <c r="E87" s="16">
        <f t="shared" si="34"/>
        <v>1158625.46875</v>
      </c>
      <c r="F87" s="16">
        <f t="shared" si="35"/>
        <v>79159560.244267896</v>
      </c>
      <c r="G87" s="14">
        <f t="shared" si="36"/>
        <v>68.321957681174013</v>
      </c>
      <c r="H87" s="46">
        <f t="shared" si="19"/>
        <v>0</v>
      </c>
      <c r="I87" s="74">
        <f t="shared" si="37"/>
        <v>0</v>
      </c>
      <c r="J87" s="22">
        <f>VLOOKUP(D87,Data!$A$5:$V$197,7,FALSE)*6.4</f>
        <v>70.511720695595258</v>
      </c>
      <c r="K87" s="74">
        <f>VLOOKUP(D87,Data!$A$5:$V$197,12,FALSE)</f>
        <v>34496.40625</v>
      </c>
      <c r="L87" s="74">
        <f t="shared" si="38"/>
        <v>2356862.0079650865</v>
      </c>
      <c r="M87" s="14">
        <f t="shared" si="39"/>
        <v>68.321957681174013</v>
      </c>
      <c r="N87" s="46">
        <f t="shared" si="40"/>
        <v>1124129.0625</v>
      </c>
      <c r="O87" s="46">
        <f t="shared" si="41"/>
        <v>76802698.236302808</v>
      </c>
      <c r="P87" s="22">
        <f t="shared" si="42"/>
        <v>68.321957681173998</v>
      </c>
      <c r="Q87" s="55">
        <f t="shared" si="43"/>
        <v>1105722.6322115385</v>
      </c>
      <c r="R87" s="55">
        <f t="shared" si="44"/>
        <v>74734708.038556784</v>
      </c>
      <c r="S87" s="32">
        <f t="shared" si="45"/>
        <v>67.58901903733404</v>
      </c>
      <c r="T87" s="55">
        <f t="shared" si="46"/>
        <v>1154129.0625</v>
      </c>
      <c r="U87" s="39">
        <v>83436</v>
      </c>
      <c r="V87" s="37">
        <f t="shared" si="47"/>
        <v>18.784088815789474</v>
      </c>
    </row>
    <row r="88" spans="1:22">
      <c r="A88" s="47">
        <v>30000</v>
      </c>
      <c r="B88" s="47">
        <v>110000</v>
      </c>
      <c r="C88" s="47">
        <v>1200000</v>
      </c>
      <c r="D88" s="13">
        <v>44136</v>
      </c>
      <c r="E88" s="16">
        <f t="shared" si="34"/>
        <v>1124129.0625</v>
      </c>
      <c r="F88" s="16">
        <f t="shared" si="35"/>
        <v>76802698.236302808</v>
      </c>
      <c r="G88" s="14">
        <f t="shared" si="36"/>
        <v>68.321957681173998</v>
      </c>
      <c r="H88" s="46">
        <f t="shared" si="19"/>
        <v>0</v>
      </c>
      <c r="I88" s="74">
        <f t="shared" si="37"/>
        <v>0</v>
      </c>
      <c r="J88" s="22">
        <f>VLOOKUP(D88,Data!$A$5:$V$197,7,FALSE)*6.4</f>
        <v>69.216597224111339</v>
      </c>
      <c r="K88" s="74">
        <f>VLOOKUP(D88,Data!$A$5:$V$197,12,FALSE)</f>
        <v>4803.59375</v>
      </c>
      <c r="L88" s="74">
        <f t="shared" si="38"/>
        <v>328190.9289050519</v>
      </c>
      <c r="M88" s="14">
        <f t="shared" si="39"/>
        <v>68.321957681173998</v>
      </c>
      <c r="N88" s="46">
        <f t="shared" si="40"/>
        <v>1119325.46875</v>
      </c>
      <c r="O88" s="46">
        <f t="shared" si="41"/>
        <v>76474507.307397753</v>
      </c>
      <c r="P88" s="22">
        <f t="shared" si="42"/>
        <v>68.321957681173998</v>
      </c>
      <c r="Q88" s="55">
        <f t="shared" si="43"/>
        <v>1107068.5096153845</v>
      </c>
      <c r="R88" s="55">
        <f t="shared" si="44"/>
        <v>74914631.504232854</v>
      </c>
      <c r="S88" s="32">
        <f t="shared" si="45"/>
        <v>67.669372630118019</v>
      </c>
      <c r="T88" s="55">
        <f t="shared" si="46"/>
        <v>1149325.46875</v>
      </c>
      <c r="U88" s="39">
        <v>83437</v>
      </c>
      <c r="V88" s="37">
        <f t="shared" si="47"/>
        <v>18.699797697368421</v>
      </c>
    </row>
    <row r="89" spans="1:22">
      <c r="A89" s="47">
        <v>30000</v>
      </c>
      <c r="B89" s="47">
        <v>110000</v>
      </c>
      <c r="C89" s="47">
        <v>1200000</v>
      </c>
      <c r="D89" s="13">
        <v>44166</v>
      </c>
      <c r="E89" s="16">
        <f t="shared" si="34"/>
        <v>1119325.46875</v>
      </c>
      <c r="F89" s="16">
        <f t="shared" si="35"/>
        <v>76474507.307397753</v>
      </c>
      <c r="G89" s="14">
        <f t="shared" si="36"/>
        <v>68.321957681173998</v>
      </c>
      <c r="H89" s="46">
        <f t="shared" si="19"/>
        <v>0</v>
      </c>
      <c r="I89" s="74">
        <f t="shared" si="37"/>
        <v>0</v>
      </c>
      <c r="J89" s="22">
        <f>VLOOKUP(D89,Data!$A$5:$V$197,7,FALSE)*6.4</f>
        <v>68.320538262744421</v>
      </c>
      <c r="K89" s="74">
        <f>VLOOKUP(D89,Data!$A$5:$V$197,12,FALSE)</f>
        <v>427.96875</v>
      </c>
      <c r="L89" s="74">
        <f t="shared" si="38"/>
        <v>29239.662826364936</v>
      </c>
      <c r="M89" s="14">
        <f t="shared" si="39"/>
        <v>68.321957681173998</v>
      </c>
      <c r="N89" s="46">
        <f t="shared" si="40"/>
        <v>1118897.5</v>
      </c>
      <c r="O89" s="46">
        <f t="shared" si="41"/>
        <v>76445267.644571394</v>
      </c>
      <c r="P89" s="22">
        <f t="shared" si="42"/>
        <v>68.321957681174013</v>
      </c>
      <c r="Q89" s="55">
        <f t="shared" si="43"/>
        <v>1108381.4663461538</v>
      </c>
      <c r="R89" s="55">
        <f t="shared" si="44"/>
        <v>75092305.765076146</v>
      </c>
      <c r="S89" s="32">
        <f t="shared" si="45"/>
        <v>67.749514084372464</v>
      </c>
      <c r="T89" s="55">
        <f t="shared" si="46"/>
        <v>1148897.5</v>
      </c>
      <c r="U89" s="39">
        <v>83438</v>
      </c>
      <c r="V89" s="37">
        <f t="shared" si="47"/>
        <v>18.69227192982456</v>
      </c>
    </row>
  </sheetData>
  <mergeCells count="8">
    <mergeCell ref="T4:V4"/>
    <mergeCell ref="Q6:S17"/>
    <mergeCell ref="T6:V17"/>
    <mergeCell ref="E4:G4"/>
    <mergeCell ref="H4:J4"/>
    <mergeCell ref="K4:M4"/>
    <mergeCell ref="N4:P4"/>
    <mergeCell ref="Q4:S4"/>
  </mergeCells>
  <conditionalFormatting sqref="H30:H89">
    <cfRule type="cellIs" dxfId="16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499984740745262"/>
  </sheetPr>
  <dimension ref="A1:Z89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6.5546875" style="1" bestFit="1" customWidth="1"/>
    <col min="3" max="3" width="6.109375" style="1" bestFit="1" customWidth="1"/>
    <col min="4" max="4" width="6.5546875" style="1" bestFit="1" customWidth="1"/>
    <col min="5" max="5" width="8.6640625" style="1" bestFit="1" customWidth="1"/>
    <col min="6" max="6" width="5.6640625" style="1" bestFit="1" customWidth="1"/>
    <col min="7" max="7" width="5.44140625" style="1" bestFit="1" customWidth="1"/>
    <col min="8" max="8" width="7.109375" style="1" bestFit="1" customWidth="1"/>
    <col min="9" max="9" width="5.44140625" style="1" bestFit="1" customWidth="1"/>
    <col min="10" max="10" width="7.109375" style="1" bestFit="1" customWidth="1"/>
    <col min="11" max="11" width="9.33203125" style="1" bestFit="1" customWidth="1"/>
    <col min="12" max="12" width="5.6640625" style="1" bestFit="1" customWidth="1"/>
    <col min="13" max="13" width="7.109375" style="1" bestFit="1" customWidth="1"/>
    <col min="14" max="14" width="9.33203125" style="1" bestFit="1" customWidth="1"/>
    <col min="15" max="15" width="6.33203125" style="1" bestFit="1" customWidth="1"/>
    <col min="16" max="16" width="7.109375" style="1" bestFit="1" customWidth="1"/>
    <col min="17" max="17" width="9.33203125" style="1" bestFit="1" customWidth="1"/>
    <col min="18" max="18" width="7.5546875" style="1" bestFit="1" customWidth="1"/>
    <col min="19" max="19" width="12.6640625" style="1" bestFit="1" customWidth="1"/>
    <col min="20" max="20" width="10.33203125" style="1" bestFit="1" customWidth="1"/>
    <col min="21" max="21" width="8.88671875" style="1" bestFit="1" customWidth="1"/>
    <col min="22" max="16384" width="9.109375" style="1"/>
  </cols>
  <sheetData>
    <row r="1" spans="1:26" s="120" customFormat="1">
      <c r="A1" s="120" t="s">
        <v>62</v>
      </c>
    </row>
    <row r="2" spans="1:26" s="120" customFormat="1">
      <c r="A2" s="120" t="s">
        <v>59</v>
      </c>
    </row>
    <row r="3" spans="1:26">
      <c r="A3" s="1" t="s">
        <v>42</v>
      </c>
    </row>
    <row r="4" spans="1:26">
      <c r="B4" s="17"/>
      <c r="C4" s="19"/>
      <c r="D4" s="106" t="s">
        <v>0</v>
      </c>
      <c r="E4" s="106"/>
      <c r="F4" s="106"/>
      <c r="G4" s="106" t="s">
        <v>1</v>
      </c>
      <c r="H4" s="106"/>
      <c r="I4" s="106"/>
      <c r="J4" s="106" t="s">
        <v>40</v>
      </c>
      <c r="K4" s="106"/>
      <c r="L4" s="106"/>
      <c r="M4" s="108" t="s">
        <v>2</v>
      </c>
      <c r="N4" s="109"/>
      <c r="O4" s="110"/>
      <c r="P4" s="106" t="s">
        <v>29</v>
      </c>
      <c r="Q4" s="106"/>
      <c r="R4" s="106"/>
      <c r="S4" s="106" t="s">
        <v>48</v>
      </c>
      <c r="T4" s="106"/>
      <c r="U4" s="106"/>
    </row>
    <row r="5" spans="1:26">
      <c r="A5" s="20" t="s">
        <v>49</v>
      </c>
      <c r="B5" s="20" t="s">
        <v>20</v>
      </c>
      <c r="C5" s="9" t="s">
        <v>26</v>
      </c>
      <c r="D5" s="89" t="s">
        <v>3</v>
      </c>
      <c r="E5" s="89" t="s">
        <v>27</v>
      </c>
      <c r="F5" s="89" t="s">
        <v>28</v>
      </c>
      <c r="G5" s="89" t="s">
        <v>3</v>
      </c>
      <c r="H5" s="89" t="s">
        <v>27</v>
      </c>
      <c r="I5" s="89" t="s">
        <v>28</v>
      </c>
      <c r="J5" s="89" t="s">
        <v>3</v>
      </c>
      <c r="K5" s="89" t="s">
        <v>27</v>
      </c>
      <c r="L5" s="89" t="s">
        <v>28</v>
      </c>
      <c r="M5" s="89" t="s">
        <v>3</v>
      </c>
      <c r="N5" s="89" t="s">
        <v>27</v>
      </c>
      <c r="O5" s="89" t="s">
        <v>28</v>
      </c>
      <c r="P5" s="67" t="s">
        <v>3</v>
      </c>
      <c r="Q5" s="67" t="s">
        <v>27</v>
      </c>
      <c r="R5" s="67" t="s">
        <v>28</v>
      </c>
      <c r="S5" s="68" t="s">
        <v>37</v>
      </c>
      <c r="T5" s="66" t="s">
        <v>38</v>
      </c>
      <c r="U5" s="66" t="s">
        <v>13</v>
      </c>
    </row>
    <row r="6" spans="1:26">
      <c r="A6" s="47">
        <v>46000</v>
      </c>
      <c r="B6" s="21">
        <v>110000</v>
      </c>
      <c r="C6" s="49">
        <v>41640</v>
      </c>
      <c r="D6" s="25">
        <v>390077</v>
      </c>
      <c r="E6" s="25">
        <v>36501334.469999999</v>
      </c>
      <c r="F6" s="29">
        <f>E6/D6</f>
        <v>93.574690304734702</v>
      </c>
      <c r="G6" s="27">
        <v>4000</v>
      </c>
      <c r="H6" s="30">
        <v>339256.52</v>
      </c>
      <c r="I6" s="28">
        <f t="shared" ref="I6:I10" si="0">IF(G6=0,0,H6/G6)</f>
        <v>84.814130000000006</v>
      </c>
      <c r="J6" s="30">
        <v>12861</v>
      </c>
      <c r="K6" s="30">
        <v>1202320.46</v>
      </c>
      <c r="L6" s="29">
        <f t="shared" ref="L6:L41" si="1">IF(J6=0,0,K6/J6)</f>
        <v>93.485767825207986</v>
      </c>
      <c r="M6" s="51">
        <f t="shared" ref="M6:N41" si="2">+D6+G6-J6</f>
        <v>381216</v>
      </c>
      <c r="N6" s="51">
        <f t="shared" si="2"/>
        <v>35638270.530000001</v>
      </c>
      <c r="O6" s="52">
        <f t="shared" ref="O6:O42" si="3">IF(M6=0,0,N6/M6)</f>
        <v>93.485767989801062</v>
      </c>
      <c r="P6" s="107"/>
      <c r="Q6" s="107"/>
      <c r="R6" s="107"/>
      <c r="S6" s="107"/>
      <c r="T6" s="107"/>
      <c r="U6" s="107"/>
      <c r="V6" s="2"/>
      <c r="W6" s="2"/>
      <c r="X6" s="2"/>
      <c r="Y6" s="2"/>
      <c r="Z6" s="2"/>
    </row>
    <row r="7" spans="1:26">
      <c r="A7" s="21">
        <v>46000</v>
      </c>
      <c r="B7" s="21">
        <v>110000</v>
      </c>
      <c r="C7" s="49">
        <v>41671</v>
      </c>
      <c r="D7" s="50">
        <f t="shared" ref="D7:F41" si="4">M6</f>
        <v>381216</v>
      </c>
      <c r="E7" s="50">
        <f t="shared" si="4"/>
        <v>35638270.530000001</v>
      </c>
      <c r="F7" s="53">
        <f t="shared" si="4"/>
        <v>93.485767989801062</v>
      </c>
      <c r="G7" s="51">
        <v>0</v>
      </c>
      <c r="H7" s="54">
        <v>0</v>
      </c>
      <c r="I7" s="52">
        <f t="shared" si="0"/>
        <v>0</v>
      </c>
      <c r="J7" s="54">
        <v>1043</v>
      </c>
      <c r="K7" s="54">
        <v>97505.66</v>
      </c>
      <c r="L7" s="53">
        <f t="shared" si="1"/>
        <v>93.485771812080543</v>
      </c>
      <c r="M7" s="51">
        <f t="shared" si="2"/>
        <v>380173</v>
      </c>
      <c r="N7" s="51">
        <f t="shared" si="2"/>
        <v>35540764.870000005</v>
      </c>
      <c r="O7" s="52">
        <f t="shared" si="3"/>
        <v>93.485767979314687</v>
      </c>
      <c r="P7" s="107"/>
      <c r="Q7" s="107"/>
      <c r="R7" s="107"/>
      <c r="S7" s="107"/>
      <c r="T7" s="107"/>
      <c r="U7" s="107"/>
    </row>
    <row r="8" spans="1:26">
      <c r="A8" s="21">
        <v>46000</v>
      </c>
      <c r="B8" s="21">
        <v>110000</v>
      </c>
      <c r="C8" s="49">
        <v>41699</v>
      </c>
      <c r="D8" s="50">
        <f t="shared" si="4"/>
        <v>380173</v>
      </c>
      <c r="E8" s="50">
        <f t="shared" si="4"/>
        <v>35540764.870000005</v>
      </c>
      <c r="F8" s="53">
        <f t="shared" si="4"/>
        <v>93.485767979314687</v>
      </c>
      <c r="G8" s="51">
        <v>0</v>
      </c>
      <c r="H8" s="54">
        <v>0</v>
      </c>
      <c r="I8" s="52">
        <f t="shared" si="0"/>
        <v>0</v>
      </c>
      <c r="J8" s="54">
        <v>-21</v>
      </c>
      <c r="K8" s="54">
        <v>-1963.21</v>
      </c>
      <c r="L8" s="53">
        <f t="shared" si="1"/>
        <v>93.486190476190473</v>
      </c>
      <c r="M8" s="51">
        <f t="shared" si="2"/>
        <v>380194</v>
      </c>
      <c r="N8" s="51">
        <f t="shared" si="2"/>
        <v>35542728.080000006</v>
      </c>
      <c r="O8" s="52">
        <f t="shared" si="3"/>
        <v>93.485768002651298</v>
      </c>
      <c r="P8" s="107"/>
      <c r="Q8" s="107"/>
      <c r="R8" s="107"/>
      <c r="S8" s="107"/>
      <c r="T8" s="107"/>
      <c r="U8" s="107"/>
    </row>
    <row r="9" spans="1:26">
      <c r="A9" s="21">
        <v>46000</v>
      </c>
      <c r="B9" s="21">
        <v>110000</v>
      </c>
      <c r="C9" s="49">
        <v>41730</v>
      </c>
      <c r="D9" s="50">
        <f t="shared" si="4"/>
        <v>380194</v>
      </c>
      <c r="E9" s="50">
        <f t="shared" si="4"/>
        <v>35542728.080000006</v>
      </c>
      <c r="F9" s="53">
        <f t="shared" si="4"/>
        <v>93.485768002651298</v>
      </c>
      <c r="G9" s="51">
        <v>0</v>
      </c>
      <c r="H9" s="54">
        <v>0</v>
      </c>
      <c r="I9" s="52">
        <f t="shared" si="0"/>
        <v>0</v>
      </c>
      <c r="J9" s="54">
        <v>121</v>
      </c>
      <c r="K9" s="54">
        <v>11311.78</v>
      </c>
      <c r="L9" s="53">
        <f t="shared" si="1"/>
        <v>93.485785123966949</v>
      </c>
      <c r="M9" s="51">
        <f t="shared" si="2"/>
        <v>380073</v>
      </c>
      <c r="N9" s="51">
        <f t="shared" si="2"/>
        <v>35531416.300000004</v>
      </c>
      <c r="O9" s="52">
        <f t="shared" si="3"/>
        <v>93.485767997200554</v>
      </c>
      <c r="P9" s="107"/>
      <c r="Q9" s="107"/>
      <c r="R9" s="107"/>
      <c r="S9" s="107"/>
      <c r="T9" s="107"/>
      <c r="U9" s="107"/>
    </row>
    <row r="10" spans="1:26">
      <c r="A10" s="21">
        <v>46000</v>
      </c>
      <c r="B10" s="21">
        <v>110000</v>
      </c>
      <c r="C10" s="49">
        <v>41760</v>
      </c>
      <c r="D10" s="50">
        <f t="shared" si="4"/>
        <v>380073</v>
      </c>
      <c r="E10" s="50">
        <f t="shared" si="4"/>
        <v>35531416.300000004</v>
      </c>
      <c r="F10" s="53">
        <f t="shared" si="4"/>
        <v>93.485767997200554</v>
      </c>
      <c r="G10" s="51">
        <v>0</v>
      </c>
      <c r="H10" s="54">
        <v>0</v>
      </c>
      <c r="I10" s="52">
        <f t="shared" si="0"/>
        <v>0</v>
      </c>
      <c r="J10" s="54">
        <v>-734</v>
      </c>
      <c r="K10" s="54">
        <v>-68618.559999999998</v>
      </c>
      <c r="L10" s="53">
        <f t="shared" si="1"/>
        <v>93.485776566757494</v>
      </c>
      <c r="M10" s="51">
        <f t="shared" si="2"/>
        <v>380807</v>
      </c>
      <c r="N10" s="51">
        <f t="shared" si="2"/>
        <v>35600034.860000007</v>
      </c>
      <c r="O10" s="52">
        <f t="shared" si="3"/>
        <v>93.485768013718257</v>
      </c>
      <c r="P10" s="107"/>
      <c r="Q10" s="107"/>
      <c r="R10" s="107"/>
      <c r="S10" s="107"/>
      <c r="T10" s="107"/>
      <c r="U10" s="107"/>
    </row>
    <row r="11" spans="1:26">
      <c r="A11" s="21">
        <v>46000</v>
      </c>
      <c r="B11" s="21">
        <v>110000</v>
      </c>
      <c r="C11" s="49">
        <v>41791</v>
      </c>
      <c r="D11" s="50">
        <f t="shared" si="4"/>
        <v>380807</v>
      </c>
      <c r="E11" s="50">
        <f t="shared" si="4"/>
        <v>35600034.860000007</v>
      </c>
      <c r="F11" s="53">
        <f t="shared" si="4"/>
        <v>93.485768013718257</v>
      </c>
      <c r="G11" s="51">
        <v>0</v>
      </c>
      <c r="H11" s="54">
        <v>0</v>
      </c>
      <c r="I11" s="52">
        <f t="shared" ref="I11:I12" si="5">IF(G11=0,0,H11/G11)</f>
        <v>0</v>
      </c>
      <c r="J11" s="54">
        <v>-537</v>
      </c>
      <c r="K11" s="54">
        <v>-50201.85</v>
      </c>
      <c r="L11" s="53">
        <f t="shared" si="1"/>
        <v>93.485754189944132</v>
      </c>
      <c r="M11" s="51">
        <f t="shared" si="2"/>
        <v>381344</v>
      </c>
      <c r="N11" s="51">
        <f t="shared" si="2"/>
        <v>35650236.710000008</v>
      </c>
      <c r="O11" s="52">
        <f t="shared" si="3"/>
        <v>93.48576799425193</v>
      </c>
      <c r="P11" s="107"/>
      <c r="Q11" s="107"/>
      <c r="R11" s="107"/>
      <c r="S11" s="107"/>
      <c r="T11" s="107"/>
      <c r="U11" s="107"/>
    </row>
    <row r="12" spans="1:26">
      <c r="A12" s="21">
        <v>46000</v>
      </c>
      <c r="B12" s="21">
        <v>110000</v>
      </c>
      <c r="C12" s="49">
        <v>41821</v>
      </c>
      <c r="D12" s="50">
        <f t="shared" si="4"/>
        <v>381344</v>
      </c>
      <c r="E12" s="50">
        <f t="shared" si="4"/>
        <v>35650236.710000008</v>
      </c>
      <c r="F12" s="53">
        <f t="shared" si="4"/>
        <v>93.48576799425193</v>
      </c>
      <c r="G12" s="51">
        <v>0</v>
      </c>
      <c r="H12" s="54">
        <v>0</v>
      </c>
      <c r="I12" s="52">
        <f t="shared" si="5"/>
        <v>0</v>
      </c>
      <c r="J12" s="54">
        <v>477</v>
      </c>
      <c r="K12" s="54">
        <v>44592.71</v>
      </c>
      <c r="L12" s="53">
        <f t="shared" si="1"/>
        <v>93.48576519916142</v>
      </c>
      <c r="M12" s="51">
        <f t="shared" si="2"/>
        <v>380867</v>
      </c>
      <c r="N12" s="51">
        <f t="shared" si="2"/>
        <v>35605644.000000007</v>
      </c>
      <c r="O12" s="52">
        <f t="shared" si="3"/>
        <v>93.485767997752518</v>
      </c>
      <c r="P12" s="107"/>
      <c r="Q12" s="107"/>
      <c r="R12" s="107"/>
      <c r="S12" s="107"/>
      <c r="T12" s="107"/>
      <c r="U12" s="107"/>
    </row>
    <row r="13" spans="1:26">
      <c r="A13" s="21">
        <v>46000</v>
      </c>
      <c r="B13" s="21">
        <v>110000</v>
      </c>
      <c r="C13" s="49">
        <v>41852</v>
      </c>
      <c r="D13" s="50">
        <f t="shared" si="4"/>
        <v>380867</v>
      </c>
      <c r="E13" s="50">
        <f t="shared" si="4"/>
        <v>35605644.000000007</v>
      </c>
      <c r="F13" s="53">
        <f t="shared" si="4"/>
        <v>93.485767997752518</v>
      </c>
      <c r="G13" s="51">
        <v>0</v>
      </c>
      <c r="H13" s="54">
        <v>0</v>
      </c>
      <c r="I13" s="52">
        <f t="shared" ref="I13:I14" si="6">IF(G13=0,0,H13/G13)</f>
        <v>0</v>
      </c>
      <c r="J13" s="54">
        <v>92</v>
      </c>
      <c r="K13" s="54">
        <v>8600.69</v>
      </c>
      <c r="L13" s="53">
        <f t="shared" si="1"/>
        <v>93.485760869565226</v>
      </c>
      <c r="M13" s="51">
        <f t="shared" si="2"/>
        <v>380775</v>
      </c>
      <c r="N13" s="51">
        <f t="shared" si="2"/>
        <v>35597043.31000001</v>
      </c>
      <c r="O13" s="52">
        <f t="shared" si="3"/>
        <v>93.485767999474788</v>
      </c>
      <c r="P13" s="107"/>
      <c r="Q13" s="107"/>
      <c r="R13" s="107"/>
      <c r="S13" s="107"/>
      <c r="T13" s="107"/>
      <c r="U13" s="107"/>
    </row>
    <row r="14" spans="1:26">
      <c r="A14" s="21">
        <v>46000</v>
      </c>
      <c r="B14" s="21">
        <v>110000</v>
      </c>
      <c r="C14" s="49">
        <v>41883</v>
      </c>
      <c r="D14" s="50">
        <f t="shared" si="4"/>
        <v>380775</v>
      </c>
      <c r="E14" s="50">
        <f t="shared" si="4"/>
        <v>35597043.31000001</v>
      </c>
      <c r="F14" s="53">
        <f t="shared" si="4"/>
        <v>93.485767999474788</v>
      </c>
      <c r="G14" s="51">
        <v>0</v>
      </c>
      <c r="H14" s="54">
        <v>0</v>
      </c>
      <c r="I14" s="52">
        <f t="shared" si="6"/>
        <v>0</v>
      </c>
      <c r="J14" s="54">
        <v>-431</v>
      </c>
      <c r="K14" s="54">
        <v>-40292.370000000003</v>
      </c>
      <c r="L14" s="53">
        <f t="shared" si="1"/>
        <v>93.485777262180974</v>
      </c>
      <c r="M14" s="51">
        <f t="shared" si="2"/>
        <v>381206</v>
      </c>
      <c r="N14" s="51">
        <f t="shared" si="2"/>
        <v>35637335.680000007</v>
      </c>
      <c r="O14" s="52">
        <f t="shared" si="3"/>
        <v>93.485768009947392</v>
      </c>
      <c r="P14" s="107"/>
      <c r="Q14" s="107"/>
      <c r="R14" s="107"/>
      <c r="S14" s="107"/>
      <c r="T14" s="107"/>
      <c r="U14" s="107"/>
    </row>
    <row r="15" spans="1:26">
      <c r="A15" s="21">
        <v>46000</v>
      </c>
      <c r="B15" s="21">
        <v>110000</v>
      </c>
      <c r="C15" s="49">
        <v>41913</v>
      </c>
      <c r="D15" s="50">
        <f t="shared" si="4"/>
        <v>381206</v>
      </c>
      <c r="E15" s="50">
        <f t="shared" si="4"/>
        <v>35637335.680000007</v>
      </c>
      <c r="F15" s="53">
        <f t="shared" si="4"/>
        <v>93.485768009947392</v>
      </c>
      <c r="G15" s="51">
        <v>0</v>
      </c>
      <c r="H15" s="54">
        <v>0</v>
      </c>
      <c r="I15" s="52">
        <f t="shared" ref="I15:I16" si="7">IF(G15=0,0,H15/G15)</f>
        <v>0</v>
      </c>
      <c r="J15" s="54">
        <v>986</v>
      </c>
      <c r="K15" s="54">
        <v>92176.960000000006</v>
      </c>
      <c r="L15" s="53">
        <f t="shared" si="1"/>
        <v>93.485760649087226</v>
      </c>
      <c r="M15" s="51">
        <f t="shared" si="2"/>
        <v>380220</v>
      </c>
      <c r="N15" s="51">
        <f t="shared" si="2"/>
        <v>35545158.720000006</v>
      </c>
      <c r="O15" s="52">
        <f t="shared" si="3"/>
        <v>93.485768029035839</v>
      </c>
      <c r="P15" s="107"/>
      <c r="Q15" s="107"/>
      <c r="R15" s="107"/>
      <c r="S15" s="107"/>
      <c r="T15" s="107"/>
      <c r="U15" s="107"/>
    </row>
    <row r="16" spans="1:26">
      <c r="A16" s="21">
        <v>46000</v>
      </c>
      <c r="B16" s="21">
        <v>110000</v>
      </c>
      <c r="C16" s="49">
        <v>41944</v>
      </c>
      <c r="D16" s="50">
        <f t="shared" si="4"/>
        <v>380220</v>
      </c>
      <c r="E16" s="50">
        <f t="shared" si="4"/>
        <v>35545158.720000006</v>
      </c>
      <c r="F16" s="53">
        <f t="shared" si="4"/>
        <v>93.485768029035839</v>
      </c>
      <c r="G16" s="51">
        <v>0</v>
      </c>
      <c r="H16" s="54">
        <v>0</v>
      </c>
      <c r="I16" s="52">
        <f t="shared" si="7"/>
        <v>0</v>
      </c>
      <c r="J16" s="54">
        <v>48388</v>
      </c>
      <c r="K16" s="54">
        <v>4523589.34</v>
      </c>
      <c r="L16" s="53">
        <f t="shared" si="1"/>
        <v>93.485767958998096</v>
      </c>
      <c r="M16" s="51">
        <f t="shared" si="2"/>
        <v>331832</v>
      </c>
      <c r="N16" s="51">
        <f t="shared" si="2"/>
        <v>31021569.380000006</v>
      </c>
      <c r="O16" s="52">
        <f t="shared" si="3"/>
        <v>93.485768039248796</v>
      </c>
      <c r="P16" s="107"/>
      <c r="Q16" s="107"/>
      <c r="R16" s="107"/>
      <c r="S16" s="107"/>
      <c r="T16" s="107"/>
      <c r="U16" s="107"/>
    </row>
    <row r="17" spans="1:21">
      <c r="A17" s="21">
        <v>46000</v>
      </c>
      <c r="B17" s="21">
        <v>110000</v>
      </c>
      <c r="C17" s="49">
        <v>41974</v>
      </c>
      <c r="D17" s="50">
        <f t="shared" si="4"/>
        <v>331832</v>
      </c>
      <c r="E17" s="50">
        <f t="shared" si="4"/>
        <v>31021569.380000006</v>
      </c>
      <c r="F17" s="53">
        <f t="shared" si="4"/>
        <v>93.485768039248796</v>
      </c>
      <c r="G17" s="51">
        <v>0</v>
      </c>
      <c r="H17" s="54">
        <v>0</v>
      </c>
      <c r="I17" s="52">
        <f t="shared" ref="I17:I29" si="8">IF(G17=0,0,H17/G17)</f>
        <v>0</v>
      </c>
      <c r="J17" s="54">
        <v>-182</v>
      </c>
      <c r="K17" s="54">
        <v>-17014.41</v>
      </c>
      <c r="L17" s="53">
        <f t="shared" si="1"/>
        <v>93.485769230769236</v>
      </c>
      <c r="M17" s="51">
        <f t="shared" si="2"/>
        <v>332014</v>
      </c>
      <c r="N17" s="51">
        <f t="shared" si="2"/>
        <v>31038583.790000007</v>
      </c>
      <c r="O17" s="52">
        <f t="shared" si="3"/>
        <v>93.485768039901956</v>
      </c>
      <c r="P17" s="107"/>
      <c r="Q17" s="107"/>
      <c r="R17" s="107"/>
      <c r="S17" s="107"/>
      <c r="T17" s="107"/>
      <c r="U17" s="107"/>
    </row>
    <row r="18" spans="1:21">
      <c r="A18" s="21">
        <v>46000</v>
      </c>
      <c r="B18" s="21">
        <v>110000</v>
      </c>
      <c r="C18" s="49">
        <v>42005</v>
      </c>
      <c r="D18" s="50">
        <f t="shared" si="4"/>
        <v>332014</v>
      </c>
      <c r="E18" s="50">
        <f t="shared" si="4"/>
        <v>31038583.790000007</v>
      </c>
      <c r="F18" s="53">
        <f t="shared" si="4"/>
        <v>93.485768039901956</v>
      </c>
      <c r="G18" s="51">
        <v>2000</v>
      </c>
      <c r="H18" s="54">
        <v>127332.58</v>
      </c>
      <c r="I18" s="52">
        <f t="shared" si="8"/>
        <v>63.666290000000004</v>
      </c>
      <c r="J18" s="54">
        <v>737</v>
      </c>
      <c r="K18" s="54">
        <v>68767.42</v>
      </c>
      <c r="L18" s="53">
        <f t="shared" si="1"/>
        <v>93.307218453188597</v>
      </c>
      <c r="M18" s="51">
        <f t="shared" si="2"/>
        <v>333277</v>
      </c>
      <c r="N18" s="51">
        <f t="shared" si="2"/>
        <v>31097148.950000003</v>
      </c>
      <c r="O18" s="52">
        <f t="shared" si="3"/>
        <v>93.307215769465046</v>
      </c>
      <c r="P18" s="54">
        <f>AVERAGE(M6:M18)</f>
        <v>369538.30769230769</v>
      </c>
      <c r="Q18" s="54">
        <f t="shared" ref="P18:Q33" si="9">AVERAGE(N6:N18)</f>
        <v>34541995.013846166</v>
      </c>
      <c r="R18" s="56">
        <f t="shared" ref="R18:R36" si="10">IF(P18=0,0,Q18/P18)</f>
        <v>93.473380958942982</v>
      </c>
      <c r="S18" s="54">
        <f t="shared" ref="S18:S36" si="11">M18+A18</f>
        <v>379277</v>
      </c>
      <c r="T18" s="58">
        <f>IF(S18&gt;106524,106524,46000)</f>
        <v>106524</v>
      </c>
      <c r="U18" s="76">
        <f>(S18-T18)/13700</f>
        <v>19.908978102189781</v>
      </c>
    </row>
    <row r="19" spans="1:21">
      <c r="A19" s="21">
        <v>44000</v>
      </c>
      <c r="B19" s="21">
        <v>110000</v>
      </c>
      <c r="C19" s="49">
        <v>42036</v>
      </c>
      <c r="D19" s="50">
        <f t="shared" si="4"/>
        <v>333277</v>
      </c>
      <c r="E19" s="50">
        <f t="shared" si="4"/>
        <v>31097148.950000003</v>
      </c>
      <c r="F19" s="53">
        <f t="shared" si="4"/>
        <v>93.307215769465046</v>
      </c>
      <c r="G19" s="51">
        <v>0</v>
      </c>
      <c r="H19" s="54">
        <v>0</v>
      </c>
      <c r="I19" s="52">
        <f t="shared" si="8"/>
        <v>0</v>
      </c>
      <c r="J19" s="54">
        <v>1841</v>
      </c>
      <c r="K19" s="54">
        <v>171778.58</v>
      </c>
      <c r="L19" s="53">
        <f t="shared" si="1"/>
        <v>93.307213470939701</v>
      </c>
      <c r="M19" s="51">
        <f t="shared" si="2"/>
        <v>331436</v>
      </c>
      <c r="N19" s="51">
        <f t="shared" si="2"/>
        <v>30925370.370000005</v>
      </c>
      <c r="O19" s="52">
        <f t="shared" si="3"/>
        <v>93.307215782232475</v>
      </c>
      <c r="P19" s="54">
        <f t="shared" si="9"/>
        <v>365709.07692307694</v>
      </c>
      <c r="Q19" s="54">
        <f t="shared" si="9"/>
        <v>34179464.232307702</v>
      </c>
      <c r="R19" s="56">
        <f t="shared" si="10"/>
        <v>93.46080365267224</v>
      </c>
      <c r="S19" s="54">
        <f t="shared" si="11"/>
        <v>375436</v>
      </c>
      <c r="T19" s="58">
        <f t="shared" ref="T19:T36" si="12">IF(S19&gt;106524,106524,46000)</f>
        <v>106524</v>
      </c>
      <c r="U19" s="76">
        <f t="shared" ref="U19:U36" si="13">(S19-T19)/13700</f>
        <v>19.628613138686131</v>
      </c>
    </row>
    <row r="20" spans="1:21">
      <c r="A20" s="47">
        <v>44000</v>
      </c>
      <c r="B20" s="21">
        <v>110000</v>
      </c>
      <c r="C20" s="49">
        <v>42064</v>
      </c>
      <c r="D20" s="50">
        <f t="shared" si="4"/>
        <v>331436</v>
      </c>
      <c r="E20" s="50">
        <f t="shared" si="4"/>
        <v>30925370.370000005</v>
      </c>
      <c r="F20" s="53">
        <f t="shared" si="4"/>
        <v>93.307215782232475</v>
      </c>
      <c r="G20" s="51">
        <v>0</v>
      </c>
      <c r="H20" s="54">
        <v>0</v>
      </c>
      <c r="I20" s="52">
        <f t="shared" si="8"/>
        <v>0</v>
      </c>
      <c r="J20" s="54">
        <v>-172</v>
      </c>
      <c r="K20" s="54">
        <v>-16048.84</v>
      </c>
      <c r="L20" s="53">
        <f t="shared" si="1"/>
        <v>93.307209302325589</v>
      </c>
      <c r="M20" s="51">
        <f t="shared" si="2"/>
        <v>331608</v>
      </c>
      <c r="N20" s="51">
        <f t="shared" si="2"/>
        <v>30941419.210000005</v>
      </c>
      <c r="O20" s="52">
        <f t="shared" si="3"/>
        <v>93.307215778871452</v>
      </c>
      <c r="P20" s="54">
        <f t="shared" si="9"/>
        <v>361973.30769230769</v>
      </c>
      <c r="Q20" s="54">
        <f t="shared" si="9"/>
        <v>33825668.412307695</v>
      </c>
      <c r="R20" s="56">
        <f t="shared" si="10"/>
        <v>93.447963409116653</v>
      </c>
      <c r="S20" s="54">
        <f t="shared" si="11"/>
        <v>375608</v>
      </c>
      <c r="T20" s="58">
        <f t="shared" si="12"/>
        <v>106524</v>
      </c>
      <c r="U20" s="76">
        <f t="shared" si="13"/>
        <v>19.641167883211679</v>
      </c>
    </row>
    <row r="21" spans="1:21">
      <c r="A21" s="47">
        <v>44000</v>
      </c>
      <c r="B21" s="21">
        <v>110000</v>
      </c>
      <c r="C21" s="49">
        <v>42095</v>
      </c>
      <c r="D21" s="50">
        <f t="shared" si="4"/>
        <v>331608</v>
      </c>
      <c r="E21" s="50">
        <f t="shared" si="4"/>
        <v>30941419.210000005</v>
      </c>
      <c r="F21" s="53">
        <f t="shared" si="4"/>
        <v>93.307215778871452</v>
      </c>
      <c r="G21" s="51">
        <v>0</v>
      </c>
      <c r="H21" s="54">
        <v>0</v>
      </c>
      <c r="I21" s="52">
        <f t="shared" si="8"/>
        <v>0</v>
      </c>
      <c r="J21" s="54">
        <v>-212</v>
      </c>
      <c r="K21" s="54">
        <v>-19781.13</v>
      </c>
      <c r="L21" s="53">
        <f t="shared" si="1"/>
        <v>93.307216981132086</v>
      </c>
      <c r="M21" s="51">
        <f t="shared" si="2"/>
        <v>331820</v>
      </c>
      <c r="N21" s="51">
        <f t="shared" si="2"/>
        <v>30961200.340000004</v>
      </c>
      <c r="O21" s="52">
        <f t="shared" si="3"/>
        <v>93.307215779639577</v>
      </c>
      <c r="P21" s="54">
        <f t="shared" si="9"/>
        <v>358252.23076923075</v>
      </c>
      <c r="Q21" s="54">
        <f t="shared" si="9"/>
        <v>33473243.201538462</v>
      </c>
      <c r="R21" s="56">
        <f t="shared" si="10"/>
        <v>93.434849322963046</v>
      </c>
      <c r="S21" s="54">
        <f t="shared" si="11"/>
        <v>375820</v>
      </c>
      <c r="T21" s="58">
        <f t="shared" si="12"/>
        <v>106524</v>
      </c>
      <c r="U21" s="76">
        <f t="shared" si="13"/>
        <v>19.656642335766424</v>
      </c>
    </row>
    <row r="22" spans="1:21">
      <c r="A22" s="47">
        <v>44000</v>
      </c>
      <c r="B22" s="21">
        <v>110000</v>
      </c>
      <c r="C22" s="49">
        <v>42125</v>
      </c>
      <c r="D22" s="50">
        <f t="shared" si="4"/>
        <v>331820</v>
      </c>
      <c r="E22" s="50">
        <f t="shared" si="4"/>
        <v>30961200.340000004</v>
      </c>
      <c r="F22" s="53">
        <f t="shared" si="4"/>
        <v>93.307215779639577</v>
      </c>
      <c r="G22" s="51">
        <v>0</v>
      </c>
      <c r="H22" s="54">
        <v>0</v>
      </c>
      <c r="I22" s="52">
        <f t="shared" si="8"/>
        <v>0</v>
      </c>
      <c r="J22" s="54">
        <v>152</v>
      </c>
      <c r="K22" s="54">
        <v>14182.7</v>
      </c>
      <c r="L22" s="53">
        <f t="shared" si="1"/>
        <v>93.307236842105269</v>
      </c>
      <c r="M22" s="51">
        <f t="shared" si="2"/>
        <v>331668</v>
      </c>
      <c r="N22" s="51">
        <f t="shared" si="2"/>
        <v>30947017.640000004</v>
      </c>
      <c r="O22" s="52">
        <f t="shared" si="3"/>
        <v>93.307215769986868</v>
      </c>
      <c r="P22" s="54">
        <f t="shared" si="9"/>
        <v>354528.76923076925</v>
      </c>
      <c r="Q22" s="54">
        <f t="shared" si="9"/>
        <v>33120597.150769234</v>
      </c>
      <c r="R22" s="56">
        <f t="shared" si="10"/>
        <v>93.421465407819781</v>
      </c>
      <c r="S22" s="54">
        <f t="shared" si="11"/>
        <v>375668</v>
      </c>
      <c r="T22" s="58">
        <f t="shared" si="12"/>
        <v>106524</v>
      </c>
      <c r="U22" s="76">
        <f t="shared" si="13"/>
        <v>19.645547445255474</v>
      </c>
    </row>
    <row r="23" spans="1:21">
      <c r="A23" s="47">
        <v>44000</v>
      </c>
      <c r="B23" s="21">
        <v>110000</v>
      </c>
      <c r="C23" s="49">
        <v>42156</v>
      </c>
      <c r="D23" s="50">
        <f t="shared" si="4"/>
        <v>331668</v>
      </c>
      <c r="E23" s="50">
        <f t="shared" si="4"/>
        <v>30947017.640000004</v>
      </c>
      <c r="F23" s="53">
        <f t="shared" si="4"/>
        <v>93.307215769986868</v>
      </c>
      <c r="G23" s="51">
        <v>0</v>
      </c>
      <c r="H23" s="54">
        <v>0</v>
      </c>
      <c r="I23" s="52">
        <f t="shared" si="8"/>
        <v>0</v>
      </c>
      <c r="J23" s="54">
        <v>-122</v>
      </c>
      <c r="K23" s="54">
        <v>-11383.48</v>
      </c>
      <c r="L23" s="53">
        <f t="shared" si="1"/>
        <v>93.307213114754092</v>
      </c>
      <c r="M23" s="51">
        <f t="shared" si="2"/>
        <v>331790</v>
      </c>
      <c r="N23" s="51">
        <f t="shared" si="2"/>
        <v>30958401.120000005</v>
      </c>
      <c r="O23" s="52">
        <f t="shared" si="3"/>
        <v>93.30721576901054</v>
      </c>
      <c r="P23" s="54">
        <f t="shared" si="9"/>
        <v>350758.23076923075</v>
      </c>
      <c r="Q23" s="54">
        <f t="shared" si="9"/>
        <v>32763548.401538465</v>
      </c>
      <c r="R23" s="56">
        <f t="shared" si="10"/>
        <v>93.407782134395902</v>
      </c>
      <c r="S23" s="54">
        <f t="shared" si="11"/>
        <v>375790</v>
      </c>
      <c r="T23" s="58">
        <f t="shared" si="12"/>
        <v>106524</v>
      </c>
      <c r="U23" s="76">
        <f t="shared" si="13"/>
        <v>19.654452554744527</v>
      </c>
    </row>
    <row r="24" spans="1:21">
      <c r="A24" s="47">
        <v>44000</v>
      </c>
      <c r="B24" s="21">
        <v>110000</v>
      </c>
      <c r="C24" s="49">
        <v>42186</v>
      </c>
      <c r="D24" s="50">
        <f t="shared" si="4"/>
        <v>331790</v>
      </c>
      <c r="E24" s="50">
        <f t="shared" si="4"/>
        <v>30958401.120000005</v>
      </c>
      <c r="F24" s="53">
        <f t="shared" si="4"/>
        <v>93.30721576901054</v>
      </c>
      <c r="G24" s="51">
        <v>0</v>
      </c>
      <c r="H24" s="54">
        <v>0</v>
      </c>
      <c r="I24" s="52">
        <f t="shared" si="8"/>
        <v>0</v>
      </c>
      <c r="J24" s="54">
        <v>-4</v>
      </c>
      <c r="K24" s="54">
        <v>-373.23</v>
      </c>
      <c r="L24" s="53">
        <f t="shared" si="1"/>
        <v>93.307500000000005</v>
      </c>
      <c r="M24" s="51">
        <f t="shared" si="2"/>
        <v>331794</v>
      </c>
      <c r="N24" s="51">
        <f t="shared" si="2"/>
        <v>30958774.350000005</v>
      </c>
      <c r="O24" s="52">
        <f t="shared" si="3"/>
        <v>93.307215772437132</v>
      </c>
      <c r="P24" s="54">
        <f t="shared" si="9"/>
        <v>346946.69230769231</v>
      </c>
      <c r="Q24" s="54">
        <f t="shared" si="9"/>
        <v>32402666.681538463</v>
      </c>
      <c r="R24" s="56">
        <f t="shared" si="10"/>
        <v>93.393790458166151</v>
      </c>
      <c r="S24" s="54">
        <f t="shared" si="11"/>
        <v>375794</v>
      </c>
      <c r="T24" s="58">
        <f t="shared" si="12"/>
        <v>106524</v>
      </c>
      <c r="U24" s="76">
        <f t="shared" si="13"/>
        <v>19.654744525547446</v>
      </c>
    </row>
    <row r="25" spans="1:21">
      <c r="A25" s="47">
        <v>44000</v>
      </c>
      <c r="B25" s="21">
        <v>110000</v>
      </c>
      <c r="C25" s="49">
        <v>42217</v>
      </c>
      <c r="D25" s="50">
        <f t="shared" si="4"/>
        <v>331794</v>
      </c>
      <c r="E25" s="50">
        <v>30958774.210000001</v>
      </c>
      <c r="F25" s="53">
        <f t="shared" si="4"/>
        <v>93.307215772437132</v>
      </c>
      <c r="G25" s="51">
        <v>0</v>
      </c>
      <c r="H25" s="54">
        <v>0</v>
      </c>
      <c r="I25" s="52">
        <f t="shared" si="8"/>
        <v>0</v>
      </c>
      <c r="J25" s="54">
        <v>442</v>
      </c>
      <c r="K25" s="54">
        <v>41241.79</v>
      </c>
      <c r="L25" s="53">
        <f t="shared" si="1"/>
        <v>93.307217194570143</v>
      </c>
      <c r="M25" s="51">
        <f t="shared" si="2"/>
        <v>331352</v>
      </c>
      <c r="N25" s="51">
        <f t="shared" si="2"/>
        <v>30917532.420000002</v>
      </c>
      <c r="O25" s="52">
        <f t="shared" si="3"/>
        <v>93.307215348028691</v>
      </c>
      <c r="P25" s="54">
        <f t="shared" si="9"/>
        <v>343137.84615384613</v>
      </c>
      <c r="Q25" s="54">
        <f t="shared" si="9"/>
        <v>32042042.713846155</v>
      </c>
      <c r="R25" s="56">
        <f t="shared" si="10"/>
        <v>93.379506437421881</v>
      </c>
      <c r="S25" s="54">
        <f t="shared" si="11"/>
        <v>375352</v>
      </c>
      <c r="T25" s="58">
        <f t="shared" si="12"/>
        <v>106524</v>
      </c>
      <c r="U25" s="76">
        <f t="shared" si="13"/>
        <v>19.622481751824818</v>
      </c>
    </row>
    <row r="26" spans="1:21">
      <c r="A26" s="47">
        <v>44000</v>
      </c>
      <c r="B26" s="21">
        <v>110000</v>
      </c>
      <c r="C26" s="49">
        <v>42248</v>
      </c>
      <c r="D26" s="50">
        <f t="shared" si="4"/>
        <v>331352</v>
      </c>
      <c r="E26" s="50">
        <f t="shared" si="4"/>
        <v>30917532.420000002</v>
      </c>
      <c r="F26" s="53">
        <f t="shared" si="4"/>
        <v>93.307215348028691</v>
      </c>
      <c r="G26" s="51">
        <v>0</v>
      </c>
      <c r="H26" s="54">
        <v>0</v>
      </c>
      <c r="I26" s="52">
        <f t="shared" si="8"/>
        <v>0</v>
      </c>
      <c r="J26" s="54">
        <v>-216</v>
      </c>
      <c r="K26" s="54">
        <v>-20154.36</v>
      </c>
      <c r="L26" s="53">
        <f t="shared" si="1"/>
        <v>93.307222222222222</v>
      </c>
      <c r="M26" s="51">
        <f t="shared" si="2"/>
        <v>331568</v>
      </c>
      <c r="N26" s="51">
        <f t="shared" si="2"/>
        <v>30937686.780000001</v>
      </c>
      <c r="O26" s="52">
        <f t="shared" si="3"/>
        <v>93.307215352506887</v>
      </c>
      <c r="P26" s="54">
        <f t="shared" si="9"/>
        <v>339352.69230769231</v>
      </c>
      <c r="Q26" s="54">
        <f t="shared" si="9"/>
        <v>31683630.673076931</v>
      </c>
      <c r="R26" s="56">
        <f t="shared" si="10"/>
        <v>93.364901446985627</v>
      </c>
      <c r="S26" s="54">
        <f t="shared" si="11"/>
        <v>375568</v>
      </c>
      <c r="T26" s="58">
        <f t="shared" si="12"/>
        <v>106524</v>
      </c>
      <c r="U26" s="76">
        <f t="shared" si="13"/>
        <v>19.638248175182483</v>
      </c>
    </row>
    <row r="27" spans="1:21">
      <c r="A27" s="47">
        <v>44000</v>
      </c>
      <c r="B27" s="21">
        <v>110000</v>
      </c>
      <c r="C27" s="49">
        <v>42278</v>
      </c>
      <c r="D27" s="50">
        <f t="shared" si="4"/>
        <v>331568</v>
      </c>
      <c r="E27" s="50">
        <f t="shared" si="4"/>
        <v>30937686.780000001</v>
      </c>
      <c r="F27" s="53">
        <f t="shared" si="4"/>
        <v>93.307215352506887</v>
      </c>
      <c r="G27" s="51">
        <v>0</v>
      </c>
      <c r="H27" s="54">
        <v>0</v>
      </c>
      <c r="I27" s="52">
        <f t="shared" si="8"/>
        <v>0</v>
      </c>
      <c r="J27" s="54">
        <v>6850</v>
      </c>
      <c r="K27" s="54">
        <v>639154.42000000004</v>
      </c>
      <c r="L27" s="53">
        <f t="shared" si="1"/>
        <v>93.307214598540156</v>
      </c>
      <c r="M27" s="51">
        <f t="shared" si="2"/>
        <v>324718</v>
      </c>
      <c r="N27" s="51">
        <f t="shared" si="2"/>
        <v>30298532.359999999</v>
      </c>
      <c r="O27" s="52">
        <f t="shared" si="3"/>
        <v>93.307215368411974</v>
      </c>
      <c r="P27" s="54">
        <f t="shared" si="9"/>
        <v>335007.46153846156</v>
      </c>
      <c r="Q27" s="54">
        <f t="shared" si="9"/>
        <v>31272953.494615398</v>
      </c>
      <c r="R27" s="56">
        <f t="shared" si="10"/>
        <v>93.350020775656702</v>
      </c>
      <c r="S27" s="54">
        <f t="shared" si="11"/>
        <v>368718</v>
      </c>
      <c r="T27" s="58">
        <f t="shared" si="12"/>
        <v>106524</v>
      </c>
      <c r="U27" s="76">
        <f t="shared" si="13"/>
        <v>19.138248175182483</v>
      </c>
    </row>
    <row r="28" spans="1:21">
      <c r="A28" s="47">
        <v>44000</v>
      </c>
      <c r="B28" s="21">
        <v>110000</v>
      </c>
      <c r="C28" s="49">
        <v>42309</v>
      </c>
      <c r="D28" s="50">
        <f t="shared" si="4"/>
        <v>324718</v>
      </c>
      <c r="E28" s="50">
        <f t="shared" si="4"/>
        <v>30298532.359999999</v>
      </c>
      <c r="F28" s="53">
        <f t="shared" si="4"/>
        <v>93.307215368411974</v>
      </c>
      <c r="G28" s="51">
        <v>0</v>
      </c>
      <c r="H28" s="54">
        <v>0</v>
      </c>
      <c r="I28" s="52">
        <f t="shared" si="8"/>
        <v>0</v>
      </c>
      <c r="J28" s="54">
        <v>25958</v>
      </c>
      <c r="K28" s="54">
        <v>2422068.69</v>
      </c>
      <c r="L28" s="53">
        <f t="shared" si="1"/>
        <v>93.307215116727022</v>
      </c>
      <c r="M28" s="51">
        <f t="shared" si="2"/>
        <v>298760</v>
      </c>
      <c r="N28" s="51">
        <f t="shared" si="2"/>
        <v>27876463.669999998</v>
      </c>
      <c r="O28" s="52">
        <f t="shared" si="3"/>
        <v>93.307215390279822</v>
      </c>
      <c r="P28" s="54">
        <f t="shared" si="9"/>
        <v>328741.30769230769</v>
      </c>
      <c r="Q28" s="54">
        <f t="shared" si="9"/>
        <v>30683053.875384621</v>
      </c>
      <c r="R28" s="56">
        <f t="shared" si="10"/>
        <v>93.334951092009007</v>
      </c>
      <c r="S28" s="54">
        <f t="shared" si="11"/>
        <v>342760</v>
      </c>
      <c r="T28" s="58">
        <f t="shared" si="12"/>
        <v>106524</v>
      </c>
      <c r="U28" s="76">
        <f t="shared" si="13"/>
        <v>17.243503649635038</v>
      </c>
    </row>
    <row r="29" spans="1:21">
      <c r="A29" s="47">
        <v>44000</v>
      </c>
      <c r="B29" s="21">
        <v>110000</v>
      </c>
      <c r="C29" s="49">
        <v>42339</v>
      </c>
      <c r="D29" s="50">
        <f t="shared" si="4"/>
        <v>298760</v>
      </c>
      <c r="E29" s="50">
        <f t="shared" si="4"/>
        <v>27876463.669999998</v>
      </c>
      <c r="F29" s="53">
        <f t="shared" si="4"/>
        <v>93.307215390279822</v>
      </c>
      <c r="G29" s="51">
        <v>0</v>
      </c>
      <c r="H29" s="54">
        <v>0</v>
      </c>
      <c r="I29" s="52">
        <f t="shared" si="8"/>
        <v>0</v>
      </c>
      <c r="J29" s="54">
        <v>210</v>
      </c>
      <c r="K29" s="54">
        <v>19594.52</v>
      </c>
      <c r="L29" s="53">
        <f t="shared" si="1"/>
        <v>93.307238095238091</v>
      </c>
      <c r="M29" s="51">
        <f t="shared" si="2"/>
        <v>298550</v>
      </c>
      <c r="N29" s="51">
        <f t="shared" si="2"/>
        <v>27856869.149999999</v>
      </c>
      <c r="O29" s="52">
        <f t="shared" si="3"/>
        <v>93.307215374309152</v>
      </c>
      <c r="P29" s="54">
        <f t="shared" si="9"/>
        <v>326181.15384615387</v>
      </c>
      <c r="Q29" s="54">
        <f t="shared" si="9"/>
        <v>30439615.396153849</v>
      </c>
      <c r="R29" s="56">
        <f t="shared" si="10"/>
        <v>93.321196020144541</v>
      </c>
      <c r="S29" s="54">
        <f t="shared" si="11"/>
        <v>342550</v>
      </c>
      <c r="T29" s="58">
        <f t="shared" si="12"/>
        <v>106524</v>
      </c>
      <c r="U29" s="76">
        <f t="shared" si="13"/>
        <v>17.228175182481753</v>
      </c>
    </row>
    <row r="30" spans="1:21">
      <c r="A30" s="47">
        <v>44000</v>
      </c>
      <c r="B30" s="21">
        <v>110000</v>
      </c>
      <c r="C30" s="13">
        <v>42370</v>
      </c>
      <c r="D30" s="16">
        <f t="shared" si="4"/>
        <v>298550</v>
      </c>
      <c r="E30" s="16">
        <f t="shared" si="4"/>
        <v>27856869.149999999</v>
      </c>
      <c r="F30" s="14">
        <f t="shared" si="4"/>
        <v>93.307215374309152</v>
      </c>
      <c r="G30" s="46">
        <v>0</v>
      </c>
      <c r="H30" s="91">
        <f t="shared" ref="H30:H36" si="14">G30*I30</f>
        <v>0</v>
      </c>
      <c r="I30" s="22">
        <f>VLOOKUP(C30,Data!$A$5:$V$197,6,FALSE)*6.4</f>
        <v>35.141845199999999</v>
      </c>
      <c r="J30" s="91">
        <f>VLOOKUP(C30,Data!$A$5:$V$197,13,FALSE)</f>
        <v>3459.0625</v>
      </c>
      <c r="K30" s="91">
        <f t="shared" ref="K30:K36" si="15">IF(D30+G30&gt;0,((E30+H30)/(D30+G30)*J30),0)</f>
        <v>322755.48968069628</v>
      </c>
      <c r="L30" s="14">
        <f t="shared" si="1"/>
        <v>93.307215374309166</v>
      </c>
      <c r="M30" s="46">
        <f t="shared" ref="M30:M36" si="16">+D30+G30-J30</f>
        <v>295090.9375</v>
      </c>
      <c r="N30" s="46">
        <f t="shared" ref="N30:N36" si="17">+E30+H30-K30</f>
        <v>27534113.660319302</v>
      </c>
      <c r="O30" s="22">
        <f t="shared" ref="O30:O36" si="18">IF(M30=0,0,N30/M30)</f>
        <v>93.307215374309152</v>
      </c>
      <c r="P30" s="55">
        <f t="shared" si="9"/>
        <v>323340.91826923075</v>
      </c>
      <c r="Q30" s="55">
        <f t="shared" si="9"/>
        <v>30170040.770793799</v>
      </c>
      <c r="R30" s="32">
        <f t="shared" si="10"/>
        <v>93.307215592406493</v>
      </c>
      <c r="S30" s="55">
        <f t="shared" si="11"/>
        <v>339090.9375</v>
      </c>
      <c r="T30" s="45">
        <f t="shared" si="12"/>
        <v>106524</v>
      </c>
      <c r="U30" s="43">
        <f t="shared" si="13"/>
        <v>16.97568886861314</v>
      </c>
    </row>
    <row r="31" spans="1:21">
      <c r="A31" s="47">
        <v>44000</v>
      </c>
      <c r="B31" s="21">
        <v>110000</v>
      </c>
      <c r="C31" s="13">
        <v>42401</v>
      </c>
      <c r="D31" s="16">
        <f t="shared" si="4"/>
        <v>295090.9375</v>
      </c>
      <c r="E31" s="16">
        <f t="shared" si="4"/>
        <v>27534113.660319302</v>
      </c>
      <c r="F31" s="14">
        <f t="shared" si="4"/>
        <v>93.307215374309152</v>
      </c>
      <c r="G31" s="46">
        <v>0</v>
      </c>
      <c r="H31" s="91">
        <f t="shared" si="14"/>
        <v>0</v>
      </c>
      <c r="I31" s="22">
        <f>VLOOKUP(C31,Data!$A$5:$V$197,6,FALSE)*6.4</f>
        <v>38.701845200000008</v>
      </c>
      <c r="J31" s="91">
        <f>VLOOKUP(C31,Data!$A$5:$V$197,13,FALSE)</f>
        <v>1737.65625</v>
      </c>
      <c r="K31" s="91">
        <f t="shared" si="15"/>
        <v>162135.86596526438</v>
      </c>
      <c r="L31" s="14">
        <f t="shared" si="1"/>
        <v>93.307215374309152</v>
      </c>
      <c r="M31" s="46">
        <f t="shared" si="16"/>
        <v>293353.28125</v>
      </c>
      <c r="N31" s="46">
        <f t="shared" si="17"/>
        <v>27371977.794354036</v>
      </c>
      <c r="O31" s="22">
        <f t="shared" si="18"/>
        <v>93.307215374309152</v>
      </c>
      <c r="P31" s="55">
        <f t="shared" si="9"/>
        <v>320269.86298076925</v>
      </c>
      <c r="Q31" s="55">
        <f t="shared" si="9"/>
        <v>29883489.14343641</v>
      </c>
      <c r="R31" s="32">
        <f t="shared" si="10"/>
        <v>93.307215562866674</v>
      </c>
      <c r="S31" s="55">
        <f t="shared" si="11"/>
        <v>337353.28125</v>
      </c>
      <c r="T31" s="45">
        <f t="shared" si="12"/>
        <v>106524</v>
      </c>
      <c r="U31" s="43">
        <f t="shared" si="13"/>
        <v>16.848852645985403</v>
      </c>
    </row>
    <row r="32" spans="1:21">
      <c r="A32" s="47">
        <v>44000</v>
      </c>
      <c r="B32" s="21">
        <v>110000</v>
      </c>
      <c r="C32" s="13">
        <v>42430</v>
      </c>
      <c r="D32" s="16">
        <f t="shared" si="4"/>
        <v>293353.28125</v>
      </c>
      <c r="E32" s="16">
        <f t="shared" si="4"/>
        <v>27371977.794354036</v>
      </c>
      <c r="F32" s="14">
        <f t="shared" si="4"/>
        <v>93.307215374309152</v>
      </c>
      <c r="G32" s="46">
        <v>0</v>
      </c>
      <c r="H32" s="91">
        <f t="shared" si="14"/>
        <v>0</v>
      </c>
      <c r="I32" s="22">
        <f>VLOOKUP(C32,Data!$A$5:$V$197,6,FALSE)*6.4</f>
        <v>39.401845199999997</v>
      </c>
      <c r="J32" s="91">
        <f>VLOOKUP(C32,Data!$A$5:$V$197,13,FALSE)</f>
        <v>391.71875</v>
      </c>
      <c r="K32" s="91">
        <f t="shared" si="15"/>
        <v>36550.185772405166</v>
      </c>
      <c r="L32" s="14">
        <f t="shared" si="1"/>
        <v>93.307215374309166</v>
      </c>
      <c r="M32" s="46">
        <f t="shared" si="16"/>
        <v>292961.5625</v>
      </c>
      <c r="N32" s="46">
        <f t="shared" si="17"/>
        <v>27335427.608581632</v>
      </c>
      <c r="O32" s="22">
        <f t="shared" si="18"/>
        <v>93.307215374309152</v>
      </c>
      <c r="P32" s="55">
        <f t="shared" si="9"/>
        <v>317310.29086538462</v>
      </c>
      <c r="Q32" s="55">
        <f t="shared" si="9"/>
        <v>29607339.700250387</v>
      </c>
      <c r="R32" s="32">
        <f t="shared" si="10"/>
        <v>93.307215531849778</v>
      </c>
      <c r="S32" s="55">
        <f t="shared" si="11"/>
        <v>336961.5625</v>
      </c>
      <c r="T32" s="45">
        <f t="shared" si="12"/>
        <v>106524</v>
      </c>
      <c r="U32" s="43">
        <f t="shared" si="13"/>
        <v>16.82026003649635</v>
      </c>
    </row>
    <row r="33" spans="1:21">
      <c r="A33" s="47">
        <v>44000</v>
      </c>
      <c r="B33" s="21">
        <v>110000</v>
      </c>
      <c r="C33" s="13">
        <v>42461</v>
      </c>
      <c r="D33" s="16">
        <f t="shared" si="4"/>
        <v>292961.5625</v>
      </c>
      <c r="E33" s="16">
        <f t="shared" si="4"/>
        <v>27335427.608581632</v>
      </c>
      <c r="F33" s="14">
        <f t="shared" si="4"/>
        <v>93.307215374309152</v>
      </c>
      <c r="G33" s="46">
        <v>0</v>
      </c>
      <c r="H33" s="91">
        <f t="shared" si="14"/>
        <v>0</v>
      </c>
      <c r="I33" s="22">
        <f>VLOOKUP(C33,Data!$A$5:$V$197,6,FALSE)*6.4</f>
        <v>40.101845200000007</v>
      </c>
      <c r="J33" s="91">
        <f>VLOOKUP(C33,Data!$A$5:$V$197,13,FALSE)</f>
        <v>539.21875</v>
      </c>
      <c r="K33" s="91">
        <f t="shared" si="15"/>
        <v>50313.000040115759</v>
      </c>
      <c r="L33" s="14">
        <f t="shared" si="1"/>
        <v>93.307215374309152</v>
      </c>
      <c r="M33" s="46">
        <f t="shared" si="16"/>
        <v>292422.34375</v>
      </c>
      <c r="N33" s="46">
        <f t="shared" si="17"/>
        <v>27285114.608541518</v>
      </c>
      <c r="O33" s="22">
        <f t="shared" si="18"/>
        <v>93.307215374309166</v>
      </c>
      <c r="P33" s="55">
        <f t="shared" si="9"/>
        <v>314296.00961538462</v>
      </c>
      <c r="Q33" s="55">
        <f t="shared" si="9"/>
        <v>29326085.50013819</v>
      </c>
      <c r="R33" s="32">
        <f t="shared" si="10"/>
        <v>93.30721550052634</v>
      </c>
      <c r="S33" s="55">
        <f t="shared" si="11"/>
        <v>336422.34375</v>
      </c>
      <c r="T33" s="45">
        <f t="shared" si="12"/>
        <v>106524</v>
      </c>
      <c r="U33" s="43">
        <f t="shared" si="13"/>
        <v>16.780901003649635</v>
      </c>
    </row>
    <row r="34" spans="1:21">
      <c r="A34" s="47">
        <v>44000</v>
      </c>
      <c r="B34" s="21">
        <v>110000</v>
      </c>
      <c r="C34" s="13">
        <v>42491</v>
      </c>
      <c r="D34" s="16">
        <f t="shared" si="4"/>
        <v>292422.34375</v>
      </c>
      <c r="E34" s="16">
        <f t="shared" si="4"/>
        <v>27285114.608541518</v>
      </c>
      <c r="F34" s="14">
        <f t="shared" si="4"/>
        <v>93.307215374309166</v>
      </c>
      <c r="G34" s="46">
        <v>0</v>
      </c>
      <c r="H34" s="91">
        <f t="shared" si="14"/>
        <v>0</v>
      </c>
      <c r="I34" s="22">
        <f>VLOOKUP(C34,Data!$A$5:$V$197,6,FALSE)*6.4</f>
        <v>40.906312203232119</v>
      </c>
      <c r="J34" s="91">
        <f>VLOOKUP(C34,Data!$A$5:$V$197,13,FALSE)</f>
        <v>2032.65625</v>
      </c>
      <c r="K34" s="91">
        <f t="shared" si="15"/>
        <v>189661.49450068563</v>
      </c>
      <c r="L34" s="14">
        <f t="shared" si="1"/>
        <v>93.307215374309166</v>
      </c>
      <c r="M34" s="46">
        <f t="shared" si="16"/>
        <v>290389.6875</v>
      </c>
      <c r="N34" s="46">
        <f t="shared" si="17"/>
        <v>27095453.114040833</v>
      </c>
      <c r="O34" s="22">
        <f t="shared" si="18"/>
        <v>93.307215374309166</v>
      </c>
      <c r="P34" s="55">
        <f t="shared" ref="P34:P36" si="19">AVERAGE(M22:M34)</f>
        <v>311109.0625</v>
      </c>
      <c r="Q34" s="55">
        <f t="shared" ref="Q34:Q36" si="20">AVERAGE(N22:N34)</f>
        <v>29028720.328910563</v>
      </c>
      <c r="R34" s="32">
        <f t="shared" si="10"/>
        <v>93.30721546856438</v>
      </c>
      <c r="S34" s="55">
        <f t="shared" si="11"/>
        <v>334389.6875</v>
      </c>
      <c r="T34" s="45">
        <f t="shared" si="12"/>
        <v>106524</v>
      </c>
      <c r="U34" s="43">
        <f t="shared" si="13"/>
        <v>16.63253193430657</v>
      </c>
    </row>
    <row r="35" spans="1:21">
      <c r="A35" s="47">
        <v>44000</v>
      </c>
      <c r="B35" s="21">
        <v>110000</v>
      </c>
      <c r="C35" s="13">
        <v>42522</v>
      </c>
      <c r="D35" s="16">
        <f t="shared" si="4"/>
        <v>290389.6875</v>
      </c>
      <c r="E35" s="16">
        <f t="shared" si="4"/>
        <v>27095453.114040833</v>
      </c>
      <c r="F35" s="14">
        <f t="shared" si="4"/>
        <v>93.307215374309166</v>
      </c>
      <c r="G35" s="46">
        <v>0</v>
      </c>
      <c r="H35" s="91">
        <f t="shared" si="14"/>
        <v>0</v>
      </c>
      <c r="I35" s="22">
        <f>VLOOKUP(C35,Data!$A$5:$V$197,6,FALSE)*6.4</f>
        <v>41.606312203232115</v>
      </c>
      <c r="J35" s="91">
        <f>VLOOKUP(C35,Data!$A$5:$V$197,13,FALSE)</f>
        <v>8390.9375</v>
      </c>
      <c r="K35" s="91">
        <f t="shared" si="15"/>
        <v>782935.01250486728</v>
      </c>
      <c r="L35" s="14">
        <f t="shared" si="1"/>
        <v>93.307215374309166</v>
      </c>
      <c r="M35" s="46">
        <f t="shared" si="16"/>
        <v>281998.75</v>
      </c>
      <c r="N35" s="46">
        <f t="shared" si="17"/>
        <v>26312518.101535965</v>
      </c>
      <c r="O35" s="22">
        <f t="shared" si="18"/>
        <v>93.307215374309152</v>
      </c>
      <c r="P35" s="55">
        <f t="shared" si="19"/>
        <v>307288.35096153844</v>
      </c>
      <c r="Q35" s="55">
        <f t="shared" si="20"/>
        <v>28672220.364413328</v>
      </c>
      <c r="R35" s="32">
        <f t="shared" si="10"/>
        <v>93.307215436884789</v>
      </c>
      <c r="S35" s="55">
        <f t="shared" si="11"/>
        <v>325998.75</v>
      </c>
      <c r="T35" s="45">
        <f t="shared" si="12"/>
        <v>106524</v>
      </c>
      <c r="U35" s="43">
        <f t="shared" si="13"/>
        <v>16.020054744525549</v>
      </c>
    </row>
    <row r="36" spans="1:21">
      <c r="A36" s="47">
        <v>44000</v>
      </c>
      <c r="B36" s="21">
        <v>110000</v>
      </c>
      <c r="C36" s="13">
        <v>42552</v>
      </c>
      <c r="D36" s="16">
        <f t="shared" si="4"/>
        <v>281998.75</v>
      </c>
      <c r="E36" s="16">
        <f t="shared" si="4"/>
        <v>26312518.101535965</v>
      </c>
      <c r="F36" s="14">
        <f t="shared" si="4"/>
        <v>93.307215374309152</v>
      </c>
      <c r="G36" s="46">
        <v>0</v>
      </c>
      <c r="H36" s="91">
        <f t="shared" si="14"/>
        <v>0</v>
      </c>
      <c r="I36" s="22">
        <f>VLOOKUP(C36,Data!$A$5:$V$197,6,FALSE)*6.4</f>
        <v>42.306312203232117</v>
      </c>
      <c r="J36" s="91">
        <f>VLOOKUP(C36,Data!$A$5:$V$197,13,FALSE)</f>
        <v>12771.40625</v>
      </c>
      <c r="K36" s="91">
        <f t="shared" si="15"/>
        <v>1191664.3536015479</v>
      </c>
      <c r="L36" s="14">
        <f t="shared" si="1"/>
        <v>93.307215374309138</v>
      </c>
      <c r="M36" s="46">
        <f t="shared" si="16"/>
        <v>269227.34375</v>
      </c>
      <c r="N36" s="46">
        <f t="shared" si="17"/>
        <v>25120853.747934416</v>
      </c>
      <c r="O36" s="22">
        <f t="shared" si="18"/>
        <v>93.307215374309152</v>
      </c>
      <c r="P36" s="55">
        <f t="shared" si="19"/>
        <v>302475.83894230769</v>
      </c>
      <c r="Q36" s="55">
        <f t="shared" si="20"/>
        <v>28223178.258869827</v>
      </c>
      <c r="R36" s="32">
        <f t="shared" si="10"/>
        <v>93.307215404576283</v>
      </c>
      <c r="S36" s="55">
        <f t="shared" si="11"/>
        <v>313227.34375</v>
      </c>
      <c r="T36" s="45">
        <f t="shared" si="12"/>
        <v>106524</v>
      </c>
      <c r="U36" s="43">
        <f t="shared" si="13"/>
        <v>15.087835310218978</v>
      </c>
    </row>
    <row r="37" spans="1:21">
      <c r="A37" s="47">
        <v>44000</v>
      </c>
      <c r="B37" s="21">
        <v>110000</v>
      </c>
      <c r="C37" s="13">
        <v>42583</v>
      </c>
      <c r="D37" s="16">
        <f t="shared" si="4"/>
        <v>269227.34375</v>
      </c>
      <c r="E37" s="16">
        <f t="shared" si="4"/>
        <v>25120853.747934416</v>
      </c>
      <c r="F37" s="14">
        <f t="shared" si="4"/>
        <v>93.307215374309152</v>
      </c>
      <c r="G37" s="46">
        <v>0</v>
      </c>
      <c r="H37" s="23">
        <f t="shared" ref="H37:H89" si="21">G37*I37</f>
        <v>0</v>
      </c>
      <c r="I37" s="22">
        <f>VLOOKUP(C37,Data!$A$5:$V$197,6,FALSE)*6.4</f>
        <v>43.006312203232113</v>
      </c>
      <c r="J37" s="84">
        <f>VLOOKUP(C37,Data!$A$5:$V$197,13,FALSE)</f>
        <v>24077.1875</v>
      </c>
      <c r="K37" s="48">
        <f t="shared" ref="K37:K41" si="22">IF(D37+G37&gt;0,((E37+H37)/(D37+G37)*J37),0)</f>
        <v>2246575.319670124</v>
      </c>
      <c r="L37" s="14">
        <f t="shared" si="1"/>
        <v>93.307215374309152</v>
      </c>
      <c r="M37" s="15">
        <f t="shared" si="2"/>
        <v>245150.15625</v>
      </c>
      <c r="N37" s="15">
        <f t="shared" si="2"/>
        <v>22874278.42826429</v>
      </c>
      <c r="O37" s="22">
        <f t="shared" si="3"/>
        <v>93.307215374309152</v>
      </c>
      <c r="P37" s="31">
        <f t="shared" ref="P37:Q41" si="23">AVERAGE(M25:M37)</f>
        <v>295810.92788461538</v>
      </c>
      <c r="Q37" s="31">
        <f t="shared" si="23"/>
        <v>27601293.957197849</v>
      </c>
      <c r="R37" s="32">
        <f t="shared" ref="R37:R41" si="24">IF(P37=0,0,Q37/P37)</f>
        <v>93.307215370907684</v>
      </c>
      <c r="S37" s="31">
        <f t="shared" ref="S37:S41" si="25">M37+A37</f>
        <v>289150.15625</v>
      </c>
      <c r="T37" s="45">
        <f t="shared" ref="T37:T39" si="26">IF(S37&gt;106524,106524,46000)</f>
        <v>106524</v>
      </c>
      <c r="U37" s="43">
        <f t="shared" ref="U37:U39" si="27">(S37-T37)/13700</f>
        <v>13.330376368613139</v>
      </c>
    </row>
    <row r="38" spans="1:21">
      <c r="A38" s="47">
        <v>44000</v>
      </c>
      <c r="B38" s="21">
        <v>110000</v>
      </c>
      <c r="C38" s="13">
        <v>42614</v>
      </c>
      <c r="D38" s="16">
        <f t="shared" si="4"/>
        <v>245150.15625</v>
      </c>
      <c r="E38" s="16">
        <f t="shared" si="4"/>
        <v>22874278.42826429</v>
      </c>
      <c r="F38" s="14">
        <f t="shared" si="4"/>
        <v>93.307215374309152</v>
      </c>
      <c r="G38" s="46">
        <v>0</v>
      </c>
      <c r="H38" s="23">
        <f t="shared" si="21"/>
        <v>0</v>
      </c>
      <c r="I38" s="22">
        <f>VLOOKUP(C38,Data!$A$5:$V$197,6,FALSE)*6.4</f>
        <v>43.706312203232116</v>
      </c>
      <c r="J38" s="84">
        <f>VLOOKUP(C38,Data!$A$5:$V$197,13,FALSE)</f>
        <v>17990</v>
      </c>
      <c r="K38" s="48">
        <f t="shared" si="22"/>
        <v>1678596.8045838217</v>
      </c>
      <c r="L38" s="14">
        <f t="shared" si="1"/>
        <v>93.307215374309152</v>
      </c>
      <c r="M38" s="15">
        <f t="shared" si="2"/>
        <v>227160.15625</v>
      </c>
      <c r="N38" s="15">
        <f t="shared" si="2"/>
        <v>21195681.623680469</v>
      </c>
      <c r="O38" s="22">
        <f t="shared" si="3"/>
        <v>93.307215374309152</v>
      </c>
      <c r="P38" s="31">
        <f t="shared" si="23"/>
        <v>287796.17067307694</v>
      </c>
      <c r="Q38" s="31">
        <f t="shared" si="23"/>
        <v>26853459.280557878</v>
      </c>
      <c r="R38" s="32">
        <f t="shared" si="24"/>
        <v>93.307215373140451</v>
      </c>
      <c r="S38" s="31">
        <f t="shared" si="25"/>
        <v>271160.15625</v>
      </c>
      <c r="T38" s="45">
        <f t="shared" si="26"/>
        <v>106524</v>
      </c>
      <c r="U38" s="43">
        <f t="shared" si="27"/>
        <v>12.017237682481753</v>
      </c>
    </row>
    <row r="39" spans="1:21">
      <c r="A39" s="47">
        <v>44000</v>
      </c>
      <c r="B39" s="21">
        <v>110000</v>
      </c>
      <c r="C39" s="13">
        <v>42644</v>
      </c>
      <c r="D39" s="16">
        <f t="shared" si="4"/>
        <v>227160.15625</v>
      </c>
      <c r="E39" s="16">
        <f t="shared" si="4"/>
        <v>21195681.623680469</v>
      </c>
      <c r="F39" s="14">
        <f t="shared" si="4"/>
        <v>93.307215374309152</v>
      </c>
      <c r="G39" s="46">
        <v>0</v>
      </c>
      <c r="H39" s="23">
        <f t="shared" si="21"/>
        <v>0</v>
      </c>
      <c r="I39" s="22">
        <f>VLOOKUP(C39,Data!$A$5:$V$197,6,FALSE)*6.4</f>
        <v>44.201845200000008</v>
      </c>
      <c r="J39" s="84">
        <f>VLOOKUP(C39,Data!$A$5:$V$197,13,FALSE)</f>
        <v>7260.15625</v>
      </c>
      <c r="K39" s="48">
        <f t="shared" si="22"/>
        <v>677424.96286988666</v>
      </c>
      <c r="L39" s="14">
        <f t="shared" si="1"/>
        <v>93.307215374309152</v>
      </c>
      <c r="M39" s="15">
        <f t="shared" si="2"/>
        <v>219900</v>
      </c>
      <c r="N39" s="15">
        <f t="shared" si="2"/>
        <v>20518256.660810582</v>
      </c>
      <c r="O39" s="22">
        <f t="shared" si="3"/>
        <v>93.307215374309152</v>
      </c>
      <c r="P39" s="31">
        <f t="shared" si="23"/>
        <v>279206.32451923075</v>
      </c>
      <c r="Q39" s="31">
        <f t="shared" si="23"/>
        <v>26051964.65600485</v>
      </c>
      <c r="R39" s="32">
        <f t="shared" si="24"/>
        <v>93.307215375096135</v>
      </c>
      <c r="S39" s="31">
        <f t="shared" si="25"/>
        <v>263900</v>
      </c>
      <c r="T39" s="45">
        <f t="shared" si="26"/>
        <v>106524</v>
      </c>
      <c r="U39" s="43">
        <f t="shared" si="27"/>
        <v>11.487299270072993</v>
      </c>
    </row>
    <row r="40" spans="1:21">
      <c r="A40" s="47">
        <v>44000</v>
      </c>
      <c r="B40" s="21">
        <v>110000</v>
      </c>
      <c r="C40" s="13">
        <v>42675</v>
      </c>
      <c r="D40" s="16">
        <f t="shared" si="4"/>
        <v>219900</v>
      </c>
      <c r="E40" s="16">
        <f t="shared" si="4"/>
        <v>20518256.660810582</v>
      </c>
      <c r="F40" s="14">
        <f t="shared" si="4"/>
        <v>93.307215374309152</v>
      </c>
      <c r="G40" s="46">
        <v>0</v>
      </c>
      <c r="H40" s="23">
        <f t="shared" si="21"/>
        <v>0</v>
      </c>
      <c r="I40" s="22">
        <f>VLOOKUP(C40,Data!$A$5:$V$197,6,FALSE)*6.4</f>
        <v>44.801845200000002</v>
      </c>
      <c r="J40" s="84">
        <f>VLOOKUP(C40,Data!$A$5:$V$197,13,FALSE)</f>
        <v>0</v>
      </c>
      <c r="K40" s="48">
        <f t="shared" si="22"/>
        <v>0</v>
      </c>
      <c r="L40" s="14">
        <f t="shared" si="1"/>
        <v>0</v>
      </c>
      <c r="M40" s="15">
        <f t="shared" si="2"/>
        <v>219900</v>
      </c>
      <c r="N40" s="15">
        <f t="shared" si="2"/>
        <v>20518256.660810582</v>
      </c>
      <c r="O40" s="22">
        <f t="shared" si="3"/>
        <v>93.307215374309152</v>
      </c>
      <c r="P40" s="31">
        <f t="shared" si="23"/>
        <v>271143.40144230769</v>
      </c>
      <c r="Q40" s="31">
        <f t="shared" si="23"/>
        <v>25299635.756067198</v>
      </c>
      <c r="R40" s="32">
        <f t="shared" si="24"/>
        <v>93.307215375662778</v>
      </c>
      <c r="S40" s="55">
        <f t="shared" si="25"/>
        <v>263900</v>
      </c>
      <c r="T40" s="45">
        <f t="shared" ref="T40:T41" si="28">IF(S40&gt;106524,106524,46000)</f>
        <v>106524</v>
      </c>
      <c r="U40" s="43">
        <f t="shared" ref="U40:U41" si="29">(S40-T40)/13700</f>
        <v>11.487299270072993</v>
      </c>
    </row>
    <row r="41" spans="1:21">
      <c r="A41" s="47">
        <v>44000</v>
      </c>
      <c r="B41" s="21">
        <v>110000</v>
      </c>
      <c r="C41" s="13">
        <v>42705</v>
      </c>
      <c r="D41" s="16">
        <f t="shared" si="4"/>
        <v>219900</v>
      </c>
      <c r="E41" s="16">
        <f t="shared" si="4"/>
        <v>20518256.660810582</v>
      </c>
      <c r="F41" s="14">
        <f t="shared" si="4"/>
        <v>93.307215374309152</v>
      </c>
      <c r="G41" s="46">
        <v>0</v>
      </c>
      <c r="H41" s="23">
        <f t="shared" si="21"/>
        <v>0</v>
      </c>
      <c r="I41" s="22">
        <f>VLOOKUP(C41,Data!$A$5:$V$197,6,FALSE)*6.4</f>
        <v>45.351845200000007</v>
      </c>
      <c r="J41" s="84">
        <f>VLOOKUP(C41,Data!$A$5:$V$197,13,FALSE)</f>
        <v>0</v>
      </c>
      <c r="K41" s="48">
        <f t="shared" si="22"/>
        <v>0</v>
      </c>
      <c r="L41" s="14">
        <f t="shared" si="1"/>
        <v>0</v>
      </c>
      <c r="M41" s="15">
        <f t="shared" si="2"/>
        <v>219900</v>
      </c>
      <c r="N41" s="15">
        <f t="shared" si="2"/>
        <v>20518256.660810582</v>
      </c>
      <c r="O41" s="22">
        <f t="shared" si="3"/>
        <v>93.307215374309152</v>
      </c>
      <c r="P41" s="31">
        <f t="shared" si="23"/>
        <v>265077.24759615387</v>
      </c>
      <c r="Q41" s="31">
        <f t="shared" si="23"/>
        <v>24733619.8322834</v>
      </c>
      <c r="R41" s="32">
        <f t="shared" si="24"/>
        <v>93.307215374309138</v>
      </c>
      <c r="S41" s="55">
        <f t="shared" si="25"/>
        <v>263900</v>
      </c>
      <c r="T41" s="45">
        <f t="shared" si="28"/>
        <v>106524</v>
      </c>
      <c r="U41" s="43">
        <f t="shared" si="29"/>
        <v>11.487299270072993</v>
      </c>
    </row>
    <row r="42" spans="1:21">
      <c r="A42" s="47">
        <v>0</v>
      </c>
      <c r="B42" s="47">
        <v>0</v>
      </c>
      <c r="C42" s="13">
        <v>42736</v>
      </c>
      <c r="D42" s="16">
        <v>0</v>
      </c>
      <c r="E42" s="16">
        <v>0</v>
      </c>
      <c r="F42" s="14">
        <v>0</v>
      </c>
      <c r="G42" s="46">
        <v>0</v>
      </c>
      <c r="H42" s="92">
        <f t="shared" si="21"/>
        <v>0</v>
      </c>
      <c r="I42" s="22">
        <f>VLOOKUP(C42,Data!$A$5:$V$197,6,FALSE)*6.4</f>
        <v>45.851845200000007</v>
      </c>
      <c r="J42" s="92">
        <f>D42</f>
        <v>0</v>
      </c>
      <c r="K42" s="94">
        <f>E42</f>
        <v>0</v>
      </c>
      <c r="L42" s="14">
        <f t="shared" ref="L42:L89" si="30">IF(J42=0,0,K42/J42)</f>
        <v>0</v>
      </c>
      <c r="M42" s="46">
        <f t="shared" ref="M42" si="31">+D42+G42-J42</f>
        <v>0</v>
      </c>
      <c r="N42" s="46">
        <f t="shared" ref="N42" si="32">+E42+H42-K42</f>
        <v>0</v>
      </c>
      <c r="O42" s="22">
        <f t="shared" si="3"/>
        <v>0</v>
      </c>
      <c r="P42" s="55">
        <f t="shared" ref="P42:P89" si="33">AVERAGE(M30:M42)</f>
        <v>242111.86298076922</v>
      </c>
      <c r="Q42" s="55">
        <f t="shared" ref="Q42:Q89" si="34">AVERAGE(N30:N42)</f>
        <v>22590783.743821863</v>
      </c>
      <c r="R42" s="32">
        <f t="shared" ref="R42:R89" si="35">IF(P42=0,0,Q42/P42)</f>
        <v>93.307215374309166</v>
      </c>
      <c r="S42" s="55">
        <f t="shared" ref="S42:S89" si="36">M42+A42</f>
        <v>0</v>
      </c>
      <c r="T42" s="39">
        <v>0</v>
      </c>
      <c r="U42" s="43">
        <f t="shared" ref="U42:U89" si="37">(S42-T42)/13700</f>
        <v>0</v>
      </c>
    </row>
    <row r="43" spans="1:21">
      <c r="A43" s="47">
        <v>0</v>
      </c>
      <c r="B43" s="47">
        <v>0</v>
      </c>
      <c r="C43" s="13">
        <v>42767</v>
      </c>
      <c r="D43" s="16">
        <f t="shared" ref="D43:D89" si="38">M42</f>
        <v>0</v>
      </c>
      <c r="E43" s="16">
        <f t="shared" ref="E43:E89" si="39">N42</f>
        <v>0</v>
      </c>
      <c r="F43" s="14">
        <f t="shared" ref="F43:F89" si="40">O42</f>
        <v>0</v>
      </c>
      <c r="G43" s="46">
        <v>0</v>
      </c>
      <c r="H43" s="92">
        <f t="shared" si="21"/>
        <v>0</v>
      </c>
      <c r="I43" s="22">
        <f>VLOOKUP(C43,Data!$A$5:$V$197,6,FALSE)*6.4</f>
        <v>46.301845200000002</v>
      </c>
      <c r="J43" s="92">
        <f>VLOOKUP(C43,Data!$A$5:$V$197,13,FALSE)</f>
        <v>0</v>
      </c>
      <c r="K43" s="92">
        <f t="shared" ref="K43:K89" si="41">IF(D43+G43&gt;0,((E43+H43)/(D43+G43)*J43),0)</f>
        <v>0</v>
      </c>
      <c r="L43" s="14">
        <f t="shared" si="30"/>
        <v>0</v>
      </c>
      <c r="M43" s="46">
        <f t="shared" ref="M43:M89" si="42">+D43+G43-J43</f>
        <v>0</v>
      </c>
      <c r="N43" s="46">
        <f t="shared" ref="N43:N89" si="43">+E43+H43-K43</f>
        <v>0</v>
      </c>
      <c r="O43" s="22">
        <f t="shared" ref="O43:O89" si="44">IF(M43=0,0,N43/M43)</f>
        <v>0</v>
      </c>
      <c r="P43" s="55">
        <f t="shared" si="33"/>
        <v>219412.56009615384</v>
      </c>
      <c r="Q43" s="55">
        <f t="shared" si="34"/>
        <v>20472775.000720378</v>
      </c>
      <c r="R43" s="32">
        <f t="shared" si="35"/>
        <v>93.307215374309152</v>
      </c>
      <c r="S43" s="55">
        <f t="shared" si="36"/>
        <v>0</v>
      </c>
      <c r="T43" s="39">
        <v>0</v>
      </c>
      <c r="U43" s="43">
        <f t="shared" si="37"/>
        <v>0</v>
      </c>
    </row>
    <row r="44" spans="1:21">
      <c r="A44" s="47">
        <v>0</v>
      </c>
      <c r="B44" s="47">
        <v>0</v>
      </c>
      <c r="C44" s="13">
        <v>42795</v>
      </c>
      <c r="D44" s="16">
        <f t="shared" si="38"/>
        <v>0</v>
      </c>
      <c r="E44" s="16">
        <f t="shared" si="39"/>
        <v>0</v>
      </c>
      <c r="F44" s="14">
        <f t="shared" si="40"/>
        <v>0</v>
      </c>
      <c r="G44" s="46">
        <v>0</v>
      </c>
      <c r="H44" s="92">
        <f t="shared" si="21"/>
        <v>0</v>
      </c>
      <c r="I44" s="22">
        <f>VLOOKUP(C44,Data!$A$5:$V$197,6,FALSE)*6.4</f>
        <v>46.751845200000005</v>
      </c>
      <c r="J44" s="92">
        <f>VLOOKUP(C44,Data!$A$5:$V$197,13,FALSE)</f>
        <v>0</v>
      </c>
      <c r="K44" s="92">
        <f t="shared" si="41"/>
        <v>0</v>
      </c>
      <c r="L44" s="14">
        <f t="shared" si="30"/>
        <v>0</v>
      </c>
      <c r="M44" s="46">
        <f t="shared" si="42"/>
        <v>0</v>
      </c>
      <c r="N44" s="46">
        <f t="shared" si="43"/>
        <v>0</v>
      </c>
      <c r="O44" s="22">
        <f t="shared" si="44"/>
        <v>0</v>
      </c>
      <c r="P44" s="55">
        <f t="shared" si="33"/>
        <v>196846.92307692306</v>
      </c>
      <c r="Q44" s="55">
        <f t="shared" si="34"/>
        <v>18367238.24730853</v>
      </c>
      <c r="R44" s="32">
        <f t="shared" si="35"/>
        <v>93.307215374309166</v>
      </c>
      <c r="S44" s="55">
        <f t="shared" si="36"/>
        <v>0</v>
      </c>
      <c r="T44" s="39">
        <v>0</v>
      </c>
      <c r="U44" s="43">
        <f t="shared" si="37"/>
        <v>0</v>
      </c>
    </row>
    <row r="45" spans="1:21">
      <c r="A45" s="47">
        <v>0</v>
      </c>
      <c r="B45" s="47">
        <v>0</v>
      </c>
      <c r="C45" s="13">
        <v>42826</v>
      </c>
      <c r="D45" s="16">
        <f t="shared" si="38"/>
        <v>0</v>
      </c>
      <c r="E45" s="16">
        <f t="shared" si="39"/>
        <v>0</v>
      </c>
      <c r="F45" s="14">
        <f t="shared" si="40"/>
        <v>0</v>
      </c>
      <c r="G45" s="46">
        <v>0</v>
      </c>
      <c r="H45" s="92">
        <f t="shared" si="21"/>
        <v>0</v>
      </c>
      <c r="I45" s="22">
        <f>VLOOKUP(C45,Data!$A$5:$V$197,6,FALSE)*6.4</f>
        <v>47.201845200000008</v>
      </c>
      <c r="J45" s="92">
        <f>VLOOKUP(C45,Data!$A$5:$V$197,13,FALSE)</f>
        <v>0</v>
      </c>
      <c r="K45" s="92">
        <f t="shared" si="41"/>
        <v>0</v>
      </c>
      <c r="L45" s="14">
        <f t="shared" si="30"/>
        <v>0</v>
      </c>
      <c r="M45" s="46">
        <f t="shared" si="42"/>
        <v>0</v>
      </c>
      <c r="N45" s="46">
        <f t="shared" si="43"/>
        <v>0</v>
      </c>
      <c r="O45" s="22">
        <f t="shared" si="44"/>
        <v>0</v>
      </c>
      <c r="P45" s="55">
        <f t="shared" si="33"/>
        <v>174311.41826923078</v>
      </c>
      <c r="Q45" s="55">
        <f t="shared" si="34"/>
        <v>16264513.046648404</v>
      </c>
      <c r="R45" s="32">
        <f t="shared" si="35"/>
        <v>93.307215374309152</v>
      </c>
      <c r="S45" s="55">
        <f t="shared" si="36"/>
        <v>0</v>
      </c>
      <c r="T45" s="39">
        <v>0</v>
      </c>
      <c r="U45" s="43">
        <f t="shared" si="37"/>
        <v>0</v>
      </c>
    </row>
    <row r="46" spans="1:21">
      <c r="A46" s="47">
        <v>0</v>
      </c>
      <c r="B46" s="47">
        <v>0</v>
      </c>
      <c r="C46" s="13">
        <v>42856</v>
      </c>
      <c r="D46" s="16">
        <f t="shared" si="38"/>
        <v>0</v>
      </c>
      <c r="E46" s="16">
        <f t="shared" si="39"/>
        <v>0</v>
      </c>
      <c r="F46" s="14">
        <f t="shared" si="40"/>
        <v>0</v>
      </c>
      <c r="G46" s="46">
        <v>0</v>
      </c>
      <c r="H46" s="92">
        <f t="shared" si="21"/>
        <v>0</v>
      </c>
      <c r="I46" s="22">
        <f>VLOOKUP(C46,Data!$A$5:$V$197,6,FALSE)*6.4</f>
        <v>47.806312203232117</v>
      </c>
      <c r="J46" s="92">
        <f>VLOOKUP(C46,Data!$A$5:$V$197,13,FALSE)</f>
        <v>0</v>
      </c>
      <c r="K46" s="92">
        <f t="shared" si="41"/>
        <v>0</v>
      </c>
      <c r="L46" s="14">
        <f t="shared" si="30"/>
        <v>0</v>
      </c>
      <c r="M46" s="46">
        <f t="shared" si="42"/>
        <v>0</v>
      </c>
      <c r="N46" s="46">
        <f t="shared" si="43"/>
        <v>0</v>
      </c>
      <c r="O46" s="22">
        <f t="shared" si="44"/>
        <v>0</v>
      </c>
      <c r="P46" s="55">
        <f t="shared" si="33"/>
        <v>151817.39182692306</v>
      </c>
      <c r="Q46" s="55">
        <f t="shared" si="34"/>
        <v>14165658.076760594</v>
      </c>
      <c r="R46" s="32">
        <f t="shared" si="35"/>
        <v>93.307215374309166</v>
      </c>
      <c r="S46" s="55">
        <f t="shared" si="36"/>
        <v>0</v>
      </c>
      <c r="T46" s="39">
        <v>0</v>
      </c>
      <c r="U46" s="43">
        <f t="shared" si="37"/>
        <v>0</v>
      </c>
    </row>
    <row r="47" spans="1:21">
      <c r="A47" s="47">
        <v>0</v>
      </c>
      <c r="B47" s="47">
        <v>0</v>
      </c>
      <c r="C47" s="13">
        <v>42887</v>
      </c>
      <c r="D47" s="16">
        <f t="shared" si="38"/>
        <v>0</v>
      </c>
      <c r="E47" s="16">
        <f t="shared" si="39"/>
        <v>0</v>
      </c>
      <c r="F47" s="14">
        <f t="shared" si="40"/>
        <v>0</v>
      </c>
      <c r="G47" s="46">
        <v>0</v>
      </c>
      <c r="H47" s="92">
        <f t="shared" si="21"/>
        <v>0</v>
      </c>
      <c r="I47" s="22">
        <f>VLOOKUP(C47,Data!$A$5:$V$197,6,FALSE)*6.4</f>
        <v>48.306312203232117</v>
      </c>
      <c r="J47" s="92">
        <f>VLOOKUP(C47,Data!$A$5:$V$197,13,FALSE)</f>
        <v>0</v>
      </c>
      <c r="K47" s="92">
        <f t="shared" si="41"/>
        <v>0</v>
      </c>
      <c r="L47" s="14">
        <f t="shared" si="30"/>
        <v>0</v>
      </c>
      <c r="M47" s="46">
        <f t="shared" si="42"/>
        <v>0</v>
      </c>
      <c r="N47" s="46">
        <f t="shared" si="43"/>
        <v>0</v>
      </c>
      <c r="O47" s="22">
        <f t="shared" si="44"/>
        <v>0</v>
      </c>
      <c r="P47" s="55">
        <f t="shared" si="33"/>
        <v>129479.72355769231</v>
      </c>
      <c r="Q47" s="55">
        <f t="shared" si="34"/>
        <v>12081392.452603608</v>
      </c>
      <c r="R47" s="32">
        <f t="shared" si="35"/>
        <v>93.307215374309166</v>
      </c>
      <c r="S47" s="55">
        <f t="shared" si="36"/>
        <v>0</v>
      </c>
      <c r="T47" s="39">
        <v>0</v>
      </c>
      <c r="U47" s="43">
        <f t="shared" si="37"/>
        <v>0</v>
      </c>
    </row>
    <row r="48" spans="1:21">
      <c r="A48" s="47">
        <v>0</v>
      </c>
      <c r="B48" s="47">
        <v>0</v>
      </c>
      <c r="C48" s="13">
        <v>42917</v>
      </c>
      <c r="D48" s="16">
        <f t="shared" si="38"/>
        <v>0</v>
      </c>
      <c r="E48" s="16">
        <f t="shared" si="39"/>
        <v>0</v>
      </c>
      <c r="F48" s="14">
        <f t="shared" si="40"/>
        <v>0</v>
      </c>
      <c r="G48" s="46">
        <v>0</v>
      </c>
      <c r="H48" s="92">
        <f t="shared" si="21"/>
        <v>0</v>
      </c>
      <c r="I48" s="22">
        <f>VLOOKUP(C48,Data!$A$5:$V$197,6,FALSE)*6.4</f>
        <v>48.806312203232117</v>
      </c>
      <c r="J48" s="92">
        <f>VLOOKUP(C48,Data!$A$5:$V$197,13,FALSE)</f>
        <v>0</v>
      </c>
      <c r="K48" s="92">
        <f t="shared" si="41"/>
        <v>0</v>
      </c>
      <c r="L48" s="14">
        <f t="shared" si="30"/>
        <v>0</v>
      </c>
      <c r="M48" s="46">
        <f t="shared" si="42"/>
        <v>0</v>
      </c>
      <c r="N48" s="46">
        <f t="shared" si="43"/>
        <v>0</v>
      </c>
      <c r="O48" s="22">
        <f t="shared" si="44"/>
        <v>0</v>
      </c>
      <c r="P48" s="55">
        <f t="shared" si="33"/>
        <v>107787.51201923077</v>
      </c>
      <c r="Q48" s="55">
        <f t="shared" si="34"/>
        <v>10057352.598639302</v>
      </c>
      <c r="R48" s="32">
        <f t="shared" si="35"/>
        <v>93.307215374309152</v>
      </c>
      <c r="S48" s="55">
        <f t="shared" si="36"/>
        <v>0</v>
      </c>
      <c r="T48" s="39">
        <v>0</v>
      </c>
      <c r="U48" s="43">
        <f t="shared" si="37"/>
        <v>0</v>
      </c>
    </row>
    <row r="49" spans="1:21">
      <c r="A49" s="47">
        <v>0</v>
      </c>
      <c r="B49" s="47">
        <v>0</v>
      </c>
      <c r="C49" s="13">
        <v>42948</v>
      </c>
      <c r="D49" s="16">
        <f t="shared" si="38"/>
        <v>0</v>
      </c>
      <c r="E49" s="16">
        <f t="shared" si="39"/>
        <v>0</v>
      </c>
      <c r="F49" s="14">
        <f t="shared" si="40"/>
        <v>0</v>
      </c>
      <c r="G49" s="46">
        <v>0</v>
      </c>
      <c r="H49" s="92">
        <f t="shared" si="21"/>
        <v>0</v>
      </c>
      <c r="I49" s="22">
        <f>VLOOKUP(C49,Data!$A$5:$V$197,6,FALSE)*6.4</f>
        <v>49.306312203232117</v>
      </c>
      <c r="J49" s="92">
        <f>VLOOKUP(C49,Data!$A$5:$V$197,13,FALSE)</f>
        <v>0</v>
      </c>
      <c r="K49" s="92">
        <f t="shared" si="41"/>
        <v>0</v>
      </c>
      <c r="L49" s="14">
        <f t="shared" si="30"/>
        <v>0</v>
      </c>
      <c r="M49" s="46">
        <f t="shared" si="42"/>
        <v>0</v>
      </c>
      <c r="N49" s="46">
        <f t="shared" si="43"/>
        <v>0</v>
      </c>
      <c r="O49" s="22">
        <f t="shared" si="44"/>
        <v>0</v>
      </c>
      <c r="P49" s="55">
        <f t="shared" si="33"/>
        <v>87077.716346153844</v>
      </c>
      <c r="Q49" s="55">
        <f t="shared" si="34"/>
        <v>8124979.2334135771</v>
      </c>
      <c r="R49" s="32">
        <f t="shared" si="35"/>
        <v>93.307215374309152</v>
      </c>
      <c r="S49" s="55">
        <f t="shared" si="36"/>
        <v>0</v>
      </c>
      <c r="T49" s="39">
        <v>0</v>
      </c>
      <c r="U49" s="43">
        <f t="shared" si="37"/>
        <v>0</v>
      </c>
    </row>
    <row r="50" spans="1:21">
      <c r="A50" s="47">
        <v>0</v>
      </c>
      <c r="B50" s="47">
        <v>0</v>
      </c>
      <c r="C50" s="13">
        <v>42979</v>
      </c>
      <c r="D50" s="16">
        <f t="shared" si="38"/>
        <v>0</v>
      </c>
      <c r="E50" s="16">
        <f t="shared" si="39"/>
        <v>0</v>
      </c>
      <c r="F50" s="14">
        <f t="shared" si="40"/>
        <v>0</v>
      </c>
      <c r="G50" s="46">
        <v>0</v>
      </c>
      <c r="H50" s="92">
        <f t="shared" si="21"/>
        <v>0</v>
      </c>
      <c r="I50" s="22">
        <f>VLOOKUP(C50,Data!$A$5:$V$197,6,FALSE)*6.4</f>
        <v>49.806312203232117</v>
      </c>
      <c r="J50" s="92">
        <f>VLOOKUP(C50,Data!$A$5:$V$197,13,FALSE)</f>
        <v>0</v>
      </c>
      <c r="K50" s="92">
        <f t="shared" si="41"/>
        <v>0</v>
      </c>
      <c r="L50" s="14">
        <f t="shared" si="30"/>
        <v>0</v>
      </c>
      <c r="M50" s="46">
        <f t="shared" si="42"/>
        <v>0</v>
      </c>
      <c r="N50" s="46">
        <f t="shared" si="43"/>
        <v>0</v>
      </c>
      <c r="O50" s="22">
        <f t="shared" si="44"/>
        <v>0</v>
      </c>
      <c r="P50" s="55">
        <f t="shared" si="33"/>
        <v>68220.012019230766</v>
      </c>
      <c r="Q50" s="55">
        <f t="shared" si="34"/>
        <v>6365419.354316324</v>
      </c>
      <c r="R50" s="32">
        <f t="shared" si="35"/>
        <v>93.307215374309152</v>
      </c>
      <c r="S50" s="55">
        <f t="shared" si="36"/>
        <v>0</v>
      </c>
      <c r="T50" s="39">
        <v>0</v>
      </c>
      <c r="U50" s="43">
        <f t="shared" si="37"/>
        <v>0</v>
      </c>
    </row>
    <row r="51" spans="1:21">
      <c r="A51" s="47">
        <v>0</v>
      </c>
      <c r="B51" s="47">
        <v>0</v>
      </c>
      <c r="C51" s="13">
        <v>43009</v>
      </c>
      <c r="D51" s="16">
        <f t="shared" si="38"/>
        <v>0</v>
      </c>
      <c r="E51" s="16">
        <f t="shared" si="39"/>
        <v>0</v>
      </c>
      <c r="F51" s="14">
        <f t="shared" si="40"/>
        <v>0</v>
      </c>
      <c r="G51" s="46">
        <v>0</v>
      </c>
      <c r="H51" s="92">
        <f t="shared" si="21"/>
        <v>0</v>
      </c>
      <c r="I51" s="22">
        <f>VLOOKUP(C51,Data!$A$5:$V$197,6,FALSE)*6.4</f>
        <v>50.201845200000008</v>
      </c>
      <c r="J51" s="92">
        <f>VLOOKUP(C51,Data!$A$5:$V$197,13,FALSE)</f>
        <v>0</v>
      </c>
      <c r="K51" s="92">
        <f t="shared" si="41"/>
        <v>0</v>
      </c>
      <c r="L51" s="14">
        <f t="shared" si="30"/>
        <v>0</v>
      </c>
      <c r="M51" s="46">
        <f t="shared" si="42"/>
        <v>0</v>
      </c>
      <c r="N51" s="46">
        <f t="shared" si="43"/>
        <v>0</v>
      </c>
      <c r="O51" s="22">
        <f t="shared" si="44"/>
        <v>0</v>
      </c>
      <c r="P51" s="55">
        <f t="shared" si="33"/>
        <v>50746.153846153844</v>
      </c>
      <c r="Q51" s="55">
        <f t="shared" si="34"/>
        <v>4734982.306340904</v>
      </c>
      <c r="R51" s="32">
        <f t="shared" si="35"/>
        <v>93.307215374309166</v>
      </c>
      <c r="S51" s="55">
        <f t="shared" si="36"/>
        <v>0</v>
      </c>
      <c r="T51" s="39">
        <v>0</v>
      </c>
      <c r="U51" s="43">
        <f t="shared" si="37"/>
        <v>0</v>
      </c>
    </row>
    <row r="52" spans="1:21">
      <c r="A52" s="47">
        <v>0</v>
      </c>
      <c r="B52" s="47">
        <v>0</v>
      </c>
      <c r="C52" s="13">
        <v>43040</v>
      </c>
      <c r="D52" s="16">
        <f t="shared" si="38"/>
        <v>0</v>
      </c>
      <c r="E52" s="16">
        <f t="shared" si="39"/>
        <v>0</v>
      </c>
      <c r="F52" s="14">
        <f t="shared" si="40"/>
        <v>0</v>
      </c>
      <c r="G52" s="46">
        <v>0</v>
      </c>
      <c r="H52" s="92">
        <f t="shared" si="21"/>
        <v>0</v>
      </c>
      <c r="I52" s="22">
        <f>VLOOKUP(C52,Data!$A$5:$V$197,6,FALSE)*6.4</f>
        <v>50.701845200000008</v>
      </c>
      <c r="J52" s="92">
        <f>VLOOKUP(C52,Data!$A$5:$V$197,13,FALSE)</f>
        <v>0</v>
      </c>
      <c r="K52" s="92">
        <f t="shared" si="41"/>
        <v>0</v>
      </c>
      <c r="L52" s="14">
        <f t="shared" si="30"/>
        <v>0</v>
      </c>
      <c r="M52" s="46">
        <f t="shared" si="42"/>
        <v>0</v>
      </c>
      <c r="N52" s="46">
        <f t="shared" si="43"/>
        <v>0</v>
      </c>
      <c r="O52" s="22">
        <f t="shared" si="44"/>
        <v>0</v>
      </c>
      <c r="P52" s="55">
        <f t="shared" si="33"/>
        <v>33830.769230769234</v>
      </c>
      <c r="Q52" s="55">
        <f t="shared" si="34"/>
        <v>3156654.8708939357</v>
      </c>
      <c r="R52" s="32">
        <f t="shared" si="35"/>
        <v>93.307215374309138</v>
      </c>
      <c r="S52" s="55">
        <f t="shared" si="36"/>
        <v>0</v>
      </c>
      <c r="T52" s="39">
        <v>0</v>
      </c>
      <c r="U52" s="43">
        <f t="shared" si="37"/>
        <v>0</v>
      </c>
    </row>
    <row r="53" spans="1:21">
      <c r="A53" s="47">
        <v>0</v>
      </c>
      <c r="B53" s="47">
        <v>0</v>
      </c>
      <c r="C53" s="13">
        <v>43070</v>
      </c>
      <c r="D53" s="16">
        <f t="shared" si="38"/>
        <v>0</v>
      </c>
      <c r="E53" s="16">
        <f t="shared" si="39"/>
        <v>0</v>
      </c>
      <c r="F53" s="14">
        <f t="shared" si="40"/>
        <v>0</v>
      </c>
      <c r="G53" s="46">
        <v>0</v>
      </c>
      <c r="H53" s="92">
        <f t="shared" si="21"/>
        <v>0</v>
      </c>
      <c r="I53" s="22">
        <f>VLOOKUP(C53,Data!$A$5:$V$197,6,FALSE)*6.4</f>
        <v>51.201845200000008</v>
      </c>
      <c r="J53" s="92">
        <f>VLOOKUP(C53,Data!$A$5:$V$197,13,FALSE)</f>
        <v>0</v>
      </c>
      <c r="K53" s="92">
        <f t="shared" si="41"/>
        <v>0</v>
      </c>
      <c r="L53" s="14">
        <f t="shared" si="30"/>
        <v>0</v>
      </c>
      <c r="M53" s="46">
        <f t="shared" si="42"/>
        <v>0</v>
      </c>
      <c r="N53" s="46">
        <f t="shared" si="43"/>
        <v>0</v>
      </c>
      <c r="O53" s="22">
        <f t="shared" si="44"/>
        <v>0</v>
      </c>
      <c r="P53" s="55">
        <f t="shared" si="33"/>
        <v>16915.384615384617</v>
      </c>
      <c r="Q53" s="55">
        <f t="shared" si="34"/>
        <v>1578327.4354469678</v>
      </c>
      <c r="R53" s="32">
        <f t="shared" si="35"/>
        <v>93.307215374309138</v>
      </c>
      <c r="S53" s="55">
        <f t="shared" si="36"/>
        <v>0</v>
      </c>
      <c r="T53" s="39">
        <v>0</v>
      </c>
      <c r="U53" s="43">
        <f t="shared" si="37"/>
        <v>0</v>
      </c>
    </row>
    <row r="54" spans="1:21">
      <c r="A54" s="47">
        <v>0</v>
      </c>
      <c r="B54" s="47">
        <v>0</v>
      </c>
      <c r="C54" s="13">
        <v>43101</v>
      </c>
      <c r="D54" s="16">
        <f t="shared" si="38"/>
        <v>0</v>
      </c>
      <c r="E54" s="16">
        <f t="shared" si="39"/>
        <v>0</v>
      </c>
      <c r="F54" s="14">
        <f t="shared" si="40"/>
        <v>0</v>
      </c>
      <c r="G54" s="46">
        <v>0</v>
      </c>
      <c r="H54" s="92">
        <f t="shared" si="21"/>
        <v>0</v>
      </c>
      <c r="I54" s="22">
        <f>VLOOKUP(C54,Data!$A$5:$V$197,6,FALSE)*6.4</f>
        <v>49.601845200000007</v>
      </c>
      <c r="J54" s="92">
        <f>VLOOKUP(C54,Data!$A$5:$V$197,13,FALSE)</f>
        <v>0</v>
      </c>
      <c r="K54" s="92">
        <f t="shared" si="41"/>
        <v>0</v>
      </c>
      <c r="L54" s="14">
        <f t="shared" si="30"/>
        <v>0</v>
      </c>
      <c r="M54" s="46">
        <f t="shared" si="42"/>
        <v>0</v>
      </c>
      <c r="N54" s="46">
        <f t="shared" si="43"/>
        <v>0</v>
      </c>
      <c r="O54" s="22">
        <f t="shared" si="44"/>
        <v>0</v>
      </c>
      <c r="P54" s="55">
        <f t="shared" si="33"/>
        <v>0</v>
      </c>
      <c r="Q54" s="55">
        <f t="shared" si="34"/>
        <v>0</v>
      </c>
      <c r="R54" s="32">
        <f t="shared" si="35"/>
        <v>0</v>
      </c>
      <c r="S54" s="55">
        <f t="shared" si="36"/>
        <v>0</v>
      </c>
      <c r="T54" s="39">
        <v>0</v>
      </c>
      <c r="U54" s="43">
        <f t="shared" si="37"/>
        <v>0</v>
      </c>
    </row>
    <row r="55" spans="1:21">
      <c r="A55" s="47">
        <v>0</v>
      </c>
      <c r="B55" s="47">
        <v>0</v>
      </c>
      <c r="C55" s="13">
        <v>43132</v>
      </c>
      <c r="D55" s="16">
        <f t="shared" si="38"/>
        <v>0</v>
      </c>
      <c r="E55" s="16">
        <f t="shared" si="39"/>
        <v>0</v>
      </c>
      <c r="F55" s="14">
        <f t="shared" si="40"/>
        <v>0</v>
      </c>
      <c r="G55" s="46">
        <v>0</v>
      </c>
      <c r="H55" s="92">
        <f t="shared" si="21"/>
        <v>0</v>
      </c>
      <c r="I55" s="22">
        <f>VLOOKUP(C55,Data!$A$5:$V$197,6,FALSE)*6.4</f>
        <v>49.881845200000008</v>
      </c>
      <c r="J55" s="92">
        <f>VLOOKUP(C55,Data!$A$5:$V$197,13,FALSE)</f>
        <v>0</v>
      </c>
      <c r="K55" s="92">
        <f t="shared" si="41"/>
        <v>0</v>
      </c>
      <c r="L55" s="14">
        <f t="shared" si="30"/>
        <v>0</v>
      </c>
      <c r="M55" s="46">
        <f t="shared" si="42"/>
        <v>0</v>
      </c>
      <c r="N55" s="46">
        <f t="shared" si="43"/>
        <v>0</v>
      </c>
      <c r="O55" s="22">
        <f t="shared" si="44"/>
        <v>0</v>
      </c>
      <c r="P55" s="55">
        <f t="shared" si="33"/>
        <v>0</v>
      </c>
      <c r="Q55" s="55">
        <f t="shared" si="34"/>
        <v>0</v>
      </c>
      <c r="R55" s="32">
        <f t="shared" si="35"/>
        <v>0</v>
      </c>
      <c r="S55" s="55">
        <f t="shared" si="36"/>
        <v>0</v>
      </c>
      <c r="T55" s="39">
        <v>0</v>
      </c>
      <c r="U55" s="43">
        <f t="shared" si="37"/>
        <v>0</v>
      </c>
    </row>
    <row r="56" spans="1:21">
      <c r="A56" s="47">
        <v>0</v>
      </c>
      <c r="B56" s="47">
        <v>0</v>
      </c>
      <c r="C56" s="13">
        <v>43160</v>
      </c>
      <c r="D56" s="16">
        <f t="shared" si="38"/>
        <v>0</v>
      </c>
      <c r="E56" s="16">
        <f t="shared" si="39"/>
        <v>0</v>
      </c>
      <c r="F56" s="14">
        <f t="shared" si="40"/>
        <v>0</v>
      </c>
      <c r="G56" s="46">
        <v>0</v>
      </c>
      <c r="H56" s="92">
        <f t="shared" si="21"/>
        <v>0</v>
      </c>
      <c r="I56" s="22">
        <f>VLOOKUP(C56,Data!$A$5:$V$197,6,FALSE)*6.4</f>
        <v>50.191845200000003</v>
      </c>
      <c r="J56" s="92">
        <f>VLOOKUP(C56,Data!$A$5:$V$197,13,FALSE)</f>
        <v>0</v>
      </c>
      <c r="K56" s="92">
        <f t="shared" si="41"/>
        <v>0</v>
      </c>
      <c r="L56" s="14">
        <f t="shared" si="30"/>
        <v>0</v>
      </c>
      <c r="M56" s="46">
        <f t="shared" si="42"/>
        <v>0</v>
      </c>
      <c r="N56" s="46">
        <f t="shared" si="43"/>
        <v>0</v>
      </c>
      <c r="O56" s="22">
        <f t="shared" si="44"/>
        <v>0</v>
      </c>
      <c r="P56" s="55">
        <f t="shared" si="33"/>
        <v>0</v>
      </c>
      <c r="Q56" s="55">
        <f t="shared" si="34"/>
        <v>0</v>
      </c>
      <c r="R56" s="32">
        <f t="shared" si="35"/>
        <v>0</v>
      </c>
      <c r="S56" s="55">
        <f t="shared" si="36"/>
        <v>0</v>
      </c>
      <c r="T56" s="39">
        <v>0</v>
      </c>
      <c r="U56" s="43">
        <f t="shared" si="37"/>
        <v>0</v>
      </c>
    </row>
    <row r="57" spans="1:21">
      <c r="A57" s="47">
        <v>0</v>
      </c>
      <c r="B57" s="47">
        <v>0</v>
      </c>
      <c r="C57" s="13">
        <v>43191</v>
      </c>
      <c r="D57" s="16">
        <f t="shared" si="38"/>
        <v>0</v>
      </c>
      <c r="E57" s="16">
        <f t="shared" si="39"/>
        <v>0</v>
      </c>
      <c r="F57" s="14">
        <f t="shared" si="40"/>
        <v>0</v>
      </c>
      <c r="G57" s="46">
        <v>0</v>
      </c>
      <c r="H57" s="92">
        <f t="shared" si="21"/>
        <v>0</v>
      </c>
      <c r="I57" s="22">
        <f>VLOOKUP(C57,Data!$A$5:$V$197,6,FALSE)*6.4</f>
        <v>50.531845200000006</v>
      </c>
      <c r="J57" s="92">
        <f>VLOOKUP(C57,Data!$A$5:$V$197,13,FALSE)</f>
        <v>0</v>
      </c>
      <c r="K57" s="92">
        <f t="shared" si="41"/>
        <v>0</v>
      </c>
      <c r="L57" s="14">
        <f t="shared" si="30"/>
        <v>0</v>
      </c>
      <c r="M57" s="46">
        <f t="shared" si="42"/>
        <v>0</v>
      </c>
      <c r="N57" s="46">
        <f t="shared" si="43"/>
        <v>0</v>
      </c>
      <c r="O57" s="22">
        <f t="shared" si="44"/>
        <v>0</v>
      </c>
      <c r="P57" s="55">
        <f t="shared" si="33"/>
        <v>0</v>
      </c>
      <c r="Q57" s="55">
        <f t="shared" si="34"/>
        <v>0</v>
      </c>
      <c r="R57" s="32">
        <f t="shared" si="35"/>
        <v>0</v>
      </c>
      <c r="S57" s="55">
        <f t="shared" si="36"/>
        <v>0</v>
      </c>
      <c r="T57" s="39">
        <v>0</v>
      </c>
      <c r="U57" s="43">
        <f t="shared" si="37"/>
        <v>0</v>
      </c>
    </row>
    <row r="58" spans="1:21">
      <c r="A58" s="47">
        <v>0</v>
      </c>
      <c r="B58" s="47">
        <v>0</v>
      </c>
      <c r="C58" s="13">
        <v>43221</v>
      </c>
      <c r="D58" s="16">
        <f t="shared" si="38"/>
        <v>0</v>
      </c>
      <c r="E58" s="16">
        <f t="shared" si="39"/>
        <v>0</v>
      </c>
      <c r="F58" s="14">
        <f t="shared" si="40"/>
        <v>0</v>
      </c>
      <c r="G58" s="46">
        <v>0</v>
      </c>
      <c r="H58" s="92">
        <f t="shared" si="21"/>
        <v>0</v>
      </c>
      <c r="I58" s="22">
        <f>VLOOKUP(C58,Data!$A$5:$V$197,6,FALSE)*6.4</f>
        <v>51.086312203232112</v>
      </c>
      <c r="J58" s="92">
        <f>VLOOKUP(C58,Data!$A$5:$V$197,13,FALSE)</f>
        <v>0</v>
      </c>
      <c r="K58" s="92">
        <f t="shared" si="41"/>
        <v>0</v>
      </c>
      <c r="L58" s="14">
        <f t="shared" si="30"/>
        <v>0</v>
      </c>
      <c r="M58" s="46">
        <f t="shared" si="42"/>
        <v>0</v>
      </c>
      <c r="N58" s="46">
        <f t="shared" si="43"/>
        <v>0</v>
      </c>
      <c r="O58" s="22">
        <f t="shared" si="44"/>
        <v>0</v>
      </c>
      <c r="P58" s="55">
        <f t="shared" si="33"/>
        <v>0</v>
      </c>
      <c r="Q58" s="55">
        <f t="shared" si="34"/>
        <v>0</v>
      </c>
      <c r="R58" s="32">
        <f t="shared" si="35"/>
        <v>0</v>
      </c>
      <c r="S58" s="55">
        <f t="shared" si="36"/>
        <v>0</v>
      </c>
      <c r="T58" s="39">
        <v>0</v>
      </c>
      <c r="U58" s="43">
        <f t="shared" si="37"/>
        <v>0</v>
      </c>
    </row>
    <row r="59" spans="1:21">
      <c r="A59" s="47">
        <v>0</v>
      </c>
      <c r="B59" s="47">
        <v>0</v>
      </c>
      <c r="C59" s="13">
        <v>43252</v>
      </c>
      <c r="D59" s="16">
        <f t="shared" si="38"/>
        <v>0</v>
      </c>
      <c r="E59" s="16">
        <f t="shared" si="39"/>
        <v>0</v>
      </c>
      <c r="F59" s="14">
        <f t="shared" si="40"/>
        <v>0</v>
      </c>
      <c r="G59" s="46">
        <v>0</v>
      </c>
      <c r="H59" s="92">
        <f t="shared" si="21"/>
        <v>0</v>
      </c>
      <c r="I59" s="22">
        <f>VLOOKUP(C59,Data!$A$5:$V$197,6,FALSE)*6.4</f>
        <v>51.556312203232125</v>
      </c>
      <c r="J59" s="92">
        <f>VLOOKUP(C59,Data!$A$5:$V$197,13,FALSE)</f>
        <v>0</v>
      </c>
      <c r="K59" s="92">
        <f t="shared" si="41"/>
        <v>0</v>
      </c>
      <c r="L59" s="14">
        <f t="shared" si="30"/>
        <v>0</v>
      </c>
      <c r="M59" s="46">
        <f t="shared" si="42"/>
        <v>0</v>
      </c>
      <c r="N59" s="46">
        <f t="shared" si="43"/>
        <v>0</v>
      </c>
      <c r="O59" s="22">
        <f t="shared" si="44"/>
        <v>0</v>
      </c>
      <c r="P59" s="55">
        <f t="shared" si="33"/>
        <v>0</v>
      </c>
      <c r="Q59" s="55">
        <f t="shared" si="34"/>
        <v>0</v>
      </c>
      <c r="R59" s="32">
        <f t="shared" si="35"/>
        <v>0</v>
      </c>
      <c r="S59" s="55">
        <f t="shared" si="36"/>
        <v>0</v>
      </c>
      <c r="T59" s="39">
        <v>0</v>
      </c>
      <c r="U59" s="43">
        <f t="shared" si="37"/>
        <v>0</v>
      </c>
    </row>
    <row r="60" spans="1:21">
      <c r="A60" s="47">
        <v>0</v>
      </c>
      <c r="B60" s="47">
        <v>0</v>
      </c>
      <c r="C60" s="13">
        <v>43282</v>
      </c>
      <c r="D60" s="16">
        <f t="shared" si="38"/>
        <v>0</v>
      </c>
      <c r="E60" s="16">
        <f t="shared" si="39"/>
        <v>0</v>
      </c>
      <c r="F60" s="14">
        <f t="shared" si="40"/>
        <v>0</v>
      </c>
      <c r="G60" s="46">
        <v>0</v>
      </c>
      <c r="H60" s="92">
        <f t="shared" si="21"/>
        <v>0</v>
      </c>
      <c r="I60" s="22">
        <f>VLOOKUP(C60,Data!$A$5:$V$197,6,FALSE)*6.4</f>
        <v>51.996312203232122</v>
      </c>
      <c r="J60" s="92">
        <f>VLOOKUP(C60,Data!$A$5:$V$197,13,FALSE)</f>
        <v>0</v>
      </c>
      <c r="K60" s="92">
        <f t="shared" si="41"/>
        <v>0</v>
      </c>
      <c r="L60" s="14">
        <f t="shared" si="30"/>
        <v>0</v>
      </c>
      <c r="M60" s="46">
        <f t="shared" si="42"/>
        <v>0</v>
      </c>
      <c r="N60" s="46">
        <f t="shared" si="43"/>
        <v>0</v>
      </c>
      <c r="O60" s="22">
        <f t="shared" si="44"/>
        <v>0</v>
      </c>
      <c r="P60" s="55">
        <f t="shared" si="33"/>
        <v>0</v>
      </c>
      <c r="Q60" s="55">
        <f t="shared" si="34"/>
        <v>0</v>
      </c>
      <c r="R60" s="32">
        <f t="shared" si="35"/>
        <v>0</v>
      </c>
      <c r="S60" s="55">
        <f t="shared" si="36"/>
        <v>0</v>
      </c>
      <c r="T60" s="39">
        <v>0</v>
      </c>
      <c r="U60" s="43">
        <f t="shared" si="37"/>
        <v>0</v>
      </c>
    </row>
    <row r="61" spans="1:21">
      <c r="A61" s="47">
        <v>0</v>
      </c>
      <c r="B61" s="47">
        <v>0</v>
      </c>
      <c r="C61" s="13">
        <v>43313</v>
      </c>
      <c r="D61" s="16">
        <f t="shared" si="38"/>
        <v>0</v>
      </c>
      <c r="E61" s="16">
        <f t="shared" si="39"/>
        <v>0</v>
      </c>
      <c r="F61" s="14">
        <f t="shared" si="40"/>
        <v>0</v>
      </c>
      <c r="G61" s="46">
        <v>0</v>
      </c>
      <c r="H61" s="92">
        <f t="shared" si="21"/>
        <v>0</v>
      </c>
      <c r="I61" s="22">
        <f>VLOOKUP(C61,Data!$A$5:$V$197,6,FALSE)*6.4</f>
        <v>52.446312203232132</v>
      </c>
      <c r="J61" s="92">
        <f>VLOOKUP(C61,Data!$A$5:$V$197,13,FALSE)</f>
        <v>0</v>
      </c>
      <c r="K61" s="92">
        <f t="shared" si="41"/>
        <v>0</v>
      </c>
      <c r="L61" s="14">
        <f t="shared" si="30"/>
        <v>0</v>
      </c>
      <c r="M61" s="46">
        <f t="shared" si="42"/>
        <v>0</v>
      </c>
      <c r="N61" s="46">
        <f t="shared" si="43"/>
        <v>0</v>
      </c>
      <c r="O61" s="22">
        <f t="shared" si="44"/>
        <v>0</v>
      </c>
      <c r="P61" s="55">
        <f t="shared" si="33"/>
        <v>0</v>
      </c>
      <c r="Q61" s="55">
        <f t="shared" si="34"/>
        <v>0</v>
      </c>
      <c r="R61" s="32">
        <f t="shared" si="35"/>
        <v>0</v>
      </c>
      <c r="S61" s="55">
        <f t="shared" si="36"/>
        <v>0</v>
      </c>
      <c r="T61" s="39">
        <v>0</v>
      </c>
      <c r="U61" s="43">
        <f t="shared" si="37"/>
        <v>0</v>
      </c>
    </row>
    <row r="62" spans="1:21">
      <c r="A62" s="47">
        <v>0</v>
      </c>
      <c r="B62" s="47">
        <v>0</v>
      </c>
      <c r="C62" s="13">
        <v>43344</v>
      </c>
      <c r="D62" s="16">
        <f t="shared" si="38"/>
        <v>0</v>
      </c>
      <c r="E62" s="16">
        <f t="shared" si="39"/>
        <v>0</v>
      </c>
      <c r="F62" s="14">
        <f t="shared" si="40"/>
        <v>0</v>
      </c>
      <c r="G62" s="46">
        <v>0</v>
      </c>
      <c r="H62" s="92">
        <f t="shared" si="21"/>
        <v>0</v>
      </c>
      <c r="I62" s="22">
        <f>VLOOKUP(C62,Data!$A$5:$V$197,6,FALSE)*6.4</f>
        <v>52.906312203232119</v>
      </c>
      <c r="J62" s="92">
        <f>VLOOKUP(C62,Data!$A$5:$V$197,13,FALSE)</f>
        <v>0</v>
      </c>
      <c r="K62" s="92">
        <f t="shared" si="41"/>
        <v>0</v>
      </c>
      <c r="L62" s="14">
        <f t="shared" si="30"/>
        <v>0</v>
      </c>
      <c r="M62" s="46">
        <f t="shared" si="42"/>
        <v>0</v>
      </c>
      <c r="N62" s="46">
        <f t="shared" si="43"/>
        <v>0</v>
      </c>
      <c r="O62" s="22">
        <f t="shared" si="44"/>
        <v>0</v>
      </c>
      <c r="P62" s="55">
        <f t="shared" si="33"/>
        <v>0</v>
      </c>
      <c r="Q62" s="55">
        <f t="shared" si="34"/>
        <v>0</v>
      </c>
      <c r="R62" s="32">
        <f t="shared" si="35"/>
        <v>0</v>
      </c>
      <c r="S62" s="55">
        <f t="shared" si="36"/>
        <v>0</v>
      </c>
      <c r="T62" s="39">
        <v>0</v>
      </c>
      <c r="U62" s="43">
        <f t="shared" si="37"/>
        <v>0</v>
      </c>
    </row>
    <row r="63" spans="1:21">
      <c r="A63" s="47">
        <v>0</v>
      </c>
      <c r="B63" s="47">
        <v>0</v>
      </c>
      <c r="C63" s="13">
        <v>43374</v>
      </c>
      <c r="D63" s="16">
        <f t="shared" si="38"/>
        <v>0</v>
      </c>
      <c r="E63" s="16">
        <f t="shared" si="39"/>
        <v>0</v>
      </c>
      <c r="F63" s="14">
        <f t="shared" si="40"/>
        <v>0</v>
      </c>
      <c r="G63" s="46">
        <v>0</v>
      </c>
      <c r="H63" s="92">
        <f t="shared" si="21"/>
        <v>0</v>
      </c>
      <c r="I63" s="22">
        <f>VLOOKUP(C63,Data!$A$5:$V$197,6,FALSE)*6.4</f>
        <v>53.271845200000008</v>
      </c>
      <c r="J63" s="92">
        <f>VLOOKUP(C63,Data!$A$5:$V$197,13,FALSE)</f>
        <v>0</v>
      </c>
      <c r="K63" s="92">
        <f t="shared" si="41"/>
        <v>0</v>
      </c>
      <c r="L63" s="14">
        <f t="shared" si="30"/>
        <v>0</v>
      </c>
      <c r="M63" s="46">
        <f t="shared" si="42"/>
        <v>0</v>
      </c>
      <c r="N63" s="46">
        <f t="shared" si="43"/>
        <v>0</v>
      </c>
      <c r="O63" s="22">
        <f t="shared" si="44"/>
        <v>0</v>
      </c>
      <c r="P63" s="55">
        <f t="shared" si="33"/>
        <v>0</v>
      </c>
      <c r="Q63" s="55">
        <f t="shared" si="34"/>
        <v>0</v>
      </c>
      <c r="R63" s="32">
        <f t="shared" si="35"/>
        <v>0</v>
      </c>
      <c r="S63" s="55">
        <f t="shared" si="36"/>
        <v>0</v>
      </c>
      <c r="T63" s="39">
        <v>0</v>
      </c>
      <c r="U63" s="43">
        <f t="shared" si="37"/>
        <v>0</v>
      </c>
    </row>
    <row r="64" spans="1:21">
      <c r="A64" s="47">
        <v>0</v>
      </c>
      <c r="B64" s="47">
        <v>0</v>
      </c>
      <c r="C64" s="13">
        <v>43405</v>
      </c>
      <c r="D64" s="16">
        <f t="shared" si="38"/>
        <v>0</v>
      </c>
      <c r="E64" s="16">
        <f t="shared" si="39"/>
        <v>0</v>
      </c>
      <c r="F64" s="14">
        <f t="shared" si="40"/>
        <v>0</v>
      </c>
      <c r="G64" s="46">
        <v>0</v>
      </c>
      <c r="H64" s="92">
        <f t="shared" si="21"/>
        <v>0</v>
      </c>
      <c r="I64" s="22">
        <f>VLOOKUP(C64,Data!$A$5:$V$197,6,FALSE)*6.4</f>
        <v>53.771845200000008</v>
      </c>
      <c r="J64" s="92">
        <f>VLOOKUP(C64,Data!$A$5:$V$197,13,FALSE)</f>
        <v>0</v>
      </c>
      <c r="K64" s="92">
        <f t="shared" si="41"/>
        <v>0</v>
      </c>
      <c r="L64" s="14">
        <f t="shared" si="30"/>
        <v>0</v>
      </c>
      <c r="M64" s="46">
        <f t="shared" si="42"/>
        <v>0</v>
      </c>
      <c r="N64" s="46">
        <f t="shared" si="43"/>
        <v>0</v>
      </c>
      <c r="O64" s="22">
        <f t="shared" si="44"/>
        <v>0</v>
      </c>
      <c r="P64" s="55">
        <f t="shared" si="33"/>
        <v>0</v>
      </c>
      <c r="Q64" s="55">
        <f t="shared" si="34"/>
        <v>0</v>
      </c>
      <c r="R64" s="32">
        <f t="shared" si="35"/>
        <v>0</v>
      </c>
      <c r="S64" s="55">
        <f t="shared" si="36"/>
        <v>0</v>
      </c>
      <c r="T64" s="39">
        <v>0</v>
      </c>
      <c r="U64" s="43">
        <f t="shared" si="37"/>
        <v>0</v>
      </c>
    </row>
    <row r="65" spans="1:21">
      <c r="A65" s="47">
        <v>0</v>
      </c>
      <c r="B65" s="47">
        <v>0</v>
      </c>
      <c r="C65" s="13">
        <v>43435</v>
      </c>
      <c r="D65" s="16">
        <f t="shared" si="38"/>
        <v>0</v>
      </c>
      <c r="E65" s="16">
        <f t="shared" si="39"/>
        <v>0</v>
      </c>
      <c r="F65" s="14">
        <f t="shared" si="40"/>
        <v>0</v>
      </c>
      <c r="G65" s="46">
        <v>0</v>
      </c>
      <c r="H65" s="92">
        <f t="shared" si="21"/>
        <v>0</v>
      </c>
      <c r="I65" s="22">
        <f>VLOOKUP(C65,Data!$A$5:$V$197,6,FALSE)*6.4</f>
        <v>54.261845199999996</v>
      </c>
      <c r="J65" s="92">
        <f>VLOOKUP(C65,Data!$A$5:$V$197,13,FALSE)</f>
        <v>0</v>
      </c>
      <c r="K65" s="92">
        <f t="shared" si="41"/>
        <v>0</v>
      </c>
      <c r="L65" s="14">
        <f t="shared" si="30"/>
        <v>0</v>
      </c>
      <c r="M65" s="46">
        <f t="shared" si="42"/>
        <v>0</v>
      </c>
      <c r="N65" s="46">
        <f t="shared" si="43"/>
        <v>0</v>
      </c>
      <c r="O65" s="22">
        <f t="shared" si="44"/>
        <v>0</v>
      </c>
      <c r="P65" s="55">
        <f t="shared" si="33"/>
        <v>0</v>
      </c>
      <c r="Q65" s="55">
        <f t="shared" si="34"/>
        <v>0</v>
      </c>
      <c r="R65" s="32">
        <f t="shared" si="35"/>
        <v>0</v>
      </c>
      <c r="S65" s="55">
        <f t="shared" si="36"/>
        <v>0</v>
      </c>
      <c r="T65" s="39">
        <v>0</v>
      </c>
      <c r="U65" s="43">
        <f t="shared" si="37"/>
        <v>0</v>
      </c>
    </row>
    <row r="66" spans="1:21">
      <c r="A66" s="47">
        <v>0</v>
      </c>
      <c r="B66" s="47">
        <v>0</v>
      </c>
      <c r="C66" s="13">
        <v>43466</v>
      </c>
      <c r="D66" s="16">
        <f t="shared" si="38"/>
        <v>0</v>
      </c>
      <c r="E66" s="16">
        <f t="shared" si="39"/>
        <v>0</v>
      </c>
      <c r="F66" s="14">
        <f t="shared" si="40"/>
        <v>0</v>
      </c>
      <c r="G66" s="46">
        <v>0</v>
      </c>
      <c r="H66" s="92">
        <f t="shared" si="21"/>
        <v>0</v>
      </c>
      <c r="I66" s="22">
        <f>VLOOKUP(C66,Data!$A$5:$V$197,6,FALSE)*6.4</f>
        <v>59.7771248039491</v>
      </c>
      <c r="J66" s="92">
        <f>VLOOKUP(C66,Data!$A$5:$V$197,13,FALSE)</f>
        <v>0</v>
      </c>
      <c r="K66" s="92">
        <f t="shared" si="41"/>
        <v>0</v>
      </c>
      <c r="L66" s="14">
        <f t="shared" si="30"/>
        <v>0</v>
      </c>
      <c r="M66" s="46">
        <f t="shared" si="42"/>
        <v>0</v>
      </c>
      <c r="N66" s="46">
        <f t="shared" si="43"/>
        <v>0</v>
      </c>
      <c r="O66" s="22">
        <f t="shared" si="44"/>
        <v>0</v>
      </c>
      <c r="P66" s="55">
        <f t="shared" si="33"/>
        <v>0</v>
      </c>
      <c r="Q66" s="55">
        <f t="shared" si="34"/>
        <v>0</v>
      </c>
      <c r="R66" s="32">
        <f t="shared" si="35"/>
        <v>0</v>
      </c>
      <c r="S66" s="55">
        <f t="shared" si="36"/>
        <v>0</v>
      </c>
      <c r="T66" s="39">
        <v>0</v>
      </c>
      <c r="U66" s="43">
        <f t="shared" si="37"/>
        <v>0</v>
      </c>
    </row>
    <row r="67" spans="1:21">
      <c r="A67" s="47">
        <v>0</v>
      </c>
      <c r="B67" s="47">
        <v>0</v>
      </c>
      <c r="C67" s="13">
        <v>43497</v>
      </c>
      <c r="D67" s="16">
        <f t="shared" si="38"/>
        <v>0</v>
      </c>
      <c r="E67" s="16">
        <f t="shared" si="39"/>
        <v>0</v>
      </c>
      <c r="F67" s="14">
        <f t="shared" si="40"/>
        <v>0</v>
      </c>
      <c r="G67" s="46">
        <v>0</v>
      </c>
      <c r="H67" s="92">
        <f t="shared" si="21"/>
        <v>0</v>
      </c>
      <c r="I67" s="22">
        <f>VLOOKUP(C67,Data!$A$5:$V$197,6,FALSE)*6.4</f>
        <v>60.958986101616148</v>
      </c>
      <c r="J67" s="92">
        <f>VLOOKUP(C67,Data!$A$5:$V$197,13,FALSE)</f>
        <v>0</v>
      </c>
      <c r="K67" s="92">
        <f t="shared" si="41"/>
        <v>0</v>
      </c>
      <c r="L67" s="14">
        <f t="shared" si="30"/>
        <v>0</v>
      </c>
      <c r="M67" s="46">
        <f t="shared" si="42"/>
        <v>0</v>
      </c>
      <c r="N67" s="46">
        <f t="shared" si="43"/>
        <v>0</v>
      </c>
      <c r="O67" s="22">
        <f t="shared" si="44"/>
        <v>0</v>
      </c>
      <c r="P67" s="55">
        <f t="shared" si="33"/>
        <v>0</v>
      </c>
      <c r="Q67" s="55">
        <f t="shared" si="34"/>
        <v>0</v>
      </c>
      <c r="R67" s="32">
        <f t="shared" si="35"/>
        <v>0</v>
      </c>
      <c r="S67" s="55">
        <f t="shared" si="36"/>
        <v>0</v>
      </c>
      <c r="T67" s="39">
        <v>0</v>
      </c>
      <c r="U67" s="43">
        <f t="shared" si="37"/>
        <v>0</v>
      </c>
    </row>
    <row r="68" spans="1:21">
      <c r="A68" s="47">
        <v>0</v>
      </c>
      <c r="B68" s="47">
        <v>0</v>
      </c>
      <c r="C68" s="13">
        <v>43525</v>
      </c>
      <c r="D68" s="16">
        <f t="shared" si="38"/>
        <v>0</v>
      </c>
      <c r="E68" s="16">
        <f t="shared" si="39"/>
        <v>0</v>
      </c>
      <c r="F68" s="14">
        <f t="shared" si="40"/>
        <v>0</v>
      </c>
      <c r="G68" s="46">
        <v>0</v>
      </c>
      <c r="H68" s="92">
        <f t="shared" si="21"/>
        <v>0</v>
      </c>
      <c r="I68" s="22">
        <f>VLOOKUP(C68,Data!$A$5:$V$197,6,FALSE)*6.4</f>
        <v>64.062616677213612</v>
      </c>
      <c r="J68" s="92">
        <f>VLOOKUP(C68,Data!$A$5:$V$197,13,FALSE)</f>
        <v>0</v>
      </c>
      <c r="K68" s="92">
        <f t="shared" si="41"/>
        <v>0</v>
      </c>
      <c r="L68" s="14">
        <f t="shared" si="30"/>
        <v>0</v>
      </c>
      <c r="M68" s="46">
        <f t="shared" si="42"/>
        <v>0</v>
      </c>
      <c r="N68" s="46">
        <f t="shared" si="43"/>
        <v>0</v>
      </c>
      <c r="O68" s="22">
        <f t="shared" si="44"/>
        <v>0</v>
      </c>
      <c r="P68" s="55">
        <f t="shared" si="33"/>
        <v>0</v>
      </c>
      <c r="Q68" s="55">
        <f t="shared" si="34"/>
        <v>0</v>
      </c>
      <c r="R68" s="32">
        <f t="shared" si="35"/>
        <v>0</v>
      </c>
      <c r="S68" s="55">
        <f t="shared" si="36"/>
        <v>0</v>
      </c>
      <c r="T68" s="39">
        <v>0</v>
      </c>
      <c r="U68" s="43">
        <f t="shared" si="37"/>
        <v>0</v>
      </c>
    </row>
    <row r="69" spans="1:21">
      <c r="A69" s="47">
        <v>0</v>
      </c>
      <c r="B69" s="47">
        <v>0</v>
      </c>
      <c r="C69" s="13">
        <v>43556</v>
      </c>
      <c r="D69" s="16">
        <f t="shared" si="38"/>
        <v>0</v>
      </c>
      <c r="E69" s="16">
        <f t="shared" si="39"/>
        <v>0</v>
      </c>
      <c r="F69" s="14">
        <f t="shared" si="40"/>
        <v>0</v>
      </c>
      <c r="G69" s="46">
        <v>0</v>
      </c>
      <c r="H69" s="92">
        <f t="shared" si="21"/>
        <v>0</v>
      </c>
      <c r="I69" s="22">
        <f>VLOOKUP(C69,Data!$A$5:$V$197,6,FALSE)*6.4</f>
        <v>66.267787562491307</v>
      </c>
      <c r="J69" s="92">
        <f>VLOOKUP(C69,Data!$A$5:$V$197,13,FALSE)</f>
        <v>0</v>
      </c>
      <c r="K69" s="92">
        <f t="shared" si="41"/>
        <v>0</v>
      </c>
      <c r="L69" s="14">
        <f t="shared" si="30"/>
        <v>0</v>
      </c>
      <c r="M69" s="46">
        <f t="shared" si="42"/>
        <v>0</v>
      </c>
      <c r="N69" s="46">
        <f t="shared" si="43"/>
        <v>0</v>
      </c>
      <c r="O69" s="22">
        <f t="shared" si="44"/>
        <v>0</v>
      </c>
      <c r="P69" s="55">
        <f t="shared" si="33"/>
        <v>0</v>
      </c>
      <c r="Q69" s="55">
        <f t="shared" si="34"/>
        <v>0</v>
      </c>
      <c r="R69" s="32">
        <f t="shared" si="35"/>
        <v>0</v>
      </c>
      <c r="S69" s="55">
        <f t="shared" si="36"/>
        <v>0</v>
      </c>
      <c r="T69" s="39">
        <v>0</v>
      </c>
      <c r="U69" s="43">
        <f t="shared" si="37"/>
        <v>0</v>
      </c>
    </row>
    <row r="70" spans="1:21">
      <c r="A70" s="47">
        <v>0</v>
      </c>
      <c r="B70" s="47">
        <v>0</v>
      </c>
      <c r="C70" s="13">
        <v>43586</v>
      </c>
      <c r="D70" s="16">
        <f t="shared" si="38"/>
        <v>0</v>
      </c>
      <c r="E70" s="16">
        <f t="shared" si="39"/>
        <v>0</v>
      </c>
      <c r="F70" s="14">
        <f t="shared" si="40"/>
        <v>0</v>
      </c>
      <c r="G70" s="46">
        <v>0</v>
      </c>
      <c r="H70" s="92">
        <f t="shared" si="21"/>
        <v>0</v>
      </c>
      <c r="I70" s="22">
        <f>VLOOKUP(C70,Data!$A$5:$V$197,6,FALSE)*6.4</f>
        <v>67.719561126058053</v>
      </c>
      <c r="J70" s="92">
        <f>VLOOKUP(C70,Data!$A$5:$V$197,13,FALSE)</f>
        <v>0</v>
      </c>
      <c r="K70" s="92">
        <f t="shared" si="41"/>
        <v>0</v>
      </c>
      <c r="L70" s="14">
        <f t="shared" si="30"/>
        <v>0</v>
      </c>
      <c r="M70" s="46">
        <f t="shared" si="42"/>
        <v>0</v>
      </c>
      <c r="N70" s="46">
        <f t="shared" si="43"/>
        <v>0</v>
      </c>
      <c r="O70" s="22">
        <f t="shared" si="44"/>
        <v>0</v>
      </c>
      <c r="P70" s="55">
        <f t="shared" si="33"/>
        <v>0</v>
      </c>
      <c r="Q70" s="55">
        <f t="shared" si="34"/>
        <v>0</v>
      </c>
      <c r="R70" s="32">
        <f t="shared" si="35"/>
        <v>0</v>
      </c>
      <c r="S70" s="55">
        <f t="shared" si="36"/>
        <v>0</v>
      </c>
      <c r="T70" s="39">
        <v>0</v>
      </c>
      <c r="U70" s="43">
        <f t="shared" si="37"/>
        <v>0</v>
      </c>
    </row>
    <row r="71" spans="1:21">
      <c r="A71" s="47">
        <v>0</v>
      </c>
      <c r="B71" s="47">
        <v>0</v>
      </c>
      <c r="C71" s="13">
        <v>43617</v>
      </c>
      <c r="D71" s="16">
        <f t="shared" si="38"/>
        <v>0</v>
      </c>
      <c r="E71" s="16">
        <f t="shared" si="39"/>
        <v>0</v>
      </c>
      <c r="F71" s="14">
        <f t="shared" si="40"/>
        <v>0</v>
      </c>
      <c r="G71" s="46">
        <v>0</v>
      </c>
      <c r="H71" s="92">
        <f t="shared" si="21"/>
        <v>0</v>
      </c>
      <c r="I71" s="22">
        <f>VLOOKUP(C71,Data!$A$5:$V$197,6,FALSE)*6.4</f>
        <v>67.901857295108428</v>
      </c>
      <c r="J71" s="92">
        <f>VLOOKUP(C71,Data!$A$5:$V$197,13,FALSE)</f>
        <v>0</v>
      </c>
      <c r="K71" s="92">
        <f t="shared" si="41"/>
        <v>0</v>
      </c>
      <c r="L71" s="14">
        <f t="shared" si="30"/>
        <v>0</v>
      </c>
      <c r="M71" s="46">
        <f t="shared" si="42"/>
        <v>0</v>
      </c>
      <c r="N71" s="46">
        <f t="shared" si="43"/>
        <v>0</v>
      </c>
      <c r="O71" s="22">
        <f t="shared" si="44"/>
        <v>0</v>
      </c>
      <c r="P71" s="55">
        <f t="shared" si="33"/>
        <v>0</v>
      </c>
      <c r="Q71" s="55">
        <f t="shared" si="34"/>
        <v>0</v>
      </c>
      <c r="R71" s="32">
        <f t="shared" si="35"/>
        <v>0</v>
      </c>
      <c r="S71" s="55">
        <f t="shared" si="36"/>
        <v>0</v>
      </c>
      <c r="T71" s="39">
        <v>0</v>
      </c>
      <c r="U71" s="43">
        <f t="shared" si="37"/>
        <v>0</v>
      </c>
    </row>
    <row r="72" spans="1:21">
      <c r="A72" s="47">
        <v>0</v>
      </c>
      <c r="B72" s="47">
        <v>0</v>
      </c>
      <c r="C72" s="13">
        <v>43647</v>
      </c>
      <c r="D72" s="16">
        <f t="shared" si="38"/>
        <v>0</v>
      </c>
      <c r="E72" s="16">
        <f t="shared" si="39"/>
        <v>0</v>
      </c>
      <c r="F72" s="14">
        <f t="shared" si="40"/>
        <v>0</v>
      </c>
      <c r="G72" s="46">
        <v>0</v>
      </c>
      <c r="H72" s="92">
        <f t="shared" si="21"/>
        <v>0</v>
      </c>
      <c r="I72" s="22">
        <f>VLOOKUP(C72,Data!$A$5:$V$197,6,FALSE)*6.4</f>
        <v>67.883474488145382</v>
      </c>
      <c r="J72" s="92">
        <f>VLOOKUP(C72,Data!$A$5:$V$197,13,FALSE)</f>
        <v>0</v>
      </c>
      <c r="K72" s="92">
        <f t="shared" si="41"/>
        <v>0</v>
      </c>
      <c r="L72" s="14">
        <f t="shared" si="30"/>
        <v>0</v>
      </c>
      <c r="M72" s="46">
        <f t="shared" si="42"/>
        <v>0</v>
      </c>
      <c r="N72" s="46">
        <f t="shared" si="43"/>
        <v>0</v>
      </c>
      <c r="O72" s="22">
        <f t="shared" si="44"/>
        <v>0</v>
      </c>
      <c r="P72" s="55">
        <f t="shared" si="33"/>
        <v>0</v>
      </c>
      <c r="Q72" s="55">
        <f t="shared" si="34"/>
        <v>0</v>
      </c>
      <c r="R72" s="32">
        <f t="shared" si="35"/>
        <v>0</v>
      </c>
      <c r="S72" s="55">
        <f t="shared" si="36"/>
        <v>0</v>
      </c>
      <c r="T72" s="39">
        <v>0</v>
      </c>
      <c r="U72" s="43">
        <f t="shared" si="37"/>
        <v>0</v>
      </c>
    </row>
    <row r="73" spans="1:21">
      <c r="A73" s="47">
        <v>0</v>
      </c>
      <c r="B73" s="47">
        <v>0</v>
      </c>
      <c r="C73" s="13">
        <v>43678</v>
      </c>
      <c r="D73" s="16">
        <f t="shared" si="38"/>
        <v>0</v>
      </c>
      <c r="E73" s="16">
        <f t="shared" si="39"/>
        <v>0</v>
      </c>
      <c r="F73" s="14">
        <f t="shared" si="40"/>
        <v>0</v>
      </c>
      <c r="G73" s="46">
        <v>0</v>
      </c>
      <c r="H73" s="92">
        <f t="shared" si="21"/>
        <v>0</v>
      </c>
      <c r="I73" s="22">
        <f>VLOOKUP(C73,Data!$A$5:$V$197,6,FALSE)*6.4</f>
        <v>69.266780712116017</v>
      </c>
      <c r="J73" s="92">
        <f>VLOOKUP(C73,Data!$A$5:$V$197,13,FALSE)</f>
        <v>0</v>
      </c>
      <c r="K73" s="92">
        <f t="shared" si="41"/>
        <v>0</v>
      </c>
      <c r="L73" s="14">
        <f t="shared" si="30"/>
        <v>0</v>
      </c>
      <c r="M73" s="46">
        <f t="shared" si="42"/>
        <v>0</v>
      </c>
      <c r="N73" s="46">
        <f t="shared" si="43"/>
        <v>0</v>
      </c>
      <c r="O73" s="22">
        <f t="shared" si="44"/>
        <v>0</v>
      </c>
      <c r="P73" s="55">
        <f t="shared" si="33"/>
        <v>0</v>
      </c>
      <c r="Q73" s="55">
        <f t="shared" si="34"/>
        <v>0</v>
      </c>
      <c r="R73" s="32">
        <f t="shared" si="35"/>
        <v>0</v>
      </c>
      <c r="S73" s="55">
        <f t="shared" si="36"/>
        <v>0</v>
      </c>
      <c r="T73" s="39">
        <v>0</v>
      </c>
      <c r="U73" s="43">
        <f t="shared" si="37"/>
        <v>0</v>
      </c>
    </row>
    <row r="74" spans="1:21">
      <c r="A74" s="47">
        <v>0</v>
      </c>
      <c r="B74" s="47">
        <v>0</v>
      </c>
      <c r="C74" s="13">
        <v>43709</v>
      </c>
      <c r="D74" s="16">
        <f t="shared" si="38"/>
        <v>0</v>
      </c>
      <c r="E74" s="16">
        <f t="shared" si="39"/>
        <v>0</v>
      </c>
      <c r="F74" s="14">
        <f t="shared" si="40"/>
        <v>0</v>
      </c>
      <c r="G74" s="46">
        <v>0</v>
      </c>
      <c r="H74" s="92">
        <f t="shared" si="21"/>
        <v>0</v>
      </c>
      <c r="I74" s="22">
        <f>VLOOKUP(C74,Data!$A$5:$V$197,6,FALSE)*6.4</f>
        <v>66.909185719102936</v>
      </c>
      <c r="J74" s="92">
        <f>VLOOKUP(C74,Data!$A$5:$V$197,13,FALSE)</f>
        <v>0</v>
      </c>
      <c r="K74" s="92">
        <f t="shared" si="41"/>
        <v>0</v>
      </c>
      <c r="L74" s="14">
        <f t="shared" si="30"/>
        <v>0</v>
      </c>
      <c r="M74" s="46">
        <f t="shared" si="42"/>
        <v>0</v>
      </c>
      <c r="N74" s="46">
        <f t="shared" si="43"/>
        <v>0</v>
      </c>
      <c r="O74" s="22">
        <f t="shared" si="44"/>
        <v>0</v>
      </c>
      <c r="P74" s="55">
        <f t="shared" si="33"/>
        <v>0</v>
      </c>
      <c r="Q74" s="55">
        <f t="shared" si="34"/>
        <v>0</v>
      </c>
      <c r="R74" s="32">
        <f t="shared" si="35"/>
        <v>0</v>
      </c>
      <c r="S74" s="55">
        <f t="shared" si="36"/>
        <v>0</v>
      </c>
      <c r="T74" s="39">
        <v>0</v>
      </c>
      <c r="U74" s="43">
        <f t="shared" si="37"/>
        <v>0</v>
      </c>
    </row>
    <row r="75" spans="1:21">
      <c r="A75" s="47">
        <v>0</v>
      </c>
      <c r="B75" s="47">
        <v>0</v>
      </c>
      <c r="C75" s="13">
        <v>43739</v>
      </c>
      <c r="D75" s="16">
        <f t="shared" si="38"/>
        <v>0</v>
      </c>
      <c r="E75" s="16">
        <f t="shared" si="39"/>
        <v>0</v>
      </c>
      <c r="F75" s="14">
        <f t="shared" si="40"/>
        <v>0</v>
      </c>
      <c r="G75" s="46">
        <v>0</v>
      </c>
      <c r="H75" s="92">
        <f t="shared" si="21"/>
        <v>0</v>
      </c>
      <c r="I75" s="22">
        <f>VLOOKUP(C75,Data!$A$5:$V$197,6,FALSE)*6.4</f>
        <v>64.917417200996141</v>
      </c>
      <c r="J75" s="92">
        <f>VLOOKUP(C75,Data!$A$5:$V$197,13,FALSE)</f>
        <v>0</v>
      </c>
      <c r="K75" s="92">
        <f t="shared" si="41"/>
        <v>0</v>
      </c>
      <c r="L75" s="14">
        <f t="shared" si="30"/>
        <v>0</v>
      </c>
      <c r="M75" s="46">
        <f t="shared" si="42"/>
        <v>0</v>
      </c>
      <c r="N75" s="46">
        <f t="shared" si="43"/>
        <v>0</v>
      </c>
      <c r="O75" s="22">
        <f t="shared" si="44"/>
        <v>0</v>
      </c>
      <c r="P75" s="55">
        <f t="shared" si="33"/>
        <v>0</v>
      </c>
      <c r="Q75" s="55">
        <f t="shared" si="34"/>
        <v>0</v>
      </c>
      <c r="R75" s="32">
        <f t="shared" si="35"/>
        <v>0</v>
      </c>
      <c r="S75" s="55">
        <f t="shared" si="36"/>
        <v>0</v>
      </c>
      <c r="T75" s="39">
        <v>0</v>
      </c>
      <c r="U75" s="43">
        <f t="shared" si="37"/>
        <v>0</v>
      </c>
    </row>
    <row r="76" spans="1:21">
      <c r="A76" s="47">
        <v>0</v>
      </c>
      <c r="B76" s="47">
        <v>0</v>
      </c>
      <c r="C76" s="13">
        <v>43770</v>
      </c>
      <c r="D76" s="16">
        <f t="shared" si="38"/>
        <v>0</v>
      </c>
      <c r="E76" s="16">
        <f t="shared" si="39"/>
        <v>0</v>
      </c>
      <c r="F76" s="14">
        <f t="shared" si="40"/>
        <v>0</v>
      </c>
      <c r="G76" s="46">
        <v>0</v>
      </c>
      <c r="H76" s="92">
        <f t="shared" si="21"/>
        <v>0</v>
      </c>
      <c r="I76" s="22">
        <f>VLOOKUP(C76,Data!$A$5:$V$197,6,FALSE)*6.4</f>
        <v>63.701854090563465</v>
      </c>
      <c r="J76" s="92">
        <f>VLOOKUP(C76,Data!$A$5:$V$197,13,FALSE)</f>
        <v>0</v>
      </c>
      <c r="K76" s="92">
        <f t="shared" si="41"/>
        <v>0</v>
      </c>
      <c r="L76" s="14">
        <f t="shared" si="30"/>
        <v>0</v>
      </c>
      <c r="M76" s="46">
        <f t="shared" si="42"/>
        <v>0</v>
      </c>
      <c r="N76" s="46">
        <f t="shared" si="43"/>
        <v>0</v>
      </c>
      <c r="O76" s="22">
        <f t="shared" si="44"/>
        <v>0</v>
      </c>
      <c r="P76" s="55">
        <f t="shared" si="33"/>
        <v>0</v>
      </c>
      <c r="Q76" s="55">
        <f t="shared" si="34"/>
        <v>0</v>
      </c>
      <c r="R76" s="32">
        <f t="shared" si="35"/>
        <v>0</v>
      </c>
      <c r="S76" s="55">
        <f t="shared" si="36"/>
        <v>0</v>
      </c>
      <c r="T76" s="39">
        <v>0</v>
      </c>
      <c r="U76" s="43">
        <f t="shared" si="37"/>
        <v>0</v>
      </c>
    </row>
    <row r="77" spans="1:21">
      <c r="A77" s="47">
        <v>0</v>
      </c>
      <c r="B77" s="47">
        <v>0</v>
      </c>
      <c r="C77" s="13">
        <v>43800</v>
      </c>
      <c r="D77" s="16">
        <f t="shared" si="38"/>
        <v>0</v>
      </c>
      <c r="E77" s="16">
        <f t="shared" si="39"/>
        <v>0</v>
      </c>
      <c r="F77" s="14">
        <f t="shared" si="40"/>
        <v>0</v>
      </c>
      <c r="G77" s="46">
        <v>0</v>
      </c>
      <c r="H77" s="92">
        <f t="shared" si="21"/>
        <v>0</v>
      </c>
      <c r="I77" s="22">
        <f>VLOOKUP(C77,Data!$A$5:$V$197,6,FALSE)*6.4</f>
        <v>62.860840672003249</v>
      </c>
      <c r="J77" s="92">
        <f>VLOOKUP(C77,Data!$A$5:$V$197,13,FALSE)</f>
        <v>0</v>
      </c>
      <c r="K77" s="92">
        <f t="shared" si="41"/>
        <v>0</v>
      </c>
      <c r="L77" s="14">
        <f t="shared" si="30"/>
        <v>0</v>
      </c>
      <c r="M77" s="46">
        <f t="shared" si="42"/>
        <v>0</v>
      </c>
      <c r="N77" s="46">
        <f t="shared" si="43"/>
        <v>0</v>
      </c>
      <c r="O77" s="22">
        <f t="shared" si="44"/>
        <v>0</v>
      </c>
      <c r="P77" s="55">
        <f t="shared" si="33"/>
        <v>0</v>
      </c>
      <c r="Q77" s="55">
        <f t="shared" si="34"/>
        <v>0</v>
      </c>
      <c r="R77" s="32">
        <f t="shared" si="35"/>
        <v>0</v>
      </c>
      <c r="S77" s="55">
        <f t="shared" si="36"/>
        <v>0</v>
      </c>
      <c r="T77" s="39">
        <v>0</v>
      </c>
      <c r="U77" s="43">
        <f t="shared" si="37"/>
        <v>0</v>
      </c>
    </row>
    <row r="78" spans="1:21">
      <c r="A78" s="47">
        <v>0</v>
      </c>
      <c r="B78" s="47">
        <v>0</v>
      </c>
      <c r="C78" s="13">
        <v>43831</v>
      </c>
      <c r="D78" s="16">
        <f t="shared" si="38"/>
        <v>0</v>
      </c>
      <c r="E78" s="16">
        <f t="shared" si="39"/>
        <v>0</v>
      </c>
      <c r="F78" s="14">
        <f t="shared" si="40"/>
        <v>0</v>
      </c>
      <c r="G78" s="46">
        <v>0</v>
      </c>
      <c r="H78" s="92">
        <f t="shared" si="21"/>
        <v>0</v>
      </c>
      <c r="I78" s="22">
        <f>VLOOKUP(C78,Data!$A$5:$V$197,6,FALSE)*6.4</f>
        <v>63.034988737732334</v>
      </c>
      <c r="J78" s="92">
        <f>VLOOKUP(C78,Data!$A$5:$V$197,13,FALSE)</f>
        <v>0</v>
      </c>
      <c r="K78" s="92">
        <f t="shared" si="41"/>
        <v>0</v>
      </c>
      <c r="L78" s="14">
        <f t="shared" si="30"/>
        <v>0</v>
      </c>
      <c r="M78" s="46">
        <f t="shared" si="42"/>
        <v>0</v>
      </c>
      <c r="N78" s="46">
        <f t="shared" si="43"/>
        <v>0</v>
      </c>
      <c r="O78" s="22">
        <f t="shared" si="44"/>
        <v>0</v>
      </c>
      <c r="P78" s="55">
        <f t="shared" si="33"/>
        <v>0</v>
      </c>
      <c r="Q78" s="55">
        <f t="shared" si="34"/>
        <v>0</v>
      </c>
      <c r="R78" s="32">
        <f t="shared" si="35"/>
        <v>0</v>
      </c>
      <c r="S78" s="55">
        <f t="shared" si="36"/>
        <v>0</v>
      </c>
      <c r="T78" s="39">
        <v>0</v>
      </c>
      <c r="U78" s="43">
        <f t="shared" si="37"/>
        <v>0</v>
      </c>
    </row>
    <row r="79" spans="1:21">
      <c r="A79" s="47">
        <v>0</v>
      </c>
      <c r="B79" s="47">
        <v>0</v>
      </c>
      <c r="C79" s="13">
        <v>43862</v>
      </c>
      <c r="D79" s="16">
        <f t="shared" si="38"/>
        <v>0</v>
      </c>
      <c r="E79" s="16">
        <f t="shared" si="39"/>
        <v>0</v>
      </c>
      <c r="F79" s="14">
        <f t="shared" si="40"/>
        <v>0</v>
      </c>
      <c r="G79" s="46">
        <v>0</v>
      </c>
      <c r="H79" s="92">
        <f t="shared" si="21"/>
        <v>0</v>
      </c>
      <c r="I79" s="22">
        <f>VLOOKUP(C79,Data!$A$5:$V$197,6,FALSE)*6.4</f>
        <v>64.294204564134148</v>
      </c>
      <c r="J79" s="92">
        <f>VLOOKUP(C79,Data!$A$5:$V$197,13,FALSE)</f>
        <v>0</v>
      </c>
      <c r="K79" s="92">
        <f t="shared" si="41"/>
        <v>0</v>
      </c>
      <c r="L79" s="14">
        <f t="shared" si="30"/>
        <v>0</v>
      </c>
      <c r="M79" s="46">
        <f t="shared" si="42"/>
        <v>0</v>
      </c>
      <c r="N79" s="46">
        <f t="shared" si="43"/>
        <v>0</v>
      </c>
      <c r="O79" s="22">
        <f t="shared" si="44"/>
        <v>0</v>
      </c>
      <c r="P79" s="55">
        <f t="shared" si="33"/>
        <v>0</v>
      </c>
      <c r="Q79" s="55">
        <f t="shared" si="34"/>
        <v>0</v>
      </c>
      <c r="R79" s="32">
        <f t="shared" si="35"/>
        <v>0</v>
      </c>
      <c r="S79" s="55">
        <f t="shared" si="36"/>
        <v>0</v>
      </c>
      <c r="T79" s="39">
        <v>0</v>
      </c>
      <c r="U79" s="43">
        <f t="shared" si="37"/>
        <v>0</v>
      </c>
    </row>
    <row r="80" spans="1:21">
      <c r="A80" s="47">
        <v>0</v>
      </c>
      <c r="B80" s="47">
        <v>0</v>
      </c>
      <c r="C80" s="13">
        <v>43891</v>
      </c>
      <c r="D80" s="16">
        <f t="shared" si="38"/>
        <v>0</v>
      </c>
      <c r="E80" s="16">
        <f t="shared" si="39"/>
        <v>0</v>
      </c>
      <c r="F80" s="14">
        <f t="shared" si="40"/>
        <v>0</v>
      </c>
      <c r="G80" s="46">
        <v>0</v>
      </c>
      <c r="H80" s="92">
        <f t="shared" si="21"/>
        <v>0</v>
      </c>
      <c r="I80" s="22">
        <f>VLOOKUP(C80,Data!$A$5:$V$197,6,FALSE)*6.4</f>
        <v>67.600972243058365</v>
      </c>
      <c r="J80" s="92">
        <f>VLOOKUP(C80,Data!$A$5:$V$197,13,FALSE)</f>
        <v>0</v>
      </c>
      <c r="K80" s="92">
        <f t="shared" si="41"/>
        <v>0</v>
      </c>
      <c r="L80" s="14">
        <f t="shared" si="30"/>
        <v>0</v>
      </c>
      <c r="M80" s="46">
        <f t="shared" si="42"/>
        <v>0</v>
      </c>
      <c r="N80" s="46">
        <f t="shared" si="43"/>
        <v>0</v>
      </c>
      <c r="O80" s="22">
        <f t="shared" si="44"/>
        <v>0</v>
      </c>
      <c r="P80" s="55">
        <f t="shared" si="33"/>
        <v>0</v>
      </c>
      <c r="Q80" s="55">
        <f t="shared" si="34"/>
        <v>0</v>
      </c>
      <c r="R80" s="32">
        <f t="shared" si="35"/>
        <v>0</v>
      </c>
      <c r="S80" s="55">
        <f t="shared" si="36"/>
        <v>0</v>
      </c>
      <c r="T80" s="39">
        <v>0</v>
      </c>
      <c r="U80" s="43">
        <f t="shared" si="37"/>
        <v>0</v>
      </c>
    </row>
    <row r="81" spans="1:21">
      <c r="A81" s="47">
        <v>0</v>
      </c>
      <c r="B81" s="47">
        <v>0</v>
      </c>
      <c r="C81" s="13">
        <v>43922</v>
      </c>
      <c r="D81" s="16">
        <f t="shared" si="38"/>
        <v>0</v>
      </c>
      <c r="E81" s="16">
        <f t="shared" si="39"/>
        <v>0</v>
      </c>
      <c r="F81" s="14">
        <f t="shared" si="40"/>
        <v>0</v>
      </c>
      <c r="G81" s="46">
        <v>0</v>
      </c>
      <c r="H81" s="92">
        <f t="shared" si="21"/>
        <v>0</v>
      </c>
      <c r="I81" s="22">
        <f>VLOOKUP(C81,Data!$A$5:$V$197,6,FALSE)*6.4</f>
        <v>69.950474747407554</v>
      </c>
      <c r="J81" s="92">
        <f>VLOOKUP(C81,Data!$A$5:$V$197,13,FALSE)</f>
        <v>0</v>
      </c>
      <c r="K81" s="92">
        <f t="shared" si="41"/>
        <v>0</v>
      </c>
      <c r="L81" s="14">
        <f t="shared" si="30"/>
        <v>0</v>
      </c>
      <c r="M81" s="46">
        <f t="shared" si="42"/>
        <v>0</v>
      </c>
      <c r="N81" s="46">
        <f t="shared" si="43"/>
        <v>0</v>
      </c>
      <c r="O81" s="22">
        <f t="shared" si="44"/>
        <v>0</v>
      </c>
      <c r="P81" s="55">
        <f t="shared" si="33"/>
        <v>0</v>
      </c>
      <c r="Q81" s="55">
        <f t="shared" si="34"/>
        <v>0</v>
      </c>
      <c r="R81" s="32">
        <f t="shared" si="35"/>
        <v>0</v>
      </c>
      <c r="S81" s="55">
        <f t="shared" si="36"/>
        <v>0</v>
      </c>
      <c r="T81" s="39">
        <v>0</v>
      </c>
      <c r="U81" s="43">
        <f t="shared" si="37"/>
        <v>0</v>
      </c>
    </row>
    <row r="82" spans="1:21">
      <c r="A82" s="47">
        <v>0</v>
      </c>
      <c r="B82" s="47">
        <v>0</v>
      </c>
      <c r="C82" s="13">
        <v>43952</v>
      </c>
      <c r="D82" s="16">
        <f t="shared" si="38"/>
        <v>0</v>
      </c>
      <c r="E82" s="16">
        <f t="shared" si="39"/>
        <v>0</v>
      </c>
      <c r="F82" s="14">
        <f t="shared" si="40"/>
        <v>0</v>
      </c>
      <c r="G82" s="46">
        <v>0</v>
      </c>
      <c r="H82" s="92">
        <f t="shared" si="21"/>
        <v>0</v>
      </c>
      <c r="I82" s="22">
        <f>VLOOKUP(C82,Data!$A$5:$V$197,6,FALSE)*6.4</f>
        <v>71.490431471080868</v>
      </c>
      <c r="J82" s="92">
        <f>VLOOKUP(C82,Data!$A$5:$V$197,13,FALSE)</f>
        <v>0</v>
      </c>
      <c r="K82" s="92">
        <f t="shared" si="41"/>
        <v>0</v>
      </c>
      <c r="L82" s="14">
        <f t="shared" si="30"/>
        <v>0</v>
      </c>
      <c r="M82" s="46">
        <f t="shared" si="42"/>
        <v>0</v>
      </c>
      <c r="N82" s="46">
        <f t="shared" si="43"/>
        <v>0</v>
      </c>
      <c r="O82" s="22">
        <f t="shared" si="44"/>
        <v>0</v>
      </c>
      <c r="P82" s="55">
        <f t="shared" si="33"/>
        <v>0</v>
      </c>
      <c r="Q82" s="55">
        <f t="shared" si="34"/>
        <v>0</v>
      </c>
      <c r="R82" s="32">
        <f t="shared" si="35"/>
        <v>0</v>
      </c>
      <c r="S82" s="55">
        <f t="shared" si="36"/>
        <v>0</v>
      </c>
      <c r="T82" s="39">
        <v>0</v>
      </c>
      <c r="U82" s="43">
        <f t="shared" si="37"/>
        <v>0</v>
      </c>
    </row>
    <row r="83" spans="1:21">
      <c r="A83" s="47">
        <v>0</v>
      </c>
      <c r="B83" s="47">
        <v>0</v>
      </c>
      <c r="C83" s="13">
        <v>43983</v>
      </c>
      <c r="D83" s="16">
        <f t="shared" si="38"/>
        <v>0</v>
      </c>
      <c r="E83" s="16">
        <f t="shared" si="39"/>
        <v>0</v>
      </c>
      <c r="F83" s="14">
        <f t="shared" si="40"/>
        <v>0</v>
      </c>
      <c r="G83" s="46">
        <v>0</v>
      </c>
      <c r="H83" s="92">
        <f t="shared" si="21"/>
        <v>0</v>
      </c>
      <c r="I83" s="22">
        <f>VLOOKUP(C83,Data!$A$5:$V$197,6,FALSE)*6.4</f>
        <v>71.684659187661296</v>
      </c>
      <c r="J83" s="92">
        <f>VLOOKUP(C83,Data!$A$5:$V$197,13,FALSE)</f>
        <v>0</v>
      </c>
      <c r="K83" s="92">
        <f t="shared" si="41"/>
        <v>0</v>
      </c>
      <c r="L83" s="14">
        <f t="shared" si="30"/>
        <v>0</v>
      </c>
      <c r="M83" s="46">
        <f t="shared" si="42"/>
        <v>0</v>
      </c>
      <c r="N83" s="46">
        <f t="shared" si="43"/>
        <v>0</v>
      </c>
      <c r="O83" s="22">
        <f t="shared" si="44"/>
        <v>0</v>
      </c>
      <c r="P83" s="55">
        <f t="shared" si="33"/>
        <v>0</v>
      </c>
      <c r="Q83" s="55">
        <f t="shared" si="34"/>
        <v>0</v>
      </c>
      <c r="R83" s="32">
        <f t="shared" si="35"/>
        <v>0</v>
      </c>
      <c r="S83" s="55">
        <f t="shared" si="36"/>
        <v>0</v>
      </c>
      <c r="T83" s="39">
        <v>0</v>
      </c>
      <c r="U83" s="43">
        <f t="shared" si="37"/>
        <v>0</v>
      </c>
    </row>
    <row r="84" spans="1:21">
      <c r="A84" s="47">
        <v>0</v>
      </c>
      <c r="B84" s="47">
        <v>0</v>
      </c>
      <c r="C84" s="13">
        <v>44013</v>
      </c>
      <c r="D84" s="16">
        <f t="shared" si="38"/>
        <v>0</v>
      </c>
      <c r="E84" s="16">
        <f t="shared" si="39"/>
        <v>0</v>
      </c>
      <c r="F84" s="14">
        <f t="shared" si="40"/>
        <v>0</v>
      </c>
      <c r="G84" s="46">
        <v>0</v>
      </c>
      <c r="H84" s="92">
        <f t="shared" si="21"/>
        <v>0</v>
      </c>
      <c r="I84" s="22">
        <f>VLOOKUP(C84,Data!$A$5:$V$197,6,FALSE)*6.4</f>
        <v>71.665073199434715</v>
      </c>
      <c r="J84" s="92">
        <f>VLOOKUP(C84,Data!$A$5:$V$197,13,FALSE)</f>
        <v>0</v>
      </c>
      <c r="K84" s="92">
        <f t="shared" si="41"/>
        <v>0</v>
      </c>
      <c r="L84" s="14">
        <f t="shared" si="30"/>
        <v>0</v>
      </c>
      <c r="M84" s="46">
        <f t="shared" si="42"/>
        <v>0</v>
      </c>
      <c r="N84" s="46">
        <f t="shared" si="43"/>
        <v>0</v>
      </c>
      <c r="O84" s="22">
        <f t="shared" si="44"/>
        <v>0</v>
      </c>
      <c r="P84" s="55">
        <f t="shared" si="33"/>
        <v>0</v>
      </c>
      <c r="Q84" s="55">
        <f t="shared" si="34"/>
        <v>0</v>
      </c>
      <c r="R84" s="32">
        <f t="shared" si="35"/>
        <v>0</v>
      </c>
      <c r="S84" s="55">
        <f t="shared" si="36"/>
        <v>0</v>
      </c>
      <c r="T84" s="39">
        <v>0</v>
      </c>
      <c r="U84" s="43">
        <f t="shared" si="37"/>
        <v>0</v>
      </c>
    </row>
    <row r="85" spans="1:21">
      <c r="A85" s="47">
        <v>0</v>
      </c>
      <c r="B85" s="47">
        <v>0</v>
      </c>
      <c r="C85" s="13">
        <v>44044</v>
      </c>
      <c r="D85" s="16">
        <f t="shared" si="38"/>
        <v>0</v>
      </c>
      <c r="E85" s="16">
        <f t="shared" si="39"/>
        <v>0</v>
      </c>
      <c r="F85" s="14">
        <f t="shared" si="40"/>
        <v>0</v>
      </c>
      <c r="G85" s="46">
        <v>0</v>
      </c>
      <c r="H85" s="92">
        <f t="shared" si="21"/>
        <v>0</v>
      </c>
      <c r="I85" s="22">
        <f>VLOOKUP(C85,Data!$A$5:$V$197,6,FALSE)*6.4</f>
        <v>73.138918813486328</v>
      </c>
      <c r="J85" s="92">
        <f>VLOOKUP(C85,Data!$A$5:$V$197,13,FALSE)</f>
        <v>0</v>
      </c>
      <c r="K85" s="92">
        <f t="shared" si="41"/>
        <v>0</v>
      </c>
      <c r="L85" s="14">
        <f t="shared" si="30"/>
        <v>0</v>
      </c>
      <c r="M85" s="46">
        <f t="shared" si="42"/>
        <v>0</v>
      </c>
      <c r="N85" s="46">
        <f t="shared" si="43"/>
        <v>0</v>
      </c>
      <c r="O85" s="22">
        <f t="shared" si="44"/>
        <v>0</v>
      </c>
      <c r="P85" s="55">
        <f t="shared" si="33"/>
        <v>0</v>
      </c>
      <c r="Q85" s="55">
        <f t="shared" si="34"/>
        <v>0</v>
      </c>
      <c r="R85" s="32">
        <f t="shared" si="35"/>
        <v>0</v>
      </c>
      <c r="S85" s="55">
        <f t="shared" si="36"/>
        <v>0</v>
      </c>
      <c r="T85" s="39">
        <v>0</v>
      </c>
      <c r="U85" s="43">
        <f t="shared" si="37"/>
        <v>0</v>
      </c>
    </row>
    <row r="86" spans="1:21">
      <c r="A86" s="47">
        <v>0</v>
      </c>
      <c r="B86" s="47">
        <v>0</v>
      </c>
      <c r="C86" s="13">
        <v>44075</v>
      </c>
      <c r="D86" s="16">
        <f t="shared" si="38"/>
        <v>0</v>
      </c>
      <c r="E86" s="16">
        <f t="shared" si="39"/>
        <v>0</v>
      </c>
      <c r="F86" s="14">
        <f t="shared" si="40"/>
        <v>0</v>
      </c>
      <c r="G86" s="46">
        <v>0</v>
      </c>
      <c r="H86" s="92">
        <f t="shared" si="21"/>
        <v>0</v>
      </c>
      <c r="I86" s="22">
        <f>VLOOKUP(C86,Data!$A$5:$V$197,6,FALSE)*6.4</f>
        <v>70.627015823424941</v>
      </c>
      <c r="J86" s="92">
        <f>VLOOKUP(C86,Data!$A$5:$V$197,13,FALSE)</f>
        <v>0</v>
      </c>
      <c r="K86" s="92">
        <f t="shared" si="41"/>
        <v>0</v>
      </c>
      <c r="L86" s="14">
        <f t="shared" si="30"/>
        <v>0</v>
      </c>
      <c r="M86" s="46">
        <f t="shared" si="42"/>
        <v>0</v>
      </c>
      <c r="N86" s="46">
        <f t="shared" si="43"/>
        <v>0</v>
      </c>
      <c r="O86" s="22">
        <f t="shared" si="44"/>
        <v>0</v>
      </c>
      <c r="P86" s="55">
        <f t="shared" si="33"/>
        <v>0</v>
      </c>
      <c r="Q86" s="55">
        <f t="shared" si="34"/>
        <v>0</v>
      </c>
      <c r="R86" s="32">
        <f t="shared" si="35"/>
        <v>0</v>
      </c>
      <c r="S86" s="55">
        <f t="shared" si="36"/>
        <v>0</v>
      </c>
      <c r="T86" s="39">
        <v>0</v>
      </c>
      <c r="U86" s="43">
        <f t="shared" si="37"/>
        <v>0</v>
      </c>
    </row>
    <row r="87" spans="1:21">
      <c r="A87" s="47">
        <v>0</v>
      </c>
      <c r="B87" s="47">
        <v>0</v>
      </c>
      <c r="C87" s="13">
        <v>44105</v>
      </c>
      <c r="D87" s="16">
        <f t="shared" si="38"/>
        <v>0</v>
      </c>
      <c r="E87" s="16">
        <f t="shared" si="39"/>
        <v>0</v>
      </c>
      <c r="F87" s="14">
        <f t="shared" si="40"/>
        <v>0</v>
      </c>
      <c r="G87" s="46">
        <v>0</v>
      </c>
      <c r="H87" s="92">
        <f t="shared" si="21"/>
        <v>0</v>
      </c>
      <c r="I87" s="22">
        <f>VLOOKUP(C87,Data!$A$5:$V$197,6,FALSE)*6.4</f>
        <v>68.511720695595258</v>
      </c>
      <c r="J87" s="92">
        <f>VLOOKUP(C87,Data!$A$5:$V$197,13,FALSE)</f>
        <v>0</v>
      </c>
      <c r="K87" s="92">
        <f t="shared" si="41"/>
        <v>0</v>
      </c>
      <c r="L87" s="14">
        <f t="shared" si="30"/>
        <v>0</v>
      </c>
      <c r="M87" s="46">
        <f t="shared" si="42"/>
        <v>0</v>
      </c>
      <c r="N87" s="46">
        <f t="shared" si="43"/>
        <v>0</v>
      </c>
      <c r="O87" s="22">
        <f t="shared" si="44"/>
        <v>0</v>
      </c>
      <c r="P87" s="55">
        <f t="shared" si="33"/>
        <v>0</v>
      </c>
      <c r="Q87" s="55">
        <f t="shared" si="34"/>
        <v>0</v>
      </c>
      <c r="R87" s="32">
        <f t="shared" si="35"/>
        <v>0</v>
      </c>
      <c r="S87" s="55">
        <f t="shared" si="36"/>
        <v>0</v>
      </c>
      <c r="T87" s="39">
        <v>0</v>
      </c>
      <c r="U87" s="43">
        <f t="shared" si="37"/>
        <v>0</v>
      </c>
    </row>
    <row r="88" spans="1:21">
      <c r="A88" s="47">
        <v>0</v>
      </c>
      <c r="B88" s="47">
        <v>0</v>
      </c>
      <c r="C88" s="13">
        <v>44136</v>
      </c>
      <c r="D88" s="16">
        <f t="shared" si="38"/>
        <v>0</v>
      </c>
      <c r="E88" s="16">
        <f t="shared" si="39"/>
        <v>0</v>
      </c>
      <c r="F88" s="14">
        <f t="shared" si="40"/>
        <v>0</v>
      </c>
      <c r="G88" s="46">
        <v>0</v>
      </c>
      <c r="H88" s="92">
        <f t="shared" si="21"/>
        <v>0</v>
      </c>
      <c r="I88" s="22">
        <f>VLOOKUP(C88,Data!$A$5:$V$197,6,FALSE)*6.4</f>
        <v>67.216597224111339</v>
      </c>
      <c r="J88" s="92">
        <f>VLOOKUP(C88,Data!$A$5:$V$197,13,FALSE)</f>
        <v>0</v>
      </c>
      <c r="K88" s="92">
        <f t="shared" si="41"/>
        <v>0</v>
      </c>
      <c r="L88" s="14">
        <f t="shared" si="30"/>
        <v>0</v>
      </c>
      <c r="M88" s="46">
        <f t="shared" si="42"/>
        <v>0</v>
      </c>
      <c r="N88" s="46">
        <f t="shared" si="43"/>
        <v>0</v>
      </c>
      <c r="O88" s="22">
        <f t="shared" si="44"/>
        <v>0</v>
      </c>
      <c r="P88" s="55">
        <f t="shared" si="33"/>
        <v>0</v>
      </c>
      <c r="Q88" s="55">
        <f t="shared" si="34"/>
        <v>0</v>
      </c>
      <c r="R88" s="32">
        <f t="shared" si="35"/>
        <v>0</v>
      </c>
      <c r="S88" s="55">
        <f t="shared" si="36"/>
        <v>0</v>
      </c>
      <c r="T88" s="39">
        <v>0</v>
      </c>
      <c r="U88" s="43">
        <f t="shared" si="37"/>
        <v>0</v>
      </c>
    </row>
    <row r="89" spans="1:21">
      <c r="A89" s="47">
        <v>0</v>
      </c>
      <c r="B89" s="47">
        <v>0</v>
      </c>
      <c r="C89" s="13">
        <v>44166</v>
      </c>
      <c r="D89" s="16">
        <f t="shared" si="38"/>
        <v>0</v>
      </c>
      <c r="E89" s="16">
        <f t="shared" si="39"/>
        <v>0</v>
      </c>
      <c r="F89" s="14">
        <f t="shared" si="40"/>
        <v>0</v>
      </c>
      <c r="G89" s="46">
        <v>0</v>
      </c>
      <c r="H89" s="92">
        <f t="shared" si="21"/>
        <v>0</v>
      </c>
      <c r="I89" s="22">
        <f>VLOOKUP(C89,Data!$A$5:$V$197,6,FALSE)*6.4</f>
        <v>66.320538262744421</v>
      </c>
      <c r="J89" s="92">
        <f>VLOOKUP(C89,Data!$A$5:$V$197,13,FALSE)</f>
        <v>0</v>
      </c>
      <c r="K89" s="92">
        <f t="shared" si="41"/>
        <v>0</v>
      </c>
      <c r="L89" s="14">
        <f t="shared" si="30"/>
        <v>0</v>
      </c>
      <c r="M89" s="46">
        <f t="shared" si="42"/>
        <v>0</v>
      </c>
      <c r="N89" s="46">
        <f t="shared" si="43"/>
        <v>0</v>
      </c>
      <c r="O89" s="22">
        <f t="shared" si="44"/>
        <v>0</v>
      </c>
      <c r="P89" s="55">
        <f t="shared" si="33"/>
        <v>0</v>
      </c>
      <c r="Q89" s="55">
        <f t="shared" si="34"/>
        <v>0</v>
      </c>
      <c r="R89" s="32">
        <f t="shared" si="35"/>
        <v>0</v>
      </c>
      <c r="S89" s="55">
        <f t="shared" si="36"/>
        <v>0</v>
      </c>
      <c r="T89" s="39">
        <v>0</v>
      </c>
      <c r="U89" s="43">
        <f t="shared" si="37"/>
        <v>0</v>
      </c>
    </row>
  </sheetData>
  <mergeCells count="8">
    <mergeCell ref="P6:R17"/>
    <mergeCell ref="S4:U4"/>
    <mergeCell ref="S6:U17"/>
    <mergeCell ref="D4:F4"/>
    <mergeCell ref="G4:I4"/>
    <mergeCell ref="J4:L4"/>
    <mergeCell ref="M4:O4"/>
    <mergeCell ref="P4:R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499984740745262"/>
  </sheetPr>
  <dimension ref="A1:Q89"/>
  <sheetViews>
    <sheetView workbookViewId="0">
      <pane ySplit="5" topLeftCell="A6" activePane="bottomLeft" state="frozen"/>
      <selection activeCell="B1" sqref="A1:XFD2"/>
      <selection pane="bottomLeft" activeCell="A2" sqref="A1:A2"/>
    </sheetView>
  </sheetViews>
  <sheetFormatPr defaultColWidth="9.109375" defaultRowHeight="10.199999999999999"/>
  <cols>
    <col min="1" max="1" width="6.109375" style="1" bestFit="1" customWidth="1"/>
    <col min="2" max="2" width="7.88671875" style="1" bestFit="1" customWidth="1"/>
    <col min="3" max="3" width="9.5546875" style="1" bestFit="1" customWidth="1"/>
    <col min="4" max="4" width="5.33203125" style="1" bestFit="1" customWidth="1"/>
    <col min="5" max="5" width="7.109375" style="1" bestFit="1" customWidth="1"/>
    <col min="6" max="6" width="9.33203125" style="1" bestFit="1" customWidth="1"/>
    <col min="7" max="7" width="6.33203125" style="1" bestFit="1" customWidth="1"/>
    <col min="8" max="8" width="7.109375" style="1" bestFit="1" customWidth="1"/>
    <col min="9" max="9" width="9.33203125" style="1" bestFit="1" customWidth="1"/>
    <col min="10" max="10" width="5.33203125" style="1" bestFit="1" customWidth="1"/>
    <col min="11" max="11" width="8.44140625" style="1" bestFit="1" customWidth="1"/>
    <col min="12" max="12" width="10.109375" style="1" bestFit="1" customWidth="1"/>
    <col min="13" max="13" width="5.44140625" style="1" bestFit="1" customWidth="1"/>
    <col min="14" max="14" width="8.44140625" style="1" bestFit="1" customWidth="1"/>
    <col min="15" max="15" width="10.109375" style="1" bestFit="1" customWidth="1"/>
    <col min="16" max="16" width="5.44140625" style="1" bestFit="1" customWidth="1"/>
    <col min="17" max="17" width="12.6640625" style="1" bestFit="1" customWidth="1"/>
    <col min="18" max="16384" width="9.109375" style="1"/>
  </cols>
  <sheetData>
    <row r="1" spans="1:17" s="120" customFormat="1">
      <c r="A1" s="120" t="s">
        <v>63</v>
      </c>
    </row>
    <row r="2" spans="1:17" s="120" customFormat="1">
      <c r="A2" s="120" t="s">
        <v>59</v>
      </c>
    </row>
    <row r="4" spans="1:17" ht="12.75" customHeight="1">
      <c r="A4" s="19"/>
      <c r="B4" s="106" t="s">
        <v>0</v>
      </c>
      <c r="C4" s="106"/>
      <c r="D4" s="106"/>
      <c r="E4" s="106" t="s">
        <v>1</v>
      </c>
      <c r="F4" s="106"/>
      <c r="G4" s="106"/>
      <c r="H4" s="106" t="s">
        <v>40</v>
      </c>
      <c r="I4" s="106"/>
      <c r="J4" s="106"/>
      <c r="K4" s="106" t="s">
        <v>2</v>
      </c>
      <c r="L4" s="106"/>
      <c r="M4" s="106"/>
      <c r="N4" s="106" t="s">
        <v>29</v>
      </c>
      <c r="O4" s="106"/>
      <c r="P4" s="106"/>
      <c r="Q4" s="111" t="s">
        <v>37</v>
      </c>
    </row>
    <row r="5" spans="1:17">
      <c r="A5" s="9" t="s">
        <v>26</v>
      </c>
      <c r="B5" s="11" t="s">
        <v>3</v>
      </c>
      <c r="C5" s="11" t="s">
        <v>27</v>
      </c>
      <c r="D5" s="11" t="s">
        <v>28</v>
      </c>
      <c r="E5" s="11" t="s">
        <v>3</v>
      </c>
      <c r="F5" s="11" t="s">
        <v>27</v>
      </c>
      <c r="G5" s="11" t="s">
        <v>28</v>
      </c>
      <c r="H5" s="11" t="s">
        <v>3</v>
      </c>
      <c r="I5" s="11" t="s">
        <v>27</v>
      </c>
      <c r="J5" s="11" t="s">
        <v>28</v>
      </c>
      <c r="K5" s="11" t="s">
        <v>3</v>
      </c>
      <c r="L5" s="11" t="s">
        <v>27</v>
      </c>
      <c r="M5" s="11" t="s">
        <v>28</v>
      </c>
      <c r="N5" s="67" t="s">
        <v>3</v>
      </c>
      <c r="O5" s="67" t="s">
        <v>27</v>
      </c>
      <c r="P5" s="67" t="s">
        <v>28</v>
      </c>
      <c r="Q5" s="112"/>
    </row>
    <row r="6" spans="1:17">
      <c r="A6" s="24">
        <v>41640</v>
      </c>
      <c r="B6" s="25">
        <v>2677810</v>
      </c>
      <c r="C6" s="25">
        <v>248294704.84847581</v>
      </c>
      <c r="D6" s="29">
        <f>C6/B6</f>
        <v>92.723047881842177</v>
      </c>
      <c r="E6" s="27">
        <v>4000</v>
      </c>
      <c r="F6" s="27">
        <v>990294.41</v>
      </c>
      <c r="G6" s="28">
        <f t="shared" ref="G6:G69" si="0">IF(E6=0,0,F6/E6)</f>
        <v>247.57360250000002</v>
      </c>
      <c r="H6" s="27">
        <v>13045</v>
      </c>
      <c r="I6" s="27">
        <v>1219293.73</v>
      </c>
      <c r="J6" s="29">
        <f t="shared" ref="J6:J42" si="1">IF(H6=0,0,I6/H6)</f>
        <v>93.468281333844388</v>
      </c>
      <c r="K6" s="27">
        <v>2668765</v>
      </c>
      <c r="L6" s="27">
        <v>248065705.52847579</v>
      </c>
      <c r="M6" s="28">
        <f t="shared" ref="M6:M42" si="2">IF(K6=0,0,L6/K6)</f>
        <v>92.951498362904118</v>
      </c>
      <c r="N6" s="107"/>
      <c r="O6" s="107"/>
      <c r="P6" s="107"/>
      <c r="Q6" s="107"/>
    </row>
    <row r="7" spans="1:17">
      <c r="A7" s="49">
        <v>41671</v>
      </c>
      <c r="B7" s="50">
        <v>2668765</v>
      </c>
      <c r="C7" s="50">
        <v>248065705.52847579</v>
      </c>
      <c r="D7" s="53">
        <f t="shared" ref="D7:D42" si="3">M6</f>
        <v>92.951498362904118</v>
      </c>
      <c r="E7" s="51">
        <v>0</v>
      </c>
      <c r="F7" s="51">
        <v>0</v>
      </c>
      <c r="G7" s="52">
        <f t="shared" si="0"/>
        <v>0</v>
      </c>
      <c r="H7" s="51">
        <v>3046</v>
      </c>
      <c r="I7" s="51">
        <v>283793.66000000003</v>
      </c>
      <c r="J7" s="53">
        <f t="shared" si="1"/>
        <v>93.169290873276438</v>
      </c>
      <c r="K7" s="51">
        <v>2665719</v>
      </c>
      <c r="L7" s="51">
        <v>247781911.86847579</v>
      </c>
      <c r="M7" s="52">
        <f t="shared" si="2"/>
        <v>92.951249500969837</v>
      </c>
      <c r="N7" s="107"/>
      <c r="O7" s="107"/>
      <c r="P7" s="107"/>
      <c r="Q7" s="107"/>
    </row>
    <row r="8" spans="1:17">
      <c r="A8" s="49">
        <v>41699</v>
      </c>
      <c r="B8" s="50">
        <v>2665719</v>
      </c>
      <c r="C8" s="50">
        <v>247781911.86847579</v>
      </c>
      <c r="D8" s="53">
        <f t="shared" si="3"/>
        <v>92.951249500969837</v>
      </c>
      <c r="E8" s="51">
        <v>1781</v>
      </c>
      <c r="F8" s="51">
        <v>198750.22</v>
      </c>
      <c r="G8" s="52">
        <f t="shared" si="0"/>
        <v>111.59473329590118</v>
      </c>
      <c r="H8" s="51">
        <v>68104</v>
      </c>
      <c r="I8" s="51">
        <v>6306426.9400000004</v>
      </c>
      <c r="J8" s="53">
        <f t="shared" si="1"/>
        <v>92.599949195348302</v>
      </c>
      <c r="K8" s="51">
        <v>2599396</v>
      </c>
      <c r="L8" s="51">
        <v>241674234.77000001</v>
      </c>
      <c r="M8" s="52">
        <f t="shared" si="2"/>
        <v>92.973227153538744</v>
      </c>
      <c r="N8" s="107"/>
      <c r="O8" s="107"/>
      <c r="P8" s="107"/>
      <c r="Q8" s="107"/>
    </row>
    <row r="9" spans="1:17">
      <c r="A9" s="49">
        <v>41730</v>
      </c>
      <c r="B9" s="50">
        <v>2599396</v>
      </c>
      <c r="C9" s="50">
        <v>241674234.77000001</v>
      </c>
      <c r="D9" s="53">
        <f t="shared" si="3"/>
        <v>92.973227153538744</v>
      </c>
      <c r="E9" s="51">
        <v>137</v>
      </c>
      <c r="F9" s="51">
        <v>101601.86</v>
      </c>
      <c r="G9" s="52">
        <f t="shared" si="0"/>
        <v>741.61941605839411</v>
      </c>
      <c r="H9" s="51">
        <v>164301</v>
      </c>
      <c r="I9" s="51">
        <v>15227816.299999999</v>
      </c>
      <c r="J9" s="53">
        <f t="shared" si="1"/>
        <v>92.682432243260834</v>
      </c>
      <c r="K9" s="51">
        <v>2435232</v>
      </c>
      <c r="L9" s="51">
        <v>226548020.33000004</v>
      </c>
      <c r="M9" s="52">
        <f t="shared" si="2"/>
        <v>93.029337792046121</v>
      </c>
      <c r="N9" s="107"/>
      <c r="O9" s="107"/>
      <c r="P9" s="107"/>
      <c r="Q9" s="107"/>
    </row>
    <row r="10" spans="1:17">
      <c r="A10" s="49">
        <v>41760</v>
      </c>
      <c r="B10" s="50">
        <v>2435232</v>
      </c>
      <c r="C10" s="50">
        <v>226548020.33000004</v>
      </c>
      <c r="D10" s="53">
        <f t="shared" si="3"/>
        <v>93.029337792046121</v>
      </c>
      <c r="E10" s="51">
        <v>0</v>
      </c>
      <c r="F10" s="51">
        <v>0</v>
      </c>
      <c r="G10" s="52">
        <f t="shared" si="0"/>
        <v>0</v>
      </c>
      <c r="H10" s="51">
        <v>2434</v>
      </c>
      <c r="I10" s="51">
        <v>226662.02000000002</v>
      </c>
      <c r="J10" s="53">
        <f t="shared" si="1"/>
        <v>93.123262119967137</v>
      </c>
      <c r="K10" s="51">
        <v>2432798</v>
      </c>
      <c r="L10" s="51">
        <v>226321358.31000003</v>
      </c>
      <c r="M10" s="52">
        <f t="shared" si="2"/>
        <v>93.029243821311937</v>
      </c>
      <c r="N10" s="107"/>
      <c r="O10" s="107"/>
      <c r="P10" s="107"/>
      <c r="Q10" s="107"/>
    </row>
    <row r="11" spans="1:17">
      <c r="A11" s="49">
        <v>41791</v>
      </c>
      <c r="B11" s="50">
        <v>2432798</v>
      </c>
      <c r="C11" s="50">
        <v>226321358.31000003</v>
      </c>
      <c r="D11" s="53">
        <f t="shared" si="3"/>
        <v>93.029243821311937</v>
      </c>
      <c r="E11" s="51">
        <v>28109</v>
      </c>
      <c r="F11" s="51">
        <v>2648938.3800000004</v>
      </c>
      <c r="G11" s="52">
        <f t="shared" si="0"/>
        <v>94.238086733786346</v>
      </c>
      <c r="H11" s="51">
        <v>33088</v>
      </c>
      <c r="I11" s="51">
        <v>3075807.07</v>
      </c>
      <c r="J11" s="53">
        <f t="shared" si="1"/>
        <v>92.958385819632497</v>
      </c>
      <c r="K11" s="51">
        <v>2427819</v>
      </c>
      <c r="L11" s="51">
        <v>225894489.62000003</v>
      </c>
      <c r="M11" s="52">
        <f t="shared" si="2"/>
        <v>93.044205362920394</v>
      </c>
      <c r="N11" s="107"/>
      <c r="O11" s="107"/>
      <c r="P11" s="107"/>
      <c r="Q11" s="107"/>
    </row>
    <row r="12" spans="1:17">
      <c r="A12" s="49">
        <v>41821</v>
      </c>
      <c r="B12" s="50">
        <v>2427819</v>
      </c>
      <c r="C12" s="50">
        <v>225894489.62000003</v>
      </c>
      <c r="D12" s="53">
        <f t="shared" si="3"/>
        <v>93.044205362920394</v>
      </c>
      <c r="E12" s="51">
        <v>1513</v>
      </c>
      <c r="F12" s="51">
        <v>198167.03</v>
      </c>
      <c r="G12" s="52">
        <f t="shared" si="0"/>
        <v>130.97622604097819</v>
      </c>
      <c r="H12" s="51">
        <v>28364</v>
      </c>
      <c r="I12" s="51">
        <v>2636566.1800000002</v>
      </c>
      <c r="J12" s="53">
        <f t="shared" si="1"/>
        <v>92.954667183754054</v>
      </c>
      <c r="K12" s="51">
        <v>2400968</v>
      </c>
      <c r="L12" s="51">
        <v>223456090.47000003</v>
      </c>
      <c r="M12" s="52">
        <f t="shared" si="2"/>
        <v>93.06916646535899</v>
      </c>
      <c r="N12" s="107"/>
      <c r="O12" s="107"/>
      <c r="P12" s="107"/>
      <c r="Q12" s="107"/>
    </row>
    <row r="13" spans="1:17">
      <c r="A13" s="49">
        <v>41852</v>
      </c>
      <c r="B13" s="50">
        <v>2400968</v>
      </c>
      <c r="C13" s="50">
        <v>223456090.47000003</v>
      </c>
      <c r="D13" s="53">
        <f t="shared" si="3"/>
        <v>93.06916646535899</v>
      </c>
      <c r="E13" s="51">
        <v>11</v>
      </c>
      <c r="F13" s="51">
        <v>8186.13</v>
      </c>
      <c r="G13" s="52">
        <f t="shared" si="0"/>
        <v>744.19363636363641</v>
      </c>
      <c r="H13" s="51">
        <v>33672</v>
      </c>
      <c r="I13" s="51">
        <v>3130363.11</v>
      </c>
      <c r="J13" s="53">
        <f t="shared" si="1"/>
        <v>92.966355131860297</v>
      </c>
      <c r="K13" s="51">
        <v>2367307</v>
      </c>
      <c r="L13" s="51">
        <v>220333913.49000001</v>
      </c>
      <c r="M13" s="52">
        <f t="shared" si="2"/>
        <v>93.073654363375766</v>
      </c>
      <c r="N13" s="107"/>
      <c r="O13" s="107"/>
      <c r="P13" s="107"/>
      <c r="Q13" s="107"/>
    </row>
    <row r="14" spans="1:17">
      <c r="A14" s="49">
        <v>41883</v>
      </c>
      <c r="B14" s="50">
        <v>2367307</v>
      </c>
      <c r="C14" s="50">
        <v>220333913.49000001</v>
      </c>
      <c r="D14" s="53">
        <f t="shared" si="3"/>
        <v>93.073654363375766</v>
      </c>
      <c r="E14" s="51">
        <v>5289</v>
      </c>
      <c r="F14" s="51">
        <v>254862.51</v>
      </c>
      <c r="G14" s="52">
        <f t="shared" si="0"/>
        <v>48.187277368122523</v>
      </c>
      <c r="H14" s="51">
        <v>-785</v>
      </c>
      <c r="I14" s="51">
        <v>-73223.8</v>
      </c>
      <c r="J14" s="53">
        <f t="shared" si="1"/>
        <v>93.278726114649686</v>
      </c>
      <c r="K14" s="51">
        <v>2373381</v>
      </c>
      <c r="L14" s="51">
        <v>220661999.80000004</v>
      </c>
      <c r="M14" s="52">
        <f t="shared" si="2"/>
        <v>92.97369440473318</v>
      </c>
      <c r="N14" s="107"/>
      <c r="O14" s="107"/>
      <c r="P14" s="107"/>
      <c r="Q14" s="107"/>
    </row>
    <row r="15" spans="1:17">
      <c r="A15" s="49">
        <v>41913</v>
      </c>
      <c r="B15" s="50">
        <v>2373381</v>
      </c>
      <c r="C15" s="50">
        <v>220661999.80000004</v>
      </c>
      <c r="D15" s="53">
        <f t="shared" si="3"/>
        <v>92.97369440473318</v>
      </c>
      <c r="E15" s="51">
        <v>17507</v>
      </c>
      <c r="F15" s="51">
        <v>2454526.0099999998</v>
      </c>
      <c r="G15" s="52">
        <f t="shared" ref="G15" si="4">IF(E15=0,0,F15/E15)</f>
        <v>140.2025481236077</v>
      </c>
      <c r="H15" s="51">
        <v>16949</v>
      </c>
      <c r="I15" s="51">
        <v>1580364.46</v>
      </c>
      <c r="J15" s="53">
        <f t="shared" si="1"/>
        <v>93.242342321080883</v>
      </c>
      <c r="K15" s="51">
        <v>2373939</v>
      </c>
      <c r="L15" s="51">
        <v>221536161.35000002</v>
      </c>
      <c r="M15" s="52">
        <f t="shared" si="2"/>
        <v>93.320073241140577</v>
      </c>
      <c r="N15" s="107"/>
      <c r="O15" s="107"/>
      <c r="P15" s="107"/>
      <c r="Q15" s="107"/>
    </row>
    <row r="16" spans="1:17">
      <c r="A16" s="49">
        <v>41944</v>
      </c>
      <c r="B16" s="50">
        <v>2373939</v>
      </c>
      <c r="C16" s="50">
        <v>221536161.35000002</v>
      </c>
      <c r="D16" s="53">
        <f t="shared" si="3"/>
        <v>93.320073241140577</v>
      </c>
      <c r="E16" s="51">
        <v>18483</v>
      </c>
      <c r="F16" s="51">
        <v>2659969.73</v>
      </c>
      <c r="G16" s="52">
        <f t="shared" si="0"/>
        <v>143.91439322620786</v>
      </c>
      <c r="H16" s="51">
        <v>51477</v>
      </c>
      <c r="I16" s="51">
        <v>4813014.34</v>
      </c>
      <c r="J16" s="53">
        <f t="shared" si="1"/>
        <v>93.498345668939521</v>
      </c>
      <c r="K16" s="51">
        <v>2340945</v>
      </c>
      <c r="L16" s="51">
        <v>219383116.74000001</v>
      </c>
      <c r="M16" s="52">
        <f t="shared" si="2"/>
        <v>93.715621998808174</v>
      </c>
      <c r="N16" s="107"/>
      <c r="O16" s="107"/>
      <c r="P16" s="107"/>
      <c r="Q16" s="107"/>
    </row>
    <row r="17" spans="1:17">
      <c r="A17" s="49">
        <v>41974</v>
      </c>
      <c r="B17" s="50">
        <f>'Manatee Heavy Oil'!E17+'Martin Heavy Oil'!E17+'Turkey Point Heavy Oil'!D17</f>
        <v>2340945</v>
      </c>
      <c r="C17" s="50">
        <f>'Manatee Heavy Oil'!F17+'Martin Heavy Oil'!F17+'Turkey Point Heavy Oil'!E17</f>
        <v>219383116.74000001</v>
      </c>
      <c r="D17" s="53">
        <f t="shared" si="3"/>
        <v>93.715621998808174</v>
      </c>
      <c r="E17" s="51">
        <f>'Manatee Heavy Oil'!H17+'Martin Heavy Oil'!H17+'Turkey Point Heavy Oil'!G17</f>
        <v>166407</v>
      </c>
      <c r="F17" s="51">
        <f>'Manatee Heavy Oil'!I17+'Martin Heavy Oil'!I17+'Turkey Point Heavy Oil'!H17</f>
        <v>12643741.460000001</v>
      </c>
      <c r="G17" s="52">
        <f t="shared" si="0"/>
        <v>75.980826888291958</v>
      </c>
      <c r="H17" s="51">
        <f>'Manatee Heavy Oil'!K17+'Martin Heavy Oil'!K17+'Turkey Point Heavy Oil'!J17</f>
        <v>14689</v>
      </c>
      <c r="I17" s="51">
        <f>'Manatee Heavy Oil'!L17+'Martin Heavy Oil'!L17+'Turkey Point Heavy Oil'!K17</f>
        <v>1371584.95</v>
      </c>
      <c r="J17" s="53">
        <f t="shared" si="1"/>
        <v>93.374971066784667</v>
      </c>
      <c r="K17" s="51">
        <f>'Manatee Heavy Oil'!N17+'Martin Heavy Oil'!N17+'Turkey Point Heavy Oil'!M17</f>
        <v>2492663</v>
      </c>
      <c r="L17" s="51">
        <f>'Manatee Heavy Oil'!O17+'Martin Heavy Oil'!O17+'Turkey Point Heavy Oil'!N17</f>
        <v>230655273.25000006</v>
      </c>
      <c r="M17" s="52">
        <f t="shared" si="2"/>
        <v>92.533677135657754</v>
      </c>
      <c r="N17" s="107"/>
      <c r="O17" s="107"/>
      <c r="P17" s="107"/>
      <c r="Q17" s="107"/>
    </row>
    <row r="18" spans="1:17">
      <c r="A18" s="49">
        <v>42005</v>
      </c>
      <c r="B18" s="50">
        <f>'Manatee Heavy Oil'!E18+'Martin Heavy Oil'!E18+'Turkey Point Heavy Oil'!D18</f>
        <v>2492663</v>
      </c>
      <c r="C18" s="50">
        <f>'Manatee Heavy Oil'!F18+'Martin Heavy Oil'!F18+'Turkey Point Heavy Oil'!E18</f>
        <v>230655273.25000006</v>
      </c>
      <c r="D18" s="53">
        <f t="shared" si="3"/>
        <v>92.533677135657754</v>
      </c>
      <c r="E18" s="51">
        <f>'Manatee Heavy Oil'!H18+'Martin Heavy Oil'!H18+'Turkey Point Heavy Oil'!G18</f>
        <v>12294</v>
      </c>
      <c r="F18" s="51">
        <f>'Manatee Heavy Oil'!I18+'Martin Heavy Oil'!I18+'Turkey Point Heavy Oil'!H18</f>
        <v>1652734.2000000002</v>
      </c>
      <c r="G18" s="52">
        <f t="shared" si="0"/>
        <v>134.43421181063934</v>
      </c>
      <c r="H18" s="51">
        <f>'Manatee Heavy Oil'!K18+'Martin Heavy Oil'!K18+'Turkey Point Heavy Oil'!J18</f>
        <v>115058</v>
      </c>
      <c r="I18" s="51">
        <f>'Manatee Heavy Oil'!L18+'Martin Heavy Oil'!L18+'Turkey Point Heavy Oil'!K18</f>
        <v>10750556.190000001</v>
      </c>
      <c r="J18" s="53">
        <f t="shared" si="1"/>
        <v>93.435973074449421</v>
      </c>
      <c r="K18" s="51">
        <f>'Manatee Heavy Oil'!N18+'Martin Heavy Oil'!N18+'Turkey Point Heavy Oil'!M18</f>
        <v>2389899</v>
      </c>
      <c r="L18" s="51">
        <f>'Manatee Heavy Oil'!O18+'Martin Heavy Oil'!O18+'Turkey Point Heavy Oil'!N18</f>
        <v>221557451.26000005</v>
      </c>
      <c r="M18" s="52">
        <f t="shared" si="2"/>
        <v>92.705780143847107</v>
      </c>
      <c r="N18" s="54">
        <f>AVERAGE(K6:K18)</f>
        <v>2459140.846153846</v>
      </c>
      <c r="O18" s="54">
        <f>AVERAGE(L6:L18)</f>
        <v>228759209.75284246</v>
      </c>
      <c r="P18" s="56">
        <f t="shared" ref="P18:P42" si="5">IF(N18=0,0,O18/N18)</f>
        <v>93.024037281405512</v>
      </c>
      <c r="Q18" s="58">
        <f>'Manatee Heavy Oil'!A18+'Martin Heavy Oil'!A18+'Turkey Point Heavy Oil'!A18+'Heavy Oil Summary'!K18</f>
        <v>2491899</v>
      </c>
    </row>
    <row r="19" spans="1:17">
      <c r="A19" s="49">
        <v>42036</v>
      </c>
      <c r="B19" s="50">
        <f>'Manatee Heavy Oil'!E19+'Martin Heavy Oil'!E19+'Turkey Point Heavy Oil'!D19</f>
        <v>2389899</v>
      </c>
      <c r="C19" s="50">
        <f>'Manatee Heavy Oil'!F19+'Martin Heavy Oil'!F19+'Turkey Point Heavy Oil'!E19</f>
        <v>221557451.26000005</v>
      </c>
      <c r="D19" s="53">
        <f t="shared" si="3"/>
        <v>92.705780143847107</v>
      </c>
      <c r="E19" s="51">
        <f>'Manatee Heavy Oil'!H19+'Martin Heavy Oil'!H19+'Turkey Point Heavy Oil'!G19</f>
        <v>259</v>
      </c>
      <c r="F19" s="51">
        <f>'Manatee Heavy Oil'!I19+'Martin Heavy Oil'!I19+'Turkey Point Heavy Oil'!H19</f>
        <v>43291.01</v>
      </c>
      <c r="G19" s="52">
        <f t="shared" si="0"/>
        <v>167.14675675675676</v>
      </c>
      <c r="H19" s="51">
        <f>'Manatee Heavy Oil'!K19+'Martin Heavy Oil'!K19+'Turkey Point Heavy Oil'!J19</f>
        <v>41125</v>
      </c>
      <c r="I19" s="51">
        <f>'Manatee Heavy Oil'!L19+'Martin Heavy Oil'!L19+'Turkey Point Heavy Oil'!K19</f>
        <v>3822503.43</v>
      </c>
      <c r="J19" s="53">
        <f t="shared" si="1"/>
        <v>92.948411671732529</v>
      </c>
      <c r="K19" s="51">
        <f>'Manatee Heavy Oil'!N19+'Martin Heavy Oil'!N19+'Turkey Point Heavy Oil'!M19</f>
        <v>2349033</v>
      </c>
      <c r="L19" s="51">
        <f>'Manatee Heavy Oil'!O19+'Martin Heavy Oil'!O19+'Turkey Point Heavy Oil'!N19</f>
        <v>217778238.84000006</v>
      </c>
      <c r="M19" s="52">
        <f t="shared" si="2"/>
        <v>92.709740067508662</v>
      </c>
      <c r="N19" s="54">
        <f t="shared" ref="N19:O31" si="6">AVERAGE(K7:K19)</f>
        <v>2434546.076923077</v>
      </c>
      <c r="O19" s="54">
        <f t="shared" si="6"/>
        <v>226429404.62295973</v>
      </c>
      <c r="P19" s="56">
        <f t="shared" si="5"/>
        <v>93.006826516561389</v>
      </c>
      <c r="Q19" s="58">
        <f>'Manatee Heavy Oil'!A19+'Martin Heavy Oil'!A19+'Turkey Point Heavy Oil'!A19+'Heavy Oil Summary'!K19</f>
        <v>2449033</v>
      </c>
    </row>
    <row r="20" spans="1:17">
      <c r="A20" s="49">
        <v>42064</v>
      </c>
      <c r="B20" s="50">
        <f>'Manatee Heavy Oil'!E20+'Martin Heavy Oil'!E20+'Turkey Point Heavy Oil'!D20</f>
        <v>2349033</v>
      </c>
      <c r="C20" s="50">
        <f>'Manatee Heavy Oil'!F20+'Martin Heavy Oil'!F20+'Turkey Point Heavy Oil'!E20</f>
        <v>217778238.84000006</v>
      </c>
      <c r="D20" s="53">
        <f t="shared" si="3"/>
        <v>92.709740067508662</v>
      </c>
      <c r="E20" s="51">
        <f>'Manatee Heavy Oil'!H20+'Martin Heavy Oil'!H20+'Turkey Point Heavy Oil'!G20</f>
        <v>160</v>
      </c>
      <c r="F20" s="51">
        <f>'Manatee Heavy Oil'!I20+'Martin Heavy Oil'!I20+'Turkey Point Heavy Oil'!H20</f>
        <v>29161.98</v>
      </c>
      <c r="G20" s="52">
        <f t="shared" ref="G20" si="7">IF(E20=0,0,F20/E20)</f>
        <v>182.26237499999999</v>
      </c>
      <c r="H20" s="51">
        <f>'Manatee Heavy Oil'!K20+'Martin Heavy Oil'!K20+'Turkey Point Heavy Oil'!J20</f>
        <v>199</v>
      </c>
      <c r="I20" s="51">
        <f>'Manatee Heavy Oil'!L20+'Martin Heavy Oil'!L20+'Turkey Point Heavy Oil'!K20</f>
        <v>17288.500000000004</v>
      </c>
      <c r="J20" s="53">
        <f t="shared" si="1"/>
        <v>86.876884422110578</v>
      </c>
      <c r="K20" s="51">
        <f>'Manatee Heavy Oil'!N20+'Martin Heavy Oil'!N20+'Turkey Point Heavy Oil'!M20</f>
        <v>2348994</v>
      </c>
      <c r="L20" s="51">
        <f>'Manatee Heavy Oil'!O20+'Martin Heavy Oil'!O20+'Turkey Point Heavy Oil'!N20</f>
        <v>217790112.32000008</v>
      </c>
      <c r="M20" s="52">
        <f t="shared" si="2"/>
        <v>92.716334022138881</v>
      </c>
      <c r="N20" s="54">
        <f t="shared" si="6"/>
        <v>2410182.6153846155</v>
      </c>
      <c r="O20" s="54">
        <f t="shared" si="6"/>
        <v>224122343.11923081</v>
      </c>
      <c r="P20" s="56">
        <f t="shared" si="5"/>
        <v>92.989776661991854</v>
      </c>
      <c r="Q20" s="58">
        <f>'Manatee Heavy Oil'!A20+'Martin Heavy Oil'!A20+'Turkey Point Heavy Oil'!A20+'Heavy Oil Summary'!K20</f>
        <v>2448994</v>
      </c>
    </row>
    <row r="21" spans="1:17">
      <c r="A21" s="49">
        <v>42095</v>
      </c>
      <c r="B21" s="50">
        <f>'Manatee Heavy Oil'!E21+'Martin Heavy Oil'!E21+'Turkey Point Heavy Oil'!D21</f>
        <v>2348994</v>
      </c>
      <c r="C21" s="50">
        <f>'Manatee Heavy Oil'!F21+'Martin Heavy Oil'!F21+'Turkey Point Heavy Oil'!E21</f>
        <v>217790112.32000008</v>
      </c>
      <c r="D21" s="53">
        <f t="shared" si="3"/>
        <v>92.716334022138881</v>
      </c>
      <c r="E21" s="51">
        <f>'Manatee Heavy Oil'!H21+'Martin Heavy Oil'!H21+'Turkey Point Heavy Oil'!G21</f>
        <v>229</v>
      </c>
      <c r="F21" s="51">
        <f>'Manatee Heavy Oil'!I21+'Martin Heavy Oil'!I21+'Turkey Point Heavy Oil'!H21</f>
        <v>27296.02</v>
      </c>
      <c r="G21" s="52">
        <f t="shared" si="0"/>
        <v>119.19659388646288</v>
      </c>
      <c r="H21" s="51">
        <f>'Manatee Heavy Oil'!K21+'Martin Heavy Oil'!K21+'Turkey Point Heavy Oil'!J21</f>
        <v>46571</v>
      </c>
      <c r="I21" s="51">
        <f>'Manatee Heavy Oil'!L21+'Martin Heavy Oil'!L21+'Turkey Point Heavy Oil'!K21</f>
        <v>4297031.32</v>
      </c>
      <c r="J21" s="53">
        <f t="shared" si="1"/>
        <v>92.268392776620644</v>
      </c>
      <c r="K21" s="51">
        <f>'Manatee Heavy Oil'!N21+'Martin Heavy Oil'!N21+'Turkey Point Heavy Oil'!M21</f>
        <v>2302652</v>
      </c>
      <c r="L21" s="51">
        <f>'Manatee Heavy Oil'!O21+'Martin Heavy Oil'!O21+'Turkey Point Heavy Oil'!N21</f>
        <v>213520377.02000007</v>
      </c>
      <c r="M21" s="52">
        <f t="shared" si="2"/>
        <v>92.728027083554124</v>
      </c>
      <c r="N21" s="54">
        <f t="shared" si="6"/>
        <v>2387356.153846154</v>
      </c>
      <c r="O21" s="54">
        <f t="shared" si="6"/>
        <v>221956661.7538462</v>
      </c>
      <c r="P21" s="56">
        <f t="shared" si="5"/>
        <v>92.971742568138637</v>
      </c>
      <c r="Q21" s="58">
        <f>'Manatee Heavy Oil'!A21+'Martin Heavy Oil'!A21+'Turkey Point Heavy Oil'!A21+'Heavy Oil Summary'!K21</f>
        <v>2402652</v>
      </c>
    </row>
    <row r="22" spans="1:17">
      <c r="A22" s="49">
        <v>42125</v>
      </c>
      <c r="B22" s="50">
        <f>'Manatee Heavy Oil'!E22+'Martin Heavy Oil'!E22+'Turkey Point Heavy Oil'!D22</f>
        <v>2302652</v>
      </c>
      <c r="C22" s="50">
        <f>'Manatee Heavy Oil'!F22+'Martin Heavy Oil'!F22+'Turkey Point Heavy Oil'!E22</f>
        <v>213520377.02000007</v>
      </c>
      <c r="D22" s="53">
        <f t="shared" si="3"/>
        <v>92.728027083554124</v>
      </c>
      <c r="E22" s="51">
        <f>'Manatee Heavy Oil'!H22+'Martin Heavy Oil'!H22+'Turkey Point Heavy Oil'!G22</f>
        <v>0</v>
      </c>
      <c r="F22" s="51">
        <f>'Manatee Heavy Oil'!I22+'Martin Heavy Oil'!I22+'Turkey Point Heavy Oil'!H22</f>
        <v>4630.16</v>
      </c>
      <c r="G22" s="52">
        <f t="shared" si="0"/>
        <v>0</v>
      </c>
      <c r="H22" s="51">
        <f>'Manatee Heavy Oil'!K22+'Martin Heavy Oil'!K22+'Turkey Point Heavy Oil'!J22</f>
        <v>26223</v>
      </c>
      <c r="I22" s="51">
        <f>'Manatee Heavy Oil'!L22+'Martin Heavy Oil'!L22+'Turkey Point Heavy Oil'!K22</f>
        <v>2424427.9400000004</v>
      </c>
      <c r="J22" s="53">
        <f t="shared" si="1"/>
        <v>92.454255424627249</v>
      </c>
      <c r="K22" s="51">
        <f>'Manatee Heavy Oil'!N22+'Martin Heavy Oil'!N22+'Turkey Point Heavy Oil'!M22</f>
        <v>2276429</v>
      </c>
      <c r="L22" s="51">
        <f>'Manatee Heavy Oil'!O22+'Martin Heavy Oil'!O22+'Turkey Point Heavy Oil'!N22</f>
        <v>211100579.2400001</v>
      </c>
      <c r="M22" s="52">
        <f t="shared" si="2"/>
        <v>92.733214714801164</v>
      </c>
      <c r="N22" s="54">
        <f t="shared" si="6"/>
        <v>2375140.5384615385</v>
      </c>
      <c r="O22" s="54">
        <f t="shared" si="6"/>
        <v>220768397.05461544</v>
      </c>
      <c r="P22" s="56">
        <f t="shared" si="5"/>
        <v>92.949614340553865</v>
      </c>
      <c r="Q22" s="58">
        <f>'Manatee Heavy Oil'!A22+'Martin Heavy Oil'!A22+'Turkey Point Heavy Oil'!A22+'Heavy Oil Summary'!K22</f>
        <v>2376429</v>
      </c>
    </row>
    <row r="23" spans="1:17">
      <c r="A23" s="49">
        <v>42156</v>
      </c>
      <c r="B23" s="50">
        <f>'Manatee Heavy Oil'!E23+'Martin Heavy Oil'!E23+'Turkey Point Heavy Oil'!D23</f>
        <v>2276429</v>
      </c>
      <c r="C23" s="50">
        <f>'Manatee Heavy Oil'!F23+'Martin Heavy Oil'!F23+'Turkey Point Heavy Oil'!E23</f>
        <v>211100579.2400001</v>
      </c>
      <c r="D23" s="53">
        <f t="shared" si="3"/>
        <v>92.733214714801164</v>
      </c>
      <c r="E23" s="51">
        <f>'Manatee Heavy Oil'!H23+'Martin Heavy Oil'!H23+'Turkey Point Heavy Oil'!G23</f>
        <v>73850</v>
      </c>
      <c r="F23" s="51">
        <f>'Manatee Heavy Oil'!I23+'Martin Heavy Oil'!I23+'Turkey Point Heavy Oil'!H23</f>
        <v>4898758.25</v>
      </c>
      <c r="G23" s="52">
        <f t="shared" si="0"/>
        <v>66.333896411645227</v>
      </c>
      <c r="H23" s="51">
        <f>'Manatee Heavy Oil'!K23+'Martin Heavy Oil'!K23+'Turkey Point Heavy Oil'!J23</f>
        <v>84726</v>
      </c>
      <c r="I23" s="51">
        <f>'Manatee Heavy Oil'!L23+'Martin Heavy Oil'!L23+'Turkey Point Heavy Oil'!K23</f>
        <v>7769200.0999999996</v>
      </c>
      <c r="J23" s="53">
        <f t="shared" si="1"/>
        <v>91.697945140806837</v>
      </c>
      <c r="K23" s="51">
        <f>'Manatee Heavy Oil'!N23+'Martin Heavy Oil'!N23+'Turkey Point Heavy Oil'!M23</f>
        <v>2265553</v>
      </c>
      <c r="L23" s="51">
        <f>'Manatee Heavy Oil'!O23+'Martin Heavy Oil'!O23+'Turkey Point Heavy Oil'!N23</f>
        <v>208230137.39000008</v>
      </c>
      <c r="M23" s="52">
        <f t="shared" si="2"/>
        <v>91.911395314962874</v>
      </c>
      <c r="N23" s="54">
        <f t="shared" si="6"/>
        <v>2362275.5384615385</v>
      </c>
      <c r="O23" s="54">
        <f t="shared" si="6"/>
        <v>219376764.67615387</v>
      </c>
      <c r="P23" s="56">
        <f t="shared" si="5"/>
        <v>92.866713092675766</v>
      </c>
      <c r="Q23" s="58">
        <f>'Manatee Heavy Oil'!A23+'Martin Heavy Oil'!A23+'Turkey Point Heavy Oil'!A23+'Heavy Oil Summary'!K23</f>
        <v>2365553</v>
      </c>
    </row>
    <row r="24" spans="1:17">
      <c r="A24" s="49">
        <v>42186</v>
      </c>
      <c r="B24" s="50">
        <f>'Manatee Heavy Oil'!E24+'Martin Heavy Oil'!E24+'Turkey Point Heavy Oil'!D24</f>
        <v>2265553</v>
      </c>
      <c r="C24" s="50">
        <f>'Manatee Heavy Oil'!F24+'Martin Heavy Oil'!F24+'Turkey Point Heavy Oil'!E24</f>
        <v>208230137.39000008</v>
      </c>
      <c r="D24" s="53">
        <f t="shared" si="3"/>
        <v>91.911395314962874</v>
      </c>
      <c r="E24" s="51">
        <f>'Manatee Heavy Oil'!H24+'Martin Heavy Oil'!H24+'Turkey Point Heavy Oil'!G24</f>
        <v>0</v>
      </c>
      <c r="F24" s="51">
        <f>'Manatee Heavy Oil'!I24+'Martin Heavy Oil'!I24+'Turkey Point Heavy Oil'!H24</f>
        <v>0</v>
      </c>
      <c r="G24" s="52">
        <f t="shared" si="0"/>
        <v>0</v>
      </c>
      <c r="H24" s="51">
        <f>'Manatee Heavy Oil'!K24+'Martin Heavy Oil'!K24+'Turkey Point Heavy Oil'!J24</f>
        <v>27973</v>
      </c>
      <c r="I24" s="51">
        <f>'Manatee Heavy Oil'!L24+'Martin Heavy Oil'!L24+'Turkey Point Heavy Oil'!K24</f>
        <v>2569478.0699999998</v>
      </c>
      <c r="J24" s="53">
        <f t="shared" si="1"/>
        <v>91.855649018696596</v>
      </c>
      <c r="K24" s="51">
        <f>'Manatee Heavy Oil'!N24+'Martin Heavy Oil'!N24+'Turkey Point Heavy Oil'!M24</f>
        <v>2237580</v>
      </c>
      <c r="L24" s="51">
        <f>'Manatee Heavy Oil'!O24+'Martin Heavy Oil'!O24+'Turkey Point Heavy Oil'!N24</f>
        <v>205660659.32000008</v>
      </c>
      <c r="M24" s="52">
        <f t="shared" si="2"/>
        <v>91.912092224635586</v>
      </c>
      <c r="N24" s="54">
        <f t="shared" si="6"/>
        <v>2347641.769230769</v>
      </c>
      <c r="O24" s="54">
        <f t="shared" si="6"/>
        <v>217820316.19153851</v>
      </c>
      <c r="P24" s="56">
        <f t="shared" si="5"/>
        <v>92.782603822434865</v>
      </c>
      <c r="Q24" s="58">
        <f>'Manatee Heavy Oil'!A24+'Martin Heavy Oil'!A24+'Turkey Point Heavy Oil'!A24+'Heavy Oil Summary'!K24</f>
        <v>2337580</v>
      </c>
    </row>
    <row r="25" spans="1:17">
      <c r="A25" s="49">
        <v>42217</v>
      </c>
      <c r="B25" s="50">
        <f>'Manatee Heavy Oil'!E25+'Martin Heavy Oil'!E25+'Turkey Point Heavy Oil'!D25</f>
        <v>2237580</v>
      </c>
      <c r="C25" s="50">
        <f>'Manatee Heavy Oil'!F25+'Martin Heavy Oil'!F25+'Turkey Point Heavy Oil'!E25</f>
        <v>205660659.1800001</v>
      </c>
      <c r="D25" s="53">
        <f t="shared" si="3"/>
        <v>91.912092224635586</v>
      </c>
      <c r="E25" s="51">
        <f>'Manatee Heavy Oil'!H25+'Martin Heavy Oil'!H25+'Turkey Point Heavy Oil'!G25</f>
        <v>0</v>
      </c>
      <c r="F25" s="51">
        <f>'Manatee Heavy Oil'!I25+'Martin Heavy Oil'!I25+'Turkey Point Heavy Oil'!H25</f>
        <v>0</v>
      </c>
      <c r="G25" s="52">
        <f t="shared" si="0"/>
        <v>0</v>
      </c>
      <c r="H25" s="51">
        <f>'Manatee Heavy Oil'!K25+'Martin Heavy Oil'!K25+'Turkey Point Heavy Oil'!J25</f>
        <v>23256</v>
      </c>
      <c r="I25" s="51">
        <f>'Manatee Heavy Oil'!L25+'Martin Heavy Oil'!L25+'Turkey Point Heavy Oil'!K25</f>
        <v>2137121.1</v>
      </c>
      <c r="J25" s="53">
        <f t="shared" si="1"/>
        <v>91.895472136222921</v>
      </c>
      <c r="K25" s="51">
        <f>'Manatee Heavy Oil'!N25+'Martin Heavy Oil'!N25+'Turkey Point Heavy Oil'!M25</f>
        <v>2214324</v>
      </c>
      <c r="L25" s="51">
        <f>'Manatee Heavy Oil'!O25+'Martin Heavy Oil'!O25+'Turkey Point Heavy Oil'!N25</f>
        <v>203523538.0800001</v>
      </c>
      <c r="M25" s="52">
        <f t="shared" si="2"/>
        <v>91.912266714356207</v>
      </c>
      <c r="N25" s="54">
        <f t="shared" si="6"/>
        <v>2333284.5384615385</v>
      </c>
      <c r="O25" s="54">
        <f t="shared" si="6"/>
        <v>216287042.93076926</v>
      </c>
      <c r="P25" s="56">
        <f t="shared" si="5"/>
        <v>92.696385445291241</v>
      </c>
      <c r="Q25" s="58">
        <f>'Manatee Heavy Oil'!A25+'Martin Heavy Oil'!A25+'Turkey Point Heavy Oil'!A25+'Heavy Oil Summary'!K25</f>
        <v>2314324</v>
      </c>
    </row>
    <row r="26" spans="1:17">
      <c r="A26" s="49">
        <v>42248</v>
      </c>
      <c r="B26" s="50">
        <f>'Manatee Heavy Oil'!E26+'Martin Heavy Oil'!E26+'Turkey Point Heavy Oil'!D26</f>
        <v>2214324</v>
      </c>
      <c r="C26" s="50">
        <f>'Manatee Heavy Oil'!F26+'Martin Heavy Oil'!F26+'Turkey Point Heavy Oil'!E26</f>
        <v>203523538.0800001</v>
      </c>
      <c r="D26" s="53">
        <f t="shared" si="3"/>
        <v>91.912266714356207</v>
      </c>
      <c r="E26" s="51">
        <f>'Manatee Heavy Oil'!H26+'Martin Heavy Oil'!H26+'Turkey Point Heavy Oil'!G26</f>
        <v>4000</v>
      </c>
      <c r="F26" s="51">
        <f>'Manatee Heavy Oil'!I26+'Martin Heavy Oil'!I26+'Turkey Point Heavy Oil'!H26</f>
        <v>445624.3</v>
      </c>
      <c r="G26" s="52">
        <f t="shared" si="0"/>
        <v>111.406075</v>
      </c>
      <c r="H26" s="51">
        <f>'Manatee Heavy Oil'!K26+'Martin Heavy Oil'!K26+'Turkey Point Heavy Oil'!J26</f>
        <v>25531</v>
      </c>
      <c r="I26" s="51">
        <f>'Manatee Heavy Oil'!L26+'Martin Heavy Oil'!L26+'Turkey Point Heavy Oil'!K26</f>
        <v>2342948.3400000003</v>
      </c>
      <c r="J26" s="53">
        <f t="shared" si="1"/>
        <v>91.768765030746948</v>
      </c>
      <c r="K26" s="51">
        <f>'Manatee Heavy Oil'!N26+'Martin Heavy Oil'!N26+'Turkey Point Heavy Oil'!M26</f>
        <v>2192793</v>
      </c>
      <c r="L26" s="51">
        <f>'Manatee Heavy Oil'!O26+'Martin Heavy Oil'!O26+'Turkey Point Heavy Oil'!N26</f>
        <v>201626214.04000011</v>
      </c>
      <c r="M26" s="52">
        <f t="shared" si="2"/>
        <v>91.949497303211075</v>
      </c>
      <c r="N26" s="54">
        <f t="shared" si="6"/>
        <v>2319860.3846153845</v>
      </c>
      <c r="O26" s="54">
        <f t="shared" si="6"/>
        <v>214847989.12692311</v>
      </c>
      <c r="P26" s="56">
        <f t="shared" si="5"/>
        <v>92.612465194772184</v>
      </c>
      <c r="Q26" s="58">
        <f>'Manatee Heavy Oil'!A26+'Martin Heavy Oil'!A26+'Turkey Point Heavy Oil'!A26+'Heavy Oil Summary'!K26</f>
        <v>2292793</v>
      </c>
    </row>
    <row r="27" spans="1:17">
      <c r="A27" s="49">
        <v>42278</v>
      </c>
      <c r="B27" s="50">
        <f>'Manatee Heavy Oil'!E27+'Martin Heavy Oil'!E27+'Turkey Point Heavy Oil'!D27</f>
        <v>2192793</v>
      </c>
      <c r="C27" s="50">
        <f>'Manatee Heavy Oil'!F27+'Martin Heavy Oil'!F27+'Turkey Point Heavy Oil'!E27</f>
        <v>201626214.04000011</v>
      </c>
      <c r="D27" s="53">
        <f t="shared" si="3"/>
        <v>91.949497303211075</v>
      </c>
      <c r="E27" s="51">
        <f>'Manatee Heavy Oil'!H27+'Martin Heavy Oil'!H27+'Turkey Point Heavy Oil'!G27</f>
        <v>-4000</v>
      </c>
      <c r="F27" s="51">
        <f>'Manatee Heavy Oil'!I27+'Martin Heavy Oil'!I27+'Turkey Point Heavy Oil'!H27</f>
        <v>-363570.71</v>
      </c>
      <c r="G27" s="52">
        <f t="shared" si="0"/>
        <v>90.892677500000005</v>
      </c>
      <c r="H27" s="51">
        <f>'Manatee Heavy Oil'!K27+'Martin Heavy Oil'!K27+'Turkey Point Heavy Oil'!J27</f>
        <v>36710</v>
      </c>
      <c r="I27" s="51">
        <f>'Manatee Heavy Oil'!L27+'Martin Heavy Oil'!L27+'Turkey Point Heavy Oil'!K27</f>
        <v>3383989.1799999997</v>
      </c>
      <c r="J27" s="53">
        <f t="shared" si="1"/>
        <v>92.181672023971657</v>
      </c>
      <c r="K27" s="51">
        <f>'Manatee Heavy Oil'!N27+'Martin Heavy Oil'!N27+'Turkey Point Heavy Oil'!M27</f>
        <v>2152083</v>
      </c>
      <c r="L27" s="51">
        <f>'Manatee Heavy Oil'!O27+'Martin Heavy Oil'!O27+'Turkey Point Heavy Oil'!N27</f>
        <v>197878654.1500001</v>
      </c>
      <c r="M27" s="52">
        <f t="shared" si="2"/>
        <v>91.947501165150271</v>
      </c>
      <c r="N27" s="54">
        <f t="shared" si="6"/>
        <v>2302837.4615384615</v>
      </c>
      <c r="O27" s="54">
        <f t="shared" si="6"/>
        <v>213095424.0769231</v>
      </c>
      <c r="P27" s="56">
        <f t="shared" si="5"/>
        <v>92.536024637431424</v>
      </c>
      <c r="Q27" s="58">
        <f>'Manatee Heavy Oil'!A27+'Martin Heavy Oil'!A27+'Turkey Point Heavy Oil'!A27+'Heavy Oil Summary'!K27</f>
        <v>2252083</v>
      </c>
    </row>
    <row r="28" spans="1:17">
      <c r="A28" s="49">
        <v>42309</v>
      </c>
      <c r="B28" s="50">
        <f>'Manatee Heavy Oil'!E28+'Martin Heavy Oil'!E28+'Turkey Point Heavy Oil'!D28</f>
        <v>2152083</v>
      </c>
      <c r="C28" s="50">
        <f>'Manatee Heavy Oil'!F28+'Martin Heavy Oil'!F28+'Turkey Point Heavy Oil'!E28</f>
        <v>197878654.1500001</v>
      </c>
      <c r="D28" s="53">
        <f t="shared" si="3"/>
        <v>91.947501165150271</v>
      </c>
      <c r="E28" s="51">
        <f>'Manatee Heavy Oil'!H28+'Martin Heavy Oil'!H28+'Turkey Point Heavy Oil'!G28</f>
        <v>0</v>
      </c>
      <c r="F28" s="51">
        <f>'Manatee Heavy Oil'!I28+'Martin Heavy Oil'!I28+'Turkey Point Heavy Oil'!H28</f>
        <v>0</v>
      </c>
      <c r="G28" s="52">
        <f t="shared" si="0"/>
        <v>0</v>
      </c>
      <c r="H28" s="51">
        <f>'Manatee Heavy Oil'!K28+'Martin Heavy Oil'!K28+'Turkey Point Heavy Oil'!J28</f>
        <v>135059</v>
      </c>
      <c r="I28" s="51">
        <f>'Manatee Heavy Oil'!L28+'Martin Heavy Oil'!L28+'Turkey Point Heavy Oil'!K28</f>
        <v>12438541.33</v>
      </c>
      <c r="J28" s="53">
        <f t="shared" si="1"/>
        <v>92.097093344390231</v>
      </c>
      <c r="K28" s="51">
        <f>'Manatee Heavy Oil'!N28+'Martin Heavy Oil'!N28+'Turkey Point Heavy Oil'!M28</f>
        <v>2017024</v>
      </c>
      <c r="L28" s="51">
        <f>'Manatee Heavy Oil'!O28+'Martin Heavy Oil'!O28+'Turkey Point Heavy Oil'!N28</f>
        <v>185440112.82000008</v>
      </c>
      <c r="M28" s="52">
        <f t="shared" si="2"/>
        <v>91.937484541582094</v>
      </c>
      <c r="N28" s="54">
        <f t="shared" si="6"/>
        <v>2275382.4615384615</v>
      </c>
      <c r="O28" s="54">
        <f t="shared" si="6"/>
        <v>210318804.95923084</v>
      </c>
      <c r="P28" s="56">
        <f t="shared" si="5"/>
        <v>92.432287105275179</v>
      </c>
      <c r="Q28" s="58">
        <f>'Manatee Heavy Oil'!A28+'Martin Heavy Oil'!A28+'Turkey Point Heavy Oil'!A28+'Heavy Oil Summary'!K28</f>
        <v>2117024</v>
      </c>
    </row>
    <row r="29" spans="1:17">
      <c r="A29" s="49">
        <v>42339</v>
      </c>
      <c r="B29" s="50">
        <f>'Manatee Heavy Oil'!E29+'Martin Heavy Oil'!E29+'Turkey Point Heavy Oil'!D29</f>
        <v>2017024</v>
      </c>
      <c r="C29" s="50">
        <f>'Manatee Heavy Oil'!F29+'Martin Heavy Oil'!F29+'Turkey Point Heavy Oil'!E29</f>
        <v>185440112.82000008</v>
      </c>
      <c r="D29" s="53">
        <f t="shared" si="3"/>
        <v>91.937484541582094</v>
      </c>
      <c r="E29" s="51">
        <f>'Manatee Heavy Oil'!H29+'Martin Heavy Oil'!H29+'Turkey Point Heavy Oil'!G29</f>
        <v>0</v>
      </c>
      <c r="F29" s="51">
        <f>'Manatee Heavy Oil'!I29+'Martin Heavy Oil'!I29+'Turkey Point Heavy Oil'!H29</f>
        <v>0</v>
      </c>
      <c r="G29" s="52">
        <f t="shared" si="0"/>
        <v>0</v>
      </c>
      <c r="H29" s="51">
        <f>'Manatee Heavy Oil'!K29+'Martin Heavy Oil'!K29+'Turkey Point Heavy Oil'!J29</f>
        <v>1908</v>
      </c>
      <c r="I29" s="51">
        <f>'Manatee Heavy Oil'!L29+'Martin Heavy Oil'!L29+'Turkey Point Heavy Oil'!K29</f>
        <v>175064.56999999998</v>
      </c>
      <c r="J29" s="53">
        <f t="shared" si="1"/>
        <v>91.752919287211725</v>
      </c>
      <c r="K29" s="51">
        <f>'Manatee Heavy Oil'!N29+'Martin Heavy Oil'!N29+'Turkey Point Heavy Oil'!M29</f>
        <v>2015116</v>
      </c>
      <c r="L29" s="51">
        <f>'Manatee Heavy Oil'!O29+'Martin Heavy Oil'!O29+'Turkey Point Heavy Oil'!N29</f>
        <v>185265048.25000009</v>
      </c>
      <c r="M29" s="52">
        <f t="shared" si="2"/>
        <v>91.937659296040565</v>
      </c>
      <c r="N29" s="54">
        <f t="shared" si="6"/>
        <v>2250318.6923076925</v>
      </c>
      <c r="O29" s="54">
        <f t="shared" si="6"/>
        <v>207694338.15230778</v>
      </c>
      <c r="P29" s="56">
        <f t="shared" si="5"/>
        <v>92.295521901974737</v>
      </c>
      <c r="Q29" s="58">
        <f>'Manatee Heavy Oil'!A29+'Martin Heavy Oil'!A29+'Turkey Point Heavy Oil'!A29+'Heavy Oil Summary'!K29</f>
        <v>2115116</v>
      </c>
    </row>
    <row r="30" spans="1:17">
      <c r="A30" s="13">
        <v>42370</v>
      </c>
      <c r="B30" s="16">
        <f>'Manatee Heavy Oil'!E30+'Martin Heavy Oil'!E30+'Turkey Point Heavy Oil'!D30</f>
        <v>2015116</v>
      </c>
      <c r="C30" s="16">
        <f>'Manatee Heavy Oil'!F30+'Martin Heavy Oil'!F30+'Turkey Point Heavy Oil'!E30</f>
        <v>185265048.25000009</v>
      </c>
      <c r="D30" s="14">
        <f t="shared" si="3"/>
        <v>91.937659296040565</v>
      </c>
      <c r="E30" s="46">
        <f>'Manatee Heavy Oil'!H30+'Martin Heavy Oil'!H30+'Turkey Point Heavy Oil'!G30</f>
        <v>0</v>
      </c>
      <c r="F30" s="46">
        <f>'Manatee Heavy Oil'!I30+'Martin Heavy Oil'!I30+'Turkey Point Heavy Oil'!H30</f>
        <v>0</v>
      </c>
      <c r="G30" s="22">
        <f t="shared" si="0"/>
        <v>0</v>
      </c>
      <c r="H30" s="46">
        <f>'Manatee Heavy Oil'!K30+'Martin Heavy Oil'!K30+'Turkey Point Heavy Oil'!J30</f>
        <v>9804.0625</v>
      </c>
      <c r="I30" s="46">
        <f>'Manatee Heavy Oil'!L30+'Martin Heavy Oil'!L30+'Turkey Point Heavy Oil'!K30</f>
        <v>904328.69385992328</v>
      </c>
      <c r="J30" s="14">
        <f t="shared" si="1"/>
        <v>92.240200820825379</v>
      </c>
      <c r="K30" s="46">
        <f>'Manatee Heavy Oil'!N30+'Martin Heavy Oil'!N30+'Turkey Point Heavy Oil'!M30</f>
        <v>2005311.9375</v>
      </c>
      <c r="L30" s="46">
        <f>'Manatee Heavy Oil'!O30+'Martin Heavy Oil'!O30+'Turkey Point Heavy Oil'!N30</f>
        <v>184360719.55614015</v>
      </c>
      <c r="M30" s="22">
        <f t="shared" si="2"/>
        <v>91.936180156579837</v>
      </c>
      <c r="N30" s="31">
        <f t="shared" si="6"/>
        <v>2212830.1490384615</v>
      </c>
      <c r="O30" s="31">
        <f t="shared" si="6"/>
        <v>204133218.63739544</v>
      </c>
      <c r="P30" s="32">
        <f t="shared" si="5"/>
        <v>92.249836132292941</v>
      </c>
      <c r="Q30" s="45">
        <f>'Manatee Heavy Oil'!A30+'Martin Heavy Oil'!A30+'Turkey Point Heavy Oil'!A30+'Heavy Oil Summary'!K30</f>
        <v>2105311.9375</v>
      </c>
    </row>
    <row r="31" spans="1:17">
      <c r="A31" s="13">
        <v>42401</v>
      </c>
      <c r="B31" s="16">
        <f>'Manatee Heavy Oil'!E31+'Martin Heavy Oil'!E31+'Turkey Point Heavy Oil'!D31</f>
        <v>2005311.9375</v>
      </c>
      <c r="C31" s="16">
        <f>'Manatee Heavy Oil'!F31+'Martin Heavy Oil'!F31+'Turkey Point Heavy Oil'!E31</f>
        <v>184360719.55614015</v>
      </c>
      <c r="D31" s="14">
        <f t="shared" si="3"/>
        <v>91.936180156579837</v>
      </c>
      <c r="E31" s="46">
        <f>'Manatee Heavy Oil'!H31+'Martin Heavy Oil'!H31+'Turkey Point Heavy Oil'!G31</f>
        <v>0</v>
      </c>
      <c r="F31" s="46">
        <f>'Manatee Heavy Oil'!I31+'Martin Heavy Oil'!I31+'Turkey Point Heavy Oil'!H31</f>
        <v>0</v>
      </c>
      <c r="G31" s="22">
        <f t="shared" si="0"/>
        <v>0</v>
      </c>
      <c r="H31" s="46">
        <f>'Manatee Heavy Oil'!K31+'Martin Heavy Oil'!K31+'Turkey Point Heavy Oil'!J31</f>
        <v>2521.25</v>
      </c>
      <c r="I31" s="46">
        <f>'Manatee Heavy Oil'!L31+'Martin Heavy Oil'!L31+'Turkey Point Heavy Oil'!K31</f>
        <v>233818.5677500029</v>
      </c>
      <c r="J31" s="14">
        <f t="shared" si="1"/>
        <v>92.739144372832087</v>
      </c>
      <c r="K31" s="46">
        <f>'Manatee Heavy Oil'!N31+'Martin Heavy Oil'!N31+'Turkey Point Heavy Oil'!M31</f>
        <v>2002790.6875</v>
      </c>
      <c r="L31" s="46">
        <f>'Manatee Heavy Oil'!O31+'Martin Heavy Oil'!O31+'Turkey Point Heavy Oil'!N31</f>
        <v>184126900.98839015</v>
      </c>
      <c r="M31" s="22">
        <f t="shared" si="2"/>
        <v>91.935169330264898</v>
      </c>
      <c r="N31" s="31">
        <f t="shared" si="6"/>
        <v>2183052.5865384615</v>
      </c>
      <c r="O31" s="31">
        <f t="shared" si="6"/>
        <v>201253945.53957933</v>
      </c>
      <c r="P31" s="32">
        <f t="shared" si="5"/>
        <v>92.189233910620501</v>
      </c>
      <c r="Q31" s="45">
        <f>'Manatee Heavy Oil'!A31+'Martin Heavy Oil'!A31+'Turkey Point Heavy Oil'!A31+'Heavy Oil Summary'!K31</f>
        <v>2102790.6875</v>
      </c>
    </row>
    <row r="32" spans="1:17">
      <c r="A32" s="13">
        <v>42430</v>
      </c>
      <c r="B32" s="16">
        <f>'Manatee Heavy Oil'!E32+'Martin Heavy Oil'!E32+'Turkey Point Heavy Oil'!D32</f>
        <v>2002790.6875</v>
      </c>
      <c r="C32" s="16">
        <f>'Manatee Heavy Oil'!F32+'Martin Heavy Oil'!F32+'Turkey Point Heavy Oil'!E32</f>
        <v>184126900.98839015</v>
      </c>
      <c r="D32" s="14">
        <f t="shared" si="3"/>
        <v>91.935169330264898</v>
      </c>
      <c r="E32" s="46">
        <f>'Manatee Heavy Oil'!H32+'Martin Heavy Oil'!H32+'Turkey Point Heavy Oil'!G32</f>
        <v>0</v>
      </c>
      <c r="F32" s="46">
        <f>'Manatee Heavy Oil'!I32+'Martin Heavy Oil'!I32+'Turkey Point Heavy Oil'!H32</f>
        <v>0</v>
      </c>
      <c r="G32" s="22">
        <f t="shared" si="0"/>
        <v>0</v>
      </c>
      <c r="H32" s="46">
        <f>'Manatee Heavy Oil'!K32+'Martin Heavy Oil'!K32+'Turkey Point Heavy Oil'!J32</f>
        <v>1880.625</v>
      </c>
      <c r="I32" s="46">
        <f>'Manatee Heavy Oil'!L32+'Martin Heavy Oil'!L32+'Turkey Point Heavy Oil'!K32</f>
        <v>173194.32626670733</v>
      </c>
      <c r="J32" s="14">
        <f t="shared" si="1"/>
        <v>92.094025266444575</v>
      </c>
      <c r="K32" s="46">
        <f>'Manatee Heavy Oil'!N32+'Martin Heavy Oil'!N32+'Turkey Point Heavy Oil'!M32</f>
        <v>2000910.0625</v>
      </c>
      <c r="L32" s="46">
        <f>'Manatee Heavy Oil'!O32+'Martin Heavy Oil'!O32+'Turkey Point Heavy Oil'!N32</f>
        <v>183953706.66212347</v>
      </c>
      <c r="M32" s="22">
        <f t="shared" si="2"/>
        <v>91.935020023981451</v>
      </c>
      <c r="N32" s="31">
        <f t="shared" ref="N32:O42" si="8">AVERAGE(K20:K32)</f>
        <v>2156273.8990384615</v>
      </c>
      <c r="O32" s="31">
        <f t="shared" si="8"/>
        <v>198652058.44897345</v>
      </c>
      <c r="P32" s="32">
        <f t="shared" si="5"/>
        <v>92.127469769753077</v>
      </c>
      <c r="Q32" s="45">
        <f>'Manatee Heavy Oil'!A32+'Martin Heavy Oil'!A32+'Turkey Point Heavy Oil'!A32+'Heavy Oil Summary'!K32</f>
        <v>2100910.0625</v>
      </c>
    </row>
    <row r="33" spans="1:17">
      <c r="A33" s="13">
        <v>42461</v>
      </c>
      <c r="B33" s="16">
        <f>'Manatee Heavy Oil'!E33+'Martin Heavy Oil'!E33+'Turkey Point Heavy Oil'!D33</f>
        <v>2000910.0625</v>
      </c>
      <c r="C33" s="16">
        <f>'Manatee Heavy Oil'!F33+'Martin Heavy Oil'!F33+'Turkey Point Heavy Oil'!E33</f>
        <v>183953706.66212347</v>
      </c>
      <c r="D33" s="14">
        <f t="shared" si="3"/>
        <v>91.935020023981451</v>
      </c>
      <c r="E33" s="46">
        <f>'Manatee Heavy Oil'!H33+'Martin Heavy Oil'!H33+'Turkey Point Heavy Oil'!G33</f>
        <v>0</v>
      </c>
      <c r="F33" s="46">
        <f>'Manatee Heavy Oil'!I33+'Martin Heavy Oil'!I33+'Turkey Point Heavy Oil'!H33</f>
        <v>0</v>
      </c>
      <c r="G33" s="22">
        <f t="shared" si="0"/>
        <v>0</v>
      </c>
      <c r="H33" s="46">
        <f>'Manatee Heavy Oil'!K33+'Martin Heavy Oil'!K33+'Turkey Point Heavy Oil'!J33</f>
        <v>3504.0625</v>
      </c>
      <c r="I33" s="46">
        <f>'Manatee Heavy Oil'!L33+'Martin Heavy Oil'!L33+'Turkey Point Heavy Oil'!K33</f>
        <v>323063.68228976836</v>
      </c>
      <c r="J33" s="14">
        <f t="shared" si="1"/>
        <v>92.196894972554958</v>
      </c>
      <c r="K33" s="46">
        <f>'Manatee Heavy Oil'!N33+'Martin Heavy Oil'!N33+'Turkey Point Heavy Oil'!M33</f>
        <v>1997406</v>
      </c>
      <c r="L33" s="46">
        <f>'Manatee Heavy Oil'!O33+'Martin Heavy Oil'!O33+'Turkey Point Heavy Oil'!N33</f>
        <v>183630642.97983369</v>
      </c>
      <c r="M33" s="22">
        <f t="shared" si="2"/>
        <v>91.934560615034542</v>
      </c>
      <c r="N33" s="31">
        <f t="shared" si="8"/>
        <v>2129228.668269231</v>
      </c>
      <c r="O33" s="31">
        <f t="shared" si="8"/>
        <v>196024406.96126837</v>
      </c>
      <c r="P33" s="32">
        <f t="shared" si="5"/>
        <v>92.063576769614485</v>
      </c>
      <c r="Q33" s="45">
        <f>'Manatee Heavy Oil'!A33+'Martin Heavy Oil'!A33+'Turkey Point Heavy Oil'!A33+'Heavy Oil Summary'!K33</f>
        <v>2097406</v>
      </c>
    </row>
    <row r="34" spans="1:17">
      <c r="A34" s="13">
        <v>42491</v>
      </c>
      <c r="B34" s="16">
        <f>'Manatee Heavy Oil'!E34+'Martin Heavy Oil'!E34+'Turkey Point Heavy Oil'!D34</f>
        <v>1997406</v>
      </c>
      <c r="C34" s="16">
        <f>'Manatee Heavy Oil'!F34+'Martin Heavy Oil'!F34+'Turkey Point Heavy Oil'!E34</f>
        <v>183630642.97983369</v>
      </c>
      <c r="D34" s="14">
        <f t="shared" si="3"/>
        <v>91.934560615034542</v>
      </c>
      <c r="E34" s="46">
        <f>'Manatee Heavy Oil'!H34+'Martin Heavy Oil'!H34+'Turkey Point Heavy Oil'!G34</f>
        <v>0</v>
      </c>
      <c r="F34" s="46">
        <f>'Manatee Heavy Oil'!I34+'Martin Heavy Oil'!I34+'Turkey Point Heavy Oil'!H34</f>
        <v>0</v>
      </c>
      <c r="G34" s="22">
        <f t="shared" si="0"/>
        <v>0</v>
      </c>
      <c r="H34" s="46">
        <f>'Manatee Heavy Oil'!K34+'Martin Heavy Oil'!K34+'Turkey Point Heavy Oil'!J34</f>
        <v>9062.8125</v>
      </c>
      <c r="I34" s="46">
        <f>'Manatee Heavy Oil'!L34+'Martin Heavy Oil'!L34+'Turkey Point Heavy Oil'!K34</f>
        <v>835352.11234931147</v>
      </c>
      <c r="J34" s="14">
        <f t="shared" si="1"/>
        <v>92.173606410737449</v>
      </c>
      <c r="K34" s="46">
        <f>'Manatee Heavy Oil'!N34+'Martin Heavy Oil'!N34+'Turkey Point Heavy Oil'!M34</f>
        <v>1988343.1875</v>
      </c>
      <c r="L34" s="46">
        <f>'Manatee Heavy Oil'!O34+'Martin Heavy Oil'!O34+'Turkey Point Heavy Oil'!N34</f>
        <v>182795290.86748436</v>
      </c>
      <c r="M34" s="22">
        <f t="shared" si="2"/>
        <v>91.933471051000026</v>
      </c>
      <c r="N34" s="31">
        <f t="shared" si="8"/>
        <v>2105051.0673076925</v>
      </c>
      <c r="O34" s="31">
        <f t="shared" si="8"/>
        <v>193660938.79569024</v>
      </c>
      <c r="P34" s="32">
        <f t="shared" si="5"/>
        <v>91.998214106690398</v>
      </c>
      <c r="Q34" s="45">
        <f>'Manatee Heavy Oil'!A34+'Martin Heavy Oil'!A34+'Turkey Point Heavy Oil'!A34+'Heavy Oil Summary'!K34</f>
        <v>2088343.1875</v>
      </c>
    </row>
    <row r="35" spans="1:17">
      <c r="A35" s="13">
        <v>42522</v>
      </c>
      <c r="B35" s="16">
        <f>'Manatee Heavy Oil'!E35+'Martin Heavy Oil'!E35+'Turkey Point Heavy Oil'!D35</f>
        <v>1988343.1875</v>
      </c>
      <c r="C35" s="16">
        <f>'Manatee Heavy Oil'!F35+'Martin Heavy Oil'!F35+'Turkey Point Heavy Oil'!E35</f>
        <v>182795290.86748436</v>
      </c>
      <c r="D35" s="14">
        <f t="shared" si="3"/>
        <v>91.933471051000026</v>
      </c>
      <c r="E35" s="46">
        <f>'Manatee Heavy Oil'!H35+'Martin Heavy Oil'!H35+'Turkey Point Heavy Oil'!G35</f>
        <v>0</v>
      </c>
      <c r="F35" s="46">
        <f>'Manatee Heavy Oil'!I35+'Martin Heavy Oil'!I35+'Turkey Point Heavy Oil'!H35</f>
        <v>0</v>
      </c>
      <c r="G35" s="22">
        <f t="shared" si="0"/>
        <v>0</v>
      </c>
      <c r="H35" s="46">
        <f>'Manatee Heavy Oil'!K35+'Martin Heavy Oil'!K35+'Turkey Point Heavy Oil'!J35</f>
        <v>39616.25</v>
      </c>
      <c r="I35" s="46">
        <f>'Manatee Heavy Oil'!L35+'Martin Heavy Oil'!L35+'Turkey Point Heavy Oil'!K35</f>
        <v>3649227.7244093101</v>
      </c>
      <c r="J35" s="14">
        <f t="shared" si="1"/>
        <v>92.11441578668628</v>
      </c>
      <c r="K35" s="46">
        <f>'Manatee Heavy Oil'!N35+'Martin Heavy Oil'!N35+'Turkey Point Heavy Oil'!M35</f>
        <v>1948726.9375</v>
      </c>
      <c r="L35" s="46">
        <f>'Manatee Heavy Oil'!O35+'Martin Heavy Oil'!O35+'Turkey Point Heavy Oil'!N35</f>
        <v>179146063.14307508</v>
      </c>
      <c r="M35" s="22">
        <f t="shared" si="2"/>
        <v>91.929792571605518</v>
      </c>
      <c r="N35" s="31">
        <f t="shared" si="8"/>
        <v>2079843.2163461538</v>
      </c>
      <c r="O35" s="31">
        <f t="shared" si="8"/>
        <v>191202899.09592673</v>
      </c>
      <c r="P35" s="32">
        <f t="shared" si="5"/>
        <v>91.931400209978293</v>
      </c>
      <c r="Q35" s="45">
        <f>'Manatee Heavy Oil'!A35+'Martin Heavy Oil'!A35+'Turkey Point Heavy Oil'!A35+'Heavy Oil Summary'!K35</f>
        <v>2048726.9375</v>
      </c>
    </row>
    <row r="36" spans="1:17">
      <c r="A36" s="13">
        <v>42552</v>
      </c>
      <c r="B36" s="16">
        <f>'Manatee Heavy Oil'!E36+'Martin Heavy Oil'!E36+'Turkey Point Heavy Oil'!D36</f>
        <v>1948726.9375</v>
      </c>
      <c r="C36" s="16">
        <f>'Manatee Heavy Oil'!F36+'Martin Heavy Oil'!F36+'Turkey Point Heavy Oil'!E36</f>
        <v>179146063.14307508</v>
      </c>
      <c r="D36" s="14">
        <f t="shared" si="3"/>
        <v>91.929792571605518</v>
      </c>
      <c r="E36" s="46">
        <f>'Manatee Heavy Oil'!H36+'Martin Heavy Oil'!H36+'Turkey Point Heavy Oil'!G36</f>
        <v>0</v>
      </c>
      <c r="F36" s="46">
        <f>'Manatee Heavy Oil'!I36+'Martin Heavy Oil'!I36+'Turkey Point Heavy Oil'!H36</f>
        <v>0</v>
      </c>
      <c r="G36" s="22">
        <f t="shared" si="0"/>
        <v>0</v>
      </c>
      <c r="H36" s="46">
        <f>'Manatee Heavy Oil'!K36+'Martin Heavy Oil'!K36+'Turkey Point Heavy Oil'!J36</f>
        <v>63339.84375</v>
      </c>
      <c r="I36" s="46">
        <f>'Manatee Heavy Oil'!L36+'Martin Heavy Oil'!L36+'Turkey Point Heavy Oil'!K36</f>
        <v>5835270.7571365526</v>
      </c>
      <c r="J36" s="14">
        <f t="shared" si="1"/>
        <v>92.126383831449729</v>
      </c>
      <c r="K36" s="46">
        <f>'Manatee Heavy Oil'!N36+'Martin Heavy Oil'!N36+'Turkey Point Heavy Oil'!M36</f>
        <v>1885387.09375</v>
      </c>
      <c r="L36" s="46">
        <f>'Manatee Heavy Oil'!O36+'Martin Heavy Oil'!O36+'Turkey Point Heavy Oil'!N36</f>
        <v>173310792.38593853</v>
      </c>
      <c r="M36" s="22">
        <f t="shared" si="2"/>
        <v>91.923188060668522</v>
      </c>
      <c r="N36" s="31">
        <f t="shared" si="8"/>
        <v>2050599.6850961538</v>
      </c>
      <c r="O36" s="31">
        <f t="shared" si="8"/>
        <v>188516795.63407585</v>
      </c>
      <c r="P36" s="32">
        <f t="shared" si="5"/>
        <v>91.932519547439696</v>
      </c>
      <c r="Q36" s="45">
        <f>'Manatee Heavy Oil'!A36+'Martin Heavy Oil'!A36+'Turkey Point Heavy Oil'!A36+'Heavy Oil Summary'!K36</f>
        <v>1985387.09375</v>
      </c>
    </row>
    <row r="37" spans="1:17">
      <c r="A37" s="13">
        <v>42583</v>
      </c>
      <c r="B37" s="16">
        <f>'Manatee Heavy Oil'!E37+'Martin Heavy Oil'!E37+'Turkey Point Heavy Oil'!D37</f>
        <v>1885387.09375</v>
      </c>
      <c r="C37" s="16">
        <f>'Manatee Heavy Oil'!F37+'Martin Heavy Oil'!F37+'Turkey Point Heavy Oil'!E37</f>
        <v>173310792.38593853</v>
      </c>
      <c r="D37" s="14">
        <f t="shared" si="3"/>
        <v>91.923188060668522</v>
      </c>
      <c r="E37" s="46">
        <f>'Manatee Heavy Oil'!H37+'Martin Heavy Oil'!H37+'Turkey Point Heavy Oil'!G37</f>
        <v>0</v>
      </c>
      <c r="F37" s="46">
        <f>'Manatee Heavy Oil'!I37+'Martin Heavy Oil'!I37+'Turkey Point Heavy Oil'!H37</f>
        <v>0</v>
      </c>
      <c r="G37" s="22">
        <f t="shared" si="0"/>
        <v>0</v>
      </c>
      <c r="H37" s="46">
        <f>'Manatee Heavy Oil'!K37+'Martin Heavy Oil'!K37+'Turkey Point Heavy Oil'!J37</f>
        <v>99130.46875</v>
      </c>
      <c r="I37" s="46">
        <f>'Manatee Heavy Oil'!L37+'Martin Heavy Oil'!L37+'Turkey Point Heavy Oil'!K37</f>
        <v>9137734.1014813073</v>
      </c>
      <c r="J37" s="14">
        <f t="shared" si="1"/>
        <v>92.17886505233848</v>
      </c>
      <c r="K37" s="46">
        <f>'Manatee Heavy Oil'!N37+'Martin Heavy Oil'!N37+'Turkey Point Heavy Oil'!M37</f>
        <v>1786256.625</v>
      </c>
      <c r="L37" s="46">
        <f>'Manatee Heavy Oil'!O37+'Martin Heavy Oil'!O37+'Turkey Point Heavy Oil'!N37</f>
        <v>164173058.28445721</v>
      </c>
      <c r="M37" s="22">
        <f t="shared" si="2"/>
        <v>91.908998957222735</v>
      </c>
      <c r="N37" s="31">
        <f t="shared" si="8"/>
        <v>2015882.5024038462</v>
      </c>
      <c r="O37" s="31">
        <f t="shared" si="8"/>
        <v>185325441.70826483</v>
      </c>
      <c r="P37" s="32">
        <f t="shared" si="5"/>
        <v>91.932660503413686</v>
      </c>
      <c r="Q37" s="45">
        <f>'Manatee Heavy Oil'!A37+'Martin Heavy Oil'!A37+'Turkey Point Heavy Oil'!A37+'Heavy Oil Summary'!K37</f>
        <v>1886256.625</v>
      </c>
    </row>
    <row r="38" spans="1:17">
      <c r="A38" s="13">
        <v>42614</v>
      </c>
      <c r="B38" s="16">
        <f>'Manatee Heavy Oil'!E38+'Martin Heavy Oil'!E38+'Turkey Point Heavy Oil'!D38</f>
        <v>1786256.625</v>
      </c>
      <c r="C38" s="16">
        <f>'Manatee Heavy Oil'!F38+'Martin Heavy Oil'!F38+'Turkey Point Heavy Oil'!E38</f>
        <v>164173058.28445721</v>
      </c>
      <c r="D38" s="14">
        <f t="shared" si="3"/>
        <v>91.908998957222735</v>
      </c>
      <c r="E38" s="46">
        <f>'Manatee Heavy Oil'!H38+'Martin Heavy Oil'!H38+'Turkey Point Heavy Oil'!G38</f>
        <v>0</v>
      </c>
      <c r="F38" s="46">
        <f>'Manatee Heavy Oil'!I38+'Martin Heavy Oil'!I38+'Turkey Point Heavy Oil'!H38</f>
        <v>0</v>
      </c>
      <c r="G38" s="22">
        <f t="shared" si="0"/>
        <v>0</v>
      </c>
      <c r="H38" s="46">
        <f>'Manatee Heavy Oil'!K38+'Martin Heavy Oil'!K38+'Turkey Point Heavy Oil'!J38</f>
        <v>89905.3125</v>
      </c>
      <c r="I38" s="46">
        <f>'Manatee Heavy Oil'!L38+'Martin Heavy Oil'!L38+'Turkey Point Heavy Oil'!K38</f>
        <v>8279543.193717367</v>
      </c>
      <c r="J38" s="14">
        <f t="shared" si="1"/>
        <v>92.091812635848044</v>
      </c>
      <c r="K38" s="46">
        <f>'Manatee Heavy Oil'!N38+'Martin Heavy Oil'!N38+'Turkey Point Heavy Oil'!M38</f>
        <v>1696351.3125</v>
      </c>
      <c r="L38" s="46">
        <f>'Manatee Heavy Oil'!O38+'Martin Heavy Oil'!O38+'Turkey Point Heavy Oil'!N38</f>
        <v>155893515.09073985</v>
      </c>
      <c r="M38" s="22">
        <f t="shared" si="2"/>
        <v>91.899309973116104</v>
      </c>
      <c r="N38" s="31">
        <f t="shared" si="8"/>
        <v>1976038.4495192308</v>
      </c>
      <c r="O38" s="31">
        <f t="shared" si="8"/>
        <v>181661593.78601405</v>
      </c>
      <c r="P38" s="32">
        <f t="shared" si="5"/>
        <v>91.932216111590463</v>
      </c>
      <c r="Q38" s="45">
        <f>'Manatee Heavy Oil'!A38+'Martin Heavy Oil'!A38+'Turkey Point Heavy Oil'!A38+'Heavy Oil Summary'!K38</f>
        <v>1796351.3125</v>
      </c>
    </row>
    <row r="39" spans="1:17">
      <c r="A39" s="13">
        <v>42644</v>
      </c>
      <c r="B39" s="16">
        <f>'Manatee Heavy Oil'!E39+'Martin Heavy Oil'!E39+'Turkey Point Heavy Oil'!D39</f>
        <v>1696351.3125</v>
      </c>
      <c r="C39" s="16">
        <f>'Manatee Heavy Oil'!F39+'Martin Heavy Oil'!F39+'Turkey Point Heavy Oil'!E39</f>
        <v>155893515.09073985</v>
      </c>
      <c r="D39" s="14">
        <f t="shared" si="3"/>
        <v>91.899309973116104</v>
      </c>
      <c r="E39" s="46">
        <f>'Manatee Heavy Oil'!H39+'Martin Heavy Oil'!H39+'Turkey Point Heavy Oil'!G39</f>
        <v>0</v>
      </c>
      <c r="F39" s="46">
        <f>'Manatee Heavy Oil'!I39+'Martin Heavy Oil'!I39+'Turkey Point Heavy Oil'!H39</f>
        <v>0</v>
      </c>
      <c r="G39" s="22">
        <f t="shared" si="0"/>
        <v>0</v>
      </c>
      <c r="H39" s="46">
        <f>'Manatee Heavy Oil'!K39+'Martin Heavy Oil'!K39+'Turkey Point Heavy Oil'!J39</f>
        <v>43357.65625</v>
      </c>
      <c r="I39" s="46">
        <f>'Manatee Heavy Oil'!L39+'Martin Heavy Oil'!L39+'Turkey Point Heavy Oil'!K39</f>
        <v>3992611.9593710094</v>
      </c>
      <c r="J39" s="14">
        <f t="shared" si="1"/>
        <v>92.085511641810882</v>
      </c>
      <c r="K39" s="46">
        <f>'Manatee Heavy Oil'!N39+'Martin Heavy Oil'!N39+'Turkey Point Heavy Oil'!M39</f>
        <v>1652993.65625</v>
      </c>
      <c r="L39" s="46">
        <f>'Manatee Heavy Oil'!O39+'Martin Heavy Oil'!O39+'Turkey Point Heavy Oil'!N39</f>
        <v>151900903.13136882</v>
      </c>
      <c r="M39" s="22">
        <f t="shared" si="2"/>
        <v>91.894425944726805</v>
      </c>
      <c r="N39" s="31">
        <f t="shared" si="8"/>
        <v>1934515.423076923</v>
      </c>
      <c r="O39" s="31">
        <f t="shared" si="8"/>
        <v>177836569.86996549</v>
      </c>
      <c r="P39" s="32">
        <f t="shared" si="5"/>
        <v>91.92822540908432</v>
      </c>
      <c r="Q39" s="45">
        <f>'Manatee Heavy Oil'!A39+'Martin Heavy Oil'!A39+'Turkey Point Heavy Oil'!A39+'Heavy Oil Summary'!K39</f>
        <v>1752993.65625</v>
      </c>
    </row>
    <row r="40" spans="1:17">
      <c r="A40" s="13">
        <v>42675</v>
      </c>
      <c r="B40" s="16">
        <f>'Manatee Heavy Oil'!E40+'Martin Heavy Oil'!E40+'Turkey Point Heavy Oil'!D40</f>
        <v>1652993.65625</v>
      </c>
      <c r="C40" s="16">
        <f>'Manatee Heavy Oil'!F40+'Martin Heavy Oil'!F40+'Turkey Point Heavy Oil'!E40</f>
        <v>151900903.13136882</v>
      </c>
      <c r="D40" s="14">
        <f t="shared" si="3"/>
        <v>91.894425944726805</v>
      </c>
      <c r="E40" s="46">
        <f>'Manatee Heavy Oil'!H40+'Martin Heavy Oil'!H40+'Turkey Point Heavy Oil'!G40</f>
        <v>0</v>
      </c>
      <c r="F40" s="46">
        <f>'Manatee Heavy Oil'!I40+'Martin Heavy Oil'!I40+'Turkey Point Heavy Oil'!H40</f>
        <v>0</v>
      </c>
      <c r="G40" s="22">
        <f t="shared" si="0"/>
        <v>0</v>
      </c>
      <c r="H40" s="46">
        <f>'Manatee Heavy Oil'!K40+'Martin Heavy Oil'!K40+'Turkey Point Heavy Oil'!J40</f>
        <v>44317.5</v>
      </c>
      <c r="I40" s="46">
        <f>'Manatee Heavy Oil'!L40+'Martin Heavy Oil'!L40+'Turkey Point Heavy Oil'!K40</f>
        <v>4066200.8327429416</v>
      </c>
      <c r="J40" s="14">
        <f t="shared" si="1"/>
        <v>91.751584199084817</v>
      </c>
      <c r="K40" s="46">
        <f>'Manatee Heavy Oil'!N40+'Martin Heavy Oil'!N40+'Turkey Point Heavy Oil'!M40</f>
        <v>1608676.15625</v>
      </c>
      <c r="L40" s="46">
        <f>'Manatee Heavy Oil'!O40+'Martin Heavy Oil'!O40+'Turkey Point Heavy Oil'!N40</f>
        <v>147834702.29862589</v>
      </c>
      <c r="M40" s="22">
        <f t="shared" si="2"/>
        <v>91.898361099131805</v>
      </c>
      <c r="N40" s="31">
        <f t="shared" si="8"/>
        <v>1892714.8966346155</v>
      </c>
      <c r="O40" s="31">
        <f t="shared" si="8"/>
        <v>173987035.11216748</v>
      </c>
      <c r="P40" s="32">
        <f t="shared" si="5"/>
        <v>91.924586963165481</v>
      </c>
      <c r="Q40" s="45">
        <f>'Manatee Heavy Oil'!A40+'Martin Heavy Oil'!A40+'Turkey Point Heavy Oil'!A40+'Heavy Oil Summary'!K40</f>
        <v>1708676.15625</v>
      </c>
    </row>
    <row r="41" spans="1:17">
      <c r="A41" s="13">
        <v>42705</v>
      </c>
      <c r="B41" s="16">
        <f>'Manatee Heavy Oil'!E41+'Martin Heavy Oil'!E41+'Turkey Point Heavy Oil'!D41</f>
        <v>1608676.15625</v>
      </c>
      <c r="C41" s="16">
        <f>'Manatee Heavy Oil'!F41+'Martin Heavy Oil'!F41+'Turkey Point Heavy Oil'!E41</f>
        <v>147834702.29862589</v>
      </c>
      <c r="D41" s="14">
        <f t="shared" si="3"/>
        <v>91.898361099131805</v>
      </c>
      <c r="E41" s="46">
        <f>'Manatee Heavy Oil'!H41+'Martin Heavy Oil'!H41+'Turkey Point Heavy Oil'!G41</f>
        <v>875000</v>
      </c>
      <c r="F41" s="46">
        <f>'Manatee Heavy Oil'!I41+'Martin Heavy Oil'!I41+'Turkey Point Heavy Oil'!H41</f>
        <v>40542864.550000012</v>
      </c>
      <c r="G41" s="22">
        <f t="shared" si="0"/>
        <v>46.334702342857156</v>
      </c>
      <c r="H41" s="46">
        <f>'Manatee Heavy Oil'!K41+'Martin Heavy Oil'!K41+'Turkey Point Heavy Oil'!J41</f>
        <v>3595.78125</v>
      </c>
      <c r="I41" s="46">
        <f>'Manatee Heavy Oil'!L41+'Martin Heavy Oil'!L41+'Turkey Point Heavy Oil'!K41</f>
        <v>260350.87636587274</v>
      </c>
      <c r="J41" s="14">
        <f t="shared" si="1"/>
        <v>72.404536946142855</v>
      </c>
      <c r="K41" s="46">
        <f>'Manatee Heavy Oil'!N41+'Martin Heavy Oil'!N41+'Turkey Point Heavy Oil'!M41</f>
        <v>2480080.375</v>
      </c>
      <c r="L41" s="46">
        <f>'Manatee Heavy Oil'!O41+'Martin Heavy Oil'!O41+'Turkey Point Heavy Oil'!N41</f>
        <v>188117215.97226</v>
      </c>
      <c r="M41" s="22">
        <f t="shared" si="2"/>
        <v>75.851257833633724</v>
      </c>
      <c r="N41" s="31">
        <f t="shared" si="8"/>
        <v>1928334.6177884615</v>
      </c>
      <c r="O41" s="31">
        <f t="shared" si="8"/>
        <v>174192966.12387979</v>
      </c>
      <c r="P41" s="32">
        <f t="shared" si="5"/>
        <v>90.333370835636146</v>
      </c>
      <c r="Q41" s="45">
        <f>'Manatee Heavy Oil'!A41+'Martin Heavy Oil'!A41+'Turkey Point Heavy Oil'!A41+'Heavy Oil Summary'!K41</f>
        <v>2580080.375</v>
      </c>
    </row>
    <row r="42" spans="1:17">
      <c r="A42" s="13">
        <v>42736</v>
      </c>
      <c r="B42" s="16">
        <f>'Manatee Heavy Oil'!E42+'Martin Heavy Oil'!E42</f>
        <v>2260180.375</v>
      </c>
      <c r="C42" s="16">
        <f>'Manatee Heavy Oil'!F42+'Martin Heavy Oil'!F42</f>
        <v>167598959.31144941</v>
      </c>
      <c r="D42" s="14">
        <f t="shared" si="3"/>
        <v>75.851257833633724</v>
      </c>
      <c r="E42" s="46">
        <f>'Manatee Heavy Oil'!H42+'Martin Heavy Oil'!H42</f>
        <v>145000</v>
      </c>
      <c r="F42" s="46">
        <f>'Manatee Heavy Oil'!I42+'Martin Heavy Oil'!I42</f>
        <v>6648517.5540000014</v>
      </c>
      <c r="G42" s="22">
        <f t="shared" si="0"/>
        <v>45.851845200000007</v>
      </c>
      <c r="H42" s="46">
        <f>'Manatee Heavy Oil'!K42+'Martin Heavy Oil'!K42</f>
        <v>11082.1875</v>
      </c>
      <c r="I42" s="46">
        <f>'Manatee Heavy Oil'!L42+'Martin Heavy Oil'!L42</f>
        <v>795473.23052447988</v>
      </c>
      <c r="J42" s="14">
        <f t="shared" si="1"/>
        <v>71.779441606134156</v>
      </c>
      <c r="K42" s="46">
        <f>'Manatee Heavy Oil'!N42+'Martin Heavy Oil'!N42</f>
        <v>2394098.1875</v>
      </c>
      <c r="L42" s="46">
        <f>'Manatee Heavy Oil'!O42+'Martin Heavy Oil'!O42</f>
        <v>173452003.63492495</v>
      </c>
      <c r="M42" s="22">
        <f t="shared" si="2"/>
        <v>72.449828724881797</v>
      </c>
      <c r="N42" s="31">
        <f t="shared" si="8"/>
        <v>1957487.09375</v>
      </c>
      <c r="O42" s="31">
        <f t="shared" si="8"/>
        <v>173284270.38425863</v>
      </c>
      <c r="P42" s="32">
        <f t="shared" si="5"/>
        <v>88.523838005130457</v>
      </c>
      <c r="Q42" s="45">
        <f>'Manatee Heavy Oil'!A42+'Martin Heavy Oil'!A42+'Heavy Oil Summary'!K42</f>
        <v>2450098.1875</v>
      </c>
    </row>
    <row r="43" spans="1:17">
      <c r="A43" s="13">
        <v>42767</v>
      </c>
      <c r="B43" s="16">
        <f>'Manatee Heavy Oil'!E43+'Martin Heavy Oil'!E43</f>
        <v>2394098.1875</v>
      </c>
      <c r="C43" s="16">
        <f>'Manatee Heavy Oil'!F43+'Martin Heavy Oil'!F43</f>
        <v>173452003.63492495</v>
      </c>
      <c r="D43" s="14">
        <f t="shared" ref="D43:D89" si="9">M42</f>
        <v>72.449828724881797</v>
      </c>
      <c r="E43" s="46">
        <f>'Manatee Heavy Oil'!H43+'Martin Heavy Oil'!H43</f>
        <v>0</v>
      </c>
      <c r="F43" s="46">
        <f>'Manatee Heavy Oil'!I43+'Martin Heavy Oil'!I43</f>
        <v>0</v>
      </c>
      <c r="G43" s="22">
        <f t="shared" si="0"/>
        <v>0</v>
      </c>
      <c r="H43" s="46">
        <f>'Manatee Heavy Oil'!K43+'Martin Heavy Oil'!K43</f>
        <v>11307.5</v>
      </c>
      <c r="I43" s="46">
        <f>'Manatee Heavy Oil'!L43+'Martin Heavy Oil'!L43</f>
        <v>836690.68716120801</v>
      </c>
      <c r="J43" s="14">
        <f t="shared" ref="J43:J89" si="10">IF(H43=0,0,I43/H43)</f>
        <v>73.994312373310464</v>
      </c>
      <c r="K43" s="46">
        <f>'Manatee Heavy Oil'!N43+'Martin Heavy Oil'!N43</f>
        <v>2382790.6875</v>
      </c>
      <c r="L43" s="46">
        <f>'Manatee Heavy Oil'!O43+'Martin Heavy Oil'!O43</f>
        <v>172615312.94776374</v>
      </c>
      <c r="M43" s="22">
        <f t="shared" ref="M43:M89" si="11">IF(K43=0,0,L43/K43)</f>
        <v>72.442499399252725</v>
      </c>
      <c r="N43" s="55">
        <f t="shared" ref="N43:N89" si="12">AVERAGE(K31:K43)</f>
        <v>1986523.920673077</v>
      </c>
      <c r="O43" s="55">
        <f t="shared" ref="O43:O89" si="13">AVERAGE(L31:L43)</f>
        <v>172380777.56822968</v>
      </c>
      <c r="P43" s="32">
        <f t="shared" ref="P43:P89" si="14">IF(N43=0,0,O43/N43)</f>
        <v>86.775082733372457</v>
      </c>
      <c r="Q43" s="45">
        <f>'Manatee Heavy Oil'!A43+'Martin Heavy Oil'!A43+'Heavy Oil Summary'!K43</f>
        <v>2438790.6875</v>
      </c>
    </row>
    <row r="44" spans="1:17">
      <c r="A44" s="13">
        <v>42795</v>
      </c>
      <c r="B44" s="16">
        <f>'Manatee Heavy Oil'!E44+'Martin Heavy Oil'!E44</f>
        <v>2382790.6875</v>
      </c>
      <c r="C44" s="16">
        <f>'Manatee Heavy Oil'!F44+'Martin Heavy Oil'!F44</f>
        <v>172615312.94776374</v>
      </c>
      <c r="D44" s="14">
        <f t="shared" si="9"/>
        <v>72.442499399252725</v>
      </c>
      <c r="E44" s="46">
        <f>'Manatee Heavy Oil'!H44+'Martin Heavy Oil'!H44</f>
        <v>0</v>
      </c>
      <c r="F44" s="46">
        <f>'Manatee Heavy Oil'!I44+'Martin Heavy Oil'!I44</f>
        <v>0</v>
      </c>
      <c r="G44" s="22">
        <f t="shared" si="0"/>
        <v>0</v>
      </c>
      <c r="H44" s="46">
        <f>'Manatee Heavy Oil'!K44+'Martin Heavy Oil'!K44</f>
        <v>133128.4375</v>
      </c>
      <c r="I44" s="46">
        <f>'Manatee Heavy Oil'!L44+'Martin Heavy Oil'!L44</f>
        <v>9680937.2336250432</v>
      </c>
      <c r="J44" s="14">
        <f t="shared" si="10"/>
        <v>72.718777561143114</v>
      </c>
      <c r="K44" s="46">
        <f>'Manatee Heavy Oil'!N44+'Martin Heavy Oil'!N44</f>
        <v>2249662.25</v>
      </c>
      <c r="L44" s="46">
        <f>'Manatee Heavy Oil'!O44+'Martin Heavy Oil'!O44</f>
        <v>162934375.71413869</v>
      </c>
      <c r="M44" s="22">
        <f t="shared" si="11"/>
        <v>72.426150065032516</v>
      </c>
      <c r="N44" s="55">
        <f t="shared" si="12"/>
        <v>2005514.0408653845</v>
      </c>
      <c r="O44" s="55">
        <f t="shared" si="13"/>
        <v>170750583.31636417</v>
      </c>
      <c r="P44" s="32">
        <f t="shared" si="14"/>
        <v>85.140557401774586</v>
      </c>
      <c r="Q44" s="45">
        <f>'Manatee Heavy Oil'!A44+'Martin Heavy Oil'!A44+'Heavy Oil Summary'!K44</f>
        <v>2305662.25</v>
      </c>
    </row>
    <row r="45" spans="1:17">
      <c r="A45" s="13">
        <v>42826</v>
      </c>
      <c r="B45" s="16">
        <f>'Manatee Heavy Oil'!E45+'Martin Heavy Oil'!E45</f>
        <v>2249662.25</v>
      </c>
      <c r="C45" s="16">
        <f>'Manatee Heavy Oil'!F45+'Martin Heavy Oil'!F45</f>
        <v>162934375.71413869</v>
      </c>
      <c r="D45" s="14">
        <f t="shared" si="9"/>
        <v>72.426150065032516</v>
      </c>
      <c r="E45" s="46">
        <f>'Manatee Heavy Oil'!H45+'Martin Heavy Oil'!H45</f>
        <v>145000</v>
      </c>
      <c r="F45" s="46">
        <f>'Manatee Heavy Oil'!I45+'Martin Heavy Oil'!I45</f>
        <v>6844267.5540000014</v>
      </c>
      <c r="G45" s="22">
        <f t="shared" si="0"/>
        <v>47.201845200000008</v>
      </c>
      <c r="H45" s="46">
        <f>'Manatee Heavy Oil'!K45+'Martin Heavy Oil'!K45</f>
        <v>101247.34375</v>
      </c>
      <c r="I45" s="46">
        <f>'Manatee Heavy Oil'!L45+'Martin Heavy Oil'!L45</f>
        <v>7132276.8421550086</v>
      </c>
      <c r="J45" s="14">
        <f t="shared" si="10"/>
        <v>70.444088486568404</v>
      </c>
      <c r="K45" s="46">
        <f>'Manatee Heavy Oil'!N45+'Martin Heavy Oil'!N45</f>
        <v>2293414.90625</v>
      </c>
      <c r="L45" s="46">
        <f>'Manatee Heavy Oil'!O45+'Martin Heavy Oil'!O45</f>
        <v>162646366.42598367</v>
      </c>
      <c r="M45" s="22">
        <f t="shared" si="11"/>
        <v>70.918858154597672</v>
      </c>
      <c r="N45" s="55">
        <f t="shared" si="12"/>
        <v>2028014.4134615385</v>
      </c>
      <c r="O45" s="55">
        <f t="shared" si="13"/>
        <v>169111557.14435342</v>
      </c>
      <c r="P45" s="32">
        <f t="shared" si="14"/>
        <v>83.387749131281325</v>
      </c>
      <c r="Q45" s="45">
        <f>'Manatee Heavy Oil'!A45+'Martin Heavy Oil'!A45+'Heavy Oil Summary'!K45</f>
        <v>2349414.90625</v>
      </c>
    </row>
    <row r="46" spans="1:17">
      <c r="A46" s="13">
        <v>42856</v>
      </c>
      <c r="B46" s="16">
        <f>'Manatee Heavy Oil'!E46+'Martin Heavy Oil'!E46</f>
        <v>2293414.90625</v>
      </c>
      <c r="C46" s="16">
        <f>'Manatee Heavy Oil'!F46+'Martin Heavy Oil'!F46</f>
        <v>162646366.42598367</v>
      </c>
      <c r="D46" s="14">
        <f t="shared" si="9"/>
        <v>70.918858154597672</v>
      </c>
      <c r="E46" s="46">
        <f>'Manatee Heavy Oil'!H46+'Martin Heavy Oil'!H46</f>
        <v>110000</v>
      </c>
      <c r="F46" s="46">
        <f>'Manatee Heavy Oil'!I46+'Martin Heavy Oil'!I46</f>
        <v>5478694.3423555326</v>
      </c>
      <c r="G46" s="22">
        <f t="shared" si="0"/>
        <v>49.806312203232117</v>
      </c>
      <c r="H46" s="46">
        <f>'Manatee Heavy Oil'!K46+'Martin Heavy Oil'!K46</f>
        <v>84926.875</v>
      </c>
      <c r="I46" s="46">
        <f>'Manatee Heavy Oil'!L46+'Martin Heavy Oil'!L46</f>
        <v>5823376.463665559</v>
      </c>
      <c r="J46" s="14">
        <f t="shared" si="10"/>
        <v>68.569301103632498</v>
      </c>
      <c r="K46" s="46">
        <f>'Manatee Heavy Oil'!N46+'Martin Heavy Oil'!N46</f>
        <v>2318488.03125</v>
      </c>
      <c r="L46" s="46">
        <f>'Manatee Heavy Oil'!O46+'Martin Heavy Oil'!O46</f>
        <v>162301684.30467367</v>
      </c>
      <c r="M46" s="22">
        <f t="shared" si="11"/>
        <v>70.003244406299402</v>
      </c>
      <c r="N46" s="55">
        <f t="shared" si="12"/>
        <v>2052713.03125</v>
      </c>
      <c r="O46" s="55">
        <f t="shared" si="13"/>
        <v>167470868.01549494</v>
      </c>
      <c r="P46" s="32">
        <f t="shared" si="14"/>
        <v>81.585134144889963</v>
      </c>
      <c r="Q46" s="45">
        <f>'Manatee Heavy Oil'!A46+'Martin Heavy Oil'!A46+'Heavy Oil Summary'!K46</f>
        <v>2374488.03125</v>
      </c>
    </row>
    <row r="47" spans="1:17">
      <c r="A47" s="13">
        <v>42887</v>
      </c>
      <c r="B47" s="16">
        <f>'Manatee Heavy Oil'!E47+'Martin Heavy Oil'!E47</f>
        <v>2318488.03125</v>
      </c>
      <c r="C47" s="16">
        <f>'Manatee Heavy Oil'!F47+'Martin Heavy Oil'!F47</f>
        <v>162301684.30467367</v>
      </c>
      <c r="D47" s="14">
        <f t="shared" si="9"/>
        <v>70.003244406299402</v>
      </c>
      <c r="E47" s="46">
        <f>'Manatee Heavy Oil'!H47+'Martin Heavy Oil'!H47</f>
        <v>145000</v>
      </c>
      <c r="F47" s="46">
        <f>'Manatee Heavy Oil'!I47+'Martin Heavy Oil'!I47</f>
        <v>7004415.2694686567</v>
      </c>
      <c r="G47" s="22">
        <f t="shared" si="0"/>
        <v>48.306312203232117</v>
      </c>
      <c r="H47" s="46">
        <f>'Manatee Heavy Oil'!K47+'Martin Heavy Oil'!K47</f>
        <v>138749.375</v>
      </c>
      <c r="I47" s="46">
        <f>'Manatee Heavy Oil'!L47+'Martin Heavy Oil'!L47</f>
        <v>9353232.1456844099</v>
      </c>
      <c r="J47" s="14">
        <f t="shared" si="10"/>
        <v>67.410985784147925</v>
      </c>
      <c r="K47" s="46">
        <f>'Manatee Heavy Oil'!N47+'Martin Heavy Oil'!N47</f>
        <v>2324738.65625</v>
      </c>
      <c r="L47" s="46">
        <f>'Manatee Heavy Oil'!O47+'Martin Heavy Oil'!O47</f>
        <v>159952867.42845792</v>
      </c>
      <c r="M47" s="22">
        <f t="shared" si="11"/>
        <v>68.804666278692764</v>
      </c>
      <c r="N47" s="55">
        <f t="shared" si="12"/>
        <v>2078589.6057692308</v>
      </c>
      <c r="O47" s="55">
        <f t="shared" si="13"/>
        <v>165713758.5201852</v>
      </c>
      <c r="P47" s="32">
        <f t="shared" si="14"/>
        <v>79.72413508671373</v>
      </c>
      <c r="Q47" s="45">
        <f>'Manatee Heavy Oil'!A47+'Martin Heavy Oil'!A47+'Heavy Oil Summary'!K47</f>
        <v>2380738.65625</v>
      </c>
    </row>
    <row r="48" spans="1:17">
      <c r="A48" s="13">
        <v>42917</v>
      </c>
      <c r="B48" s="16">
        <f>'Manatee Heavy Oil'!E48+'Martin Heavy Oil'!E48</f>
        <v>2324738.65625</v>
      </c>
      <c r="C48" s="16">
        <f>'Manatee Heavy Oil'!F48+'Martin Heavy Oil'!F48</f>
        <v>159952867.42845792</v>
      </c>
      <c r="D48" s="14">
        <f t="shared" si="9"/>
        <v>68.804666278692764</v>
      </c>
      <c r="E48" s="46">
        <f>'Manatee Heavy Oil'!H48+'Martin Heavy Oil'!H48</f>
        <v>145000</v>
      </c>
      <c r="F48" s="46">
        <f>'Manatee Heavy Oil'!I48+'Martin Heavy Oil'!I48</f>
        <v>7076915.2694686567</v>
      </c>
      <c r="G48" s="22">
        <f t="shared" si="0"/>
        <v>48.806312203232117</v>
      </c>
      <c r="H48" s="46">
        <f>'Manatee Heavy Oil'!K48+'Martin Heavy Oil'!K48</f>
        <v>135607.03125</v>
      </c>
      <c r="I48" s="46">
        <f>'Manatee Heavy Oil'!L48+'Martin Heavy Oil'!L48</f>
        <v>8850939.0078271702</v>
      </c>
      <c r="J48" s="14">
        <f t="shared" si="10"/>
        <v>65.269027175367583</v>
      </c>
      <c r="K48" s="46">
        <f>'Manatee Heavy Oil'!N48+'Martin Heavy Oil'!N48</f>
        <v>2334131.625</v>
      </c>
      <c r="L48" s="46">
        <f>'Manatee Heavy Oil'!O48+'Martin Heavy Oil'!O48</f>
        <v>158178843.69009936</v>
      </c>
      <c r="M48" s="22">
        <f t="shared" si="11"/>
        <v>67.767747969268598</v>
      </c>
      <c r="N48" s="55">
        <f t="shared" si="12"/>
        <v>2108236.1201923075</v>
      </c>
      <c r="O48" s="55">
        <f t="shared" si="13"/>
        <v>164100895.48534095</v>
      </c>
      <c r="P48" s="32">
        <f t="shared" si="14"/>
        <v>77.838005863580463</v>
      </c>
      <c r="Q48" s="45">
        <f>'Manatee Heavy Oil'!A48+'Martin Heavy Oil'!A48+'Heavy Oil Summary'!K48</f>
        <v>2390131.625</v>
      </c>
    </row>
    <row r="49" spans="1:17">
      <c r="A49" s="13">
        <v>42948</v>
      </c>
      <c r="B49" s="16">
        <f>'Manatee Heavy Oil'!E49+'Martin Heavy Oil'!E49</f>
        <v>2334131.625</v>
      </c>
      <c r="C49" s="16">
        <f>'Manatee Heavy Oil'!F49+'Martin Heavy Oil'!F49</f>
        <v>158178843.69009936</v>
      </c>
      <c r="D49" s="14">
        <f t="shared" si="9"/>
        <v>67.767747969268598</v>
      </c>
      <c r="E49" s="46">
        <f>'Manatee Heavy Oil'!H49+'Martin Heavy Oil'!H49</f>
        <v>110000</v>
      </c>
      <c r="F49" s="46">
        <f>'Manatee Heavy Oil'!I49+'Martin Heavy Oil'!I49</f>
        <v>5643694.3423555335</v>
      </c>
      <c r="G49" s="22">
        <f t="shared" si="0"/>
        <v>51.306312203232125</v>
      </c>
      <c r="H49" s="46">
        <f>'Manatee Heavy Oil'!K49+'Martin Heavy Oil'!K49</f>
        <v>115393.125</v>
      </c>
      <c r="I49" s="46">
        <f>'Manatee Heavy Oil'!L49+'Martin Heavy Oil'!L49</f>
        <v>7546520.797552174</v>
      </c>
      <c r="J49" s="14">
        <f t="shared" si="10"/>
        <v>65.398357116614818</v>
      </c>
      <c r="K49" s="46">
        <f>'Manatee Heavy Oil'!N49+'Martin Heavy Oil'!N49</f>
        <v>2328738.5</v>
      </c>
      <c r="L49" s="46">
        <f>'Manatee Heavy Oil'!O49+'Martin Heavy Oil'!O49</f>
        <v>156276017.23490274</v>
      </c>
      <c r="M49" s="22">
        <f t="shared" si="11"/>
        <v>67.107585173218354</v>
      </c>
      <c r="N49" s="55">
        <f t="shared" si="12"/>
        <v>2142340.074519231</v>
      </c>
      <c r="O49" s="55">
        <f t="shared" si="13"/>
        <v>162790528.16603053</v>
      </c>
      <c r="P49" s="32">
        <f t="shared" si="14"/>
        <v>75.9872487576758</v>
      </c>
      <c r="Q49" s="45">
        <f>'Manatee Heavy Oil'!A49+'Martin Heavy Oil'!A49+'Heavy Oil Summary'!K49</f>
        <v>2384738.5</v>
      </c>
    </row>
    <row r="50" spans="1:17">
      <c r="A50" s="13">
        <v>42979</v>
      </c>
      <c r="B50" s="16">
        <f>'Manatee Heavy Oil'!E50+'Martin Heavy Oil'!E50</f>
        <v>2328738.5</v>
      </c>
      <c r="C50" s="16">
        <f>'Manatee Heavy Oil'!F50+'Martin Heavy Oil'!F50</f>
        <v>156276017.23490274</v>
      </c>
      <c r="D50" s="14">
        <f t="shared" si="9"/>
        <v>67.107585173218354</v>
      </c>
      <c r="E50" s="46">
        <f>'Manatee Heavy Oil'!H50+'Martin Heavy Oil'!H50</f>
        <v>145000</v>
      </c>
      <c r="F50" s="46">
        <f>'Manatee Heavy Oil'!I50+'Martin Heavy Oil'!I50</f>
        <v>7221915.2694686567</v>
      </c>
      <c r="G50" s="22">
        <f t="shared" si="0"/>
        <v>49.806312203232117</v>
      </c>
      <c r="H50" s="46">
        <f>'Manatee Heavy Oil'!K50+'Martin Heavy Oil'!K50</f>
        <v>139202.8125</v>
      </c>
      <c r="I50" s="46">
        <f>'Manatee Heavy Oil'!L50+'Martin Heavy Oil'!L50</f>
        <v>9020340.7078969423</v>
      </c>
      <c r="J50" s="14">
        <f t="shared" si="10"/>
        <v>64.799988921897267</v>
      </c>
      <c r="K50" s="46">
        <f>'Manatee Heavy Oil'!N50+'Martin Heavy Oil'!N50</f>
        <v>2334535.6875</v>
      </c>
      <c r="L50" s="46">
        <f>'Manatee Heavy Oil'!O50+'Martin Heavy Oil'!O50</f>
        <v>154477591.79647443</v>
      </c>
      <c r="M50" s="22">
        <f t="shared" si="11"/>
        <v>66.170584850600804</v>
      </c>
      <c r="N50" s="55">
        <f t="shared" si="12"/>
        <v>2184515.387019231</v>
      </c>
      <c r="O50" s="55">
        <f t="shared" si="13"/>
        <v>162044723.0515703</v>
      </c>
      <c r="P50" s="32">
        <f t="shared" si="14"/>
        <v>74.17879682352806</v>
      </c>
      <c r="Q50" s="45">
        <f>'Manatee Heavy Oil'!A50+'Martin Heavy Oil'!A50+'Heavy Oil Summary'!K50</f>
        <v>2390535.6875</v>
      </c>
    </row>
    <row r="51" spans="1:17">
      <c r="A51" s="13">
        <v>43009</v>
      </c>
      <c r="B51" s="16">
        <f>'Manatee Heavy Oil'!E51+'Martin Heavy Oil'!E51</f>
        <v>2334535.6875</v>
      </c>
      <c r="C51" s="16">
        <f>'Manatee Heavy Oil'!F51+'Martin Heavy Oil'!F51</f>
        <v>154477591.79647443</v>
      </c>
      <c r="D51" s="14">
        <f t="shared" si="9"/>
        <v>66.170584850600804</v>
      </c>
      <c r="E51" s="46">
        <f>'Manatee Heavy Oil'!H51+'Martin Heavy Oil'!H51</f>
        <v>0</v>
      </c>
      <c r="F51" s="46">
        <f>'Manatee Heavy Oil'!I51+'Martin Heavy Oil'!I51</f>
        <v>0</v>
      </c>
      <c r="G51" s="22">
        <f t="shared" si="0"/>
        <v>0</v>
      </c>
      <c r="H51" s="46">
        <f>'Manatee Heavy Oil'!K51+'Martin Heavy Oil'!K51</f>
        <v>115865.46875</v>
      </c>
      <c r="I51" s="46">
        <f>'Manatee Heavy Oil'!L51+'Martin Heavy Oil'!L51</f>
        <v>7465822.347268994</v>
      </c>
      <c r="J51" s="14">
        <f t="shared" si="10"/>
        <v>64.435266415551382</v>
      </c>
      <c r="K51" s="46">
        <f>'Manatee Heavy Oil'!N51+'Martin Heavy Oil'!N51</f>
        <v>2218670.21875</v>
      </c>
      <c r="L51" s="46">
        <f>'Manatee Heavy Oil'!O51+'Martin Heavy Oil'!O51</f>
        <v>147011769.44920546</v>
      </c>
      <c r="M51" s="22">
        <f t="shared" si="11"/>
        <v>66.261208270975928</v>
      </c>
      <c r="N51" s="55">
        <f t="shared" si="12"/>
        <v>2224693.764423077</v>
      </c>
      <c r="O51" s="55">
        <f t="shared" si="13"/>
        <v>161361511.84837535</v>
      </c>
      <c r="P51" s="32">
        <f t="shared" si="14"/>
        <v>72.532010665396342</v>
      </c>
      <c r="Q51" s="45">
        <f>'Manatee Heavy Oil'!A51+'Martin Heavy Oil'!A51+'Heavy Oil Summary'!K51</f>
        <v>2274670.21875</v>
      </c>
    </row>
    <row r="52" spans="1:17">
      <c r="A52" s="13">
        <v>43040</v>
      </c>
      <c r="B52" s="16">
        <f>'Manatee Heavy Oil'!E52+'Martin Heavy Oil'!E52</f>
        <v>2218670.21875</v>
      </c>
      <c r="C52" s="16">
        <f>'Manatee Heavy Oil'!F52+'Martin Heavy Oil'!F52</f>
        <v>147011769.44920546</v>
      </c>
      <c r="D52" s="14">
        <f t="shared" si="9"/>
        <v>66.261208270975928</v>
      </c>
      <c r="E52" s="46">
        <f>'Manatee Heavy Oil'!H52+'Martin Heavy Oil'!H52</f>
        <v>145000</v>
      </c>
      <c r="F52" s="46">
        <f>'Manatee Heavy Oil'!I52+'Martin Heavy Oil'!I52</f>
        <v>7351767.5540000014</v>
      </c>
      <c r="G52" s="22">
        <f t="shared" si="0"/>
        <v>50.701845200000008</v>
      </c>
      <c r="H52" s="46">
        <f>'Manatee Heavy Oil'!K52+'Martin Heavy Oil'!K52</f>
        <v>32486.5625</v>
      </c>
      <c r="I52" s="46">
        <f>'Manatee Heavy Oil'!L52+'Martin Heavy Oil'!L52</f>
        <v>2038127.4090221217</v>
      </c>
      <c r="J52" s="14">
        <f t="shared" si="10"/>
        <v>62.737552150127357</v>
      </c>
      <c r="K52" s="46">
        <f>'Manatee Heavy Oil'!N52+'Martin Heavy Oil'!N52</f>
        <v>2331183.65625</v>
      </c>
      <c r="L52" s="46">
        <f>'Manatee Heavy Oil'!O52+'Martin Heavy Oil'!O52</f>
        <v>152325409.59418333</v>
      </c>
      <c r="M52" s="22">
        <f t="shared" si="11"/>
        <v>65.342517817415455</v>
      </c>
      <c r="N52" s="55">
        <f t="shared" si="12"/>
        <v>2276862.2259615385</v>
      </c>
      <c r="O52" s="55">
        <f t="shared" si="13"/>
        <v>161394166.19166878</v>
      </c>
      <c r="P52" s="32">
        <f t="shared" si="14"/>
        <v>70.88446738296193</v>
      </c>
      <c r="Q52" s="45">
        <f>'Manatee Heavy Oil'!A52+'Martin Heavy Oil'!A52+'Heavy Oil Summary'!K52</f>
        <v>2387183.65625</v>
      </c>
    </row>
    <row r="53" spans="1:17">
      <c r="A53" s="13">
        <v>43070</v>
      </c>
      <c r="B53" s="16">
        <f>'Manatee Heavy Oil'!E53+'Martin Heavy Oil'!E53</f>
        <v>2331183.65625</v>
      </c>
      <c r="C53" s="16">
        <f>'Manatee Heavy Oil'!F53+'Martin Heavy Oil'!F53</f>
        <v>152325409.59418333</v>
      </c>
      <c r="D53" s="14">
        <f t="shared" si="9"/>
        <v>65.342517817415455</v>
      </c>
      <c r="E53" s="46">
        <f>'Manatee Heavy Oil'!H53+'Martin Heavy Oil'!H53</f>
        <v>0</v>
      </c>
      <c r="F53" s="46">
        <f>'Manatee Heavy Oil'!I53+'Martin Heavy Oil'!I53</f>
        <v>0</v>
      </c>
      <c r="G53" s="22">
        <f t="shared" si="0"/>
        <v>0</v>
      </c>
      <c r="H53" s="46">
        <f>'Manatee Heavy Oil'!K53+'Martin Heavy Oil'!K53</f>
        <v>8196.09375</v>
      </c>
      <c r="I53" s="46">
        <f>'Manatee Heavy Oil'!L53+'Martin Heavy Oil'!L53</f>
        <v>514616.84432137624</v>
      </c>
      <c r="J53" s="14">
        <f t="shared" si="10"/>
        <v>62.788062218221484</v>
      </c>
      <c r="K53" s="46">
        <f>'Manatee Heavy Oil'!N53+'Martin Heavy Oil'!N53</f>
        <v>2322987.5625</v>
      </c>
      <c r="L53" s="46">
        <f>'Manatee Heavy Oil'!O53+'Martin Heavy Oil'!O53</f>
        <v>151810792.74986196</v>
      </c>
      <c r="M53" s="22">
        <f t="shared" si="11"/>
        <v>65.351530589549569</v>
      </c>
      <c r="N53" s="55">
        <f t="shared" si="12"/>
        <v>2331809.2572115385</v>
      </c>
      <c r="O53" s="55">
        <f t="shared" si="13"/>
        <v>161700019.30330232</v>
      </c>
      <c r="P53" s="32">
        <f t="shared" si="14"/>
        <v>69.345302924420594</v>
      </c>
      <c r="Q53" s="45">
        <f>'Manatee Heavy Oil'!A53+'Martin Heavy Oil'!A53+'Heavy Oil Summary'!K53</f>
        <v>2378987.5625</v>
      </c>
    </row>
    <row r="54" spans="1:17">
      <c r="A54" s="13">
        <v>43101</v>
      </c>
      <c r="B54" s="16">
        <f>'Manatee Heavy Oil'!E54+'Martin Heavy Oil'!E54</f>
        <v>2322987.5625</v>
      </c>
      <c r="C54" s="16">
        <f>'Manatee Heavy Oil'!F54+'Martin Heavy Oil'!F54</f>
        <v>151810792.74986196</v>
      </c>
      <c r="D54" s="14">
        <f t="shared" si="9"/>
        <v>65.351530589549569</v>
      </c>
      <c r="E54" s="46">
        <f>'Manatee Heavy Oil'!H54+'Martin Heavy Oil'!H54</f>
        <v>0</v>
      </c>
      <c r="F54" s="46">
        <f>'Manatee Heavy Oil'!I54+'Martin Heavy Oil'!I54</f>
        <v>0</v>
      </c>
      <c r="G54" s="22">
        <f t="shared" si="0"/>
        <v>0</v>
      </c>
      <c r="H54" s="46">
        <f>'Manatee Heavy Oil'!K54+'Martin Heavy Oil'!K54</f>
        <v>2013.59375</v>
      </c>
      <c r="I54" s="46">
        <f>'Manatee Heavy Oil'!L54+'Martin Heavy Oil'!L54</f>
        <v>136539.64258690222</v>
      </c>
      <c r="J54" s="14">
        <f t="shared" si="10"/>
        <v>67.808932455666508</v>
      </c>
      <c r="K54" s="46">
        <f>'Manatee Heavy Oil'!N54+'Martin Heavy Oil'!N54</f>
        <v>2320973.96875</v>
      </c>
      <c r="L54" s="46">
        <f>'Manatee Heavy Oil'!O54+'Martin Heavy Oil'!O54</f>
        <v>151674253.10727507</v>
      </c>
      <c r="M54" s="22">
        <f t="shared" si="11"/>
        <v>65.349398635850193</v>
      </c>
      <c r="N54" s="55">
        <f t="shared" si="12"/>
        <v>2319570.3028846155</v>
      </c>
      <c r="O54" s="55">
        <f t="shared" si="13"/>
        <v>158896714.46753424</v>
      </c>
      <c r="P54" s="32">
        <f t="shared" si="14"/>
        <v>68.502650801284375</v>
      </c>
      <c r="Q54" s="45">
        <f>'Manatee Heavy Oil'!A54+'Martin Heavy Oil'!A54+'Heavy Oil Summary'!K54</f>
        <v>2376973.96875</v>
      </c>
    </row>
    <row r="55" spans="1:17">
      <c r="A55" s="13">
        <v>43132</v>
      </c>
      <c r="B55" s="16">
        <f>'Manatee Heavy Oil'!E55+'Martin Heavy Oil'!E55</f>
        <v>2320973.96875</v>
      </c>
      <c r="C55" s="16">
        <f>'Manatee Heavy Oil'!F55+'Martin Heavy Oil'!F55</f>
        <v>151674253.10727507</v>
      </c>
      <c r="D55" s="14">
        <f t="shared" si="9"/>
        <v>65.349398635850193</v>
      </c>
      <c r="E55" s="46">
        <f>'Manatee Heavy Oil'!H55+'Martin Heavy Oil'!H55</f>
        <v>110000</v>
      </c>
      <c r="F55" s="46">
        <f>'Manatee Heavy Oil'!I55+'Martin Heavy Oil'!I55</f>
        <v>5707002.9720000001</v>
      </c>
      <c r="G55" s="22">
        <f t="shared" si="0"/>
        <v>51.881845200000001</v>
      </c>
      <c r="H55" s="46">
        <f>'Manatee Heavy Oil'!K55+'Martin Heavy Oil'!K55</f>
        <v>60469.375</v>
      </c>
      <c r="I55" s="46">
        <f>'Manatee Heavy Oil'!L55+'Martin Heavy Oil'!L55</f>
        <v>3877710.150661909</v>
      </c>
      <c r="J55" s="14">
        <f t="shared" si="10"/>
        <v>64.126843557782905</v>
      </c>
      <c r="K55" s="46">
        <f>'Manatee Heavy Oil'!N55+'Martin Heavy Oil'!N55</f>
        <v>2370504.59375</v>
      </c>
      <c r="L55" s="46">
        <f>'Manatee Heavy Oil'!O55+'Martin Heavy Oil'!O55</f>
        <v>153503545.92861316</v>
      </c>
      <c r="M55" s="22">
        <f t="shared" si="11"/>
        <v>64.755641618808042</v>
      </c>
      <c r="N55" s="55">
        <f t="shared" si="12"/>
        <v>2317755.4110576925</v>
      </c>
      <c r="O55" s="55">
        <f t="shared" si="13"/>
        <v>157362217.72089487</v>
      </c>
      <c r="P55" s="32">
        <f t="shared" si="14"/>
        <v>67.894229464481612</v>
      </c>
      <c r="Q55" s="45">
        <f>'Manatee Heavy Oil'!A55+'Martin Heavy Oil'!A55+'Heavy Oil Summary'!K55</f>
        <v>2426504.59375</v>
      </c>
    </row>
    <row r="56" spans="1:17">
      <c r="A56" s="13">
        <v>43160</v>
      </c>
      <c r="B56" s="16">
        <f>'Manatee Heavy Oil'!E56+'Martin Heavy Oil'!E56</f>
        <v>2370504.59375</v>
      </c>
      <c r="C56" s="16">
        <f>'Manatee Heavy Oil'!F56+'Martin Heavy Oil'!F56</f>
        <v>153503545.92861316</v>
      </c>
      <c r="D56" s="14">
        <f t="shared" si="9"/>
        <v>64.755641618808042</v>
      </c>
      <c r="E56" s="46">
        <f>'Manatee Heavy Oil'!H56+'Martin Heavy Oil'!H56</f>
        <v>0</v>
      </c>
      <c r="F56" s="46">
        <f>'Manatee Heavy Oil'!I56+'Martin Heavy Oil'!I56</f>
        <v>0</v>
      </c>
      <c r="G56" s="22">
        <f t="shared" si="0"/>
        <v>0</v>
      </c>
      <c r="H56" s="46">
        <f>'Manatee Heavy Oil'!K56+'Martin Heavy Oil'!K56</f>
        <v>23691.5625</v>
      </c>
      <c r="I56" s="46">
        <f>'Manatee Heavy Oil'!L56+'Martin Heavy Oil'!L56</f>
        <v>1471207.103032697</v>
      </c>
      <c r="J56" s="14">
        <f t="shared" si="10"/>
        <v>62.098356874211945</v>
      </c>
      <c r="K56" s="46">
        <f>'Manatee Heavy Oil'!N56+'Martin Heavy Oil'!N56</f>
        <v>2346813.03125</v>
      </c>
      <c r="L56" s="46">
        <f>'Manatee Heavy Oil'!O56+'Martin Heavy Oil'!O56</f>
        <v>152032338.82558048</v>
      </c>
      <c r="M56" s="22">
        <f t="shared" si="11"/>
        <v>64.782467457410704</v>
      </c>
      <c r="N56" s="55">
        <f t="shared" si="12"/>
        <v>2314987.8990384615</v>
      </c>
      <c r="O56" s="55">
        <f t="shared" si="13"/>
        <v>155778912.01918843</v>
      </c>
      <c r="P56" s="32">
        <f t="shared" si="14"/>
        <v>67.291458449476892</v>
      </c>
      <c r="Q56" s="45">
        <f>'Manatee Heavy Oil'!A56+'Martin Heavy Oil'!A56+'Heavy Oil Summary'!K56</f>
        <v>2402813.03125</v>
      </c>
    </row>
    <row r="57" spans="1:17">
      <c r="A57" s="13">
        <v>43191</v>
      </c>
      <c r="B57" s="16">
        <f>'Manatee Heavy Oil'!E57+'Martin Heavy Oil'!E57</f>
        <v>2346813.03125</v>
      </c>
      <c r="C57" s="16">
        <f>'Manatee Heavy Oil'!F57+'Martin Heavy Oil'!F57</f>
        <v>152032338.82558048</v>
      </c>
      <c r="D57" s="14">
        <f t="shared" si="9"/>
        <v>64.782467457410704</v>
      </c>
      <c r="E57" s="46">
        <f>'Manatee Heavy Oil'!H57+'Martin Heavy Oil'!H57</f>
        <v>0</v>
      </c>
      <c r="F57" s="46">
        <f>'Manatee Heavy Oil'!I57+'Martin Heavy Oil'!I57</f>
        <v>0</v>
      </c>
      <c r="G57" s="22">
        <f t="shared" si="0"/>
        <v>0</v>
      </c>
      <c r="H57" s="46">
        <f>'Manatee Heavy Oil'!K57+'Martin Heavy Oil'!K57</f>
        <v>42665.15625</v>
      </c>
      <c r="I57" s="46">
        <f>'Manatee Heavy Oil'!L57+'Martin Heavy Oil'!L57</f>
        <v>2647973.1002580659</v>
      </c>
      <c r="J57" s="14">
        <f t="shared" si="10"/>
        <v>62.064066629500878</v>
      </c>
      <c r="K57" s="46">
        <f>'Manatee Heavy Oil'!N57+'Martin Heavy Oil'!N57</f>
        <v>2304147.875</v>
      </c>
      <c r="L57" s="46">
        <f>'Manatee Heavy Oil'!O57+'Martin Heavy Oil'!O57</f>
        <v>149384365.7253224</v>
      </c>
      <c r="M57" s="22">
        <f t="shared" si="11"/>
        <v>64.832803200759145</v>
      </c>
      <c r="N57" s="55">
        <f t="shared" si="12"/>
        <v>2319179.1009615385</v>
      </c>
      <c r="O57" s="55">
        <f t="shared" si="13"/>
        <v>154736603.55851027</v>
      </c>
      <c r="P57" s="32">
        <f t="shared" si="14"/>
        <v>66.720419951333653</v>
      </c>
      <c r="Q57" s="45">
        <f>'Manatee Heavy Oil'!A57+'Martin Heavy Oil'!A57+'Heavy Oil Summary'!K57</f>
        <v>2360147.875</v>
      </c>
    </row>
    <row r="58" spans="1:17">
      <c r="A58" s="13">
        <v>43221</v>
      </c>
      <c r="B58" s="16">
        <f>'Manatee Heavy Oil'!E58+'Martin Heavy Oil'!E58</f>
        <v>2304147.875</v>
      </c>
      <c r="C58" s="16">
        <f>'Manatee Heavy Oil'!F58+'Martin Heavy Oil'!F58</f>
        <v>149384365.7253224</v>
      </c>
      <c r="D58" s="14">
        <f t="shared" si="9"/>
        <v>64.832803200759145</v>
      </c>
      <c r="E58" s="46">
        <f>'Manatee Heavy Oil'!H58+'Martin Heavy Oil'!H58</f>
        <v>145000</v>
      </c>
      <c r="F58" s="46">
        <f>'Manatee Heavy Oil'!I58+'Martin Heavy Oil'!I58</f>
        <v>7407515.2694686558</v>
      </c>
      <c r="G58" s="22">
        <f t="shared" si="0"/>
        <v>51.086312203232112</v>
      </c>
      <c r="H58" s="46">
        <f>'Manatee Heavy Oil'!K58+'Martin Heavy Oil'!K58</f>
        <v>75754.84375</v>
      </c>
      <c r="I58" s="46">
        <f>'Manatee Heavy Oil'!L58+'Martin Heavy Oil'!L58</f>
        <v>4871452.9654841013</v>
      </c>
      <c r="J58" s="14">
        <f t="shared" si="10"/>
        <v>64.305498161417589</v>
      </c>
      <c r="K58" s="46">
        <f>'Manatee Heavy Oil'!N58+'Martin Heavy Oil'!N58</f>
        <v>2373393.03125</v>
      </c>
      <c r="L58" s="46">
        <f>'Manatee Heavy Oil'!O58+'Martin Heavy Oil'!O58</f>
        <v>151920428.02930695</v>
      </c>
      <c r="M58" s="22">
        <f t="shared" si="11"/>
        <v>64.009806226360539</v>
      </c>
      <c r="N58" s="55">
        <f t="shared" si="12"/>
        <v>2325331.264423077</v>
      </c>
      <c r="O58" s="55">
        <f t="shared" si="13"/>
        <v>153911531.37415051</v>
      </c>
      <c r="P58" s="32">
        <f t="shared" si="14"/>
        <v>66.18907754303838</v>
      </c>
      <c r="Q58" s="45">
        <f>'Manatee Heavy Oil'!A58+'Martin Heavy Oil'!A58+'Heavy Oil Summary'!K58</f>
        <v>2429393.03125</v>
      </c>
    </row>
    <row r="59" spans="1:17">
      <c r="A59" s="13">
        <v>43252</v>
      </c>
      <c r="B59" s="16">
        <f>'Manatee Heavy Oil'!E59+'Martin Heavy Oil'!E59</f>
        <v>2373393.03125</v>
      </c>
      <c r="C59" s="16">
        <f>'Manatee Heavy Oil'!F59+'Martin Heavy Oil'!F59</f>
        <v>151920428.02930695</v>
      </c>
      <c r="D59" s="14">
        <f t="shared" si="9"/>
        <v>64.009806226360539</v>
      </c>
      <c r="E59" s="46">
        <f>'Manatee Heavy Oil'!H59+'Martin Heavy Oil'!H59</f>
        <v>0</v>
      </c>
      <c r="F59" s="46">
        <f>'Manatee Heavy Oil'!I59+'Martin Heavy Oil'!I59</f>
        <v>0</v>
      </c>
      <c r="G59" s="22">
        <f t="shared" si="0"/>
        <v>0</v>
      </c>
      <c r="H59" s="46">
        <f>'Manatee Heavy Oil'!K59+'Martin Heavy Oil'!K59</f>
        <v>56405.3125</v>
      </c>
      <c r="I59" s="46">
        <f>'Manatee Heavy Oil'!L59+'Martin Heavy Oil'!L59</f>
        <v>3643656.5792464083</v>
      </c>
      <c r="J59" s="14">
        <f t="shared" si="10"/>
        <v>64.597755384236336</v>
      </c>
      <c r="K59" s="46">
        <f>'Manatee Heavy Oil'!N59+'Martin Heavy Oil'!N59</f>
        <v>2316987.71875</v>
      </c>
      <c r="L59" s="46">
        <f>'Manatee Heavy Oil'!O59+'Martin Heavy Oil'!O59</f>
        <v>148276771.45006052</v>
      </c>
      <c r="M59" s="22">
        <f t="shared" si="11"/>
        <v>63.995493049076188</v>
      </c>
      <c r="N59" s="55">
        <f t="shared" si="12"/>
        <v>2325215.855769231</v>
      </c>
      <c r="O59" s="55">
        <f t="shared" si="13"/>
        <v>152832691.9237957</v>
      </c>
      <c r="P59" s="32">
        <f t="shared" si="14"/>
        <v>65.728388848112075</v>
      </c>
      <c r="Q59" s="45">
        <f>'Manatee Heavy Oil'!A59+'Martin Heavy Oil'!A59+'Heavy Oil Summary'!K59</f>
        <v>2372987.71875</v>
      </c>
    </row>
    <row r="60" spans="1:17">
      <c r="A60" s="13">
        <v>43282</v>
      </c>
      <c r="B60" s="16">
        <f>'Manatee Heavy Oil'!E60+'Martin Heavy Oil'!E60</f>
        <v>2316987.71875</v>
      </c>
      <c r="C60" s="16">
        <f>'Manatee Heavy Oil'!F60+'Martin Heavy Oil'!F60</f>
        <v>148276771.45006052</v>
      </c>
      <c r="D60" s="14">
        <f t="shared" si="9"/>
        <v>63.995493049076188</v>
      </c>
      <c r="E60" s="46">
        <f>'Manatee Heavy Oil'!H60+'Martin Heavy Oil'!H60</f>
        <v>110000</v>
      </c>
      <c r="F60" s="46">
        <f>'Manatee Heavy Oil'!I60+'Martin Heavy Oil'!I60</f>
        <v>5939594.3423555335</v>
      </c>
      <c r="G60" s="22">
        <f t="shared" si="0"/>
        <v>53.996312203232122</v>
      </c>
      <c r="H60" s="46">
        <f>'Manatee Heavy Oil'!K60+'Martin Heavy Oil'!K60</f>
        <v>108087.03125</v>
      </c>
      <c r="I60" s="46">
        <f>'Manatee Heavy Oil'!L60+'Martin Heavy Oil'!L60</f>
        <v>6744632.5948040057</v>
      </c>
      <c r="J60" s="14">
        <f t="shared" si="10"/>
        <v>62.400017067764601</v>
      </c>
      <c r="K60" s="46">
        <f>'Manatee Heavy Oil'!N60+'Martin Heavy Oil'!N60</f>
        <v>2318900.6875</v>
      </c>
      <c r="L60" s="46">
        <f>'Manatee Heavy Oil'!O60+'Martin Heavy Oil'!O60</f>
        <v>147471733.19761205</v>
      </c>
      <c r="M60" s="22">
        <f t="shared" si="11"/>
        <v>63.595536450765771</v>
      </c>
      <c r="N60" s="55">
        <f t="shared" si="12"/>
        <v>2324766.78125</v>
      </c>
      <c r="O60" s="55">
        <f t="shared" si="13"/>
        <v>151872604.67526907</v>
      </c>
      <c r="P60" s="32">
        <f t="shared" si="14"/>
        <v>65.328103403821416</v>
      </c>
      <c r="Q60" s="45">
        <f>'Manatee Heavy Oil'!A60+'Martin Heavy Oil'!A60+'Heavy Oil Summary'!K60</f>
        <v>2374900.6875</v>
      </c>
    </row>
    <row r="61" spans="1:17">
      <c r="A61" s="13">
        <v>43313</v>
      </c>
      <c r="B61" s="16">
        <f>'Manatee Heavy Oil'!E61+'Martin Heavy Oil'!E61</f>
        <v>2318900.6875</v>
      </c>
      <c r="C61" s="16">
        <f>'Manatee Heavy Oil'!F61+'Martin Heavy Oil'!F61</f>
        <v>147471733.19761205</v>
      </c>
      <c r="D61" s="14">
        <f t="shared" si="9"/>
        <v>63.595536450765771</v>
      </c>
      <c r="E61" s="46">
        <f>'Manatee Heavy Oil'!H61+'Martin Heavy Oil'!H61</f>
        <v>145000</v>
      </c>
      <c r="F61" s="46">
        <f>'Manatee Heavy Oil'!I61+'Martin Heavy Oil'!I61</f>
        <v>7604715.2694686595</v>
      </c>
      <c r="G61" s="22">
        <f t="shared" si="0"/>
        <v>52.446312203232132</v>
      </c>
      <c r="H61" s="46">
        <f>'Manatee Heavy Oil'!K61+'Martin Heavy Oil'!K61</f>
        <v>70017.1875</v>
      </c>
      <c r="I61" s="46">
        <f>'Manatee Heavy Oil'!L61+'Martin Heavy Oil'!L61</f>
        <v>4331814.9951506322</v>
      </c>
      <c r="J61" s="14">
        <f t="shared" si="10"/>
        <v>61.867880585043956</v>
      </c>
      <c r="K61" s="46">
        <f>'Manatee Heavy Oil'!N61+'Martin Heavy Oil'!N61</f>
        <v>2393883.5</v>
      </c>
      <c r="L61" s="46">
        <f>'Manatee Heavy Oil'!O61+'Martin Heavy Oil'!O61</f>
        <v>150744633.47193009</v>
      </c>
      <c r="M61" s="22">
        <f t="shared" si="11"/>
        <v>62.97074752047461</v>
      </c>
      <c r="N61" s="55">
        <f t="shared" si="12"/>
        <v>2329363.079326923</v>
      </c>
      <c r="O61" s="55">
        <f t="shared" si="13"/>
        <v>151300742.35079452</v>
      </c>
      <c r="P61" s="32">
        <f t="shared" si="14"/>
        <v>64.953696438991116</v>
      </c>
      <c r="Q61" s="45">
        <f>'Manatee Heavy Oil'!A61+'Martin Heavy Oil'!A61+'Heavy Oil Summary'!K61</f>
        <v>2449883.5</v>
      </c>
    </row>
    <row r="62" spans="1:17">
      <c r="A62" s="13">
        <v>43344</v>
      </c>
      <c r="B62" s="16">
        <f>'Manatee Heavy Oil'!E62+'Martin Heavy Oil'!E62</f>
        <v>2393883.5</v>
      </c>
      <c r="C62" s="16">
        <f>'Manatee Heavy Oil'!F62+'Martin Heavy Oil'!F62</f>
        <v>150744633.47193009</v>
      </c>
      <c r="D62" s="14">
        <f t="shared" si="9"/>
        <v>62.97074752047461</v>
      </c>
      <c r="E62" s="46">
        <f>'Manatee Heavy Oil'!H62+'Martin Heavy Oil'!H62</f>
        <v>0</v>
      </c>
      <c r="F62" s="46">
        <f>'Manatee Heavy Oil'!I62+'Martin Heavy Oil'!I62</f>
        <v>0</v>
      </c>
      <c r="G62" s="22">
        <f t="shared" si="0"/>
        <v>0</v>
      </c>
      <c r="H62" s="46">
        <f>'Manatee Heavy Oil'!K62+'Martin Heavy Oil'!K62</f>
        <v>125524.21875</v>
      </c>
      <c r="I62" s="46">
        <f>'Manatee Heavy Oil'!L62+'Martin Heavy Oil'!L62</f>
        <v>7743316.6996609122</v>
      </c>
      <c r="J62" s="14">
        <f t="shared" si="10"/>
        <v>61.687830259138039</v>
      </c>
      <c r="K62" s="46">
        <f>'Manatee Heavy Oil'!N62+'Martin Heavy Oil'!N62</f>
        <v>2268359.28125</v>
      </c>
      <c r="L62" s="46">
        <f>'Manatee Heavy Oil'!O62+'Martin Heavy Oil'!O62</f>
        <v>143001316.77226919</v>
      </c>
      <c r="M62" s="22">
        <f t="shared" si="11"/>
        <v>63.04174032495726</v>
      </c>
      <c r="N62" s="55">
        <f t="shared" si="12"/>
        <v>2324718.5240384615</v>
      </c>
      <c r="O62" s="55">
        <f t="shared" si="13"/>
        <v>150279611.54597655</v>
      </c>
      <c r="P62" s="32">
        <f t="shared" si="14"/>
        <v>64.644218210518389</v>
      </c>
      <c r="Q62" s="45">
        <f>'Manatee Heavy Oil'!A62+'Martin Heavy Oil'!A62+'Heavy Oil Summary'!K62</f>
        <v>2324359.28125</v>
      </c>
    </row>
    <row r="63" spans="1:17">
      <c r="A63" s="13">
        <v>43374</v>
      </c>
      <c r="B63" s="16">
        <f>'Manatee Heavy Oil'!E63+'Martin Heavy Oil'!E63</f>
        <v>2268359.28125</v>
      </c>
      <c r="C63" s="16">
        <f>'Manatee Heavy Oil'!F63+'Martin Heavy Oil'!F63</f>
        <v>143001316.77226919</v>
      </c>
      <c r="D63" s="14">
        <f t="shared" si="9"/>
        <v>63.04174032495726</v>
      </c>
      <c r="E63" s="46">
        <f>'Manatee Heavy Oil'!H63+'Martin Heavy Oil'!H63</f>
        <v>255000</v>
      </c>
      <c r="F63" s="46">
        <f>'Manatee Heavy Oil'!I63+'Martin Heavy Oil'!I63</f>
        <v>13804320.526000002</v>
      </c>
      <c r="G63" s="22">
        <f t="shared" si="0"/>
        <v>54.134590298039228</v>
      </c>
      <c r="H63" s="46">
        <f>'Manatee Heavy Oil'!K63+'Martin Heavy Oil'!K63</f>
        <v>142754.84375</v>
      </c>
      <c r="I63" s="46">
        <f>'Manatee Heavy Oil'!L63+'Martin Heavy Oil'!L63</f>
        <v>8672480.1516271569</v>
      </c>
      <c r="J63" s="14">
        <f t="shared" si="10"/>
        <v>60.75086437567662</v>
      </c>
      <c r="K63" s="46">
        <f>'Manatee Heavy Oil'!N63+'Martin Heavy Oil'!N63</f>
        <v>2380604.4375</v>
      </c>
      <c r="L63" s="46">
        <f>'Manatee Heavy Oil'!O63+'Martin Heavy Oil'!O63</f>
        <v>148133157.14664203</v>
      </c>
      <c r="M63" s="22">
        <f t="shared" si="11"/>
        <v>62.225019332571094</v>
      </c>
      <c r="N63" s="55">
        <f t="shared" si="12"/>
        <v>2328262.2740384615</v>
      </c>
      <c r="O63" s="55">
        <f t="shared" si="13"/>
        <v>149791578.11137405</v>
      </c>
      <c r="P63" s="32">
        <f t="shared" si="14"/>
        <v>64.336213227195714</v>
      </c>
      <c r="Q63" s="45">
        <f>'Manatee Heavy Oil'!A63+'Martin Heavy Oil'!A63+'Heavy Oil Summary'!K63</f>
        <v>2436604.4375</v>
      </c>
    </row>
    <row r="64" spans="1:17">
      <c r="A64" s="13">
        <v>43405</v>
      </c>
      <c r="B64" s="16">
        <f>'Manatee Heavy Oil'!E64+'Martin Heavy Oil'!E64</f>
        <v>2380604.4375</v>
      </c>
      <c r="C64" s="16">
        <f>'Manatee Heavy Oil'!F64+'Martin Heavy Oil'!F64</f>
        <v>148133157.14664203</v>
      </c>
      <c r="D64" s="14">
        <f t="shared" si="9"/>
        <v>62.225019332571094</v>
      </c>
      <c r="E64" s="46">
        <f>'Manatee Heavy Oil'!H64+'Martin Heavy Oil'!H64</f>
        <v>0</v>
      </c>
      <c r="F64" s="46">
        <f>'Manatee Heavy Oil'!I64+'Martin Heavy Oil'!I64</f>
        <v>0</v>
      </c>
      <c r="G64" s="22">
        <f t="shared" si="0"/>
        <v>0</v>
      </c>
      <c r="H64" s="46">
        <f>'Manatee Heavy Oil'!K64+'Martin Heavy Oil'!K64</f>
        <v>39915.78125</v>
      </c>
      <c r="I64" s="46">
        <f>'Manatee Heavy Oil'!L64+'Martin Heavy Oil'!L64</f>
        <v>2396601.3961707386</v>
      </c>
      <c r="J64" s="14">
        <f t="shared" si="10"/>
        <v>60.041450301583126</v>
      </c>
      <c r="K64" s="46">
        <f>'Manatee Heavy Oil'!N64+'Martin Heavy Oil'!N64</f>
        <v>2340688.65625</v>
      </c>
      <c r="L64" s="46">
        <f>'Manatee Heavy Oil'!O64+'Martin Heavy Oil'!O64</f>
        <v>145736555.75047129</v>
      </c>
      <c r="M64" s="22">
        <f t="shared" si="11"/>
        <v>62.26225575167043</v>
      </c>
      <c r="N64" s="55">
        <f t="shared" si="12"/>
        <v>2337648.3076923075</v>
      </c>
      <c r="O64" s="55">
        <f t="shared" si="13"/>
        <v>149693484.74993297</v>
      </c>
      <c r="P64" s="32">
        <f t="shared" si="14"/>
        <v>64.035930579184608</v>
      </c>
      <c r="Q64" s="45">
        <f>'Manatee Heavy Oil'!A64+'Martin Heavy Oil'!A64+'Heavy Oil Summary'!K64</f>
        <v>2396688.65625</v>
      </c>
    </row>
    <row r="65" spans="1:17">
      <c r="A65" s="13">
        <v>43435</v>
      </c>
      <c r="B65" s="16">
        <f>'Manatee Heavy Oil'!E65+'Martin Heavy Oil'!E65</f>
        <v>2340688.65625</v>
      </c>
      <c r="C65" s="16">
        <f>'Manatee Heavy Oil'!F65+'Martin Heavy Oil'!F65</f>
        <v>145736555.75047129</v>
      </c>
      <c r="D65" s="14">
        <f t="shared" si="9"/>
        <v>62.26225575167043</v>
      </c>
      <c r="E65" s="46">
        <f>'Manatee Heavy Oil'!H65+'Martin Heavy Oil'!H65</f>
        <v>0</v>
      </c>
      <c r="F65" s="46">
        <f>'Manatee Heavy Oil'!I65+'Martin Heavy Oil'!I65</f>
        <v>0</v>
      </c>
      <c r="G65" s="22">
        <f t="shared" si="0"/>
        <v>0</v>
      </c>
      <c r="H65" s="46">
        <f>'Manatee Heavy Oil'!K65+'Martin Heavy Oil'!K65</f>
        <v>31152.5</v>
      </c>
      <c r="I65" s="46">
        <f>'Manatee Heavy Oil'!L65+'Martin Heavy Oil'!L65</f>
        <v>1846681.4804927285</v>
      </c>
      <c r="J65" s="14">
        <f t="shared" si="10"/>
        <v>59.278757097912802</v>
      </c>
      <c r="K65" s="46">
        <f>'Manatee Heavy Oil'!N65+'Martin Heavy Oil'!N65</f>
        <v>2309536.15625</v>
      </c>
      <c r="L65" s="46">
        <f>'Manatee Heavy Oil'!O65+'Martin Heavy Oil'!O65</f>
        <v>143889874.26997855</v>
      </c>
      <c r="M65" s="22">
        <f t="shared" si="11"/>
        <v>62.302499088653768</v>
      </c>
      <c r="N65" s="55">
        <f t="shared" si="12"/>
        <v>2335983.1153846155</v>
      </c>
      <c r="O65" s="55">
        <f t="shared" si="13"/>
        <v>149044597.4173018</v>
      </c>
      <c r="P65" s="32">
        <f t="shared" si="14"/>
        <v>63.803799109550447</v>
      </c>
      <c r="Q65" s="45">
        <f>'Manatee Heavy Oil'!A65+'Martin Heavy Oil'!A65+'Heavy Oil Summary'!K65</f>
        <v>2365536.15625</v>
      </c>
    </row>
    <row r="66" spans="1:17">
      <c r="A66" s="13">
        <v>43466</v>
      </c>
      <c r="B66" s="16">
        <f>'Manatee Heavy Oil'!E66+'Martin Heavy Oil'!E66</f>
        <v>2309536.15625</v>
      </c>
      <c r="C66" s="16">
        <f>'Manatee Heavy Oil'!F66+'Martin Heavy Oil'!F66</f>
        <v>143889874.26997855</v>
      </c>
      <c r="D66" s="14">
        <f t="shared" si="9"/>
        <v>62.302499088653768</v>
      </c>
      <c r="E66" s="46">
        <f>'Manatee Heavy Oil'!H66+'Martin Heavy Oil'!H66</f>
        <v>0</v>
      </c>
      <c r="F66" s="46">
        <f>'Manatee Heavy Oil'!I66+'Martin Heavy Oil'!I66</f>
        <v>0</v>
      </c>
      <c r="G66" s="22">
        <f t="shared" si="0"/>
        <v>0</v>
      </c>
      <c r="H66" s="46">
        <f>'Manatee Heavy Oil'!K66+'Martin Heavy Oil'!K66</f>
        <v>7844.375</v>
      </c>
      <c r="I66" s="46">
        <f>'Manatee Heavy Oil'!L66+'Martin Heavy Oil'!L66</f>
        <v>475901.34880466876</v>
      </c>
      <c r="J66" s="14">
        <f t="shared" si="10"/>
        <v>60.66784782785993</v>
      </c>
      <c r="K66" s="46">
        <f>'Manatee Heavy Oil'!N66+'Martin Heavy Oil'!N66</f>
        <v>2301691.78125</v>
      </c>
      <c r="L66" s="46">
        <f>'Manatee Heavy Oil'!O66+'Martin Heavy Oil'!O66</f>
        <v>143413972.92117387</v>
      </c>
      <c r="M66" s="22">
        <f t="shared" si="11"/>
        <v>62.308070128872245</v>
      </c>
      <c r="N66" s="55">
        <f t="shared" si="12"/>
        <v>2334344.9783653845</v>
      </c>
      <c r="O66" s="55">
        <f t="shared" si="13"/>
        <v>148398688.19971043</v>
      </c>
      <c r="P66" s="32">
        <f t="shared" si="14"/>
        <v>63.571875440461248</v>
      </c>
      <c r="Q66" s="45">
        <f>'Manatee Heavy Oil'!A66+'Martin Heavy Oil'!A66+'Heavy Oil Summary'!K66</f>
        <v>2357691.78125</v>
      </c>
    </row>
    <row r="67" spans="1:17">
      <c r="A67" s="13">
        <v>43497</v>
      </c>
      <c r="B67" s="16">
        <f>'Manatee Heavy Oil'!E67+'Martin Heavy Oil'!E67</f>
        <v>2301691.78125</v>
      </c>
      <c r="C67" s="16">
        <f>'Manatee Heavy Oil'!F67+'Martin Heavy Oil'!F67</f>
        <v>143413972.92117387</v>
      </c>
      <c r="D67" s="14">
        <f t="shared" si="9"/>
        <v>62.308070128872245</v>
      </c>
      <c r="E67" s="46">
        <f>'Manatee Heavy Oil'!H67+'Martin Heavy Oil'!H67</f>
        <v>0</v>
      </c>
      <c r="F67" s="46">
        <f>'Manatee Heavy Oil'!I67+'Martin Heavy Oil'!I67</f>
        <v>0</v>
      </c>
      <c r="G67" s="22">
        <f t="shared" si="0"/>
        <v>0</v>
      </c>
      <c r="H67" s="46">
        <f>'Manatee Heavy Oil'!K67+'Martin Heavy Oil'!K67</f>
        <v>666.25</v>
      </c>
      <c r="I67" s="46">
        <f>'Manatee Heavy Oil'!L67+'Martin Heavy Oil'!L67</f>
        <v>44539.964938328121</v>
      </c>
      <c r="J67" s="14">
        <f t="shared" si="10"/>
        <v>66.851729738578797</v>
      </c>
      <c r="K67" s="46">
        <f>'Manatee Heavy Oil'!N67+'Martin Heavy Oil'!N67</f>
        <v>2301025.53125</v>
      </c>
      <c r="L67" s="46">
        <f>'Manatee Heavy Oil'!O67+'Martin Heavy Oil'!O67</f>
        <v>143369432.95623556</v>
      </c>
      <c r="M67" s="22">
        <f t="shared" si="11"/>
        <v>62.306754535814349</v>
      </c>
      <c r="N67" s="55">
        <f t="shared" si="12"/>
        <v>2332810.483173077</v>
      </c>
      <c r="O67" s="55">
        <f t="shared" si="13"/>
        <v>147759855.8803997</v>
      </c>
      <c r="P67" s="32">
        <f t="shared" si="14"/>
        <v>63.339845626644092</v>
      </c>
      <c r="Q67" s="45">
        <f>'Manatee Heavy Oil'!A67+'Martin Heavy Oil'!A67+'Heavy Oil Summary'!K67</f>
        <v>2357025.53125</v>
      </c>
    </row>
    <row r="68" spans="1:17">
      <c r="A68" s="13">
        <v>43525</v>
      </c>
      <c r="B68" s="16">
        <f>'Manatee Heavy Oil'!E68+'Martin Heavy Oil'!E68</f>
        <v>2301025.53125</v>
      </c>
      <c r="C68" s="16">
        <f>'Manatee Heavy Oil'!F68+'Martin Heavy Oil'!F68</f>
        <v>143369432.95623556</v>
      </c>
      <c r="D68" s="14">
        <f t="shared" si="9"/>
        <v>62.306754535814349</v>
      </c>
      <c r="E68" s="46">
        <f>'Manatee Heavy Oil'!H68+'Martin Heavy Oil'!H68</f>
        <v>0</v>
      </c>
      <c r="F68" s="46">
        <f>'Manatee Heavy Oil'!I68+'Martin Heavy Oil'!I68</f>
        <v>0</v>
      </c>
      <c r="G68" s="22">
        <f t="shared" si="0"/>
        <v>0</v>
      </c>
      <c r="H68" s="46">
        <f>'Manatee Heavy Oil'!K68+'Martin Heavy Oil'!K68</f>
        <v>11493.28125</v>
      </c>
      <c r="I68" s="46">
        <f>'Manatee Heavy Oil'!L68+'Martin Heavy Oil'!L68</f>
        <v>699333.48567664914</v>
      </c>
      <c r="J68" s="14">
        <f t="shared" si="10"/>
        <v>60.84715674008666</v>
      </c>
      <c r="K68" s="46">
        <f>'Manatee Heavy Oil'!N68+'Martin Heavy Oil'!N68</f>
        <v>2289532.25</v>
      </c>
      <c r="L68" s="46">
        <f>'Manatee Heavy Oil'!O68+'Martin Heavy Oil'!O68</f>
        <v>142670099.47055891</v>
      </c>
      <c r="M68" s="22">
        <f t="shared" si="11"/>
        <v>62.31408160796115</v>
      </c>
      <c r="N68" s="55">
        <f t="shared" si="12"/>
        <v>2326581.841346154</v>
      </c>
      <c r="O68" s="55">
        <f t="shared" si="13"/>
        <v>146926513.84516475</v>
      </c>
      <c r="P68" s="32">
        <f t="shared" si="14"/>
        <v>63.151233811811004</v>
      </c>
      <c r="Q68" s="45">
        <f>'Manatee Heavy Oil'!A68+'Martin Heavy Oil'!A68+'Heavy Oil Summary'!K68</f>
        <v>2345532.25</v>
      </c>
    </row>
    <row r="69" spans="1:17">
      <c r="A69" s="13">
        <v>43556</v>
      </c>
      <c r="B69" s="16">
        <f>'Manatee Heavy Oil'!E69+'Martin Heavy Oil'!E69</f>
        <v>2289532.25</v>
      </c>
      <c r="C69" s="16">
        <f>'Manatee Heavy Oil'!F69+'Martin Heavy Oil'!F69</f>
        <v>142670099.47055891</v>
      </c>
      <c r="D69" s="14">
        <f t="shared" si="9"/>
        <v>62.31408160796115</v>
      </c>
      <c r="E69" s="46">
        <f>'Manatee Heavy Oil'!H69+'Martin Heavy Oil'!H69</f>
        <v>145000</v>
      </c>
      <c r="F69" s="46">
        <f>'Manatee Heavy Oil'!I69+'Martin Heavy Oil'!I69</f>
        <v>9608829.1965612397</v>
      </c>
      <c r="G69" s="22">
        <f t="shared" si="0"/>
        <v>66.267787562491307</v>
      </c>
      <c r="H69" s="46">
        <f>'Manatee Heavy Oil'!K69+'Martin Heavy Oil'!K69</f>
        <v>86263.125</v>
      </c>
      <c r="I69" s="46">
        <f>'Manatee Heavy Oil'!L69+'Martin Heavy Oil'!L69</f>
        <v>5424011.208833104</v>
      </c>
      <c r="J69" s="14">
        <f t="shared" si="10"/>
        <v>62.877518161243337</v>
      </c>
      <c r="K69" s="46">
        <f>'Manatee Heavy Oil'!N69+'Martin Heavy Oil'!N69</f>
        <v>2348269.125</v>
      </c>
      <c r="L69" s="46">
        <f>'Manatee Heavy Oil'!O69+'Martin Heavy Oil'!O69</f>
        <v>146854917.45828706</v>
      </c>
      <c r="M69" s="22">
        <f t="shared" si="11"/>
        <v>62.53751577911116</v>
      </c>
      <c r="N69" s="55">
        <f t="shared" si="12"/>
        <v>2326693.8485576925</v>
      </c>
      <c r="O69" s="55">
        <f t="shared" si="13"/>
        <v>146528250.66306525</v>
      </c>
      <c r="P69" s="32">
        <f t="shared" si="14"/>
        <v>62.977022419128105</v>
      </c>
      <c r="Q69" s="45">
        <f>'Manatee Heavy Oil'!A69+'Martin Heavy Oil'!A69+'Heavy Oil Summary'!K69</f>
        <v>2404269.125</v>
      </c>
    </row>
    <row r="70" spans="1:17">
      <c r="A70" s="13">
        <v>43586</v>
      </c>
      <c r="B70" s="16">
        <f>'Manatee Heavy Oil'!E70+'Martin Heavy Oil'!E70</f>
        <v>2348269.125</v>
      </c>
      <c r="C70" s="16">
        <f>'Manatee Heavy Oil'!F70+'Martin Heavy Oil'!F70</f>
        <v>146854917.45828706</v>
      </c>
      <c r="D70" s="14">
        <f t="shared" si="9"/>
        <v>62.53751577911116</v>
      </c>
      <c r="E70" s="46">
        <f>'Manatee Heavy Oil'!H70+'Martin Heavy Oil'!H70</f>
        <v>110000</v>
      </c>
      <c r="F70" s="46">
        <f>'Manatee Heavy Oil'!I70+'Martin Heavy Oil'!I70</f>
        <v>7669151.7238663863</v>
      </c>
      <c r="G70" s="22">
        <f t="shared" ref="G70:G89" si="15">IF(E70=0,0,F70/E70)</f>
        <v>69.719561126058053</v>
      </c>
      <c r="H70" s="46">
        <f>'Manatee Heavy Oil'!K70+'Martin Heavy Oil'!K70</f>
        <v>148382.8125</v>
      </c>
      <c r="I70" s="46">
        <f>'Manatee Heavy Oil'!L70+'Martin Heavy Oil'!L70</f>
        <v>9168767.2016905062</v>
      </c>
      <c r="J70" s="14">
        <f t="shared" si="10"/>
        <v>61.791302154287621</v>
      </c>
      <c r="K70" s="46">
        <f>'Manatee Heavy Oil'!N70+'Martin Heavy Oil'!N70</f>
        <v>2309886.3125</v>
      </c>
      <c r="L70" s="46">
        <f>'Manatee Heavy Oil'!O70+'Martin Heavy Oil'!O70</f>
        <v>145355301.98046294</v>
      </c>
      <c r="M70" s="22">
        <f t="shared" si="11"/>
        <v>62.927470150314136</v>
      </c>
      <c r="N70" s="55">
        <f t="shared" si="12"/>
        <v>2327135.266826923</v>
      </c>
      <c r="O70" s="55">
        <f t="shared" si="13"/>
        <v>146218322.68269145</v>
      </c>
      <c r="P70" s="32">
        <f t="shared" si="14"/>
        <v>62.831896695915702</v>
      </c>
      <c r="Q70" s="45">
        <f>'Manatee Heavy Oil'!A70+'Martin Heavy Oil'!A70+'Heavy Oil Summary'!K70</f>
        <v>2365886.3125</v>
      </c>
    </row>
    <row r="71" spans="1:17">
      <c r="A71" s="13">
        <v>43617</v>
      </c>
      <c r="B71" s="16">
        <f>'Manatee Heavy Oil'!E71+'Martin Heavy Oil'!E71</f>
        <v>2309886.3125</v>
      </c>
      <c r="C71" s="16">
        <f>'Manatee Heavy Oil'!F71+'Martin Heavy Oil'!F71</f>
        <v>145355301.98046294</v>
      </c>
      <c r="D71" s="14">
        <f t="shared" si="9"/>
        <v>62.927470150314136</v>
      </c>
      <c r="E71" s="46">
        <f>'Manatee Heavy Oil'!H71+'Martin Heavy Oil'!H71</f>
        <v>0</v>
      </c>
      <c r="F71" s="46">
        <f>'Manatee Heavy Oil'!I71+'Martin Heavy Oil'!I71</f>
        <v>0</v>
      </c>
      <c r="G71" s="22">
        <f t="shared" si="15"/>
        <v>0</v>
      </c>
      <c r="H71" s="46">
        <f>'Manatee Heavy Oil'!K71+'Martin Heavy Oil'!K71</f>
        <v>67291.09375</v>
      </c>
      <c r="I71" s="46">
        <f>'Manatee Heavy Oil'!L71+'Martin Heavy Oil'!L71</f>
        <v>4234504.1243688222</v>
      </c>
      <c r="J71" s="14">
        <f t="shared" si="10"/>
        <v>62.928151236489931</v>
      </c>
      <c r="K71" s="46">
        <f>'Manatee Heavy Oil'!N71+'Martin Heavy Oil'!N71</f>
        <v>2242595.21875</v>
      </c>
      <c r="L71" s="46">
        <f>'Manatee Heavy Oil'!O71+'Martin Heavy Oil'!O71</f>
        <v>141120797.85609412</v>
      </c>
      <c r="M71" s="22">
        <f t="shared" si="11"/>
        <v>62.927449713708668</v>
      </c>
      <c r="N71" s="55">
        <f t="shared" si="12"/>
        <v>2317073.8966346155</v>
      </c>
      <c r="O71" s="55">
        <f t="shared" si="13"/>
        <v>145387581.90013665</v>
      </c>
      <c r="P71" s="32">
        <f t="shared" si="14"/>
        <v>62.746199899494677</v>
      </c>
      <c r="Q71" s="45">
        <f>'Manatee Heavy Oil'!A71+'Martin Heavy Oil'!A71+'Heavy Oil Summary'!K71</f>
        <v>2298595.21875</v>
      </c>
    </row>
    <row r="72" spans="1:17">
      <c r="A72" s="13">
        <v>43647</v>
      </c>
      <c r="B72" s="16">
        <f>'Manatee Heavy Oil'!E72+'Martin Heavy Oil'!E72</f>
        <v>2242595.21875</v>
      </c>
      <c r="C72" s="16">
        <f>'Manatee Heavy Oil'!F72+'Martin Heavy Oil'!F72</f>
        <v>141120797.85609412</v>
      </c>
      <c r="D72" s="14">
        <f t="shared" si="9"/>
        <v>62.927449713708668</v>
      </c>
      <c r="E72" s="46">
        <f>'Manatee Heavy Oil'!H72+'Martin Heavy Oil'!H72</f>
        <v>145000</v>
      </c>
      <c r="F72" s="46">
        <f>'Manatee Heavy Oil'!I72+'Martin Heavy Oil'!I72</f>
        <v>9843103.8007810805</v>
      </c>
      <c r="G72" s="22">
        <f t="shared" si="15"/>
        <v>67.883474488145382</v>
      </c>
      <c r="H72" s="46">
        <f>'Manatee Heavy Oil'!K72+'Martin Heavy Oil'!K72</f>
        <v>79055.3125</v>
      </c>
      <c r="I72" s="46">
        <f>'Manatee Heavy Oil'!L72+'Martin Heavy Oil'!L72</f>
        <v>4904696.355458363</v>
      </c>
      <c r="J72" s="14">
        <f t="shared" si="10"/>
        <v>62.041325248804284</v>
      </c>
      <c r="K72" s="46">
        <f>'Manatee Heavy Oil'!N72+'Martin Heavy Oil'!N72</f>
        <v>2308539.90625</v>
      </c>
      <c r="L72" s="46">
        <f>'Manatee Heavy Oil'!O72+'Martin Heavy Oil'!O72</f>
        <v>146059205.30141681</v>
      </c>
      <c r="M72" s="22">
        <f t="shared" si="11"/>
        <v>63.269084024055658</v>
      </c>
      <c r="N72" s="55">
        <f t="shared" si="12"/>
        <v>2316424.064903846</v>
      </c>
      <c r="O72" s="55">
        <f t="shared" si="13"/>
        <v>145216999.88870251</v>
      </c>
      <c r="P72" s="32">
        <f t="shared" si="14"/>
        <v>62.690161999646826</v>
      </c>
      <c r="Q72" s="45">
        <f>'Manatee Heavy Oil'!A72+'Martin Heavy Oil'!A72+'Heavy Oil Summary'!K72</f>
        <v>2364539.90625</v>
      </c>
    </row>
    <row r="73" spans="1:17">
      <c r="A73" s="13">
        <v>43678</v>
      </c>
      <c r="B73" s="16">
        <f>'Manatee Heavy Oil'!E73+'Martin Heavy Oil'!E73</f>
        <v>2308539.90625</v>
      </c>
      <c r="C73" s="16">
        <f>'Manatee Heavy Oil'!F73+'Martin Heavy Oil'!F73</f>
        <v>146059205.30141681</v>
      </c>
      <c r="D73" s="14">
        <f t="shared" si="9"/>
        <v>63.269084024055658</v>
      </c>
      <c r="E73" s="46">
        <f>'Manatee Heavy Oil'!H73+'Martin Heavy Oil'!H73</f>
        <v>0</v>
      </c>
      <c r="F73" s="46">
        <f>'Manatee Heavy Oil'!I73+'Martin Heavy Oil'!I73</f>
        <v>0</v>
      </c>
      <c r="G73" s="22">
        <f t="shared" si="15"/>
        <v>0</v>
      </c>
      <c r="H73" s="46">
        <f>'Manatee Heavy Oil'!K73+'Martin Heavy Oil'!K73</f>
        <v>84291.71875</v>
      </c>
      <c r="I73" s="46">
        <f>'Manatee Heavy Oil'!L73+'Martin Heavy Oil'!L73</f>
        <v>5151829.3540519448</v>
      </c>
      <c r="J73" s="14">
        <f t="shared" si="10"/>
        <v>61.119045031359555</v>
      </c>
      <c r="K73" s="46">
        <f>'Manatee Heavy Oil'!N73+'Martin Heavy Oil'!N73</f>
        <v>2224248.1875</v>
      </c>
      <c r="L73" s="46">
        <f>'Manatee Heavy Oil'!O73+'Martin Heavy Oil'!O73</f>
        <v>140907375.94736487</v>
      </c>
      <c r="M73" s="22">
        <f t="shared" si="11"/>
        <v>63.350563457462577</v>
      </c>
      <c r="N73" s="55">
        <f t="shared" si="12"/>
        <v>2309143.1033653845</v>
      </c>
      <c r="O73" s="55">
        <f t="shared" si="13"/>
        <v>144712049.33099118</v>
      </c>
      <c r="P73" s="32">
        <f t="shared" si="14"/>
        <v>62.669155982617696</v>
      </c>
      <c r="Q73" s="45">
        <f>'Manatee Heavy Oil'!A73+'Martin Heavy Oil'!A73+'Heavy Oil Summary'!K73</f>
        <v>2280248.1875</v>
      </c>
    </row>
    <row r="74" spans="1:17">
      <c r="A74" s="13">
        <v>43709</v>
      </c>
      <c r="B74" s="16">
        <f>'Manatee Heavy Oil'!E74+'Martin Heavy Oil'!E74</f>
        <v>2224248.1875</v>
      </c>
      <c r="C74" s="16">
        <f>'Manatee Heavy Oil'!F74+'Martin Heavy Oil'!F74</f>
        <v>140907375.94736487</v>
      </c>
      <c r="D74" s="14">
        <f t="shared" si="9"/>
        <v>63.350563457462577</v>
      </c>
      <c r="E74" s="46">
        <f>'Manatee Heavy Oil'!H74+'Martin Heavy Oil'!H74</f>
        <v>255000</v>
      </c>
      <c r="F74" s="46">
        <f>'Manatee Heavy Oil'!I74+'Martin Heavy Oil'!I74</f>
        <v>17281842.35837125</v>
      </c>
      <c r="G74" s="22">
        <f t="shared" si="15"/>
        <v>67.771930817142163</v>
      </c>
      <c r="H74" s="46">
        <f>'Manatee Heavy Oil'!K74+'Martin Heavy Oil'!K74</f>
        <v>130578.90625</v>
      </c>
      <c r="I74" s="46">
        <f>'Manatee Heavy Oil'!L74+'Martin Heavy Oil'!L74</f>
        <v>8176315.6117957588</v>
      </c>
      <c r="J74" s="14">
        <f t="shared" si="10"/>
        <v>62.615899049895425</v>
      </c>
      <c r="K74" s="46">
        <f>'Manatee Heavy Oil'!N74+'Martin Heavy Oil'!N74</f>
        <v>2348669.28125</v>
      </c>
      <c r="L74" s="46">
        <f>'Manatee Heavy Oil'!O74+'Martin Heavy Oil'!O74</f>
        <v>150012902.69394034</v>
      </c>
      <c r="M74" s="22">
        <f t="shared" si="11"/>
        <v>63.871445797639517</v>
      </c>
      <c r="N74" s="55">
        <f t="shared" si="12"/>
        <v>2305665.0865384615</v>
      </c>
      <c r="O74" s="55">
        <f t="shared" si="13"/>
        <v>144655762.34806889</v>
      </c>
      <c r="P74" s="32">
        <f t="shared" si="14"/>
        <v>62.739277786976132</v>
      </c>
      <c r="Q74" s="45">
        <f>'Manatee Heavy Oil'!A74+'Martin Heavy Oil'!A74+'Heavy Oil Summary'!K74</f>
        <v>2404669.28125</v>
      </c>
    </row>
    <row r="75" spans="1:17">
      <c r="A75" s="13">
        <v>43739</v>
      </c>
      <c r="B75" s="16">
        <f>'Manatee Heavy Oil'!E75+'Martin Heavy Oil'!E75</f>
        <v>2348669.28125</v>
      </c>
      <c r="C75" s="16">
        <f>'Manatee Heavy Oil'!F75+'Martin Heavy Oil'!F75</f>
        <v>150012902.69394034</v>
      </c>
      <c r="D75" s="14">
        <f t="shared" si="9"/>
        <v>63.871445797639517</v>
      </c>
      <c r="E75" s="46">
        <f>'Manatee Heavy Oil'!H75+'Martin Heavy Oil'!H75</f>
        <v>0</v>
      </c>
      <c r="F75" s="46">
        <f>'Manatee Heavy Oil'!I75+'Martin Heavy Oil'!I75</f>
        <v>0</v>
      </c>
      <c r="G75" s="22">
        <f t="shared" si="15"/>
        <v>0</v>
      </c>
      <c r="H75" s="46">
        <f>'Manatee Heavy Oil'!K75+'Martin Heavy Oil'!K75</f>
        <v>104737.5</v>
      </c>
      <c r="I75" s="46">
        <f>'Manatee Heavy Oil'!L75+'Martin Heavy Oil'!L75</f>
        <v>6597754.3833298925</v>
      </c>
      <c r="J75" s="14">
        <f t="shared" si="10"/>
        <v>62.993239129537102</v>
      </c>
      <c r="K75" s="46">
        <f>'Manatee Heavy Oil'!N75+'Martin Heavy Oil'!N75</f>
        <v>2243931.78125</v>
      </c>
      <c r="L75" s="46">
        <f>'Manatee Heavy Oil'!O75+'Martin Heavy Oil'!O75</f>
        <v>143415148.31061047</v>
      </c>
      <c r="M75" s="22">
        <f t="shared" si="11"/>
        <v>63.912436870393591</v>
      </c>
      <c r="N75" s="55">
        <f t="shared" si="12"/>
        <v>2303786.048076923</v>
      </c>
      <c r="O75" s="55">
        <f t="shared" si="13"/>
        <v>144687595.54332593</v>
      </c>
      <c r="P75" s="32">
        <f t="shared" si="14"/>
        <v>62.804267637658178</v>
      </c>
      <c r="Q75" s="45">
        <f>'Manatee Heavy Oil'!A75+'Martin Heavy Oil'!A75+'Heavy Oil Summary'!K75</f>
        <v>2299931.78125</v>
      </c>
    </row>
    <row r="76" spans="1:17">
      <c r="A76" s="13">
        <v>43770</v>
      </c>
      <c r="B76" s="16">
        <f>'Manatee Heavy Oil'!E76+'Martin Heavy Oil'!E76</f>
        <v>2243931.78125</v>
      </c>
      <c r="C76" s="16">
        <f>'Manatee Heavy Oil'!F76+'Martin Heavy Oil'!F76</f>
        <v>143415148.31061047</v>
      </c>
      <c r="D76" s="14">
        <f t="shared" si="9"/>
        <v>63.912436870393591</v>
      </c>
      <c r="E76" s="46">
        <f>'Manatee Heavy Oil'!H76+'Martin Heavy Oil'!H76</f>
        <v>0</v>
      </c>
      <c r="F76" s="46">
        <f>'Manatee Heavy Oil'!I76+'Martin Heavy Oil'!I76</f>
        <v>0</v>
      </c>
      <c r="G76" s="22">
        <f t="shared" si="15"/>
        <v>0</v>
      </c>
      <c r="H76" s="46">
        <f>'Manatee Heavy Oil'!K76+'Martin Heavy Oil'!K76</f>
        <v>8708.90625</v>
      </c>
      <c r="I76" s="46">
        <f>'Manatee Heavy Oil'!L76+'Martin Heavy Oil'!L76</f>
        <v>528279.928449834</v>
      </c>
      <c r="J76" s="14">
        <f t="shared" si="10"/>
        <v>60.659733069216813</v>
      </c>
      <c r="K76" s="46">
        <f>'Manatee Heavy Oil'!N76+'Martin Heavy Oil'!N76</f>
        <v>2235222.875</v>
      </c>
      <c r="L76" s="46">
        <f>'Manatee Heavy Oil'!O76+'Martin Heavy Oil'!O76</f>
        <v>142886868.38216063</v>
      </c>
      <c r="M76" s="22">
        <f t="shared" si="11"/>
        <v>63.925110099886858</v>
      </c>
      <c r="N76" s="55">
        <f t="shared" si="12"/>
        <v>2292602.8509615385</v>
      </c>
      <c r="O76" s="55">
        <f t="shared" si="13"/>
        <v>144284034.86913505</v>
      </c>
      <c r="P76" s="32">
        <f t="shared" si="14"/>
        <v>62.934596285885718</v>
      </c>
      <c r="Q76" s="45">
        <f>'Manatee Heavy Oil'!A76+'Martin Heavy Oil'!A76+'Heavy Oil Summary'!K76</f>
        <v>2291222.875</v>
      </c>
    </row>
    <row r="77" spans="1:17">
      <c r="A77" s="13">
        <v>43800</v>
      </c>
      <c r="B77" s="16">
        <f>'Manatee Heavy Oil'!E77+'Martin Heavy Oil'!E77</f>
        <v>2235222.875</v>
      </c>
      <c r="C77" s="16">
        <f>'Manatee Heavy Oil'!F77+'Martin Heavy Oil'!F77</f>
        <v>142886868.38216063</v>
      </c>
      <c r="D77" s="14">
        <f t="shared" si="9"/>
        <v>63.925110099886858</v>
      </c>
      <c r="E77" s="46">
        <f>'Manatee Heavy Oil'!H77+'Martin Heavy Oil'!H77</f>
        <v>145000</v>
      </c>
      <c r="F77" s="46">
        <f>'Manatee Heavy Oil'!I77+'Martin Heavy Oil'!I77</f>
        <v>9114821.8974404708</v>
      </c>
      <c r="G77" s="22">
        <f t="shared" si="15"/>
        <v>62.860840672003249</v>
      </c>
      <c r="H77" s="46">
        <f>'Manatee Heavy Oil'!K77+'Martin Heavy Oil'!K77</f>
        <v>9214.6875</v>
      </c>
      <c r="I77" s="46">
        <f>'Manatee Heavy Oil'!L77+'Martin Heavy Oil'!L77</f>
        <v>561260.99990472407</v>
      </c>
      <c r="J77" s="14">
        <f t="shared" si="10"/>
        <v>60.909390568559601</v>
      </c>
      <c r="K77" s="46">
        <f>'Manatee Heavy Oil'!N77+'Martin Heavy Oil'!N77</f>
        <v>2371008.1875</v>
      </c>
      <c r="L77" s="46">
        <f>'Manatee Heavy Oil'!O77+'Martin Heavy Oil'!O77</f>
        <v>151440429.2796964</v>
      </c>
      <c r="M77" s="22">
        <f t="shared" si="11"/>
        <v>63.871744550732977</v>
      </c>
      <c r="N77" s="55">
        <f t="shared" si="12"/>
        <v>2294935.122596154</v>
      </c>
      <c r="O77" s="55">
        <f t="shared" si="13"/>
        <v>144722794.37138313</v>
      </c>
      <c r="P77" s="32">
        <f t="shared" si="14"/>
        <v>63.061823816468035</v>
      </c>
      <c r="Q77" s="45">
        <f>'Manatee Heavy Oil'!A77+'Martin Heavy Oil'!A77+'Heavy Oil Summary'!K77</f>
        <v>2427008.1875</v>
      </c>
    </row>
    <row r="78" spans="1:17">
      <c r="A78" s="13">
        <v>43831</v>
      </c>
      <c r="B78" s="16">
        <f>'Manatee Heavy Oil'!E78+'Martin Heavy Oil'!E78</f>
        <v>2371008.1875</v>
      </c>
      <c r="C78" s="16">
        <f>'Manatee Heavy Oil'!F78+'Martin Heavy Oil'!F78</f>
        <v>151440429.2796964</v>
      </c>
      <c r="D78" s="14">
        <f t="shared" si="9"/>
        <v>63.871744550732977</v>
      </c>
      <c r="E78" s="46">
        <f>'Manatee Heavy Oil'!H78+'Martin Heavy Oil'!H78</f>
        <v>0</v>
      </c>
      <c r="F78" s="46">
        <f>'Manatee Heavy Oil'!I78+'Martin Heavy Oil'!I78</f>
        <v>0</v>
      </c>
      <c r="G78" s="22">
        <f t="shared" si="15"/>
        <v>0</v>
      </c>
      <c r="H78" s="46">
        <f>'Manatee Heavy Oil'!K78+'Martin Heavy Oil'!K78</f>
        <v>9750.46875</v>
      </c>
      <c r="I78" s="46">
        <f>'Manatee Heavy Oil'!L78+'Martin Heavy Oil'!L78</f>
        <v>614359.70142157888</v>
      </c>
      <c r="J78" s="14">
        <f t="shared" si="10"/>
        <v>63.008222186402975</v>
      </c>
      <c r="K78" s="46">
        <f>'Manatee Heavy Oil'!N78+'Martin Heavy Oil'!N78</f>
        <v>2361257.71875</v>
      </c>
      <c r="L78" s="46">
        <f>'Manatee Heavy Oil'!O78+'Martin Heavy Oil'!O78</f>
        <v>150826069.57827482</v>
      </c>
      <c r="M78" s="22">
        <f t="shared" si="11"/>
        <v>63.87531034016861</v>
      </c>
      <c r="N78" s="55">
        <f t="shared" si="12"/>
        <v>2298913.704326923</v>
      </c>
      <c r="O78" s="55">
        <f t="shared" si="13"/>
        <v>145256347.85663667</v>
      </c>
      <c r="P78" s="32">
        <f t="shared" si="14"/>
        <v>63.184776176348429</v>
      </c>
      <c r="Q78" s="45">
        <f>'Manatee Heavy Oil'!A78+'Martin Heavy Oil'!A78+'Heavy Oil Summary'!K78</f>
        <v>2417257.71875</v>
      </c>
    </row>
    <row r="79" spans="1:17">
      <c r="A79" s="13">
        <v>43862</v>
      </c>
      <c r="B79" s="16">
        <f>'Manatee Heavy Oil'!E79+'Martin Heavy Oil'!E79</f>
        <v>2361257.71875</v>
      </c>
      <c r="C79" s="16">
        <f>'Manatee Heavy Oil'!F79+'Martin Heavy Oil'!F79</f>
        <v>150826069.57827482</v>
      </c>
      <c r="D79" s="14">
        <f t="shared" si="9"/>
        <v>63.87531034016861</v>
      </c>
      <c r="E79" s="46">
        <f>'Manatee Heavy Oil'!H79+'Martin Heavy Oil'!H79</f>
        <v>0</v>
      </c>
      <c r="F79" s="46">
        <f>'Manatee Heavy Oil'!I79+'Martin Heavy Oil'!I79</f>
        <v>0</v>
      </c>
      <c r="G79" s="22">
        <f t="shared" si="15"/>
        <v>0</v>
      </c>
      <c r="H79" s="46">
        <f>'Manatee Heavy Oil'!K79+'Martin Heavy Oil'!K79</f>
        <v>0</v>
      </c>
      <c r="I79" s="46">
        <f>'Manatee Heavy Oil'!L79+'Martin Heavy Oil'!L79</f>
        <v>0</v>
      </c>
      <c r="J79" s="14">
        <f t="shared" si="10"/>
        <v>0</v>
      </c>
      <c r="K79" s="46">
        <f>'Manatee Heavy Oil'!N79+'Martin Heavy Oil'!N79</f>
        <v>2361257.71875</v>
      </c>
      <c r="L79" s="46">
        <f>'Manatee Heavy Oil'!O79+'Martin Heavy Oil'!O79</f>
        <v>150826069.57827482</v>
      </c>
      <c r="M79" s="22">
        <f t="shared" si="11"/>
        <v>63.87531034016861</v>
      </c>
      <c r="N79" s="55">
        <f t="shared" si="12"/>
        <v>2303495.699519231</v>
      </c>
      <c r="O79" s="55">
        <f t="shared" si="13"/>
        <v>145826509.13795212</v>
      </c>
      <c r="P79" s="32">
        <f t="shared" si="14"/>
        <v>63.306612279930881</v>
      </c>
      <c r="Q79" s="45">
        <f>'Manatee Heavy Oil'!A79+'Martin Heavy Oil'!A79+'Heavy Oil Summary'!K79</f>
        <v>2417257.71875</v>
      </c>
    </row>
    <row r="80" spans="1:17">
      <c r="A80" s="13">
        <v>43891</v>
      </c>
      <c r="B80" s="16">
        <f>'Manatee Heavy Oil'!E80+'Martin Heavy Oil'!E80</f>
        <v>2361257.71875</v>
      </c>
      <c r="C80" s="16">
        <f>'Manatee Heavy Oil'!F80+'Martin Heavy Oil'!F80</f>
        <v>150826069.57827482</v>
      </c>
      <c r="D80" s="14">
        <f t="shared" si="9"/>
        <v>63.87531034016861</v>
      </c>
      <c r="E80" s="46">
        <f>'Manatee Heavy Oil'!H80+'Martin Heavy Oil'!H80</f>
        <v>0</v>
      </c>
      <c r="F80" s="46">
        <f>'Manatee Heavy Oil'!I80+'Martin Heavy Oil'!I80</f>
        <v>0</v>
      </c>
      <c r="G80" s="22">
        <f t="shared" si="15"/>
        <v>0</v>
      </c>
      <c r="H80" s="46">
        <f>'Manatee Heavy Oil'!K80+'Martin Heavy Oil'!K80</f>
        <v>33791.25</v>
      </c>
      <c r="I80" s="46">
        <f>'Manatee Heavy Oil'!L80+'Martin Heavy Oil'!L80</f>
        <v>2115400.917174764</v>
      </c>
      <c r="J80" s="14">
        <f t="shared" si="10"/>
        <v>62.602032099279072</v>
      </c>
      <c r="K80" s="46">
        <f>'Manatee Heavy Oil'!N80+'Martin Heavy Oil'!N80</f>
        <v>2327466.46875</v>
      </c>
      <c r="L80" s="46">
        <f>'Manatee Heavy Oil'!O80+'Martin Heavy Oil'!O80</f>
        <v>148710668.66110003</v>
      </c>
      <c r="M80" s="22">
        <f t="shared" si="11"/>
        <v>63.893796390960368</v>
      </c>
      <c r="N80" s="55">
        <f t="shared" si="12"/>
        <v>2305529.6177884615</v>
      </c>
      <c r="O80" s="55">
        <f t="shared" si="13"/>
        <v>146237373.42294171</v>
      </c>
      <c r="P80" s="32">
        <f t="shared" si="14"/>
        <v>63.428971935401691</v>
      </c>
      <c r="Q80" s="45">
        <f>'Manatee Heavy Oil'!A80+'Martin Heavy Oil'!A80+'Heavy Oil Summary'!K80</f>
        <v>2383466.46875</v>
      </c>
    </row>
    <row r="81" spans="1:17">
      <c r="A81" s="13">
        <v>43922</v>
      </c>
      <c r="B81" s="16">
        <f>'Manatee Heavy Oil'!E81+'Martin Heavy Oil'!E81</f>
        <v>2327466.46875</v>
      </c>
      <c r="C81" s="16">
        <f>'Manatee Heavy Oil'!F81+'Martin Heavy Oil'!F81</f>
        <v>148710668.66110003</v>
      </c>
      <c r="D81" s="14">
        <f t="shared" si="9"/>
        <v>63.893796390960368</v>
      </c>
      <c r="E81" s="46">
        <f>'Manatee Heavy Oil'!H81+'Martin Heavy Oil'!H81</f>
        <v>0</v>
      </c>
      <c r="F81" s="46">
        <f>'Manatee Heavy Oil'!I81+'Martin Heavy Oil'!I81</f>
        <v>0</v>
      </c>
      <c r="G81" s="22">
        <f t="shared" si="15"/>
        <v>0</v>
      </c>
      <c r="H81" s="46">
        <f>'Manatee Heavy Oil'!K81+'Martin Heavy Oil'!K81</f>
        <v>39231.5625</v>
      </c>
      <c r="I81" s="46">
        <f>'Manatee Heavy Oil'!L81+'Martin Heavy Oil'!L81</f>
        <v>2399495.0833058874</v>
      </c>
      <c r="J81" s="14">
        <f t="shared" si="10"/>
        <v>61.162363423732799</v>
      </c>
      <c r="K81" s="46">
        <f>'Manatee Heavy Oil'!N81+'Martin Heavy Oil'!N81</f>
        <v>2288234.90625</v>
      </c>
      <c r="L81" s="46">
        <f>'Manatee Heavy Oil'!O81+'Martin Heavy Oil'!O81</f>
        <v>146311173.57779413</v>
      </c>
      <c r="M81" s="22">
        <f t="shared" si="11"/>
        <v>63.940626540642839</v>
      </c>
      <c r="N81" s="55">
        <f t="shared" si="12"/>
        <v>2305429.8221153845</v>
      </c>
      <c r="O81" s="55">
        <f t="shared" si="13"/>
        <v>146517456.04657519</v>
      </c>
      <c r="P81" s="32">
        <f t="shared" si="14"/>
        <v>63.553205845205788</v>
      </c>
      <c r="Q81" s="45">
        <f>'Manatee Heavy Oil'!A81+'Martin Heavy Oil'!A81+'Heavy Oil Summary'!K81</f>
        <v>2344234.90625</v>
      </c>
    </row>
    <row r="82" spans="1:17">
      <c r="A82" s="13">
        <v>43952</v>
      </c>
      <c r="B82" s="16">
        <f>'Manatee Heavy Oil'!E82+'Martin Heavy Oil'!E82</f>
        <v>2288234.90625</v>
      </c>
      <c r="C82" s="16">
        <f>'Manatee Heavy Oil'!F82+'Martin Heavy Oil'!F82</f>
        <v>146311173.57779413</v>
      </c>
      <c r="D82" s="14">
        <f t="shared" si="9"/>
        <v>63.940626540642839</v>
      </c>
      <c r="E82" s="46">
        <f>'Manatee Heavy Oil'!H82+'Martin Heavy Oil'!H82</f>
        <v>0</v>
      </c>
      <c r="F82" s="46">
        <f>'Manatee Heavy Oil'!I82+'Martin Heavy Oil'!I82</f>
        <v>0</v>
      </c>
      <c r="G82" s="22">
        <f t="shared" si="15"/>
        <v>0</v>
      </c>
      <c r="H82" s="46">
        <f>'Manatee Heavy Oil'!K82+'Martin Heavy Oil'!K82</f>
        <v>72740.15625</v>
      </c>
      <c r="I82" s="46">
        <f>'Manatee Heavy Oil'!L82+'Martin Heavy Oil'!L82</f>
        <v>4604232.7134847185</v>
      </c>
      <c r="J82" s="14">
        <f t="shared" si="10"/>
        <v>63.296986848096282</v>
      </c>
      <c r="K82" s="46">
        <f>'Manatee Heavy Oil'!N82+'Martin Heavy Oil'!N82</f>
        <v>2215494.75</v>
      </c>
      <c r="L82" s="46">
        <f>'Manatee Heavy Oil'!O82+'Martin Heavy Oil'!O82</f>
        <v>141706940.86430943</v>
      </c>
      <c r="M82" s="22">
        <f t="shared" si="11"/>
        <v>63.961758819021995</v>
      </c>
      <c r="N82" s="55">
        <f t="shared" si="12"/>
        <v>2295216.408653846</v>
      </c>
      <c r="O82" s="55">
        <f t="shared" si="13"/>
        <v>146121457.84703842</v>
      </c>
      <c r="P82" s="32">
        <f t="shared" si="14"/>
        <v>63.663477350590775</v>
      </c>
      <c r="Q82" s="45">
        <f>'Manatee Heavy Oil'!A82+'Martin Heavy Oil'!A82+'Heavy Oil Summary'!K82</f>
        <v>2271494.75</v>
      </c>
    </row>
    <row r="83" spans="1:17">
      <c r="A83" s="13">
        <v>43983</v>
      </c>
      <c r="B83" s="16">
        <f>'Manatee Heavy Oil'!E83+'Martin Heavy Oil'!E83</f>
        <v>2215494.75</v>
      </c>
      <c r="C83" s="16">
        <f>'Manatee Heavy Oil'!F83+'Martin Heavy Oil'!F83</f>
        <v>141706940.86430943</v>
      </c>
      <c r="D83" s="14">
        <f t="shared" si="9"/>
        <v>63.961758819021995</v>
      </c>
      <c r="E83" s="46">
        <f>'Manatee Heavy Oil'!H83+'Martin Heavy Oil'!H83</f>
        <v>110000</v>
      </c>
      <c r="F83" s="46">
        <f>'Manatee Heavy Oil'!I83+'Martin Heavy Oil'!I83</f>
        <v>8105312.5106427427</v>
      </c>
      <c r="G83" s="22">
        <f t="shared" si="15"/>
        <v>73.684659187661296</v>
      </c>
      <c r="H83" s="46">
        <f>'Manatee Heavy Oil'!K83+'Martin Heavy Oil'!K83</f>
        <v>44750.15625</v>
      </c>
      <c r="I83" s="46">
        <f>'Manatee Heavy Oil'!L83+'Martin Heavy Oil'!L83</f>
        <v>2891782.0206642393</v>
      </c>
      <c r="J83" s="14">
        <f t="shared" si="10"/>
        <v>64.62060164682083</v>
      </c>
      <c r="K83" s="46">
        <f>'Manatee Heavy Oil'!N83+'Martin Heavy Oil'!N83</f>
        <v>2280744.59375</v>
      </c>
      <c r="L83" s="46">
        <f>'Manatee Heavy Oil'!O83+'Martin Heavy Oil'!O83</f>
        <v>146920471.35428792</v>
      </c>
      <c r="M83" s="22">
        <f t="shared" si="11"/>
        <v>64.417765915964011</v>
      </c>
      <c r="N83" s="55">
        <f t="shared" si="12"/>
        <v>2292974.737980769</v>
      </c>
      <c r="O83" s="55">
        <f t="shared" si="13"/>
        <v>146241855.49117881</v>
      </c>
      <c r="P83" s="32">
        <f t="shared" si="14"/>
        <v>63.778223575180675</v>
      </c>
      <c r="Q83" s="45">
        <f>'Manatee Heavy Oil'!A83+'Martin Heavy Oil'!A83+'Heavy Oil Summary'!K83</f>
        <v>2336744.59375</v>
      </c>
    </row>
    <row r="84" spans="1:17">
      <c r="A84" s="13">
        <v>44013</v>
      </c>
      <c r="B84" s="16">
        <f>'Manatee Heavy Oil'!E84+'Martin Heavy Oil'!E84</f>
        <v>2280744.59375</v>
      </c>
      <c r="C84" s="16">
        <f>'Manatee Heavy Oil'!F84+'Martin Heavy Oil'!F84</f>
        <v>146920471.35428792</v>
      </c>
      <c r="D84" s="14">
        <f t="shared" si="9"/>
        <v>64.417765915964011</v>
      </c>
      <c r="E84" s="46">
        <f>'Manatee Heavy Oil'!H84+'Martin Heavy Oil'!H84</f>
        <v>145000</v>
      </c>
      <c r="F84" s="46">
        <f>'Manatee Heavy Oil'!I84+'Martin Heavy Oil'!I84</f>
        <v>10391435.613918034</v>
      </c>
      <c r="G84" s="22">
        <f t="shared" si="15"/>
        <v>71.665073199434715</v>
      </c>
      <c r="H84" s="46">
        <f>'Manatee Heavy Oil'!K84+'Martin Heavy Oil'!K84</f>
        <v>54342.03125</v>
      </c>
      <c r="I84" s="46">
        <f>'Manatee Heavy Oil'!L84+'Martin Heavy Oil'!L84</f>
        <v>3539748.2716844915</v>
      </c>
      <c r="J84" s="14">
        <f t="shared" si="10"/>
        <v>65.13831357167922</v>
      </c>
      <c r="K84" s="46">
        <f>'Manatee Heavy Oil'!N84+'Martin Heavy Oil'!N84</f>
        <v>2371402.5625</v>
      </c>
      <c r="L84" s="46">
        <f>'Manatee Heavy Oil'!O84+'Martin Heavy Oil'!O84</f>
        <v>153772158.69652146</v>
      </c>
      <c r="M84" s="22">
        <f t="shared" si="11"/>
        <v>64.844392566739273</v>
      </c>
      <c r="N84" s="55">
        <f t="shared" si="12"/>
        <v>2302882.9951923075</v>
      </c>
      <c r="O84" s="55">
        <f t="shared" si="13"/>
        <v>147215037.09428862</v>
      </c>
      <c r="P84" s="32">
        <f t="shared" si="14"/>
        <v>63.926407638437176</v>
      </c>
      <c r="Q84" s="45">
        <f>'Manatee Heavy Oil'!A84+'Martin Heavy Oil'!A84+'Heavy Oil Summary'!K84</f>
        <v>2427402.5625</v>
      </c>
    </row>
    <row r="85" spans="1:17">
      <c r="A85" s="13">
        <v>44044</v>
      </c>
      <c r="B85" s="16">
        <f>'Manatee Heavy Oil'!E85+'Martin Heavy Oil'!E85</f>
        <v>2371402.5625</v>
      </c>
      <c r="C85" s="16">
        <f>'Manatee Heavy Oil'!F85+'Martin Heavy Oil'!F85</f>
        <v>153772158.69652146</v>
      </c>
      <c r="D85" s="14">
        <f t="shared" si="9"/>
        <v>64.844392566739273</v>
      </c>
      <c r="E85" s="46">
        <f>'Manatee Heavy Oil'!H85+'Martin Heavy Oil'!H85</f>
        <v>0</v>
      </c>
      <c r="F85" s="46">
        <f>'Manatee Heavy Oil'!I85+'Martin Heavy Oil'!I85</f>
        <v>0</v>
      </c>
      <c r="G85" s="22">
        <f t="shared" si="15"/>
        <v>0</v>
      </c>
      <c r="H85" s="46">
        <f>'Manatee Heavy Oil'!K85+'Martin Heavy Oil'!K85</f>
        <v>89505.78125</v>
      </c>
      <c r="I85" s="46">
        <f>'Manatee Heavy Oil'!L85+'Martin Heavy Oil'!L85</f>
        <v>5756401.2035826501</v>
      </c>
      <c r="J85" s="14">
        <f t="shared" si="10"/>
        <v>64.313177575695988</v>
      </c>
      <c r="K85" s="46">
        <f>'Manatee Heavy Oil'!N85+'Martin Heavy Oil'!N85</f>
        <v>2281896.78125</v>
      </c>
      <c r="L85" s="46">
        <f>'Manatee Heavy Oil'!O85+'Martin Heavy Oil'!O85</f>
        <v>148015757.49293882</v>
      </c>
      <c r="M85" s="22">
        <f t="shared" si="11"/>
        <v>64.865229097635734</v>
      </c>
      <c r="N85" s="55">
        <f t="shared" si="12"/>
        <v>2300833.5240384615</v>
      </c>
      <c r="O85" s="55">
        <f t="shared" si="13"/>
        <v>147365541.10902107</v>
      </c>
      <c r="P85" s="32">
        <f t="shared" si="14"/>
        <v>64.04876301105115</v>
      </c>
      <c r="Q85" s="45">
        <f>'Manatee Heavy Oil'!A85+'Martin Heavy Oil'!A85+'Heavy Oil Summary'!K85</f>
        <v>2337896.78125</v>
      </c>
    </row>
    <row r="86" spans="1:17">
      <c r="A86" s="13">
        <v>44075</v>
      </c>
      <c r="B86" s="16">
        <f>'Manatee Heavy Oil'!E86+'Martin Heavy Oil'!E86</f>
        <v>2281896.78125</v>
      </c>
      <c r="C86" s="16">
        <f>'Manatee Heavy Oil'!F86+'Martin Heavy Oil'!F86</f>
        <v>148015757.49293882</v>
      </c>
      <c r="D86" s="14">
        <f t="shared" si="9"/>
        <v>64.865229097635734</v>
      </c>
      <c r="E86" s="46">
        <f>'Manatee Heavy Oil'!H86+'Martin Heavy Oil'!H86</f>
        <v>255000</v>
      </c>
      <c r="F86" s="46">
        <f>'Manatee Heavy Oil'!I86+'Martin Heavy Oil'!I86</f>
        <v>18229889.034973361</v>
      </c>
      <c r="G86" s="22">
        <f t="shared" si="15"/>
        <v>71.489760921464153</v>
      </c>
      <c r="H86" s="46">
        <f>'Manatee Heavy Oil'!K86+'Martin Heavy Oil'!K86</f>
        <v>109395.625</v>
      </c>
      <c r="I86" s="46">
        <f>'Manatee Heavy Oil'!L86+'Martin Heavy Oil'!L86</f>
        <v>7087192.1110629123</v>
      </c>
      <c r="J86" s="14">
        <f t="shared" si="10"/>
        <v>64.784968421387163</v>
      </c>
      <c r="K86" s="46">
        <f>'Manatee Heavy Oil'!N86+'Martin Heavy Oil'!N86</f>
        <v>2427501.15625</v>
      </c>
      <c r="L86" s="46">
        <f>'Manatee Heavy Oil'!O86+'Martin Heavy Oil'!O86</f>
        <v>159158454.41684926</v>
      </c>
      <c r="M86" s="22">
        <f t="shared" si="11"/>
        <v>65.564728571630013</v>
      </c>
      <c r="N86" s="55">
        <f t="shared" si="12"/>
        <v>2316468.3677884615</v>
      </c>
      <c r="O86" s="55">
        <f t="shared" si="13"/>
        <v>148769470.22205836</v>
      </c>
      <c r="P86" s="32">
        <f t="shared" si="14"/>
        <v>64.222534738986724</v>
      </c>
      <c r="Q86" s="45">
        <f>'Manatee Heavy Oil'!A86+'Martin Heavy Oil'!A86+'Heavy Oil Summary'!K86</f>
        <v>2483501.15625</v>
      </c>
    </row>
    <row r="87" spans="1:17">
      <c r="A87" s="13">
        <v>44105</v>
      </c>
      <c r="B87" s="16">
        <f>'Manatee Heavy Oil'!E87+'Martin Heavy Oil'!E87</f>
        <v>2427501.15625</v>
      </c>
      <c r="C87" s="16">
        <f>'Manatee Heavy Oil'!F87+'Martin Heavy Oil'!F87</f>
        <v>159158454.41684926</v>
      </c>
      <c r="D87" s="14">
        <f t="shared" si="9"/>
        <v>65.564728571630013</v>
      </c>
      <c r="E87" s="46">
        <f>'Manatee Heavy Oil'!H87+'Martin Heavy Oil'!H87</f>
        <v>0</v>
      </c>
      <c r="F87" s="46">
        <f>'Manatee Heavy Oil'!I87+'Martin Heavy Oil'!I87</f>
        <v>0</v>
      </c>
      <c r="G87" s="22">
        <f t="shared" si="15"/>
        <v>0</v>
      </c>
      <c r="H87" s="46">
        <f>'Manatee Heavy Oil'!K87+'Martin Heavy Oil'!K87</f>
        <v>106202.65625</v>
      </c>
      <c r="I87" s="46">
        <f>'Manatee Heavy Oil'!L87+'Martin Heavy Oil'!L87</f>
        <v>6877730.9644543026</v>
      </c>
      <c r="J87" s="14">
        <f t="shared" si="10"/>
        <v>64.760442038890176</v>
      </c>
      <c r="K87" s="46">
        <f>'Manatee Heavy Oil'!N87+'Martin Heavy Oil'!N87</f>
        <v>2321298.5</v>
      </c>
      <c r="L87" s="46">
        <f>'Manatee Heavy Oil'!O87+'Martin Heavy Oil'!O87</f>
        <v>152280723.45239496</v>
      </c>
      <c r="M87" s="22">
        <f t="shared" si="11"/>
        <v>65.601525806523796</v>
      </c>
      <c r="N87" s="55">
        <f t="shared" si="12"/>
        <v>2314362.923076923</v>
      </c>
      <c r="O87" s="55">
        <f t="shared" si="13"/>
        <v>148943917.9727087</v>
      </c>
      <c r="P87" s="32">
        <f t="shared" si="14"/>
        <v>64.35633602991237</v>
      </c>
      <c r="Q87" s="45">
        <f>'Manatee Heavy Oil'!A87+'Martin Heavy Oil'!A87+'Heavy Oil Summary'!K87</f>
        <v>2377298.5</v>
      </c>
    </row>
    <row r="88" spans="1:17" ht="409.6">
      <c r="A88" s="13">
        <v>44136</v>
      </c>
      <c r="B88" s="16">
        <f>'Manatee Heavy Oil'!E88+'Martin Heavy Oil'!E88</f>
        <v>2321298.5</v>
      </c>
      <c r="C88" s="16">
        <f>'Manatee Heavy Oil'!F88+'Martin Heavy Oil'!F88</f>
        <v>152280723.45239496</v>
      </c>
      <c r="D88" s="14">
        <f t="shared" si="9"/>
        <v>65.601525806523796</v>
      </c>
      <c r="E88" s="46">
        <f>'Manatee Heavy Oil'!H88+'Martin Heavy Oil'!H88</f>
        <v>0</v>
      </c>
      <c r="F88" s="46">
        <f>'Manatee Heavy Oil'!I88+'Martin Heavy Oil'!I88</f>
        <v>0</v>
      </c>
      <c r="G88" s="22">
        <f t="shared" si="15"/>
        <v>0</v>
      </c>
      <c r="H88" s="46">
        <f>'Manatee Heavy Oil'!K88+'Martin Heavy Oil'!K88</f>
        <v>5514.84375</v>
      </c>
      <c r="I88" s="46">
        <f>'Manatee Heavy Oil'!L88+'Martin Heavy Oil'!L88</f>
        <v>373033.15737611201</v>
      </c>
      <c r="J88" s="14">
        <f t="shared" si="10"/>
        <v>67.641654829497568</v>
      </c>
      <c r="K88" s="46">
        <f>'Manatee Heavy Oil'!N88+'Martin Heavy Oil'!N88</f>
        <v>2315783.65625</v>
      </c>
      <c r="L88" s="46">
        <f>'Manatee Heavy Oil'!O88+'Martin Heavy Oil'!O88</f>
        <v>151907690.29501885</v>
      </c>
      <c r="M88" s="22">
        <f t="shared" si="11"/>
        <v>65.596667411068253</v>
      </c>
      <c r="N88" s="55">
        <f t="shared" si="12"/>
        <v>2319889.9903846155</v>
      </c>
      <c r="O88" s="55">
        <f t="shared" si="13"/>
        <v>149597190.43304783</v>
      </c>
      <c r="P88" s="32">
        <f t="shared" si="14"/>
        <v>64.484605327447468</v>
      </c>
      <c r="Q88" s="45">
        <f>'Manatee Heavy Oil'!A88+'Martin Heavy Oil'!A88+'Heavy Oil Summary'!K88</f>
        <v>2371783.65625</v>
      </c>
    </row>
    <row r="89" spans="1:17">
      <c r="A89" s="13">
        <v>44166</v>
      </c>
      <c r="B89" s="16">
        <f>'Manatee Heavy Oil'!E89+'Martin Heavy Oil'!E89</f>
        <v>2315783.65625</v>
      </c>
      <c r="C89" s="16">
        <f>'Manatee Heavy Oil'!F89+'Martin Heavy Oil'!F89</f>
        <v>151907690.29501885</v>
      </c>
      <c r="D89" s="14">
        <f t="shared" si="9"/>
        <v>65.596667411068253</v>
      </c>
      <c r="E89" s="46">
        <f>'Manatee Heavy Oil'!H89+'Martin Heavy Oil'!H89</f>
        <v>0</v>
      </c>
      <c r="F89" s="46">
        <f>'Manatee Heavy Oil'!I89+'Martin Heavy Oil'!I89</f>
        <v>0</v>
      </c>
      <c r="G89" s="22">
        <f t="shared" si="15"/>
        <v>0</v>
      </c>
      <c r="H89" s="46">
        <f>'Manatee Heavy Oil'!K89+'Martin Heavy Oil'!K89</f>
        <v>12791.09375</v>
      </c>
      <c r="I89" s="46">
        <f>'Manatee Heavy Oil'!L89+'Martin Heavy Oil'!L89</f>
        <v>808698.46896524052</v>
      </c>
      <c r="J89" s="14">
        <f t="shared" si="10"/>
        <v>63.223558889578193</v>
      </c>
      <c r="K89" s="46">
        <f>'Manatee Heavy Oil'!N89+'Martin Heavy Oil'!N89</f>
        <v>2302992.5625</v>
      </c>
      <c r="L89" s="46">
        <f>'Manatee Heavy Oil'!O89+'Martin Heavy Oil'!O89</f>
        <v>151098991.82605362</v>
      </c>
      <c r="M89" s="22">
        <f t="shared" si="11"/>
        <v>65.609847937167885</v>
      </c>
      <c r="N89" s="55">
        <f t="shared" si="12"/>
        <v>2325103.043269231</v>
      </c>
      <c r="O89" s="55">
        <f t="shared" si="13"/>
        <v>150228892.23642421</v>
      </c>
      <c r="P89" s="32">
        <f t="shared" si="14"/>
        <v>64.611713735144221</v>
      </c>
      <c r="Q89" s="45">
        <f>'Manatee Heavy Oil'!A89+'Martin Heavy Oil'!A89+'Heavy Oil Summary'!K89</f>
        <v>2358992.5625</v>
      </c>
    </row>
  </sheetData>
  <mergeCells count="8">
    <mergeCell ref="N6:P17"/>
    <mergeCell ref="Q6:Q17"/>
    <mergeCell ref="Q4:Q5"/>
    <mergeCell ref="B4:D4"/>
    <mergeCell ref="E4:G4"/>
    <mergeCell ref="H4:J4"/>
    <mergeCell ref="K4:M4"/>
    <mergeCell ref="N4:P4"/>
  </mergeCells>
  <conditionalFormatting sqref="E30:E89">
    <cfRule type="cellIs" dxfId="1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0.59999389629810485"/>
  </sheetPr>
  <dimension ref="A1:S89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4.88671875" style="1" bestFit="1" customWidth="1"/>
    <col min="3" max="3" width="6.5546875" style="1" bestFit="1" customWidth="1"/>
    <col min="4" max="4" width="6.109375" style="1" bestFit="1" customWidth="1"/>
    <col min="5" max="5" width="5.6640625" style="1" bestFit="1" customWidth="1"/>
    <col min="6" max="6" width="7.88671875" style="1" bestFit="1" customWidth="1"/>
    <col min="7" max="7" width="5.33203125" style="1" bestFit="1" customWidth="1"/>
    <col min="8" max="8" width="6.88671875" style="1" bestFit="1" customWidth="1"/>
    <col min="9" max="9" width="9" style="1" bestFit="1" customWidth="1"/>
    <col min="10" max="10" width="5.44140625" style="1" bestFit="1" customWidth="1"/>
    <col min="11" max="11" width="6.33203125" style="1" bestFit="1" customWidth="1"/>
    <col min="12" max="12" width="8.44140625" style="1" bestFit="1" customWidth="1"/>
    <col min="13" max="13" width="5.33203125" style="1" bestFit="1" customWidth="1"/>
    <col min="14" max="14" width="6.33203125" style="1" bestFit="1" customWidth="1"/>
    <col min="15" max="15" width="8.44140625" style="1" bestFit="1" customWidth="1"/>
    <col min="16" max="16" width="5.44140625" style="1" bestFit="1" customWidth="1"/>
    <col min="17" max="17" width="6.33203125" style="1" bestFit="1" customWidth="1"/>
    <col min="18" max="18" width="8.44140625" style="1" bestFit="1" customWidth="1"/>
    <col min="19" max="19" width="5.44140625" style="1" bestFit="1" customWidth="1"/>
    <col min="20" max="16384" width="9.109375" style="1"/>
  </cols>
  <sheetData>
    <row r="1" spans="1:19" s="120" customFormat="1">
      <c r="A1" s="120" t="s">
        <v>64</v>
      </c>
    </row>
    <row r="2" spans="1:19" s="120" customFormat="1">
      <c r="A2" s="120" t="s">
        <v>59</v>
      </c>
    </row>
    <row r="3" spans="1:19">
      <c r="A3" s="1" t="s">
        <v>42</v>
      </c>
    </row>
    <row r="4" spans="1:19">
      <c r="B4" s="17"/>
      <c r="C4" s="18"/>
      <c r="D4" s="19"/>
      <c r="E4" s="106" t="s">
        <v>0</v>
      </c>
      <c r="F4" s="106"/>
      <c r="G4" s="106"/>
      <c r="H4" s="106" t="s">
        <v>1</v>
      </c>
      <c r="I4" s="106"/>
      <c r="J4" s="106"/>
      <c r="K4" s="106" t="s">
        <v>40</v>
      </c>
      <c r="L4" s="106"/>
      <c r="M4" s="106"/>
      <c r="N4" s="106" t="s">
        <v>2</v>
      </c>
      <c r="O4" s="106"/>
      <c r="P4" s="106"/>
      <c r="Q4" s="106" t="s">
        <v>29</v>
      </c>
      <c r="R4" s="106"/>
      <c r="S4" s="106"/>
    </row>
    <row r="5" spans="1:19">
      <c r="A5" s="20" t="s">
        <v>49</v>
      </c>
      <c r="B5" s="20" t="s">
        <v>20</v>
      </c>
      <c r="C5" s="12" t="s">
        <v>12</v>
      </c>
      <c r="D5" s="9" t="s">
        <v>26</v>
      </c>
      <c r="E5" s="11" t="s">
        <v>3</v>
      </c>
      <c r="F5" s="11" t="s">
        <v>27</v>
      </c>
      <c r="G5" s="11" t="s">
        <v>28</v>
      </c>
      <c r="H5" s="11" t="s">
        <v>3</v>
      </c>
      <c r="I5" s="11" t="s">
        <v>27</v>
      </c>
      <c r="J5" s="11" t="s">
        <v>28</v>
      </c>
      <c r="K5" s="11" t="s">
        <v>3</v>
      </c>
      <c r="L5" s="11" t="s">
        <v>27</v>
      </c>
      <c r="M5" s="11" t="s">
        <v>28</v>
      </c>
      <c r="N5" s="11" t="s">
        <v>3</v>
      </c>
      <c r="O5" s="11" t="s">
        <v>27</v>
      </c>
      <c r="P5" s="11" t="s">
        <v>28</v>
      </c>
      <c r="Q5" s="67" t="s">
        <v>3</v>
      </c>
      <c r="R5" s="67" t="s">
        <v>27</v>
      </c>
      <c r="S5" s="67" t="s">
        <v>28</v>
      </c>
    </row>
    <row r="6" spans="1:19">
      <c r="A6" s="21">
        <v>2000</v>
      </c>
      <c r="B6" s="21">
        <v>7500</v>
      </c>
      <c r="C6" s="21">
        <v>101000</v>
      </c>
      <c r="D6" s="49">
        <v>41640</v>
      </c>
      <c r="E6" s="50">
        <v>93413</v>
      </c>
      <c r="F6" s="50">
        <v>8818833.9000000022</v>
      </c>
      <c r="G6" s="53">
        <f>F6/E6</f>
        <v>94.406923019280001</v>
      </c>
      <c r="H6" s="51">
        <v>0</v>
      </c>
      <c r="I6" s="54">
        <v>0</v>
      </c>
      <c r="J6" s="52">
        <f t="shared" ref="J6" si="0">IF(H6=0,0,I6/H6)</f>
        <v>0</v>
      </c>
      <c r="K6" s="54">
        <v>436</v>
      </c>
      <c r="L6" s="54">
        <v>41161.42</v>
      </c>
      <c r="M6" s="53">
        <f t="shared" ref="M6:M29" si="1">IF(K6=0,0,L6/K6)</f>
        <v>94.40692660550458</v>
      </c>
      <c r="N6" s="51">
        <f t="shared" ref="N6:O29" si="2">+E6+H6-K6</f>
        <v>92977</v>
      </c>
      <c r="O6" s="51">
        <f t="shared" si="2"/>
        <v>8777672.4800000023</v>
      </c>
      <c r="P6" s="52">
        <f t="shared" ref="P6:P29" si="3">IF(N6=0,0,O6/N6)</f>
        <v>94.406923002463003</v>
      </c>
      <c r="Q6" s="107"/>
      <c r="R6" s="107"/>
      <c r="S6" s="107"/>
    </row>
    <row r="7" spans="1:19">
      <c r="A7" s="21">
        <v>2000</v>
      </c>
      <c r="B7" s="21">
        <v>7500</v>
      </c>
      <c r="C7" s="21">
        <v>101000</v>
      </c>
      <c r="D7" s="49">
        <v>41671</v>
      </c>
      <c r="E7" s="50">
        <f t="shared" ref="E7:G29" si="4">N6</f>
        <v>92977</v>
      </c>
      <c r="F7" s="50">
        <f t="shared" si="4"/>
        <v>8777672.4800000023</v>
      </c>
      <c r="G7" s="53">
        <f t="shared" si="4"/>
        <v>94.406923002463003</v>
      </c>
      <c r="H7" s="51">
        <v>0</v>
      </c>
      <c r="I7" s="54">
        <v>0</v>
      </c>
      <c r="J7" s="52">
        <f t="shared" ref="J7" si="5">IF(H7=0,0,I7/H7)</f>
        <v>0</v>
      </c>
      <c r="K7" s="54">
        <v>117</v>
      </c>
      <c r="L7" s="54">
        <v>11045.61</v>
      </c>
      <c r="M7" s="53">
        <f t="shared" si="1"/>
        <v>94.406923076923078</v>
      </c>
      <c r="N7" s="51">
        <f t="shared" si="2"/>
        <v>92860</v>
      </c>
      <c r="O7" s="51">
        <f t="shared" si="2"/>
        <v>8766626.8700000029</v>
      </c>
      <c r="P7" s="52">
        <f t="shared" si="3"/>
        <v>94.406923002369183</v>
      </c>
      <c r="Q7" s="107"/>
      <c r="R7" s="107"/>
      <c r="S7" s="107"/>
    </row>
    <row r="8" spans="1:19">
      <c r="A8" s="21">
        <v>2000</v>
      </c>
      <c r="B8" s="21">
        <v>7500</v>
      </c>
      <c r="C8" s="21">
        <v>101000</v>
      </c>
      <c r="D8" s="49">
        <v>41699</v>
      </c>
      <c r="E8" s="50">
        <f t="shared" si="4"/>
        <v>92860</v>
      </c>
      <c r="F8" s="50">
        <f t="shared" si="4"/>
        <v>8766626.8700000029</v>
      </c>
      <c r="G8" s="53">
        <f t="shared" si="4"/>
        <v>94.406923002369183</v>
      </c>
      <c r="H8" s="51">
        <v>0</v>
      </c>
      <c r="I8" s="54">
        <v>0</v>
      </c>
      <c r="J8" s="52">
        <f t="shared" ref="J8" si="6">IF(H8=0,0,I8/H8)</f>
        <v>0</v>
      </c>
      <c r="K8" s="54">
        <v>633</v>
      </c>
      <c r="L8" s="54">
        <v>59759.58</v>
      </c>
      <c r="M8" s="53">
        <f t="shared" si="1"/>
        <v>94.406919431279618</v>
      </c>
      <c r="N8" s="51">
        <f t="shared" si="2"/>
        <v>92227</v>
      </c>
      <c r="O8" s="51">
        <f t="shared" si="2"/>
        <v>8706867.2900000028</v>
      </c>
      <c r="P8" s="52">
        <f t="shared" si="3"/>
        <v>94.406923026879355</v>
      </c>
      <c r="Q8" s="107"/>
      <c r="R8" s="107"/>
      <c r="S8" s="107"/>
    </row>
    <row r="9" spans="1:19">
      <c r="A9" s="21">
        <v>2000</v>
      </c>
      <c r="B9" s="21">
        <v>7500</v>
      </c>
      <c r="C9" s="21">
        <v>101000</v>
      </c>
      <c r="D9" s="49">
        <v>41730</v>
      </c>
      <c r="E9" s="50">
        <f t="shared" si="4"/>
        <v>92227</v>
      </c>
      <c r="F9" s="50">
        <f t="shared" si="4"/>
        <v>8706867.2900000028</v>
      </c>
      <c r="G9" s="53">
        <f t="shared" si="4"/>
        <v>94.406923026879355</v>
      </c>
      <c r="H9" s="51">
        <v>0</v>
      </c>
      <c r="I9" s="54">
        <v>0</v>
      </c>
      <c r="J9" s="52">
        <f t="shared" ref="J9:J14" si="7">IF(H9=0,0,I9/H9)</f>
        <v>0</v>
      </c>
      <c r="K9" s="54">
        <v>134</v>
      </c>
      <c r="L9" s="54">
        <v>12650.52</v>
      </c>
      <c r="M9" s="53">
        <f t="shared" si="1"/>
        <v>94.406865671641796</v>
      </c>
      <c r="N9" s="51">
        <f t="shared" si="2"/>
        <v>92093</v>
      </c>
      <c r="O9" s="51">
        <f t="shared" si="2"/>
        <v>8694216.7700000033</v>
      </c>
      <c r="P9" s="52">
        <f t="shared" si="3"/>
        <v>94.406923110334148</v>
      </c>
      <c r="Q9" s="107"/>
      <c r="R9" s="107"/>
      <c r="S9" s="107"/>
    </row>
    <row r="10" spans="1:19">
      <c r="A10" s="21">
        <v>2000</v>
      </c>
      <c r="B10" s="21">
        <v>7500</v>
      </c>
      <c r="C10" s="21">
        <v>101000</v>
      </c>
      <c r="D10" s="49">
        <v>41760</v>
      </c>
      <c r="E10" s="50">
        <f t="shared" si="4"/>
        <v>92093</v>
      </c>
      <c r="F10" s="50">
        <f t="shared" si="4"/>
        <v>8694216.7700000033</v>
      </c>
      <c r="G10" s="53">
        <f t="shared" si="4"/>
        <v>94.406923110334148</v>
      </c>
      <c r="H10" s="51">
        <v>-1061</v>
      </c>
      <c r="I10" s="54">
        <v>-100826.59</v>
      </c>
      <c r="J10" s="52">
        <f t="shared" si="7"/>
        <v>95.029773798303481</v>
      </c>
      <c r="K10" s="54">
        <v>403</v>
      </c>
      <c r="L10" s="54">
        <v>38043.07</v>
      </c>
      <c r="M10" s="53">
        <f t="shared" si="1"/>
        <v>94.399677419354845</v>
      </c>
      <c r="N10" s="51">
        <f t="shared" si="2"/>
        <v>90629</v>
      </c>
      <c r="O10" s="51">
        <f t="shared" si="2"/>
        <v>8555347.1100000031</v>
      </c>
      <c r="P10" s="52">
        <f t="shared" si="3"/>
        <v>94.399663573469894</v>
      </c>
      <c r="Q10" s="107"/>
      <c r="R10" s="107"/>
      <c r="S10" s="107"/>
    </row>
    <row r="11" spans="1:19">
      <c r="A11" s="21">
        <v>2000</v>
      </c>
      <c r="B11" s="21">
        <v>7500</v>
      </c>
      <c r="C11" s="21">
        <v>101000</v>
      </c>
      <c r="D11" s="49">
        <v>41791</v>
      </c>
      <c r="E11" s="50">
        <f t="shared" si="4"/>
        <v>90629</v>
      </c>
      <c r="F11" s="50">
        <f t="shared" si="4"/>
        <v>8555347.1100000031</v>
      </c>
      <c r="G11" s="53">
        <f t="shared" si="4"/>
        <v>94.399663573469894</v>
      </c>
      <c r="H11" s="51">
        <v>-21079</v>
      </c>
      <c r="I11" s="54">
        <v>-1983242.54</v>
      </c>
      <c r="J11" s="52">
        <f t="shared" si="7"/>
        <v>94.086177712415207</v>
      </c>
      <c r="K11" s="54">
        <v>-95</v>
      </c>
      <c r="L11" s="54">
        <v>-8976.99</v>
      </c>
      <c r="M11" s="53">
        <f t="shared" si="1"/>
        <v>94.494631578947363</v>
      </c>
      <c r="N11" s="51">
        <f t="shared" si="2"/>
        <v>69645</v>
      </c>
      <c r="O11" s="51">
        <f t="shared" si="2"/>
        <v>6581081.5600000033</v>
      </c>
      <c r="P11" s="52">
        <f t="shared" si="3"/>
        <v>94.494673845932994</v>
      </c>
      <c r="Q11" s="107"/>
      <c r="R11" s="107"/>
      <c r="S11" s="107"/>
    </row>
    <row r="12" spans="1:19">
      <c r="A12" s="21">
        <v>2000</v>
      </c>
      <c r="B12" s="21">
        <v>7500</v>
      </c>
      <c r="C12" s="47">
        <v>50000</v>
      </c>
      <c r="D12" s="49">
        <v>41821</v>
      </c>
      <c r="E12" s="50">
        <f t="shared" si="4"/>
        <v>69645</v>
      </c>
      <c r="F12" s="50">
        <f t="shared" si="4"/>
        <v>6581081.5600000033</v>
      </c>
      <c r="G12" s="53">
        <f t="shared" si="4"/>
        <v>94.494673845932994</v>
      </c>
      <c r="H12" s="51">
        <v>-8749</v>
      </c>
      <c r="I12" s="54">
        <v>-825902.66</v>
      </c>
      <c r="J12" s="52">
        <f t="shared" si="7"/>
        <v>94.399663961595621</v>
      </c>
      <c r="K12" s="54">
        <v>187</v>
      </c>
      <c r="L12" s="54">
        <v>17673.05</v>
      </c>
      <c r="M12" s="53">
        <f t="shared" si="1"/>
        <v>94.508288770053468</v>
      </c>
      <c r="N12" s="51">
        <f t="shared" si="2"/>
        <v>60709</v>
      </c>
      <c r="O12" s="51">
        <f t="shared" si="2"/>
        <v>5737505.8500000034</v>
      </c>
      <c r="P12" s="52">
        <f t="shared" si="3"/>
        <v>94.508324136454291</v>
      </c>
      <c r="Q12" s="107"/>
      <c r="R12" s="107"/>
      <c r="S12" s="107"/>
    </row>
    <row r="13" spans="1:19">
      <c r="A13" s="21">
        <v>2000</v>
      </c>
      <c r="B13" s="21">
        <v>7500</v>
      </c>
      <c r="C13" s="47">
        <v>50000</v>
      </c>
      <c r="D13" s="49">
        <v>41852</v>
      </c>
      <c r="E13" s="50">
        <f t="shared" si="4"/>
        <v>60709</v>
      </c>
      <c r="F13" s="50">
        <f t="shared" si="4"/>
        <v>5737505.8500000034</v>
      </c>
      <c r="G13" s="53">
        <f t="shared" si="4"/>
        <v>94.508324136454291</v>
      </c>
      <c r="H13" s="51">
        <v>0</v>
      </c>
      <c r="I13" s="54">
        <v>5185.6000000000004</v>
      </c>
      <c r="J13" s="52">
        <f t="shared" si="7"/>
        <v>0</v>
      </c>
      <c r="K13" s="54">
        <v>89</v>
      </c>
      <c r="L13" s="54">
        <v>8418.85</v>
      </c>
      <c r="M13" s="53">
        <f t="shared" si="1"/>
        <v>94.59382022471911</v>
      </c>
      <c r="N13" s="51">
        <f t="shared" si="2"/>
        <v>60620</v>
      </c>
      <c r="O13" s="51">
        <f t="shared" si="2"/>
        <v>5734272.6000000034</v>
      </c>
      <c r="P13" s="52">
        <f t="shared" si="3"/>
        <v>94.59374133949197</v>
      </c>
      <c r="Q13" s="107"/>
      <c r="R13" s="107"/>
      <c r="S13" s="107"/>
    </row>
    <row r="14" spans="1:19">
      <c r="A14" s="21">
        <v>2000</v>
      </c>
      <c r="B14" s="21">
        <v>7500</v>
      </c>
      <c r="C14" s="47">
        <v>50000</v>
      </c>
      <c r="D14" s="49">
        <v>41883</v>
      </c>
      <c r="E14" s="50">
        <f t="shared" si="4"/>
        <v>60620</v>
      </c>
      <c r="F14" s="50">
        <f t="shared" si="4"/>
        <v>5734272.6000000034</v>
      </c>
      <c r="G14" s="53">
        <f t="shared" si="4"/>
        <v>94.59374133949197</v>
      </c>
      <c r="H14" s="51">
        <v>0</v>
      </c>
      <c r="I14" s="54">
        <v>0</v>
      </c>
      <c r="J14" s="52">
        <f t="shared" si="7"/>
        <v>0</v>
      </c>
      <c r="K14" s="54">
        <v>-37</v>
      </c>
      <c r="L14" s="54">
        <v>-3499.97</v>
      </c>
      <c r="M14" s="53">
        <f t="shared" si="1"/>
        <v>94.593783783783778</v>
      </c>
      <c r="N14" s="51">
        <f t="shared" si="2"/>
        <v>60657</v>
      </c>
      <c r="O14" s="51">
        <f t="shared" si="2"/>
        <v>5737772.5700000031</v>
      </c>
      <c r="P14" s="52">
        <f t="shared" si="3"/>
        <v>94.593741365382442</v>
      </c>
      <c r="Q14" s="107"/>
      <c r="R14" s="107"/>
      <c r="S14" s="107"/>
    </row>
    <row r="15" spans="1:19">
      <c r="A15" s="21">
        <v>2000</v>
      </c>
      <c r="B15" s="21">
        <v>7500</v>
      </c>
      <c r="C15" s="47">
        <v>50000</v>
      </c>
      <c r="D15" s="49">
        <v>41913</v>
      </c>
      <c r="E15" s="50">
        <f t="shared" si="4"/>
        <v>60657</v>
      </c>
      <c r="F15" s="50">
        <f t="shared" si="4"/>
        <v>5737772.5700000031</v>
      </c>
      <c r="G15" s="53">
        <f t="shared" si="4"/>
        <v>94.593741365382442</v>
      </c>
      <c r="H15" s="51">
        <v>0</v>
      </c>
      <c r="I15" s="54">
        <v>0</v>
      </c>
      <c r="J15" s="52">
        <f t="shared" ref="J15:J29" si="8">IF(H15=0,0,I15/H15)</f>
        <v>0</v>
      </c>
      <c r="K15" s="54">
        <v>-97</v>
      </c>
      <c r="L15" s="54">
        <v>-9175.59</v>
      </c>
      <c r="M15" s="53">
        <f t="shared" si="1"/>
        <v>94.593711340206184</v>
      </c>
      <c r="N15" s="51">
        <f t="shared" si="2"/>
        <v>60754</v>
      </c>
      <c r="O15" s="51">
        <f t="shared" si="2"/>
        <v>5746948.1600000029</v>
      </c>
      <c r="P15" s="52">
        <f t="shared" si="3"/>
        <v>94.59374131744417</v>
      </c>
      <c r="Q15" s="107"/>
      <c r="R15" s="107"/>
      <c r="S15" s="107"/>
    </row>
    <row r="16" spans="1:19">
      <c r="A16" s="21">
        <v>2000</v>
      </c>
      <c r="B16" s="21">
        <v>7500</v>
      </c>
      <c r="C16" s="47">
        <v>50000</v>
      </c>
      <c r="D16" s="49">
        <v>41944</v>
      </c>
      <c r="E16" s="50">
        <f t="shared" si="4"/>
        <v>60754</v>
      </c>
      <c r="F16" s="50">
        <f t="shared" si="4"/>
        <v>5746948.1600000029</v>
      </c>
      <c r="G16" s="53">
        <f t="shared" si="4"/>
        <v>94.59374131744417</v>
      </c>
      <c r="H16" s="51">
        <v>0</v>
      </c>
      <c r="I16" s="54">
        <v>0</v>
      </c>
      <c r="J16" s="52">
        <f t="shared" si="8"/>
        <v>0</v>
      </c>
      <c r="K16" s="54">
        <v>1</v>
      </c>
      <c r="L16" s="54">
        <v>94.59</v>
      </c>
      <c r="M16" s="53">
        <f t="shared" si="1"/>
        <v>94.59</v>
      </c>
      <c r="N16" s="51">
        <f t="shared" si="2"/>
        <v>60753</v>
      </c>
      <c r="O16" s="51">
        <f t="shared" si="2"/>
        <v>5746853.5700000031</v>
      </c>
      <c r="P16" s="52">
        <f t="shared" si="3"/>
        <v>94.593741379026596</v>
      </c>
      <c r="Q16" s="107"/>
      <c r="R16" s="107"/>
      <c r="S16" s="107"/>
    </row>
    <row r="17" spans="1:19">
      <c r="A17" s="21">
        <v>0</v>
      </c>
      <c r="B17" s="21">
        <v>0</v>
      </c>
      <c r="C17" s="47">
        <v>0</v>
      </c>
      <c r="D17" s="49">
        <v>41974</v>
      </c>
      <c r="E17" s="50">
        <f t="shared" si="4"/>
        <v>60753</v>
      </c>
      <c r="F17" s="50">
        <f t="shared" si="4"/>
        <v>5746853.5700000031</v>
      </c>
      <c r="G17" s="53">
        <f t="shared" si="4"/>
        <v>94.593741379026596</v>
      </c>
      <c r="H17" s="51">
        <v>2000</v>
      </c>
      <c r="I17" s="54">
        <v>62676.11</v>
      </c>
      <c r="J17" s="52">
        <f t="shared" si="8"/>
        <v>31.338055000000001</v>
      </c>
      <c r="K17" s="54">
        <v>62753</v>
      </c>
      <c r="L17" s="54">
        <v>5809529.6799999997</v>
      </c>
      <c r="M17" s="53">
        <f t="shared" si="1"/>
        <v>92.577720268353701</v>
      </c>
      <c r="N17" s="51">
        <f t="shared" si="2"/>
        <v>0</v>
      </c>
      <c r="O17" s="51">
        <f t="shared" si="2"/>
        <v>0</v>
      </c>
      <c r="P17" s="52">
        <f t="shared" si="3"/>
        <v>0</v>
      </c>
      <c r="Q17" s="107"/>
      <c r="R17" s="107"/>
      <c r="S17" s="107"/>
    </row>
    <row r="18" spans="1:19">
      <c r="A18" s="21">
        <v>0</v>
      </c>
      <c r="B18" s="21">
        <v>0</v>
      </c>
      <c r="C18" s="47">
        <v>0</v>
      </c>
      <c r="D18" s="49">
        <v>42005</v>
      </c>
      <c r="E18" s="50">
        <f t="shared" si="4"/>
        <v>0</v>
      </c>
      <c r="F18" s="50">
        <f t="shared" si="4"/>
        <v>0</v>
      </c>
      <c r="G18" s="53">
        <f t="shared" si="4"/>
        <v>0</v>
      </c>
      <c r="H18" s="51">
        <v>0</v>
      </c>
      <c r="I18" s="54">
        <v>9538.7999999999993</v>
      </c>
      <c r="J18" s="52">
        <f t="shared" si="8"/>
        <v>0</v>
      </c>
      <c r="K18" s="54">
        <v>0</v>
      </c>
      <c r="L18" s="54">
        <v>0</v>
      </c>
      <c r="M18" s="53">
        <f t="shared" si="1"/>
        <v>0</v>
      </c>
      <c r="N18" s="51">
        <f t="shared" si="2"/>
        <v>0</v>
      </c>
      <c r="O18" s="51">
        <f t="shared" si="2"/>
        <v>9538.7999999999993</v>
      </c>
      <c r="P18" s="52">
        <f t="shared" si="3"/>
        <v>0</v>
      </c>
      <c r="Q18" s="54">
        <f t="shared" ref="Q18:R28" si="9">AVERAGE(N6:N18)</f>
        <v>64148</v>
      </c>
      <c r="R18" s="54">
        <f t="shared" si="9"/>
        <v>6061131.0484615406</v>
      </c>
      <c r="S18" s="56">
        <f t="shared" ref="S18:S29" si="10">IF(Q18=0,0,R18/Q18)</f>
        <v>94.486672202742724</v>
      </c>
    </row>
    <row r="19" spans="1:19">
      <c r="A19" s="47">
        <v>0</v>
      </c>
      <c r="B19" s="47">
        <v>0</v>
      </c>
      <c r="C19" s="47">
        <v>0</v>
      </c>
      <c r="D19" s="49">
        <v>42036</v>
      </c>
      <c r="E19" s="50">
        <f t="shared" si="4"/>
        <v>0</v>
      </c>
      <c r="F19" s="50">
        <f t="shared" si="4"/>
        <v>9538.7999999999993</v>
      </c>
      <c r="G19" s="53">
        <f t="shared" si="4"/>
        <v>0</v>
      </c>
      <c r="H19" s="51">
        <v>0</v>
      </c>
      <c r="I19" s="54">
        <v>-9538.7999999999993</v>
      </c>
      <c r="J19" s="52">
        <f t="shared" si="8"/>
        <v>0</v>
      </c>
      <c r="K19" s="54">
        <v>0</v>
      </c>
      <c r="L19" s="54">
        <v>0</v>
      </c>
      <c r="M19" s="53">
        <f t="shared" si="1"/>
        <v>0</v>
      </c>
      <c r="N19" s="51">
        <f t="shared" si="2"/>
        <v>0</v>
      </c>
      <c r="O19" s="51">
        <f t="shared" si="2"/>
        <v>0</v>
      </c>
      <c r="P19" s="52">
        <f t="shared" si="3"/>
        <v>0</v>
      </c>
      <c r="Q19" s="54">
        <f t="shared" si="9"/>
        <v>56995.923076923078</v>
      </c>
      <c r="R19" s="54">
        <f t="shared" si="9"/>
        <v>5385925.4730769247</v>
      </c>
      <c r="S19" s="56">
        <f t="shared" si="10"/>
        <v>94.496679452106591</v>
      </c>
    </row>
    <row r="20" spans="1:19">
      <c r="A20" s="47">
        <v>0</v>
      </c>
      <c r="B20" s="47">
        <v>0</v>
      </c>
      <c r="C20" s="47">
        <v>0</v>
      </c>
      <c r="D20" s="49">
        <v>42064</v>
      </c>
      <c r="E20" s="50">
        <f t="shared" si="4"/>
        <v>0</v>
      </c>
      <c r="F20" s="50">
        <f t="shared" si="4"/>
        <v>0</v>
      </c>
      <c r="G20" s="53">
        <f t="shared" si="4"/>
        <v>0</v>
      </c>
      <c r="H20" s="51">
        <v>0</v>
      </c>
      <c r="I20" s="54">
        <v>0</v>
      </c>
      <c r="J20" s="52">
        <f t="shared" si="8"/>
        <v>0</v>
      </c>
      <c r="K20" s="54">
        <v>0</v>
      </c>
      <c r="L20" s="54">
        <v>0</v>
      </c>
      <c r="M20" s="53">
        <f t="shared" si="1"/>
        <v>0</v>
      </c>
      <c r="N20" s="51">
        <f t="shared" si="2"/>
        <v>0</v>
      </c>
      <c r="O20" s="51">
        <f t="shared" si="2"/>
        <v>0</v>
      </c>
      <c r="P20" s="52">
        <f t="shared" si="3"/>
        <v>0</v>
      </c>
      <c r="Q20" s="54">
        <f t="shared" si="9"/>
        <v>49852.846153846156</v>
      </c>
      <c r="R20" s="54">
        <f t="shared" si="9"/>
        <v>4711569.5600000015</v>
      </c>
      <c r="S20" s="56">
        <f t="shared" si="10"/>
        <v>94.509540046320964</v>
      </c>
    </row>
    <row r="21" spans="1:19">
      <c r="A21" s="47">
        <v>0</v>
      </c>
      <c r="B21" s="47">
        <v>0</v>
      </c>
      <c r="C21" s="47">
        <v>0</v>
      </c>
      <c r="D21" s="49">
        <v>42095</v>
      </c>
      <c r="E21" s="50">
        <f t="shared" si="4"/>
        <v>0</v>
      </c>
      <c r="F21" s="50">
        <f t="shared" si="4"/>
        <v>0</v>
      </c>
      <c r="G21" s="53">
        <f t="shared" si="4"/>
        <v>0</v>
      </c>
      <c r="H21" s="51">
        <v>0</v>
      </c>
      <c r="I21" s="54">
        <v>0</v>
      </c>
      <c r="J21" s="52">
        <f t="shared" si="8"/>
        <v>0</v>
      </c>
      <c r="K21" s="54">
        <v>0</v>
      </c>
      <c r="L21" s="54">
        <v>0</v>
      </c>
      <c r="M21" s="53">
        <f t="shared" si="1"/>
        <v>0</v>
      </c>
      <c r="N21" s="51">
        <f t="shared" si="2"/>
        <v>0</v>
      </c>
      <c r="O21" s="51">
        <f t="shared" si="2"/>
        <v>0</v>
      </c>
      <c r="P21" s="52">
        <f t="shared" si="3"/>
        <v>0</v>
      </c>
      <c r="Q21" s="54">
        <f t="shared" si="9"/>
        <v>42758.461538461539</v>
      </c>
      <c r="R21" s="54">
        <f t="shared" si="9"/>
        <v>4041810.5376923089</v>
      </c>
      <c r="S21" s="56">
        <f t="shared" si="10"/>
        <v>94.526566023818972</v>
      </c>
    </row>
    <row r="22" spans="1:19">
      <c r="A22" s="47">
        <v>0</v>
      </c>
      <c r="B22" s="47">
        <v>0</v>
      </c>
      <c r="C22" s="47">
        <v>0</v>
      </c>
      <c r="D22" s="49">
        <v>42125</v>
      </c>
      <c r="E22" s="50">
        <f t="shared" si="4"/>
        <v>0</v>
      </c>
      <c r="F22" s="50">
        <f t="shared" si="4"/>
        <v>0</v>
      </c>
      <c r="G22" s="53">
        <f t="shared" si="4"/>
        <v>0</v>
      </c>
      <c r="H22" s="51">
        <v>0</v>
      </c>
      <c r="I22" s="54">
        <v>0</v>
      </c>
      <c r="J22" s="52">
        <f t="shared" si="8"/>
        <v>0</v>
      </c>
      <c r="K22" s="54">
        <v>0</v>
      </c>
      <c r="L22" s="54">
        <v>0</v>
      </c>
      <c r="M22" s="53">
        <f t="shared" si="1"/>
        <v>0</v>
      </c>
      <c r="N22" s="51">
        <f t="shared" si="2"/>
        <v>0</v>
      </c>
      <c r="O22" s="51">
        <f t="shared" si="2"/>
        <v>0</v>
      </c>
      <c r="P22" s="52">
        <f t="shared" si="3"/>
        <v>0</v>
      </c>
      <c r="Q22" s="54">
        <f t="shared" si="9"/>
        <v>35674.384615384617</v>
      </c>
      <c r="R22" s="54">
        <f t="shared" si="9"/>
        <v>3373024.6323076934</v>
      </c>
      <c r="S22" s="56">
        <f t="shared" si="10"/>
        <v>94.55032423609272</v>
      </c>
    </row>
    <row r="23" spans="1:19">
      <c r="A23" s="47">
        <v>0</v>
      </c>
      <c r="B23" s="47">
        <v>0</v>
      </c>
      <c r="C23" s="47">
        <v>0</v>
      </c>
      <c r="D23" s="49">
        <v>42156</v>
      </c>
      <c r="E23" s="50">
        <f t="shared" si="4"/>
        <v>0</v>
      </c>
      <c r="F23" s="50">
        <f t="shared" si="4"/>
        <v>0</v>
      </c>
      <c r="G23" s="53">
        <f t="shared" si="4"/>
        <v>0</v>
      </c>
      <c r="H23" s="51">
        <v>0</v>
      </c>
      <c r="I23" s="54">
        <v>0</v>
      </c>
      <c r="J23" s="52">
        <f t="shared" si="8"/>
        <v>0</v>
      </c>
      <c r="K23" s="54">
        <v>0</v>
      </c>
      <c r="L23" s="54">
        <f t="shared" ref="L23:L29" si="11">IF(E23+H23&gt;0,((F23+I23)/(E23+H23)*K23),0)</f>
        <v>0</v>
      </c>
      <c r="M23" s="53">
        <f t="shared" si="1"/>
        <v>0</v>
      </c>
      <c r="N23" s="51">
        <f t="shared" si="2"/>
        <v>0</v>
      </c>
      <c r="O23" s="51">
        <f t="shared" si="2"/>
        <v>0</v>
      </c>
      <c r="P23" s="52">
        <f t="shared" si="3"/>
        <v>0</v>
      </c>
      <c r="Q23" s="54">
        <f t="shared" si="9"/>
        <v>28702.923076923078</v>
      </c>
      <c r="R23" s="54">
        <f t="shared" si="9"/>
        <v>2714921.0084615401</v>
      </c>
      <c r="S23" s="56">
        <f t="shared" si="10"/>
        <v>94.58691719953481</v>
      </c>
    </row>
    <row r="24" spans="1:19">
      <c r="A24" s="47">
        <v>0</v>
      </c>
      <c r="B24" s="47">
        <v>0</v>
      </c>
      <c r="C24" s="47">
        <v>0</v>
      </c>
      <c r="D24" s="49">
        <v>42186</v>
      </c>
      <c r="E24" s="50">
        <f t="shared" si="4"/>
        <v>0</v>
      </c>
      <c r="F24" s="50">
        <f t="shared" si="4"/>
        <v>0</v>
      </c>
      <c r="G24" s="53">
        <f t="shared" si="4"/>
        <v>0</v>
      </c>
      <c r="H24" s="51">
        <v>0</v>
      </c>
      <c r="I24" s="54">
        <v>0</v>
      </c>
      <c r="J24" s="52">
        <f t="shared" si="8"/>
        <v>0</v>
      </c>
      <c r="K24" s="54">
        <v>0</v>
      </c>
      <c r="L24" s="54">
        <f t="shared" si="11"/>
        <v>0</v>
      </c>
      <c r="M24" s="53">
        <f t="shared" si="1"/>
        <v>0</v>
      </c>
      <c r="N24" s="51">
        <f t="shared" si="2"/>
        <v>0</v>
      </c>
      <c r="O24" s="51">
        <f t="shared" si="2"/>
        <v>0</v>
      </c>
      <c r="P24" s="52">
        <f t="shared" si="3"/>
        <v>0</v>
      </c>
      <c r="Q24" s="54">
        <f t="shared" si="9"/>
        <v>23345.615384615383</v>
      </c>
      <c r="R24" s="54">
        <f t="shared" si="9"/>
        <v>2208683.965384617</v>
      </c>
      <c r="S24" s="56">
        <f t="shared" si="10"/>
        <v>94.60808502996781</v>
      </c>
    </row>
    <row r="25" spans="1:19">
      <c r="A25" s="47">
        <v>0</v>
      </c>
      <c r="B25" s="47">
        <v>0</v>
      </c>
      <c r="C25" s="47">
        <v>0</v>
      </c>
      <c r="D25" s="49">
        <v>42217</v>
      </c>
      <c r="E25" s="50">
        <f t="shared" si="4"/>
        <v>0</v>
      </c>
      <c r="F25" s="50">
        <f t="shared" si="4"/>
        <v>0</v>
      </c>
      <c r="G25" s="53">
        <f t="shared" si="4"/>
        <v>0</v>
      </c>
      <c r="H25" s="51">
        <v>0</v>
      </c>
      <c r="I25" s="54">
        <v>0</v>
      </c>
      <c r="J25" s="52">
        <f t="shared" si="8"/>
        <v>0</v>
      </c>
      <c r="K25" s="54">
        <v>0</v>
      </c>
      <c r="L25" s="54">
        <f t="shared" si="11"/>
        <v>0</v>
      </c>
      <c r="M25" s="53">
        <f t="shared" si="1"/>
        <v>0</v>
      </c>
      <c r="N25" s="51">
        <f t="shared" si="2"/>
        <v>0</v>
      </c>
      <c r="O25" s="51">
        <f t="shared" si="2"/>
        <v>0</v>
      </c>
      <c r="P25" s="52">
        <f t="shared" si="3"/>
        <v>0</v>
      </c>
      <c r="Q25" s="54">
        <f t="shared" si="9"/>
        <v>18675.692307692309</v>
      </c>
      <c r="R25" s="54">
        <f t="shared" si="9"/>
        <v>1767337.3615384626</v>
      </c>
      <c r="S25" s="56">
        <f t="shared" si="10"/>
        <v>94.633030595096926</v>
      </c>
    </row>
    <row r="26" spans="1:19">
      <c r="A26" s="47">
        <v>0</v>
      </c>
      <c r="B26" s="47">
        <v>0</v>
      </c>
      <c r="C26" s="47">
        <v>0</v>
      </c>
      <c r="D26" s="49">
        <v>42248</v>
      </c>
      <c r="E26" s="50">
        <f t="shared" si="4"/>
        <v>0</v>
      </c>
      <c r="F26" s="50">
        <f t="shared" si="4"/>
        <v>0</v>
      </c>
      <c r="G26" s="53">
        <f t="shared" si="4"/>
        <v>0</v>
      </c>
      <c r="H26" s="51">
        <v>0</v>
      </c>
      <c r="I26" s="54">
        <v>0</v>
      </c>
      <c r="J26" s="52">
        <f t="shared" si="8"/>
        <v>0</v>
      </c>
      <c r="K26" s="54">
        <v>0</v>
      </c>
      <c r="L26" s="54">
        <f t="shared" si="11"/>
        <v>0</v>
      </c>
      <c r="M26" s="53">
        <f t="shared" si="1"/>
        <v>0</v>
      </c>
      <c r="N26" s="51">
        <f t="shared" si="2"/>
        <v>0</v>
      </c>
      <c r="O26" s="51">
        <f t="shared" si="2"/>
        <v>0</v>
      </c>
      <c r="P26" s="52">
        <f t="shared" si="3"/>
        <v>0</v>
      </c>
      <c r="Q26" s="54">
        <f t="shared" si="9"/>
        <v>14012.615384615385</v>
      </c>
      <c r="R26" s="54">
        <f t="shared" si="9"/>
        <v>1326239.4692307699</v>
      </c>
      <c r="S26" s="56">
        <f t="shared" si="10"/>
        <v>94.646105157989552</v>
      </c>
    </row>
    <row r="27" spans="1:19">
      <c r="A27" s="47">
        <v>0</v>
      </c>
      <c r="B27" s="47">
        <v>0</v>
      </c>
      <c r="C27" s="47">
        <v>0</v>
      </c>
      <c r="D27" s="49">
        <v>42278</v>
      </c>
      <c r="E27" s="50">
        <f t="shared" si="4"/>
        <v>0</v>
      </c>
      <c r="F27" s="50">
        <f t="shared" si="4"/>
        <v>0</v>
      </c>
      <c r="G27" s="53">
        <f t="shared" si="4"/>
        <v>0</v>
      </c>
      <c r="H27" s="51">
        <v>0</v>
      </c>
      <c r="I27" s="54">
        <v>0</v>
      </c>
      <c r="J27" s="52">
        <f t="shared" si="8"/>
        <v>0</v>
      </c>
      <c r="K27" s="54">
        <v>0</v>
      </c>
      <c r="L27" s="54">
        <f t="shared" si="11"/>
        <v>0</v>
      </c>
      <c r="M27" s="53">
        <f t="shared" si="1"/>
        <v>0</v>
      </c>
      <c r="N27" s="51">
        <f t="shared" si="2"/>
        <v>0</v>
      </c>
      <c r="O27" s="51">
        <f t="shared" si="2"/>
        <v>0</v>
      </c>
      <c r="P27" s="52">
        <f t="shared" si="3"/>
        <v>0</v>
      </c>
      <c r="Q27" s="54">
        <f t="shared" si="9"/>
        <v>9346.6923076923085</v>
      </c>
      <c r="R27" s="54">
        <f t="shared" si="9"/>
        <v>884872.34846153902</v>
      </c>
      <c r="S27" s="56">
        <f t="shared" si="10"/>
        <v>94.67224546733938</v>
      </c>
    </row>
    <row r="28" spans="1:19">
      <c r="A28" s="47">
        <v>0</v>
      </c>
      <c r="B28" s="47">
        <v>0</v>
      </c>
      <c r="C28" s="47">
        <v>0</v>
      </c>
      <c r="D28" s="49">
        <v>42309</v>
      </c>
      <c r="E28" s="50">
        <f t="shared" si="4"/>
        <v>0</v>
      </c>
      <c r="F28" s="50">
        <f t="shared" si="4"/>
        <v>0</v>
      </c>
      <c r="G28" s="53">
        <f t="shared" si="4"/>
        <v>0</v>
      </c>
      <c r="H28" s="51">
        <v>0</v>
      </c>
      <c r="I28" s="54">
        <v>0</v>
      </c>
      <c r="J28" s="52">
        <f t="shared" si="8"/>
        <v>0</v>
      </c>
      <c r="K28" s="54">
        <v>0</v>
      </c>
      <c r="L28" s="54">
        <f t="shared" si="11"/>
        <v>0</v>
      </c>
      <c r="M28" s="53">
        <f t="shared" si="1"/>
        <v>0</v>
      </c>
      <c r="N28" s="51">
        <f t="shared" si="2"/>
        <v>0</v>
      </c>
      <c r="O28" s="51">
        <f t="shared" si="2"/>
        <v>0</v>
      </c>
      <c r="P28" s="52">
        <f t="shared" si="3"/>
        <v>0</v>
      </c>
      <c r="Q28" s="54">
        <f t="shared" si="9"/>
        <v>4673.3076923076924</v>
      </c>
      <c r="R28" s="54">
        <f t="shared" si="9"/>
        <v>442799.41307692329</v>
      </c>
      <c r="S28" s="56">
        <f t="shared" si="10"/>
        <v>94.750750909420148</v>
      </c>
    </row>
    <row r="29" spans="1:19">
      <c r="A29" s="47">
        <v>0</v>
      </c>
      <c r="B29" s="47">
        <v>0</v>
      </c>
      <c r="C29" s="47">
        <v>0</v>
      </c>
      <c r="D29" s="49">
        <v>42339</v>
      </c>
      <c r="E29" s="50">
        <f t="shared" si="4"/>
        <v>0</v>
      </c>
      <c r="F29" s="50">
        <f t="shared" si="4"/>
        <v>0</v>
      </c>
      <c r="G29" s="53">
        <f t="shared" si="4"/>
        <v>0</v>
      </c>
      <c r="H29" s="51">
        <v>0</v>
      </c>
      <c r="I29" s="54">
        <v>0</v>
      </c>
      <c r="J29" s="52">
        <f t="shared" si="8"/>
        <v>0</v>
      </c>
      <c r="K29" s="54">
        <v>0</v>
      </c>
      <c r="L29" s="54">
        <f t="shared" si="11"/>
        <v>0</v>
      </c>
      <c r="M29" s="53">
        <f t="shared" si="1"/>
        <v>0</v>
      </c>
      <c r="N29" s="51">
        <f t="shared" si="2"/>
        <v>0</v>
      </c>
      <c r="O29" s="51">
        <f t="shared" si="2"/>
        <v>0</v>
      </c>
      <c r="P29" s="52">
        <f t="shared" si="3"/>
        <v>0</v>
      </c>
      <c r="Q29" s="54">
        <f>AVERAGE(N17:N29)</f>
        <v>0</v>
      </c>
      <c r="R29" s="54">
        <f>AVERAGE(O17:O29)</f>
        <v>733.7538461538461</v>
      </c>
      <c r="S29" s="56">
        <f t="shared" si="10"/>
        <v>0</v>
      </c>
    </row>
    <row r="30" spans="1:19">
      <c r="A30" s="47">
        <v>0</v>
      </c>
      <c r="B30" s="47">
        <v>0</v>
      </c>
      <c r="C30" s="47">
        <v>0</v>
      </c>
      <c r="D30" s="13">
        <v>42370</v>
      </c>
      <c r="E30" s="16">
        <f t="shared" ref="E30:E41" si="12">N29</f>
        <v>0</v>
      </c>
      <c r="F30" s="16">
        <f t="shared" ref="F30:F41" si="13">O29</f>
        <v>0</v>
      </c>
      <c r="G30" s="14">
        <f t="shared" ref="G30:G41" si="14">P29</f>
        <v>0</v>
      </c>
      <c r="H30" s="46">
        <v>0</v>
      </c>
      <c r="I30" s="91">
        <f t="shared" ref="I30:I41" si="15">H30*J30</f>
        <v>0</v>
      </c>
      <c r="J30" s="22">
        <f t="shared" ref="J30:J41" si="16">IF(H30=0,0,I30/H30)</f>
        <v>0</v>
      </c>
      <c r="K30" s="91">
        <v>0</v>
      </c>
      <c r="L30" s="74">
        <f t="shared" ref="L30:L41" si="17">IF(E30+H30&gt;0,((F30+I30)/(E30+H30)*K30),0)</f>
        <v>0</v>
      </c>
      <c r="M30" s="14">
        <f t="shared" ref="M30:M41" si="18">IF(K30=0,0,L30/K30)</f>
        <v>0</v>
      </c>
      <c r="N30" s="46">
        <f t="shared" ref="N30:N41" si="19">+E30+H30-K30</f>
        <v>0</v>
      </c>
      <c r="O30" s="46">
        <f t="shared" ref="O30:O41" si="20">+F30+I30-L30</f>
        <v>0</v>
      </c>
      <c r="P30" s="22">
        <f t="shared" ref="P30:P41" si="21">IF(N30=0,0,O30/N30)</f>
        <v>0</v>
      </c>
      <c r="Q30" s="55">
        <f>AVERAGE(N18:N30)</f>
        <v>0</v>
      </c>
      <c r="R30" s="55">
        <f>AVERAGE(O18:O30)</f>
        <v>733.7538461538461</v>
      </c>
      <c r="S30" s="32">
        <f t="shared" ref="S30:S41" si="22">IF(Q30=0,0,R30/Q30)</f>
        <v>0</v>
      </c>
    </row>
    <row r="31" spans="1:19">
      <c r="A31" s="47">
        <v>0</v>
      </c>
      <c r="B31" s="47">
        <v>0</v>
      </c>
      <c r="C31" s="47">
        <v>0</v>
      </c>
      <c r="D31" s="13">
        <v>42401</v>
      </c>
      <c r="E31" s="16">
        <f t="shared" si="12"/>
        <v>0</v>
      </c>
      <c r="F31" s="16">
        <f t="shared" si="13"/>
        <v>0</v>
      </c>
      <c r="G31" s="14">
        <f t="shared" si="14"/>
        <v>0</v>
      </c>
      <c r="H31" s="46">
        <v>0</v>
      </c>
      <c r="I31" s="91">
        <f t="shared" si="15"/>
        <v>0</v>
      </c>
      <c r="J31" s="22">
        <f t="shared" si="16"/>
        <v>0</v>
      </c>
      <c r="K31" s="91">
        <v>0</v>
      </c>
      <c r="L31" s="74">
        <f t="shared" si="17"/>
        <v>0</v>
      </c>
      <c r="M31" s="14">
        <f t="shared" si="18"/>
        <v>0</v>
      </c>
      <c r="N31" s="46">
        <f t="shared" si="19"/>
        <v>0</v>
      </c>
      <c r="O31" s="46">
        <f t="shared" si="20"/>
        <v>0</v>
      </c>
      <c r="P31" s="22">
        <f t="shared" si="21"/>
        <v>0</v>
      </c>
      <c r="Q31" s="55">
        <f>AVERAGE(N19:N31)</f>
        <v>0</v>
      </c>
      <c r="R31" s="55">
        <f t="shared" ref="R31:R41" si="23">AVERAGE(O19:O31)</f>
        <v>0</v>
      </c>
      <c r="S31" s="32">
        <f t="shared" si="22"/>
        <v>0</v>
      </c>
    </row>
    <row r="32" spans="1:19">
      <c r="A32" s="47">
        <v>0</v>
      </c>
      <c r="B32" s="47">
        <v>0</v>
      </c>
      <c r="C32" s="47">
        <v>0</v>
      </c>
      <c r="D32" s="13">
        <v>42430</v>
      </c>
      <c r="E32" s="16">
        <f t="shared" si="12"/>
        <v>0</v>
      </c>
      <c r="F32" s="16">
        <f t="shared" si="13"/>
        <v>0</v>
      </c>
      <c r="G32" s="14">
        <f t="shared" si="14"/>
        <v>0</v>
      </c>
      <c r="H32" s="46">
        <v>0</v>
      </c>
      <c r="I32" s="91">
        <f t="shared" si="15"/>
        <v>0</v>
      </c>
      <c r="J32" s="22">
        <f t="shared" si="16"/>
        <v>0</v>
      </c>
      <c r="K32" s="91">
        <v>0</v>
      </c>
      <c r="L32" s="74">
        <f t="shared" si="17"/>
        <v>0</v>
      </c>
      <c r="M32" s="14">
        <f t="shared" si="18"/>
        <v>0</v>
      </c>
      <c r="N32" s="46">
        <f t="shared" si="19"/>
        <v>0</v>
      </c>
      <c r="O32" s="46">
        <f t="shared" si="20"/>
        <v>0</v>
      </c>
      <c r="P32" s="22">
        <f t="shared" si="21"/>
        <v>0</v>
      </c>
      <c r="Q32" s="55">
        <f t="shared" ref="Q32:Q41" si="24">AVERAGE(N20:N32)</f>
        <v>0</v>
      </c>
      <c r="R32" s="55">
        <f t="shared" si="23"/>
        <v>0</v>
      </c>
      <c r="S32" s="32">
        <f t="shared" si="22"/>
        <v>0</v>
      </c>
    </row>
    <row r="33" spans="1:19">
      <c r="A33" s="47">
        <v>0</v>
      </c>
      <c r="B33" s="47">
        <v>0</v>
      </c>
      <c r="C33" s="47">
        <v>0</v>
      </c>
      <c r="D33" s="13">
        <v>42461</v>
      </c>
      <c r="E33" s="16">
        <f t="shared" si="12"/>
        <v>0</v>
      </c>
      <c r="F33" s="16">
        <f t="shared" si="13"/>
        <v>0</v>
      </c>
      <c r="G33" s="14">
        <f t="shared" si="14"/>
        <v>0</v>
      </c>
      <c r="H33" s="46">
        <v>0</v>
      </c>
      <c r="I33" s="91">
        <f t="shared" si="15"/>
        <v>0</v>
      </c>
      <c r="J33" s="22">
        <f t="shared" si="16"/>
        <v>0</v>
      </c>
      <c r="K33" s="91">
        <v>0</v>
      </c>
      <c r="L33" s="74">
        <f t="shared" si="17"/>
        <v>0</v>
      </c>
      <c r="M33" s="14">
        <f t="shared" si="18"/>
        <v>0</v>
      </c>
      <c r="N33" s="46">
        <f t="shared" si="19"/>
        <v>0</v>
      </c>
      <c r="O33" s="46">
        <f t="shared" si="20"/>
        <v>0</v>
      </c>
      <c r="P33" s="22">
        <f t="shared" si="21"/>
        <v>0</v>
      </c>
      <c r="Q33" s="55">
        <f t="shared" si="24"/>
        <v>0</v>
      </c>
      <c r="R33" s="55">
        <f t="shared" si="23"/>
        <v>0</v>
      </c>
      <c r="S33" s="32">
        <f t="shared" si="22"/>
        <v>0</v>
      </c>
    </row>
    <row r="34" spans="1:19">
      <c r="A34" s="47">
        <v>0</v>
      </c>
      <c r="B34" s="47">
        <v>0</v>
      </c>
      <c r="C34" s="47">
        <v>0</v>
      </c>
      <c r="D34" s="13">
        <v>42491</v>
      </c>
      <c r="E34" s="16">
        <f t="shared" si="12"/>
        <v>0</v>
      </c>
      <c r="F34" s="16">
        <f t="shared" si="13"/>
        <v>0</v>
      </c>
      <c r="G34" s="14">
        <f t="shared" si="14"/>
        <v>0</v>
      </c>
      <c r="H34" s="46">
        <v>0</v>
      </c>
      <c r="I34" s="91">
        <f t="shared" si="15"/>
        <v>0</v>
      </c>
      <c r="J34" s="22">
        <f t="shared" si="16"/>
        <v>0</v>
      </c>
      <c r="K34" s="91">
        <v>0</v>
      </c>
      <c r="L34" s="74">
        <f t="shared" si="17"/>
        <v>0</v>
      </c>
      <c r="M34" s="14">
        <f t="shared" si="18"/>
        <v>0</v>
      </c>
      <c r="N34" s="46">
        <f t="shared" si="19"/>
        <v>0</v>
      </c>
      <c r="O34" s="46">
        <f t="shared" si="20"/>
        <v>0</v>
      </c>
      <c r="P34" s="22">
        <f t="shared" si="21"/>
        <v>0</v>
      </c>
      <c r="Q34" s="55">
        <f t="shared" si="24"/>
        <v>0</v>
      </c>
      <c r="R34" s="55">
        <f t="shared" si="23"/>
        <v>0</v>
      </c>
      <c r="S34" s="32">
        <f t="shared" si="22"/>
        <v>0</v>
      </c>
    </row>
    <row r="35" spans="1:19">
      <c r="A35" s="47">
        <v>0</v>
      </c>
      <c r="B35" s="47">
        <v>0</v>
      </c>
      <c r="C35" s="47">
        <v>0</v>
      </c>
      <c r="D35" s="13">
        <v>42522</v>
      </c>
      <c r="E35" s="16">
        <f t="shared" si="12"/>
        <v>0</v>
      </c>
      <c r="F35" s="16">
        <f t="shared" si="13"/>
        <v>0</v>
      </c>
      <c r="G35" s="14">
        <f t="shared" si="14"/>
        <v>0</v>
      </c>
      <c r="H35" s="46">
        <v>0</v>
      </c>
      <c r="I35" s="91">
        <f t="shared" si="15"/>
        <v>0</v>
      </c>
      <c r="J35" s="22">
        <f t="shared" si="16"/>
        <v>0</v>
      </c>
      <c r="K35" s="91">
        <v>0</v>
      </c>
      <c r="L35" s="74">
        <f t="shared" si="17"/>
        <v>0</v>
      </c>
      <c r="M35" s="14">
        <f t="shared" si="18"/>
        <v>0</v>
      </c>
      <c r="N35" s="46">
        <f t="shared" si="19"/>
        <v>0</v>
      </c>
      <c r="O35" s="46">
        <f t="shared" si="20"/>
        <v>0</v>
      </c>
      <c r="P35" s="22">
        <f t="shared" si="21"/>
        <v>0</v>
      </c>
      <c r="Q35" s="55">
        <f t="shared" si="24"/>
        <v>0</v>
      </c>
      <c r="R35" s="55">
        <f t="shared" si="23"/>
        <v>0</v>
      </c>
      <c r="S35" s="32">
        <f t="shared" si="22"/>
        <v>0</v>
      </c>
    </row>
    <row r="36" spans="1:19">
      <c r="A36" s="47">
        <v>0</v>
      </c>
      <c r="B36" s="47">
        <v>0</v>
      </c>
      <c r="C36" s="47">
        <v>0</v>
      </c>
      <c r="D36" s="13">
        <v>42552</v>
      </c>
      <c r="E36" s="16">
        <f t="shared" si="12"/>
        <v>0</v>
      </c>
      <c r="F36" s="16">
        <f t="shared" si="13"/>
        <v>0</v>
      </c>
      <c r="G36" s="14">
        <f t="shared" si="14"/>
        <v>0</v>
      </c>
      <c r="H36" s="46">
        <v>0</v>
      </c>
      <c r="I36" s="91">
        <f t="shared" si="15"/>
        <v>0</v>
      </c>
      <c r="J36" s="22">
        <f t="shared" si="16"/>
        <v>0</v>
      </c>
      <c r="K36" s="91">
        <v>0</v>
      </c>
      <c r="L36" s="74">
        <f t="shared" si="17"/>
        <v>0</v>
      </c>
      <c r="M36" s="14">
        <f t="shared" si="18"/>
        <v>0</v>
      </c>
      <c r="N36" s="46">
        <f t="shared" si="19"/>
        <v>0</v>
      </c>
      <c r="O36" s="46">
        <f t="shared" si="20"/>
        <v>0</v>
      </c>
      <c r="P36" s="22">
        <f t="shared" si="21"/>
        <v>0</v>
      </c>
      <c r="Q36" s="55">
        <f t="shared" si="24"/>
        <v>0</v>
      </c>
      <c r="R36" s="55">
        <f t="shared" si="23"/>
        <v>0</v>
      </c>
      <c r="S36" s="32">
        <f t="shared" si="22"/>
        <v>0</v>
      </c>
    </row>
    <row r="37" spans="1:19">
      <c r="A37" s="47">
        <v>0</v>
      </c>
      <c r="B37" s="47">
        <v>0</v>
      </c>
      <c r="C37" s="47">
        <v>0</v>
      </c>
      <c r="D37" s="13">
        <v>42583</v>
      </c>
      <c r="E37" s="16">
        <f t="shared" si="12"/>
        <v>0</v>
      </c>
      <c r="F37" s="16">
        <f t="shared" si="13"/>
        <v>0</v>
      </c>
      <c r="G37" s="14">
        <f t="shared" si="14"/>
        <v>0</v>
      </c>
      <c r="H37" s="46">
        <v>0</v>
      </c>
      <c r="I37" s="91">
        <f t="shared" si="15"/>
        <v>0</v>
      </c>
      <c r="J37" s="22">
        <f t="shared" si="16"/>
        <v>0</v>
      </c>
      <c r="K37" s="91">
        <v>0</v>
      </c>
      <c r="L37" s="74">
        <f t="shared" si="17"/>
        <v>0</v>
      </c>
      <c r="M37" s="14">
        <f t="shared" si="18"/>
        <v>0</v>
      </c>
      <c r="N37" s="46">
        <f t="shared" si="19"/>
        <v>0</v>
      </c>
      <c r="O37" s="46">
        <f t="shared" si="20"/>
        <v>0</v>
      </c>
      <c r="P37" s="22">
        <f t="shared" si="21"/>
        <v>0</v>
      </c>
      <c r="Q37" s="55">
        <f t="shared" si="24"/>
        <v>0</v>
      </c>
      <c r="R37" s="55">
        <f t="shared" si="23"/>
        <v>0</v>
      </c>
      <c r="S37" s="32">
        <f t="shared" si="22"/>
        <v>0</v>
      </c>
    </row>
    <row r="38" spans="1:19">
      <c r="A38" s="47">
        <v>0</v>
      </c>
      <c r="B38" s="47">
        <v>0</v>
      </c>
      <c r="C38" s="47">
        <v>0</v>
      </c>
      <c r="D38" s="13">
        <v>42614</v>
      </c>
      <c r="E38" s="16">
        <f t="shared" si="12"/>
        <v>0</v>
      </c>
      <c r="F38" s="16">
        <f t="shared" si="13"/>
        <v>0</v>
      </c>
      <c r="G38" s="14">
        <f t="shared" si="14"/>
        <v>0</v>
      </c>
      <c r="H38" s="46">
        <v>0</v>
      </c>
      <c r="I38" s="91">
        <f t="shared" si="15"/>
        <v>0</v>
      </c>
      <c r="J38" s="22">
        <f t="shared" si="16"/>
        <v>0</v>
      </c>
      <c r="K38" s="91">
        <v>0</v>
      </c>
      <c r="L38" s="74">
        <f t="shared" si="17"/>
        <v>0</v>
      </c>
      <c r="M38" s="14">
        <f t="shared" si="18"/>
        <v>0</v>
      </c>
      <c r="N38" s="46">
        <f t="shared" si="19"/>
        <v>0</v>
      </c>
      <c r="O38" s="46">
        <f t="shared" si="20"/>
        <v>0</v>
      </c>
      <c r="P38" s="22">
        <f t="shared" si="21"/>
        <v>0</v>
      </c>
      <c r="Q38" s="55">
        <f t="shared" si="24"/>
        <v>0</v>
      </c>
      <c r="R38" s="55">
        <f t="shared" si="23"/>
        <v>0</v>
      </c>
      <c r="S38" s="32">
        <f t="shared" si="22"/>
        <v>0</v>
      </c>
    </row>
    <row r="39" spans="1:19">
      <c r="A39" s="47">
        <v>0</v>
      </c>
      <c r="B39" s="47">
        <v>0</v>
      </c>
      <c r="C39" s="47">
        <v>0</v>
      </c>
      <c r="D39" s="13">
        <v>42644</v>
      </c>
      <c r="E39" s="16">
        <f t="shared" si="12"/>
        <v>0</v>
      </c>
      <c r="F39" s="16">
        <f t="shared" si="13"/>
        <v>0</v>
      </c>
      <c r="G39" s="14">
        <f t="shared" si="14"/>
        <v>0</v>
      </c>
      <c r="H39" s="46">
        <v>0</v>
      </c>
      <c r="I39" s="91">
        <f t="shared" si="15"/>
        <v>0</v>
      </c>
      <c r="J39" s="22">
        <f t="shared" si="16"/>
        <v>0</v>
      </c>
      <c r="K39" s="91">
        <v>0</v>
      </c>
      <c r="L39" s="74">
        <f t="shared" si="17"/>
        <v>0</v>
      </c>
      <c r="M39" s="14">
        <f t="shared" si="18"/>
        <v>0</v>
      </c>
      <c r="N39" s="46">
        <f t="shared" si="19"/>
        <v>0</v>
      </c>
      <c r="O39" s="46">
        <f t="shared" si="20"/>
        <v>0</v>
      </c>
      <c r="P39" s="22">
        <f t="shared" si="21"/>
        <v>0</v>
      </c>
      <c r="Q39" s="55">
        <f t="shared" si="24"/>
        <v>0</v>
      </c>
      <c r="R39" s="55">
        <f t="shared" si="23"/>
        <v>0</v>
      </c>
      <c r="S39" s="32">
        <f t="shared" si="22"/>
        <v>0</v>
      </c>
    </row>
    <row r="40" spans="1:19">
      <c r="A40" s="47">
        <v>0</v>
      </c>
      <c r="B40" s="47">
        <v>0</v>
      </c>
      <c r="C40" s="47">
        <v>0</v>
      </c>
      <c r="D40" s="13">
        <v>42675</v>
      </c>
      <c r="E40" s="16">
        <f t="shared" si="12"/>
        <v>0</v>
      </c>
      <c r="F40" s="16">
        <f t="shared" si="13"/>
        <v>0</v>
      </c>
      <c r="G40" s="14">
        <f t="shared" si="14"/>
        <v>0</v>
      </c>
      <c r="H40" s="46">
        <v>0</v>
      </c>
      <c r="I40" s="91">
        <f t="shared" si="15"/>
        <v>0</v>
      </c>
      <c r="J40" s="22">
        <f t="shared" si="16"/>
        <v>0</v>
      </c>
      <c r="K40" s="91">
        <v>0</v>
      </c>
      <c r="L40" s="74">
        <f t="shared" si="17"/>
        <v>0</v>
      </c>
      <c r="M40" s="14">
        <f t="shared" si="18"/>
        <v>0</v>
      </c>
      <c r="N40" s="46">
        <f t="shared" si="19"/>
        <v>0</v>
      </c>
      <c r="O40" s="46">
        <f t="shared" si="20"/>
        <v>0</v>
      </c>
      <c r="P40" s="22">
        <f t="shared" si="21"/>
        <v>0</v>
      </c>
      <c r="Q40" s="55">
        <f t="shared" si="24"/>
        <v>0</v>
      </c>
      <c r="R40" s="55">
        <f t="shared" si="23"/>
        <v>0</v>
      </c>
      <c r="S40" s="32">
        <f t="shared" si="22"/>
        <v>0</v>
      </c>
    </row>
    <row r="41" spans="1:19">
      <c r="A41" s="47">
        <v>0</v>
      </c>
      <c r="B41" s="47">
        <v>0</v>
      </c>
      <c r="C41" s="47">
        <v>0</v>
      </c>
      <c r="D41" s="13">
        <v>42705</v>
      </c>
      <c r="E41" s="16">
        <f t="shared" si="12"/>
        <v>0</v>
      </c>
      <c r="F41" s="16">
        <f t="shared" si="13"/>
        <v>0</v>
      </c>
      <c r="G41" s="14">
        <f t="shared" si="14"/>
        <v>0</v>
      </c>
      <c r="H41" s="46">
        <v>0</v>
      </c>
      <c r="I41" s="91">
        <f t="shared" si="15"/>
        <v>0</v>
      </c>
      <c r="J41" s="22">
        <f t="shared" si="16"/>
        <v>0</v>
      </c>
      <c r="K41" s="91">
        <v>0</v>
      </c>
      <c r="L41" s="74">
        <f t="shared" si="17"/>
        <v>0</v>
      </c>
      <c r="M41" s="14">
        <f t="shared" si="18"/>
        <v>0</v>
      </c>
      <c r="N41" s="46">
        <f t="shared" si="19"/>
        <v>0</v>
      </c>
      <c r="O41" s="46">
        <f t="shared" si="20"/>
        <v>0</v>
      </c>
      <c r="P41" s="22">
        <f t="shared" si="21"/>
        <v>0</v>
      </c>
      <c r="Q41" s="55">
        <f t="shared" si="24"/>
        <v>0</v>
      </c>
      <c r="R41" s="55">
        <f t="shared" si="23"/>
        <v>0</v>
      </c>
      <c r="S41" s="32">
        <f t="shared" si="22"/>
        <v>0</v>
      </c>
    </row>
    <row r="42" spans="1:19">
      <c r="A42" s="47">
        <v>0</v>
      </c>
      <c r="B42" s="47">
        <v>0</v>
      </c>
      <c r="C42" s="47">
        <v>0</v>
      </c>
      <c r="D42" s="13">
        <v>42736</v>
      </c>
      <c r="E42" s="16">
        <f t="shared" ref="E42:E89" si="25">N41</f>
        <v>0</v>
      </c>
      <c r="F42" s="16">
        <f t="shared" ref="F42:F89" si="26">O41</f>
        <v>0</v>
      </c>
      <c r="G42" s="14">
        <f t="shared" ref="G42:G89" si="27">P41</f>
        <v>0</v>
      </c>
      <c r="H42" s="46">
        <v>0</v>
      </c>
      <c r="I42" s="92">
        <f t="shared" ref="I42:I89" si="28">H42*J42</f>
        <v>0</v>
      </c>
      <c r="J42" s="22">
        <f t="shared" ref="J42:J89" si="29">IF(H42=0,0,I42/H42)</f>
        <v>0</v>
      </c>
      <c r="K42" s="92">
        <v>0</v>
      </c>
      <c r="L42" s="92">
        <f t="shared" ref="L42:L89" si="30">IF(E42+H42&gt;0,((F42+I42)/(E42+H42)*K42),0)</f>
        <v>0</v>
      </c>
      <c r="M42" s="14">
        <f t="shared" ref="M42:M89" si="31">IF(K42=0,0,L42/K42)</f>
        <v>0</v>
      </c>
      <c r="N42" s="46">
        <f t="shared" ref="N42:N89" si="32">+E42+H42-K42</f>
        <v>0</v>
      </c>
      <c r="O42" s="46">
        <f t="shared" ref="O42:O89" si="33">+F42+I42-L42</f>
        <v>0</v>
      </c>
      <c r="P42" s="22">
        <f t="shared" ref="P42:P89" si="34">IF(N42=0,0,O42/N42)</f>
        <v>0</v>
      </c>
      <c r="Q42" s="55">
        <f t="shared" ref="Q42:Q89" si="35">AVERAGE(N30:N42)</f>
        <v>0</v>
      </c>
      <c r="R42" s="55">
        <f t="shared" ref="R42:R89" si="36">AVERAGE(O30:O42)</f>
        <v>0</v>
      </c>
      <c r="S42" s="32">
        <f t="shared" ref="S42:S89" si="37">IF(Q42=0,0,R42/Q42)</f>
        <v>0</v>
      </c>
    </row>
    <row r="43" spans="1:19">
      <c r="A43" s="47">
        <v>0</v>
      </c>
      <c r="B43" s="47">
        <v>0</v>
      </c>
      <c r="C43" s="47">
        <v>0</v>
      </c>
      <c r="D43" s="13">
        <v>42767</v>
      </c>
      <c r="E43" s="16">
        <f t="shared" si="25"/>
        <v>0</v>
      </c>
      <c r="F43" s="16">
        <f t="shared" si="26"/>
        <v>0</v>
      </c>
      <c r="G43" s="14">
        <f t="shared" si="27"/>
        <v>0</v>
      </c>
      <c r="H43" s="46">
        <v>0</v>
      </c>
      <c r="I43" s="92">
        <f t="shared" si="28"/>
        <v>0</v>
      </c>
      <c r="J43" s="22">
        <f t="shared" si="29"/>
        <v>0</v>
      </c>
      <c r="K43" s="92">
        <v>0</v>
      </c>
      <c r="L43" s="92">
        <f t="shared" si="30"/>
        <v>0</v>
      </c>
      <c r="M43" s="14">
        <f t="shared" si="31"/>
        <v>0</v>
      </c>
      <c r="N43" s="46">
        <f t="shared" si="32"/>
        <v>0</v>
      </c>
      <c r="O43" s="46">
        <f t="shared" si="33"/>
        <v>0</v>
      </c>
      <c r="P43" s="22">
        <f t="shared" si="34"/>
        <v>0</v>
      </c>
      <c r="Q43" s="55">
        <f t="shared" si="35"/>
        <v>0</v>
      </c>
      <c r="R43" s="55">
        <f t="shared" si="36"/>
        <v>0</v>
      </c>
      <c r="S43" s="32">
        <f t="shared" si="37"/>
        <v>0</v>
      </c>
    </row>
    <row r="44" spans="1:19">
      <c r="A44" s="47">
        <v>0</v>
      </c>
      <c r="B44" s="47">
        <v>0</v>
      </c>
      <c r="C44" s="47">
        <v>0</v>
      </c>
      <c r="D44" s="13">
        <v>42795</v>
      </c>
      <c r="E44" s="16">
        <f t="shared" si="25"/>
        <v>0</v>
      </c>
      <c r="F44" s="16">
        <f t="shared" si="26"/>
        <v>0</v>
      </c>
      <c r="G44" s="14">
        <f t="shared" si="27"/>
        <v>0</v>
      </c>
      <c r="H44" s="46">
        <v>0</v>
      </c>
      <c r="I44" s="92">
        <f t="shared" si="28"/>
        <v>0</v>
      </c>
      <c r="J44" s="22">
        <f t="shared" si="29"/>
        <v>0</v>
      </c>
      <c r="K44" s="92">
        <v>0</v>
      </c>
      <c r="L44" s="92">
        <f t="shared" si="30"/>
        <v>0</v>
      </c>
      <c r="M44" s="14">
        <f t="shared" si="31"/>
        <v>0</v>
      </c>
      <c r="N44" s="46">
        <f t="shared" si="32"/>
        <v>0</v>
      </c>
      <c r="O44" s="46">
        <f t="shared" si="33"/>
        <v>0</v>
      </c>
      <c r="P44" s="22">
        <f t="shared" si="34"/>
        <v>0</v>
      </c>
      <c r="Q44" s="55">
        <f t="shared" si="35"/>
        <v>0</v>
      </c>
      <c r="R44" s="55">
        <f t="shared" si="36"/>
        <v>0</v>
      </c>
      <c r="S44" s="32">
        <f t="shared" si="37"/>
        <v>0</v>
      </c>
    </row>
    <row r="45" spans="1:19">
      <c r="A45" s="47">
        <v>0</v>
      </c>
      <c r="B45" s="47">
        <v>0</v>
      </c>
      <c r="C45" s="47">
        <v>0</v>
      </c>
      <c r="D45" s="13">
        <v>42826</v>
      </c>
      <c r="E45" s="16">
        <f t="shared" si="25"/>
        <v>0</v>
      </c>
      <c r="F45" s="16">
        <f t="shared" si="26"/>
        <v>0</v>
      </c>
      <c r="G45" s="14">
        <f t="shared" si="27"/>
        <v>0</v>
      </c>
      <c r="H45" s="46">
        <v>0</v>
      </c>
      <c r="I45" s="92">
        <f t="shared" si="28"/>
        <v>0</v>
      </c>
      <c r="J45" s="22">
        <f t="shared" si="29"/>
        <v>0</v>
      </c>
      <c r="K45" s="92">
        <v>0</v>
      </c>
      <c r="L45" s="92">
        <f t="shared" si="30"/>
        <v>0</v>
      </c>
      <c r="M45" s="14">
        <f t="shared" si="31"/>
        <v>0</v>
      </c>
      <c r="N45" s="46">
        <f t="shared" si="32"/>
        <v>0</v>
      </c>
      <c r="O45" s="46">
        <f t="shared" si="33"/>
        <v>0</v>
      </c>
      <c r="P45" s="22">
        <f t="shared" si="34"/>
        <v>0</v>
      </c>
      <c r="Q45" s="55">
        <f t="shared" si="35"/>
        <v>0</v>
      </c>
      <c r="R45" s="55">
        <f t="shared" si="36"/>
        <v>0</v>
      </c>
      <c r="S45" s="32">
        <f t="shared" si="37"/>
        <v>0</v>
      </c>
    </row>
    <row r="46" spans="1:19">
      <c r="A46" s="47">
        <v>0</v>
      </c>
      <c r="B46" s="47">
        <v>0</v>
      </c>
      <c r="C46" s="47">
        <v>0</v>
      </c>
      <c r="D46" s="13">
        <v>42856</v>
      </c>
      <c r="E46" s="16">
        <f t="shared" si="25"/>
        <v>0</v>
      </c>
      <c r="F46" s="16">
        <f t="shared" si="26"/>
        <v>0</v>
      </c>
      <c r="G46" s="14">
        <f t="shared" si="27"/>
        <v>0</v>
      </c>
      <c r="H46" s="46">
        <v>0</v>
      </c>
      <c r="I46" s="92">
        <f t="shared" si="28"/>
        <v>0</v>
      </c>
      <c r="J46" s="22">
        <f t="shared" si="29"/>
        <v>0</v>
      </c>
      <c r="K46" s="92">
        <v>0</v>
      </c>
      <c r="L46" s="92">
        <f t="shared" si="30"/>
        <v>0</v>
      </c>
      <c r="M46" s="14">
        <f t="shared" si="31"/>
        <v>0</v>
      </c>
      <c r="N46" s="46">
        <f t="shared" si="32"/>
        <v>0</v>
      </c>
      <c r="O46" s="46">
        <f t="shared" si="33"/>
        <v>0</v>
      </c>
      <c r="P46" s="22">
        <f t="shared" si="34"/>
        <v>0</v>
      </c>
      <c r="Q46" s="55">
        <f t="shared" si="35"/>
        <v>0</v>
      </c>
      <c r="R46" s="55">
        <f t="shared" si="36"/>
        <v>0</v>
      </c>
      <c r="S46" s="32">
        <f t="shared" si="37"/>
        <v>0</v>
      </c>
    </row>
    <row r="47" spans="1:19">
      <c r="A47" s="47">
        <v>0</v>
      </c>
      <c r="B47" s="47">
        <v>0</v>
      </c>
      <c r="C47" s="47">
        <v>0</v>
      </c>
      <c r="D47" s="13">
        <v>42887</v>
      </c>
      <c r="E47" s="16">
        <f t="shared" si="25"/>
        <v>0</v>
      </c>
      <c r="F47" s="16">
        <f t="shared" si="26"/>
        <v>0</v>
      </c>
      <c r="G47" s="14">
        <f t="shared" si="27"/>
        <v>0</v>
      </c>
      <c r="H47" s="46">
        <v>0</v>
      </c>
      <c r="I47" s="92">
        <f t="shared" si="28"/>
        <v>0</v>
      </c>
      <c r="J47" s="22">
        <f t="shared" si="29"/>
        <v>0</v>
      </c>
      <c r="K47" s="92">
        <v>0</v>
      </c>
      <c r="L47" s="92">
        <f t="shared" si="30"/>
        <v>0</v>
      </c>
      <c r="M47" s="14">
        <f t="shared" si="31"/>
        <v>0</v>
      </c>
      <c r="N47" s="46">
        <f t="shared" si="32"/>
        <v>0</v>
      </c>
      <c r="O47" s="46">
        <f t="shared" si="33"/>
        <v>0</v>
      </c>
      <c r="P47" s="22">
        <f t="shared" si="34"/>
        <v>0</v>
      </c>
      <c r="Q47" s="55">
        <f t="shared" si="35"/>
        <v>0</v>
      </c>
      <c r="R47" s="55">
        <f t="shared" si="36"/>
        <v>0</v>
      </c>
      <c r="S47" s="32">
        <f t="shared" si="37"/>
        <v>0</v>
      </c>
    </row>
    <row r="48" spans="1:19">
      <c r="A48" s="47">
        <v>0</v>
      </c>
      <c r="B48" s="47">
        <v>0</v>
      </c>
      <c r="C48" s="47">
        <v>0</v>
      </c>
      <c r="D48" s="13">
        <v>42917</v>
      </c>
      <c r="E48" s="16">
        <f t="shared" si="25"/>
        <v>0</v>
      </c>
      <c r="F48" s="16">
        <f t="shared" si="26"/>
        <v>0</v>
      </c>
      <c r="G48" s="14">
        <f t="shared" si="27"/>
        <v>0</v>
      </c>
      <c r="H48" s="46">
        <v>0</v>
      </c>
      <c r="I48" s="92">
        <f t="shared" si="28"/>
        <v>0</v>
      </c>
      <c r="J48" s="22">
        <f t="shared" si="29"/>
        <v>0</v>
      </c>
      <c r="K48" s="92">
        <v>0</v>
      </c>
      <c r="L48" s="92">
        <f t="shared" si="30"/>
        <v>0</v>
      </c>
      <c r="M48" s="14">
        <f t="shared" si="31"/>
        <v>0</v>
      </c>
      <c r="N48" s="46">
        <f t="shared" si="32"/>
        <v>0</v>
      </c>
      <c r="O48" s="46">
        <f t="shared" si="33"/>
        <v>0</v>
      </c>
      <c r="P48" s="22">
        <f t="shared" si="34"/>
        <v>0</v>
      </c>
      <c r="Q48" s="55">
        <f t="shared" si="35"/>
        <v>0</v>
      </c>
      <c r="R48" s="55">
        <f t="shared" si="36"/>
        <v>0</v>
      </c>
      <c r="S48" s="32">
        <f t="shared" si="37"/>
        <v>0</v>
      </c>
    </row>
    <row r="49" spans="1:19">
      <c r="A49" s="47">
        <v>0</v>
      </c>
      <c r="B49" s="47">
        <v>0</v>
      </c>
      <c r="C49" s="47">
        <v>0</v>
      </c>
      <c r="D49" s="13">
        <v>42948</v>
      </c>
      <c r="E49" s="16">
        <f t="shared" si="25"/>
        <v>0</v>
      </c>
      <c r="F49" s="16">
        <f t="shared" si="26"/>
        <v>0</v>
      </c>
      <c r="G49" s="14">
        <f t="shared" si="27"/>
        <v>0</v>
      </c>
      <c r="H49" s="46">
        <v>0</v>
      </c>
      <c r="I49" s="92">
        <f t="shared" si="28"/>
        <v>0</v>
      </c>
      <c r="J49" s="22">
        <f t="shared" si="29"/>
        <v>0</v>
      </c>
      <c r="K49" s="92">
        <v>0</v>
      </c>
      <c r="L49" s="92">
        <f t="shared" si="30"/>
        <v>0</v>
      </c>
      <c r="M49" s="14">
        <f t="shared" si="31"/>
        <v>0</v>
      </c>
      <c r="N49" s="46">
        <f t="shared" si="32"/>
        <v>0</v>
      </c>
      <c r="O49" s="46">
        <f t="shared" si="33"/>
        <v>0</v>
      </c>
      <c r="P49" s="22">
        <f t="shared" si="34"/>
        <v>0</v>
      </c>
      <c r="Q49" s="55">
        <f t="shared" si="35"/>
        <v>0</v>
      </c>
      <c r="R49" s="55">
        <f t="shared" si="36"/>
        <v>0</v>
      </c>
      <c r="S49" s="32">
        <f t="shared" si="37"/>
        <v>0</v>
      </c>
    </row>
    <row r="50" spans="1:19">
      <c r="A50" s="47">
        <v>0</v>
      </c>
      <c r="B50" s="47">
        <v>0</v>
      </c>
      <c r="C50" s="47">
        <v>0</v>
      </c>
      <c r="D50" s="13">
        <v>42979</v>
      </c>
      <c r="E50" s="16">
        <f t="shared" si="25"/>
        <v>0</v>
      </c>
      <c r="F50" s="16">
        <f t="shared" si="26"/>
        <v>0</v>
      </c>
      <c r="G50" s="14">
        <f t="shared" si="27"/>
        <v>0</v>
      </c>
      <c r="H50" s="46">
        <v>0</v>
      </c>
      <c r="I50" s="92">
        <f t="shared" si="28"/>
        <v>0</v>
      </c>
      <c r="J50" s="22">
        <f t="shared" si="29"/>
        <v>0</v>
      </c>
      <c r="K50" s="92">
        <v>0</v>
      </c>
      <c r="L50" s="92">
        <f t="shared" si="30"/>
        <v>0</v>
      </c>
      <c r="M50" s="14">
        <f t="shared" si="31"/>
        <v>0</v>
      </c>
      <c r="N50" s="46">
        <f t="shared" si="32"/>
        <v>0</v>
      </c>
      <c r="O50" s="46">
        <f t="shared" si="33"/>
        <v>0</v>
      </c>
      <c r="P50" s="22">
        <f t="shared" si="34"/>
        <v>0</v>
      </c>
      <c r="Q50" s="55">
        <f t="shared" si="35"/>
        <v>0</v>
      </c>
      <c r="R50" s="55">
        <f t="shared" si="36"/>
        <v>0</v>
      </c>
      <c r="S50" s="32">
        <f t="shared" si="37"/>
        <v>0</v>
      </c>
    </row>
    <row r="51" spans="1:19">
      <c r="A51" s="47">
        <v>0</v>
      </c>
      <c r="B51" s="47">
        <v>0</v>
      </c>
      <c r="C51" s="47">
        <v>0</v>
      </c>
      <c r="D51" s="13">
        <v>43009</v>
      </c>
      <c r="E51" s="16">
        <f t="shared" si="25"/>
        <v>0</v>
      </c>
      <c r="F51" s="16">
        <f t="shared" si="26"/>
        <v>0</v>
      </c>
      <c r="G51" s="14">
        <f t="shared" si="27"/>
        <v>0</v>
      </c>
      <c r="H51" s="46">
        <v>0</v>
      </c>
      <c r="I51" s="92">
        <f t="shared" si="28"/>
        <v>0</v>
      </c>
      <c r="J51" s="22">
        <f t="shared" si="29"/>
        <v>0</v>
      </c>
      <c r="K51" s="92">
        <v>0</v>
      </c>
      <c r="L51" s="92">
        <f t="shared" si="30"/>
        <v>0</v>
      </c>
      <c r="M51" s="14">
        <f t="shared" si="31"/>
        <v>0</v>
      </c>
      <c r="N51" s="46">
        <f t="shared" si="32"/>
        <v>0</v>
      </c>
      <c r="O51" s="46">
        <f t="shared" si="33"/>
        <v>0</v>
      </c>
      <c r="P51" s="22">
        <f t="shared" si="34"/>
        <v>0</v>
      </c>
      <c r="Q51" s="55">
        <f t="shared" si="35"/>
        <v>0</v>
      </c>
      <c r="R51" s="55">
        <f t="shared" si="36"/>
        <v>0</v>
      </c>
      <c r="S51" s="32">
        <f t="shared" si="37"/>
        <v>0</v>
      </c>
    </row>
    <row r="52" spans="1:19">
      <c r="A52" s="47">
        <v>0</v>
      </c>
      <c r="B52" s="47">
        <v>0</v>
      </c>
      <c r="C52" s="47">
        <v>0</v>
      </c>
      <c r="D52" s="13">
        <v>43040</v>
      </c>
      <c r="E52" s="16">
        <f t="shared" si="25"/>
        <v>0</v>
      </c>
      <c r="F52" s="16">
        <f t="shared" si="26"/>
        <v>0</v>
      </c>
      <c r="G52" s="14">
        <f t="shared" si="27"/>
        <v>0</v>
      </c>
      <c r="H52" s="46">
        <v>0</v>
      </c>
      <c r="I52" s="92">
        <f t="shared" si="28"/>
        <v>0</v>
      </c>
      <c r="J52" s="22">
        <f t="shared" si="29"/>
        <v>0</v>
      </c>
      <c r="K52" s="92">
        <v>0</v>
      </c>
      <c r="L52" s="92">
        <f t="shared" si="30"/>
        <v>0</v>
      </c>
      <c r="M52" s="14">
        <f t="shared" si="31"/>
        <v>0</v>
      </c>
      <c r="N52" s="46">
        <f t="shared" si="32"/>
        <v>0</v>
      </c>
      <c r="O52" s="46">
        <f t="shared" si="33"/>
        <v>0</v>
      </c>
      <c r="P52" s="22">
        <f t="shared" si="34"/>
        <v>0</v>
      </c>
      <c r="Q52" s="55">
        <f t="shared" si="35"/>
        <v>0</v>
      </c>
      <c r="R52" s="55">
        <f t="shared" si="36"/>
        <v>0</v>
      </c>
      <c r="S52" s="32">
        <f t="shared" si="37"/>
        <v>0</v>
      </c>
    </row>
    <row r="53" spans="1:19">
      <c r="A53" s="47">
        <v>0</v>
      </c>
      <c r="B53" s="47">
        <v>0</v>
      </c>
      <c r="C53" s="47">
        <v>0</v>
      </c>
      <c r="D53" s="13">
        <v>43070</v>
      </c>
      <c r="E53" s="16">
        <f t="shared" si="25"/>
        <v>0</v>
      </c>
      <c r="F53" s="16">
        <f t="shared" si="26"/>
        <v>0</v>
      </c>
      <c r="G53" s="14">
        <f t="shared" si="27"/>
        <v>0</v>
      </c>
      <c r="H53" s="46">
        <v>0</v>
      </c>
      <c r="I53" s="92">
        <f t="shared" si="28"/>
        <v>0</v>
      </c>
      <c r="J53" s="22">
        <f t="shared" si="29"/>
        <v>0</v>
      </c>
      <c r="K53" s="92">
        <v>0</v>
      </c>
      <c r="L53" s="92">
        <f t="shared" si="30"/>
        <v>0</v>
      </c>
      <c r="M53" s="14">
        <f t="shared" si="31"/>
        <v>0</v>
      </c>
      <c r="N53" s="46">
        <f t="shared" si="32"/>
        <v>0</v>
      </c>
      <c r="O53" s="46">
        <f t="shared" si="33"/>
        <v>0</v>
      </c>
      <c r="P53" s="22">
        <f t="shared" si="34"/>
        <v>0</v>
      </c>
      <c r="Q53" s="55">
        <f t="shared" si="35"/>
        <v>0</v>
      </c>
      <c r="R53" s="55">
        <f t="shared" si="36"/>
        <v>0</v>
      </c>
      <c r="S53" s="32">
        <f t="shared" si="37"/>
        <v>0</v>
      </c>
    </row>
    <row r="54" spans="1:19">
      <c r="A54" s="47">
        <v>0</v>
      </c>
      <c r="B54" s="47">
        <v>0</v>
      </c>
      <c r="C54" s="47">
        <v>0</v>
      </c>
      <c r="D54" s="13">
        <v>43101</v>
      </c>
      <c r="E54" s="16">
        <f t="shared" si="25"/>
        <v>0</v>
      </c>
      <c r="F54" s="16">
        <f t="shared" si="26"/>
        <v>0</v>
      </c>
      <c r="G54" s="14">
        <f t="shared" si="27"/>
        <v>0</v>
      </c>
      <c r="H54" s="46">
        <v>0</v>
      </c>
      <c r="I54" s="92">
        <f t="shared" si="28"/>
        <v>0</v>
      </c>
      <c r="J54" s="22">
        <f t="shared" si="29"/>
        <v>0</v>
      </c>
      <c r="K54" s="92">
        <v>0</v>
      </c>
      <c r="L54" s="92">
        <f t="shared" si="30"/>
        <v>0</v>
      </c>
      <c r="M54" s="14">
        <f t="shared" si="31"/>
        <v>0</v>
      </c>
      <c r="N54" s="46">
        <f t="shared" si="32"/>
        <v>0</v>
      </c>
      <c r="O54" s="46">
        <f t="shared" si="33"/>
        <v>0</v>
      </c>
      <c r="P54" s="22">
        <f t="shared" si="34"/>
        <v>0</v>
      </c>
      <c r="Q54" s="55">
        <f t="shared" si="35"/>
        <v>0</v>
      </c>
      <c r="R54" s="55">
        <f t="shared" si="36"/>
        <v>0</v>
      </c>
      <c r="S54" s="32">
        <f t="shared" si="37"/>
        <v>0</v>
      </c>
    </row>
    <row r="55" spans="1:19">
      <c r="A55" s="47">
        <v>0</v>
      </c>
      <c r="B55" s="47">
        <v>0</v>
      </c>
      <c r="C55" s="47">
        <v>0</v>
      </c>
      <c r="D55" s="13">
        <v>43132</v>
      </c>
      <c r="E55" s="16">
        <f t="shared" si="25"/>
        <v>0</v>
      </c>
      <c r="F55" s="16">
        <f t="shared" si="26"/>
        <v>0</v>
      </c>
      <c r="G55" s="14">
        <f t="shared" si="27"/>
        <v>0</v>
      </c>
      <c r="H55" s="46">
        <v>0</v>
      </c>
      <c r="I55" s="92">
        <f t="shared" si="28"/>
        <v>0</v>
      </c>
      <c r="J55" s="22">
        <f t="shared" si="29"/>
        <v>0</v>
      </c>
      <c r="K55" s="92">
        <v>0</v>
      </c>
      <c r="L55" s="92">
        <f t="shared" si="30"/>
        <v>0</v>
      </c>
      <c r="M55" s="14">
        <f t="shared" si="31"/>
        <v>0</v>
      </c>
      <c r="N55" s="46">
        <f t="shared" si="32"/>
        <v>0</v>
      </c>
      <c r="O55" s="46">
        <f t="shared" si="33"/>
        <v>0</v>
      </c>
      <c r="P55" s="22">
        <f t="shared" si="34"/>
        <v>0</v>
      </c>
      <c r="Q55" s="55">
        <f t="shared" si="35"/>
        <v>0</v>
      </c>
      <c r="R55" s="55">
        <f t="shared" si="36"/>
        <v>0</v>
      </c>
      <c r="S55" s="32">
        <f t="shared" si="37"/>
        <v>0</v>
      </c>
    </row>
    <row r="56" spans="1:19">
      <c r="A56" s="47">
        <v>0</v>
      </c>
      <c r="B56" s="47">
        <v>0</v>
      </c>
      <c r="C56" s="47">
        <v>0</v>
      </c>
      <c r="D56" s="13">
        <v>43160</v>
      </c>
      <c r="E56" s="16">
        <f t="shared" si="25"/>
        <v>0</v>
      </c>
      <c r="F56" s="16">
        <f t="shared" si="26"/>
        <v>0</v>
      </c>
      <c r="G56" s="14">
        <f t="shared" si="27"/>
        <v>0</v>
      </c>
      <c r="H56" s="46">
        <v>0</v>
      </c>
      <c r="I56" s="92">
        <f t="shared" si="28"/>
        <v>0</v>
      </c>
      <c r="J56" s="22">
        <f t="shared" si="29"/>
        <v>0</v>
      </c>
      <c r="K56" s="92">
        <v>0</v>
      </c>
      <c r="L56" s="92">
        <f t="shared" si="30"/>
        <v>0</v>
      </c>
      <c r="M56" s="14">
        <f t="shared" si="31"/>
        <v>0</v>
      </c>
      <c r="N56" s="46">
        <f t="shared" si="32"/>
        <v>0</v>
      </c>
      <c r="O56" s="46">
        <f t="shared" si="33"/>
        <v>0</v>
      </c>
      <c r="P56" s="22">
        <f t="shared" si="34"/>
        <v>0</v>
      </c>
      <c r="Q56" s="55">
        <f t="shared" si="35"/>
        <v>0</v>
      </c>
      <c r="R56" s="55">
        <f t="shared" si="36"/>
        <v>0</v>
      </c>
      <c r="S56" s="32">
        <f t="shared" si="37"/>
        <v>0</v>
      </c>
    </row>
    <row r="57" spans="1:19">
      <c r="A57" s="47">
        <v>0</v>
      </c>
      <c r="B57" s="47">
        <v>0</v>
      </c>
      <c r="C57" s="47">
        <v>0</v>
      </c>
      <c r="D57" s="13">
        <v>43191</v>
      </c>
      <c r="E57" s="16">
        <f t="shared" si="25"/>
        <v>0</v>
      </c>
      <c r="F57" s="16">
        <f t="shared" si="26"/>
        <v>0</v>
      </c>
      <c r="G57" s="14">
        <f t="shared" si="27"/>
        <v>0</v>
      </c>
      <c r="H57" s="46">
        <v>0</v>
      </c>
      <c r="I57" s="92">
        <f t="shared" si="28"/>
        <v>0</v>
      </c>
      <c r="J57" s="22">
        <f t="shared" si="29"/>
        <v>0</v>
      </c>
      <c r="K57" s="92">
        <v>0</v>
      </c>
      <c r="L57" s="92">
        <f t="shared" si="30"/>
        <v>0</v>
      </c>
      <c r="M57" s="14">
        <f t="shared" si="31"/>
        <v>0</v>
      </c>
      <c r="N57" s="46">
        <f t="shared" si="32"/>
        <v>0</v>
      </c>
      <c r="O57" s="46">
        <f t="shared" si="33"/>
        <v>0</v>
      </c>
      <c r="P57" s="22">
        <f t="shared" si="34"/>
        <v>0</v>
      </c>
      <c r="Q57" s="55">
        <f t="shared" si="35"/>
        <v>0</v>
      </c>
      <c r="R57" s="55">
        <f t="shared" si="36"/>
        <v>0</v>
      </c>
      <c r="S57" s="32">
        <f t="shared" si="37"/>
        <v>0</v>
      </c>
    </row>
    <row r="58" spans="1:19">
      <c r="A58" s="47">
        <v>0</v>
      </c>
      <c r="B58" s="47">
        <v>0</v>
      </c>
      <c r="C58" s="47">
        <v>0</v>
      </c>
      <c r="D58" s="13">
        <v>43221</v>
      </c>
      <c r="E58" s="16">
        <f t="shared" si="25"/>
        <v>0</v>
      </c>
      <c r="F58" s="16">
        <f t="shared" si="26"/>
        <v>0</v>
      </c>
      <c r="G58" s="14">
        <f t="shared" si="27"/>
        <v>0</v>
      </c>
      <c r="H58" s="46">
        <v>0</v>
      </c>
      <c r="I58" s="92">
        <f t="shared" si="28"/>
        <v>0</v>
      </c>
      <c r="J58" s="22">
        <f t="shared" si="29"/>
        <v>0</v>
      </c>
      <c r="K58" s="92">
        <v>0</v>
      </c>
      <c r="L58" s="92">
        <f t="shared" si="30"/>
        <v>0</v>
      </c>
      <c r="M58" s="14">
        <f t="shared" si="31"/>
        <v>0</v>
      </c>
      <c r="N58" s="46">
        <f t="shared" si="32"/>
        <v>0</v>
      </c>
      <c r="O58" s="46">
        <f t="shared" si="33"/>
        <v>0</v>
      </c>
      <c r="P58" s="22">
        <f t="shared" si="34"/>
        <v>0</v>
      </c>
      <c r="Q58" s="55">
        <f t="shared" si="35"/>
        <v>0</v>
      </c>
      <c r="R58" s="55">
        <f t="shared" si="36"/>
        <v>0</v>
      </c>
      <c r="S58" s="32">
        <f t="shared" si="37"/>
        <v>0</v>
      </c>
    </row>
    <row r="59" spans="1:19">
      <c r="A59" s="47">
        <v>0</v>
      </c>
      <c r="B59" s="47">
        <v>0</v>
      </c>
      <c r="C59" s="47">
        <v>0</v>
      </c>
      <c r="D59" s="13">
        <v>43252</v>
      </c>
      <c r="E59" s="16">
        <f t="shared" si="25"/>
        <v>0</v>
      </c>
      <c r="F59" s="16">
        <f t="shared" si="26"/>
        <v>0</v>
      </c>
      <c r="G59" s="14">
        <f t="shared" si="27"/>
        <v>0</v>
      </c>
      <c r="H59" s="46">
        <v>0</v>
      </c>
      <c r="I59" s="92">
        <f t="shared" si="28"/>
        <v>0</v>
      </c>
      <c r="J59" s="22">
        <f t="shared" si="29"/>
        <v>0</v>
      </c>
      <c r="K59" s="92">
        <v>0</v>
      </c>
      <c r="L59" s="92">
        <f t="shared" si="30"/>
        <v>0</v>
      </c>
      <c r="M59" s="14">
        <f t="shared" si="31"/>
        <v>0</v>
      </c>
      <c r="N59" s="46">
        <f t="shared" si="32"/>
        <v>0</v>
      </c>
      <c r="O59" s="46">
        <f t="shared" si="33"/>
        <v>0</v>
      </c>
      <c r="P59" s="22">
        <f t="shared" si="34"/>
        <v>0</v>
      </c>
      <c r="Q59" s="55">
        <f t="shared" si="35"/>
        <v>0</v>
      </c>
      <c r="R59" s="55">
        <f t="shared" si="36"/>
        <v>0</v>
      </c>
      <c r="S59" s="32">
        <f t="shared" si="37"/>
        <v>0</v>
      </c>
    </row>
    <row r="60" spans="1:19">
      <c r="A60" s="47">
        <v>0</v>
      </c>
      <c r="B60" s="47">
        <v>0</v>
      </c>
      <c r="C60" s="47">
        <v>0</v>
      </c>
      <c r="D60" s="13">
        <v>43282</v>
      </c>
      <c r="E60" s="16">
        <f t="shared" si="25"/>
        <v>0</v>
      </c>
      <c r="F60" s="16">
        <f t="shared" si="26"/>
        <v>0</v>
      </c>
      <c r="G60" s="14">
        <f t="shared" si="27"/>
        <v>0</v>
      </c>
      <c r="H60" s="46">
        <v>0</v>
      </c>
      <c r="I60" s="92">
        <f t="shared" si="28"/>
        <v>0</v>
      </c>
      <c r="J60" s="22">
        <f t="shared" si="29"/>
        <v>0</v>
      </c>
      <c r="K60" s="92">
        <v>0</v>
      </c>
      <c r="L60" s="92">
        <f t="shared" si="30"/>
        <v>0</v>
      </c>
      <c r="M60" s="14">
        <f t="shared" si="31"/>
        <v>0</v>
      </c>
      <c r="N60" s="46">
        <f t="shared" si="32"/>
        <v>0</v>
      </c>
      <c r="O60" s="46">
        <f t="shared" si="33"/>
        <v>0</v>
      </c>
      <c r="P60" s="22">
        <f t="shared" si="34"/>
        <v>0</v>
      </c>
      <c r="Q60" s="55">
        <f t="shared" si="35"/>
        <v>0</v>
      </c>
      <c r="R60" s="55">
        <f t="shared" si="36"/>
        <v>0</v>
      </c>
      <c r="S60" s="32">
        <f t="shared" si="37"/>
        <v>0</v>
      </c>
    </row>
    <row r="61" spans="1:19">
      <c r="A61" s="47">
        <v>0</v>
      </c>
      <c r="B61" s="47">
        <v>0</v>
      </c>
      <c r="C61" s="47">
        <v>0</v>
      </c>
      <c r="D61" s="13">
        <v>43313</v>
      </c>
      <c r="E61" s="16">
        <f t="shared" si="25"/>
        <v>0</v>
      </c>
      <c r="F61" s="16">
        <f t="shared" si="26"/>
        <v>0</v>
      </c>
      <c r="G61" s="14">
        <f t="shared" si="27"/>
        <v>0</v>
      </c>
      <c r="H61" s="46">
        <v>0</v>
      </c>
      <c r="I61" s="92">
        <f t="shared" si="28"/>
        <v>0</v>
      </c>
      <c r="J61" s="22">
        <f t="shared" si="29"/>
        <v>0</v>
      </c>
      <c r="K61" s="92">
        <v>0</v>
      </c>
      <c r="L61" s="92">
        <f t="shared" si="30"/>
        <v>0</v>
      </c>
      <c r="M61" s="14">
        <f t="shared" si="31"/>
        <v>0</v>
      </c>
      <c r="N61" s="46">
        <f t="shared" si="32"/>
        <v>0</v>
      </c>
      <c r="O61" s="46">
        <f t="shared" si="33"/>
        <v>0</v>
      </c>
      <c r="P61" s="22">
        <f t="shared" si="34"/>
        <v>0</v>
      </c>
      <c r="Q61" s="55">
        <f t="shared" si="35"/>
        <v>0</v>
      </c>
      <c r="R61" s="55">
        <f t="shared" si="36"/>
        <v>0</v>
      </c>
      <c r="S61" s="32">
        <f t="shared" si="37"/>
        <v>0</v>
      </c>
    </row>
    <row r="62" spans="1:19">
      <c r="A62" s="47">
        <v>0</v>
      </c>
      <c r="B62" s="47">
        <v>0</v>
      </c>
      <c r="C62" s="47">
        <v>0</v>
      </c>
      <c r="D62" s="13">
        <v>43344</v>
      </c>
      <c r="E62" s="16">
        <f t="shared" si="25"/>
        <v>0</v>
      </c>
      <c r="F62" s="16">
        <f t="shared" si="26"/>
        <v>0</v>
      </c>
      <c r="G62" s="14">
        <f t="shared" si="27"/>
        <v>0</v>
      </c>
      <c r="H62" s="46">
        <v>0</v>
      </c>
      <c r="I62" s="92">
        <f t="shared" si="28"/>
        <v>0</v>
      </c>
      <c r="J62" s="22">
        <f t="shared" si="29"/>
        <v>0</v>
      </c>
      <c r="K62" s="92">
        <v>0</v>
      </c>
      <c r="L62" s="92">
        <f t="shared" si="30"/>
        <v>0</v>
      </c>
      <c r="M62" s="14">
        <f t="shared" si="31"/>
        <v>0</v>
      </c>
      <c r="N62" s="46">
        <f t="shared" si="32"/>
        <v>0</v>
      </c>
      <c r="O62" s="46">
        <f t="shared" si="33"/>
        <v>0</v>
      </c>
      <c r="P62" s="22">
        <f t="shared" si="34"/>
        <v>0</v>
      </c>
      <c r="Q62" s="55">
        <f t="shared" si="35"/>
        <v>0</v>
      </c>
      <c r="R62" s="55">
        <f t="shared" si="36"/>
        <v>0</v>
      </c>
      <c r="S62" s="32">
        <f t="shared" si="37"/>
        <v>0</v>
      </c>
    </row>
    <row r="63" spans="1:19">
      <c r="A63" s="47">
        <v>0</v>
      </c>
      <c r="B63" s="47">
        <v>0</v>
      </c>
      <c r="C63" s="47">
        <v>0</v>
      </c>
      <c r="D63" s="13">
        <v>43374</v>
      </c>
      <c r="E63" s="16">
        <f t="shared" si="25"/>
        <v>0</v>
      </c>
      <c r="F63" s="16">
        <f t="shared" si="26"/>
        <v>0</v>
      </c>
      <c r="G63" s="14">
        <f t="shared" si="27"/>
        <v>0</v>
      </c>
      <c r="H63" s="46">
        <v>0</v>
      </c>
      <c r="I63" s="92">
        <f t="shared" si="28"/>
        <v>0</v>
      </c>
      <c r="J63" s="22">
        <f t="shared" si="29"/>
        <v>0</v>
      </c>
      <c r="K63" s="92">
        <v>0</v>
      </c>
      <c r="L63" s="92">
        <f t="shared" si="30"/>
        <v>0</v>
      </c>
      <c r="M63" s="14">
        <f t="shared" si="31"/>
        <v>0</v>
      </c>
      <c r="N63" s="46">
        <f t="shared" si="32"/>
        <v>0</v>
      </c>
      <c r="O63" s="46">
        <f t="shared" si="33"/>
        <v>0</v>
      </c>
      <c r="P63" s="22">
        <f t="shared" si="34"/>
        <v>0</v>
      </c>
      <c r="Q63" s="55">
        <f t="shared" si="35"/>
        <v>0</v>
      </c>
      <c r="R63" s="55">
        <f t="shared" si="36"/>
        <v>0</v>
      </c>
      <c r="S63" s="32">
        <f t="shared" si="37"/>
        <v>0</v>
      </c>
    </row>
    <row r="64" spans="1:19">
      <c r="A64" s="47">
        <v>0</v>
      </c>
      <c r="B64" s="47">
        <v>0</v>
      </c>
      <c r="C64" s="47">
        <v>0</v>
      </c>
      <c r="D64" s="13">
        <v>43405</v>
      </c>
      <c r="E64" s="16">
        <f t="shared" si="25"/>
        <v>0</v>
      </c>
      <c r="F64" s="16">
        <f t="shared" si="26"/>
        <v>0</v>
      </c>
      <c r="G64" s="14">
        <f t="shared" si="27"/>
        <v>0</v>
      </c>
      <c r="H64" s="46">
        <v>0</v>
      </c>
      <c r="I64" s="92">
        <f t="shared" si="28"/>
        <v>0</v>
      </c>
      <c r="J64" s="22">
        <f t="shared" si="29"/>
        <v>0</v>
      </c>
      <c r="K64" s="92">
        <v>0</v>
      </c>
      <c r="L64" s="92">
        <f t="shared" si="30"/>
        <v>0</v>
      </c>
      <c r="M64" s="14">
        <f t="shared" si="31"/>
        <v>0</v>
      </c>
      <c r="N64" s="46">
        <f t="shared" si="32"/>
        <v>0</v>
      </c>
      <c r="O64" s="46">
        <f t="shared" si="33"/>
        <v>0</v>
      </c>
      <c r="P64" s="22">
        <f t="shared" si="34"/>
        <v>0</v>
      </c>
      <c r="Q64" s="55">
        <f t="shared" si="35"/>
        <v>0</v>
      </c>
      <c r="R64" s="55">
        <f t="shared" si="36"/>
        <v>0</v>
      </c>
      <c r="S64" s="32">
        <f t="shared" si="37"/>
        <v>0</v>
      </c>
    </row>
    <row r="65" spans="1:19">
      <c r="A65" s="47">
        <v>0</v>
      </c>
      <c r="B65" s="47">
        <v>0</v>
      </c>
      <c r="C65" s="47">
        <v>0</v>
      </c>
      <c r="D65" s="13">
        <v>43435</v>
      </c>
      <c r="E65" s="16">
        <f t="shared" si="25"/>
        <v>0</v>
      </c>
      <c r="F65" s="16">
        <f t="shared" si="26"/>
        <v>0</v>
      </c>
      <c r="G65" s="14">
        <f t="shared" si="27"/>
        <v>0</v>
      </c>
      <c r="H65" s="46">
        <v>0</v>
      </c>
      <c r="I65" s="92">
        <f t="shared" si="28"/>
        <v>0</v>
      </c>
      <c r="J65" s="22">
        <f t="shared" si="29"/>
        <v>0</v>
      </c>
      <c r="K65" s="92">
        <v>0</v>
      </c>
      <c r="L65" s="92">
        <f t="shared" si="30"/>
        <v>0</v>
      </c>
      <c r="M65" s="14">
        <f t="shared" si="31"/>
        <v>0</v>
      </c>
      <c r="N65" s="46">
        <f t="shared" si="32"/>
        <v>0</v>
      </c>
      <c r="O65" s="46">
        <f t="shared" si="33"/>
        <v>0</v>
      </c>
      <c r="P65" s="22">
        <f t="shared" si="34"/>
        <v>0</v>
      </c>
      <c r="Q65" s="55">
        <f t="shared" si="35"/>
        <v>0</v>
      </c>
      <c r="R65" s="55">
        <f t="shared" si="36"/>
        <v>0</v>
      </c>
      <c r="S65" s="32">
        <f t="shared" si="37"/>
        <v>0</v>
      </c>
    </row>
    <row r="66" spans="1:19">
      <c r="A66" s="47">
        <v>0</v>
      </c>
      <c r="B66" s="47">
        <v>0</v>
      </c>
      <c r="C66" s="47">
        <v>0</v>
      </c>
      <c r="D66" s="13">
        <v>43466</v>
      </c>
      <c r="E66" s="16">
        <f t="shared" si="25"/>
        <v>0</v>
      </c>
      <c r="F66" s="16">
        <f t="shared" si="26"/>
        <v>0</v>
      </c>
      <c r="G66" s="14">
        <f t="shared" si="27"/>
        <v>0</v>
      </c>
      <c r="H66" s="46">
        <v>0</v>
      </c>
      <c r="I66" s="92">
        <f t="shared" si="28"/>
        <v>0</v>
      </c>
      <c r="J66" s="22">
        <f t="shared" si="29"/>
        <v>0</v>
      </c>
      <c r="K66" s="92">
        <v>0</v>
      </c>
      <c r="L66" s="92">
        <f t="shared" si="30"/>
        <v>0</v>
      </c>
      <c r="M66" s="14">
        <f t="shared" si="31"/>
        <v>0</v>
      </c>
      <c r="N66" s="46">
        <f t="shared" si="32"/>
        <v>0</v>
      </c>
      <c r="O66" s="46">
        <f t="shared" si="33"/>
        <v>0</v>
      </c>
      <c r="P66" s="22">
        <f t="shared" si="34"/>
        <v>0</v>
      </c>
      <c r="Q66" s="55">
        <f t="shared" si="35"/>
        <v>0</v>
      </c>
      <c r="R66" s="55">
        <f t="shared" si="36"/>
        <v>0</v>
      </c>
      <c r="S66" s="32">
        <f t="shared" si="37"/>
        <v>0</v>
      </c>
    </row>
    <row r="67" spans="1:19">
      <c r="A67" s="47">
        <v>0</v>
      </c>
      <c r="B67" s="47">
        <v>0</v>
      </c>
      <c r="C67" s="47">
        <v>0</v>
      </c>
      <c r="D67" s="13">
        <v>43497</v>
      </c>
      <c r="E67" s="16">
        <f t="shared" si="25"/>
        <v>0</v>
      </c>
      <c r="F67" s="16">
        <f t="shared" si="26"/>
        <v>0</v>
      </c>
      <c r="G67" s="14">
        <f t="shared" si="27"/>
        <v>0</v>
      </c>
      <c r="H67" s="46">
        <v>0</v>
      </c>
      <c r="I67" s="92">
        <f t="shared" si="28"/>
        <v>0</v>
      </c>
      <c r="J67" s="22">
        <f t="shared" si="29"/>
        <v>0</v>
      </c>
      <c r="K67" s="92">
        <v>0</v>
      </c>
      <c r="L67" s="92">
        <f t="shared" si="30"/>
        <v>0</v>
      </c>
      <c r="M67" s="14">
        <f t="shared" si="31"/>
        <v>0</v>
      </c>
      <c r="N67" s="46">
        <f t="shared" si="32"/>
        <v>0</v>
      </c>
      <c r="O67" s="46">
        <f t="shared" si="33"/>
        <v>0</v>
      </c>
      <c r="P67" s="22">
        <f t="shared" si="34"/>
        <v>0</v>
      </c>
      <c r="Q67" s="55">
        <f t="shared" si="35"/>
        <v>0</v>
      </c>
      <c r="R67" s="55">
        <f t="shared" si="36"/>
        <v>0</v>
      </c>
      <c r="S67" s="32">
        <f t="shared" si="37"/>
        <v>0</v>
      </c>
    </row>
    <row r="68" spans="1:19">
      <c r="A68" s="47">
        <v>0</v>
      </c>
      <c r="B68" s="47">
        <v>0</v>
      </c>
      <c r="C68" s="47">
        <v>0</v>
      </c>
      <c r="D68" s="13">
        <v>43525</v>
      </c>
      <c r="E68" s="16">
        <f t="shared" si="25"/>
        <v>0</v>
      </c>
      <c r="F68" s="16">
        <f t="shared" si="26"/>
        <v>0</v>
      </c>
      <c r="G68" s="14">
        <f t="shared" si="27"/>
        <v>0</v>
      </c>
      <c r="H68" s="46">
        <v>0</v>
      </c>
      <c r="I68" s="92">
        <f t="shared" si="28"/>
        <v>0</v>
      </c>
      <c r="J68" s="22">
        <f t="shared" si="29"/>
        <v>0</v>
      </c>
      <c r="K68" s="92">
        <v>0</v>
      </c>
      <c r="L68" s="92">
        <f t="shared" si="30"/>
        <v>0</v>
      </c>
      <c r="M68" s="14">
        <f t="shared" si="31"/>
        <v>0</v>
      </c>
      <c r="N68" s="46">
        <f t="shared" si="32"/>
        <v>0</v>
      </c>
      <c r="O68" s="46">
        <f t="shared" si="33"/>
        <v>0</v>
      </c>
      <c r="P68" s="22">
        <f t="shared" si="34"/>
        <v>0</v>
      </c>
      <c r="Q68" s="55">
        <f t="shared" si="35"/>
        <v>0</v>
      </c>
      <c r="R68" s="55">
        <f t="shared" si="36"/>
        <v>0</v>
      </c>
      <c r="S68" s="32">
        <f t="shared" si="37"/>
        <v>0</v>
      </c>
    </row>
    <row r="69" spans="1:19">
      <c r="A69" s="47">
        <v>0</v>
      </c>
      <c r="B69" s="47">
        <v>0</v>
      </c>
      <c r="C69" s="47">
        <v>0</v>
      </c>
      <c r="D69" s="13">
        <v>43556</v>
      </c>
      <c r="E69" s="16">
        <f t="shared" si="25"/>
        <v>0</v>
      </c>
      <c r="F69" s="16">
        <f t="shared" si="26"/>
        <v>0</v>
      </c>
      <c r="G69" s="14">
        <f t="shared" si="27"/>
        <v>0</v>
      </c>
      <c r="H69" s="46">
        <v>0</v>
      </c>
      <c r="I69" s="92">
        <f t="shared" si="28"/>
        <v>0</v>
      </c>
      <c r="J69" s="22">
        <f t="shared" si="29"/>
        <v>0</v>
      </c>
      <c r="K69" s="92">
        <v>0</v>
      </c>
      <c r="L69" s="92">
        <f t="shared" si="30"/>
        <v>0</v>
      </c>
      <c r="M69" s="14">
        <f t="shared" si="31"/>
        <v>0</v>
      </c>
      <c r="N69" s="46">
        <f t="shared" si="32"/>
        <v>0</v>
      </c>
      <c r="O69" s="46">
        <f t="shared" si="33"/>
        <v>0</v>
      </c>
      <c r="P69" s="22">
        <f t="shared" si="34"/>
        <v>0</v>
      </c>
      <c r="Q69" s="55">
        <f t="shared" si="35"/>
        <v>0</v>
      </c>
      <c r="R69" s="55">
        <f t="shared" si="36"/>
        <v>0</v>
      </c>
      <c r="S69" s="32">
        <f t="shared" si="37"/>
        <v>0</v>
      </c>
    </row>
    <row r="70" spans="1:19">
      <c r="A70" s="47">
        <v>0</v>
      </c>
      <c r="B70" s="47">
        <v>0</v>
      </c>
      <c r="C70" s="47">
        <v>0</v>
      </c>
      <c r="D70" s="13">
        <v>43586</v>
      </c>
      <c r="E70" s="16">
        <f t="shared" si="25"/>
        <v>0</v>
      </c>
      <c r="F70" s="16">
        <f t="shared" si="26"/>
        <v>0</v>
      </c>
      <c r="G70" s="14">
        <f t="shared" si="27"/>
        <v>0</v>
      </c>
      <c r="H70" s="46">
        <v>0</v>
      </c>
      <c r="I70" s="92">
        <f t="shared" si="28"/>
        <v>0</v>
      </c>
      <c r="J70" s="22">
        <f t="shared" si="29"/>
        <v>0</v>
      </c>
      <c r="K70" s="92">
        <v>0</v>
      </c>
      <c r="L70" s="92">
        <f t="shared" si="30"/>
        <v>0</v>
      </c>
      <c r="M70" s="14">
        <f t="shared" si="31"/>
        <v>0</v>
      </c>
      <c r="N70" s="46">
        <f t="shared" si="32"/>
        <v>0</v>
      </c>
      <c r="O70" s="46">
        <f t="shared" si="33"/>
        <v>0</v>
      </c>
      <c r="P70" s="22">
        <f t="shared" si="34"/>
        <v>0</v>
      </c>
      <c r="Q70" s="55">
        <f t="shared" si="35"/>
        <v>0</v>
      </c>
      <c r="R70" s="55">
        <f t="shared" si="36"/>
        <v>0</v>
      </c>
      <c r="S70" s="32">
        <f t="shared" si="37"/>
        <v>0</v>
      </c>
    </row>
    <row r="71" spans="1:19">
      <c r="A71" s="47">
        <v>0</v>
      </c>
      <c r="B71" s="47">
        <v>0</v>
      </c>
      <c r="C71" s="47">
        <v>0</v>
      </c>
      <c r="D71" s="13">
        <v>43617</v>
      </c>
      <c r="E71" s="16">
        <f t="shared" si="25"/>
        <v>0</v>
      </c>
      <c r="F71" s="16">
        <f t="shared" si="26"/>
        <v>0</v>
      </c>
      <c r="G71" s="14">
        <f t="shared" si="27"/>
        <v>0</v>
      </c>
      <c r="H71" s="46">
        <v>0</v>
      </c>
      <c r="I71" s="92">
        <f t="shared" si="28"/>
        <v>0</v>
      </c>
      <c r="J71" s="22">
        <f t="shared" si="29"/>
        <v>0</v>
      </c>
      <c r="K71" s="92">
        <v>0</v>
      </c>
      <c r="L71" s="92">
        <f t="shared" si="30"/>
        <v>0</v>
      </c>
      <c r="M71" s="14">
        <f t="shared" si="31"/>
        <v>0</v>
      </c>
      <c r="N71" s="46">
        <f t="shared" si="32"/>
        <v>0</v>
      </c>
      <c r="O71" s="46">
        <f t="shared" si="33"/>
        <v>0</v>
      </c>
      <c r="P71" s="22">
        <f t="shared" si="34"/>
        <v>0</v>
      </c>
      <c r="Q71" s="55">
        <f t="shared" si="35"/>
        <v>0</v>
      </c>
      <c r="R71" s="55">
        <f t="shared" si="36"/>
        <v>0</v>
      </c>
      <c r="S71" s="32">
        <f t="shared" si="37"/>
        <v>0</v>
      </c>
    </row>
    <row r="72" spans="1:19">
      <c r="A72" s="47">
        <v>0</v>
      </c>
      <c r="B72" s="47">
        <v>0</v>
      </c>
      <c r="C72" s="47">
        <v>0</v>
      </c>
      <c r="D72" s="13">
        <v>43647</v>
      </c>
      <c r="E72" s="16">
        <f t="shared" si="25"/>
        <v>0</v>
      </c>
      <c r="F72" s="16">
        <f t="shared" si="26"/>
        <v>0</v>
      </c>
      <c r="G72" s="14">
        <f t="shared" si="27"/>
        <v>0</v>
      </c>
      <c r="H72" s="46">
        <v>0</v>
      </c>
      <c r="I72" s="92">
        <f t="shared" si="28"/>
        <v>0</v>
      </c>
      <c r="J72" s="22">
        <f t="shared" si="29"/>
        <v>0</v>
      </c>
      <c r="K72" s="92">
        <v>0</v>
      </c>
      <c r="L72" s="92">
        <f t="shared" si="30"/>
        <v>0</v>
      </c>
      <c r="M72" s="14">
        <f t="shared" si="31"/>
        <v>0</v>
      </c>
      <c r="N72" s="46">
        <f t="shared" si="32"/>
        <v>0</v>
      </c>
      <c r="O72" s="46">
        <f t="shared" si="33"/>
        <v>0</v>
      </c>
      <c r="P72" s="22">
        <f t="shared" si="34"/>
        <v>0</v>
      </c>
      <c r="Q72" s="55">
        <f t="shared" si="35"/>
        <v>0</v>
      </c>
      <c r="R72" s="55">
        <f t="shared" si="36"/>
        <v>0</v>
      </c>
      <c r="S72" s="32">
        <f t="shared" si="37"/>
        <v>0</v>
      </c>
    </row>
    <row r="73" spans="1:19">
      <c r="A73" s="47">
        <v>0</v>
      </c>
      <c r="B73" s="47">
        <v>0</v>
      </c>
      <c r="C73" s="47">
        <v>0</v>
      </c>
      <c r="D73" s="13">
        <v>43678</v>
      </c>
      <c r="E73" s="16">
        <f t="shared" si="25"/>
        <v>0</v>
      </c>
      <c r="F73" s="16">
        <f t="shared" si="26"/>
        <v>0</v>
      </c>
      <c r="G73" s="14">
        <f t="shared" si="27"/>
        <v>0</v>
      </c>
      <c r="H73" s="46">
        <v>0</v>
      </c>
      <c r="I73" s="92">
        <f t="shared" si="28"/>
        <v>0</v>
      </c>
      <c r="J73" s="22">
        <f t="shared" si="29"/>
        <v>0</v>
      </c>
      <c r="K73" s="92">
        <v>0</v>
      </c>
      <c r="L73" s="92">
        <f t="shared" si="30"/>
        <v>0</v>
      </c>
      <c r="M73" s="14">
        <f t="shared" si="31"/>
        <v>0</v>
      </c>
      <c r="N73" s="46">
        <f t="shared" si="32"/>
        <v>0</v>
      </c>
      <c r="O73" s="46">
        <f t="shared" si="33"/>
        <v>0</v>
      </c>
      <c r="P73" s="22">
        <f t="shared" si="34"/>
        <v>0</v>
      </c>
      <c r="Q73" s="55">
        <f t="shared" si="35"/>
        <v>0</v>
      </c>
      <c r="R73" s="55">
        <f t="shared" si="36"/>
        <v>0</v>
      </c>
      <c r="S73" s="32">
        <f t="shared" si="37"/>
        <v>0</v>
      </c>
    </row>
    <row r="74" spans="1:19">
      <c r="A74" s="47">
        <v>0</v>
      </c>
      <c r="B74" s="47">
        <v>0</v>
      </c>
      <c r="C74" s="47">
        <v>0</v>
      </c>
      <c r="D74" s="13">
        <v>43709</v>
      </c>
      <c r="E74" s="16">
        <f t="shared" si="25"/>
        <v>0</v>
      </c>
      <c r="F74" s="16">
        <f t="shared" si="26"/>
        <v>0</v>
      </c>
      <c r="G74" s="14">
        <f t="shared" si="27"/>
        <v>0</v>
      </c>
      <c r="H74" s="46">
        <v>0</v>
      </c>
      <c r="I74" s="92">
        <f t="shared" si="28"/>
        <v>0</v>
      </c>
      <c r="J74" s="22">
        <f t="shared" si="29"/>
        <v>0</v>
      </c>
      <c r="K74" s="92">
        <v>0</v>
      </c>
      <c r="L74" s="92">
        <f t="shared" si="30"/>
        <v>0</v>
      </c>
      <c r="M74" s="14">
        <f t="shared" si="31"/>
        <v>0</v>
      </c>
      <c r="N74" s="46">
        <f t="shared" si="32"/>
        <v>0</v>
      </c>
      <c r="O74" s="46">
        <f t="shared" si="33"/>
        <v>0</v>
      </c>
      <c r="P74" s="22">
        <f t="shared" si="34"/>
        <v>0</v>
      </c>
      <c r="Q74" s="55">
        <f t="shared" si="35"/>
        <v>0</v>
      </c>
      <c r="R74" s="55">
        <f t="shared" si="36"/>
        <v>0</v>
      </c>
      <c r="S74" s="32">
        <f t="shared" si="37"/>
        <v>0</v>
      </c>
    </row>
    <row r="75" spans="1:19">
      <c r="A75" s="47">
        <v>0</v>
      </c>
      <c r="B75" s="47">
        <v>0</v>
      </c>
      <c r="C75" s="47">
        <v>0</v>
      </c>
      <c r="D75" s="13">
        <v>43739</v>
      </c>
      <c r="E75" s="16">
        <f t="shared" si="25"/>
        <v>0</v>
      </c>
      <c r="F75" s="16">
        <f t="shared" si="26"/>
        <v>0</v>
      </c>
      <c r="G75" s="14">
        <f t="shared" si="27"/>
        <v>0</v>
      </c>
      <c r="H75" s="46">
        <v>0</v>
      </c>
      <c r="I75" s="92">
        <f t="shared" si="28"/>
        <v>0</v>
      </c>
      <c r="J75" s="22">
        <f t="shared" si="29"/>
        <v>0</v>
      </c>
      <c r="K75" s="92">
        <v>0</v>
      </c>
      <c r="L75" s="92">
        <f t="shared" si="30"/>
        <v>0</v>
      </c>
      <c r="M75" s="14">
        <f t="shared" si="31"/>
        <v>0</v>
      </c>
      <c r="N75" s="46">
        <f t="shared" si="32"/>
        <v>0</v>
      </c>
      <c r="O75" s="46">
        <f t="shared" si="33"/>
        <v>0</v>
      </c>
      <c r="P75" s="22">
        <f t="shared" si="34"/>
        <v>0</v>
      </c>
      <c r="Q75" s="55">
        <f t="shared" si="35"/>
        <v>0</v>
      </c>
      <c r="R75" s="55">
        <f t="shared" si="36"/>
        <v>0</v>
      </c>
      <c r="S75" s="32">
        <f t="shared" si="37"/>
        <v>0</v>
      </c>
    </row>
    <row r="76" spans="1:19">
      <c r="A76" s="47">
        <v>0</v>
      </c>
      <c r="B76" s="47">
        <v>0</v>
      </c>
      <c r="C76" s="47">
        <v>0</v>
      </c>
      <c r="D76" s="13">
        <v>43770</v>
      </c>
      <c r="E76" s="16">
        <f t="shared" si="25"/>
        <v>0</v>
      </c>
      <c r="F76" s="16">
        <f t="shared" si="26"/>
        <v>0</v>
      </c>
      <c r="G76" s="14">
        <f t="shared" si="27"/>
        <v>0</v>
      </c>
      <c r="H76" s="46">
        <v>0</v>
      </c>
      <c r="I76" s="92">
        <f t="shared" si="28"/>
        <v>0</v>
      </c>
      <c r="J76" s="22">
        <f t="shared" si="29"/>
        <v>0</v>
      </c>
      <c r="K76" s="92">
        <v>0</v>
      </c>
      <c r="L76" s="92">
        <f t="shared" si="30"/>
        <v>0</v>
      </c>
      <c r="M76" s="14">
        <f t="shared" si="31"/>
        <v>0</v>
      </c>
      <c r="N76" s="46">
        <f t="shared" si="32"/>
        <v>0</v>
      </c>
      <c r="O76" s="46">
        <f t="shared" si="33"/>
        <v>0</v>
      </c>
      <c r="P76" s="22">
        <f t="shared" si="34"/>
        <v>0</v>
      </c>
      <c r="Q76" s="55">
        <f t="shared" si="35"/>
        <v>0</v>
      </c>
      <c r="R76" s="55">
        <f t="shared" si="36"/>
        <v>0</v>
      </c>
      <c r="S76" s="32">
        <f t="shared" si="37"/>
        <v>0</v>
      </c>
    </row>
    <row r="77" spans="1:19">
      <c r="A77" s="47">
        <v>0</v>
      </c>
      <c r="B77" s="47">
        <v>0</v>
      </c>
      <c r="C77" s="47">
        <v>0</v>
      </c>
      <c r="D77" s="13">
        <v>43800</v>
      </c>
      <c r="E77" s="16">
        <f t="shared" si="25"/>
        <v>0</v>
      </c>
      <c r="F77" s="16">
        <f t="shared" si="26"/>
        <v>0</v>
      </c>
      <c r="G77" s="14">
        <f t="shared" si="27"/>
        <v>0</v>
      </c>
      <c r="H77" s="46">
        <v>0</v>
      </c>
      <c r="I77" s="92">
        <f t="shared" si="28"/>
        <v>0</v>
      </c>
      <c r="J77" s="22">
        <f t="shared" si="29"/>
        <v>0</v>
      </c>
      <c r="K77" s="92">
        <v>0</v>
      </c>
      <c r="L77" s="92">
        <f t="shared" si="30"/>
        <v>0</v>
      </c>
      <c r="M77" s="14">
        <f t="shared" si="31"/>
        <v>0</v>
      </c>
      <c r="N77" s="46">
        <f t="shared" si="32"/>
        <v>0</v>
      </c>
      <c r="O77" s="46">
        <f t="shared" si="33"/>
        <v>0</v>
      </c>
      <c r="P77" s="22">
        <f t="shared" si="34"/>
        <v>0</v>
      </c>
      <c r="Q77" s="55">
        <f t="shared" si="35"/>
        <v>0</v>
      </c>
      <c r="R77" s="55">
        <f t="shared" si="36"/>
        <v>0</v>
      </c>
      <c r="S77" s="32">
        <f t="shared" si="37"/>
        <v>0</v>
      </c>
    </row>
    <row r="78" spans="1:19">
      <c r="A78" s="47">
        <v>0</v>
      </c>
      <c r="B78" s="47">
        <v>0</v>
      </c>
      <c r="C78" s="47">
        <v>0</v>
      </c>
      <c r="D78" s="13">
        <v>43831</v>
      </c>
      <c r="E78" s="16">
        <f t="shared" si="25"/>
        <v>0</v>
      </c>
      <c r="F78" s="16">
        <f t="shared" si="26"/>
        <v>0</v>
      </c>
      <c r="G78" s="14">
        <f t="shared" si="27"/>
        <v>0</v>
      </c>
      <c r="H78" s="46">
        <v>0</v>
      </c>
      <c r="I78" s="92">
        <f t="shared" si="28"/>
        <v>0</v>
      </c>
      <c r="J78" s="22">
        <f t="shared" si="29"/>
        <v>0</v>
      </c>
      <c r="K78" s="92">
        <v>0</v>
      </c>
      <c r="L78" s="92">
        <f t="shared" si="30"/>
        <v>0</v>
      </c>
      <c r="M78" s="14">
        <f t="shared" si="31"/>
        <v>0</v>
      </c>
      <c r="N78" s="46">
        <f t="shared" si="32"/>
        <v>0</v>
      </c>
      <c r="O78" s="46">
        <f t="shared" si="33"/>
        <v>0</v>
      </c>
      <c r="P78" s="22">
        <f t="shared" si="34"/>
        <v>0</v>
      </c>
      <c r="Q78" s="55">
        <f t="shared" si="35"/>
        <v>0</v>
      </c>
      <c r="R78" s="55">
        <f t="shared" si="36"/>
        <v>0</v>
      </c>
      <c r="S78" s="32">
        <f t="shared" si="37"/>
        <v>0</v>
      </c>
    </row>
    <row r="79" spans="1:19">
      <c r="A79" s="47">
        <v>0</v>
      </c>
      <c r="B79" s="47">
        <v>0</v>
      </c>
      <c r="C79" s="47">
        <v>0</v>
      </c>
      <c r="D79" s="13">
        <v>43862</v>
      </c>
      <c r="E79" s="16">
        <f t="shared" si="25"/>
        <v>0</v>
      </c>
      <c r="F79" s="16">
        <f t="shared" si="26"/>
        <v>0</v>
      </c>
      <c r="G79" s="14">
        <f t="shared" si="27"/>
        <v>0</v>
      </c>
      <c r="H79" s="46">
        <v>0</v>
      </c>
      <c r="I79" s="92">
        <f t="shared" si="28"/>
        <v>0</v>
      </c>
      <c r="J79" s="22">
        <f t="shared" si="29"/>
        <v>0</v>
      </c>
      <c r="K79" s="92">
        <v>0</v>
      </c>
      <c r="L79" s="92">
        <f t="shared" si="30"/>
        <v>0</v>
      </c>
      <c r="M79" s="14">
        <f t="shared" si="31"/>
        <v>0</v>
      </c>
      <c r="N79" s="46">
        <f t="shared" si="32"/>
        <v>0</v>
      </c>
      <c r="O79" s="46">
        <f t="shared" si="33"/>
        <v>0</v>
      </c>
      <c r="P79" s="22">
        <f t="shared" si="34"/>
        <v>0</v>
      </c>
      <c r="Q79" s="55">
        <f t="shared" si="35"/>
        <v>0</v>
      </c>
      <c r="R79" s="55">
        <f t="shared" si="36"/>
        <v>0</v>
      </c>
      <c r="S79" s="32">
        <f t="shared" si="37"/>
        <v>0</v>
      </c>
    </row>
    <row r="80" spans="1:19">
      <c r="A80" s="47">
        <v>0</v>
      </c>
      <c r="B80" s="47">
        <v>0</v>
      </c>
      <c r="C80" s="47">
        <v>0</v>
      </c>
      <c r="D80" s="13">
        <v>43891</v>
      </c>
      <c r="E80" s="16">
        <f t="shared" si="25"/>
        <v>0</v>
      </c>
      <c r="F80" s="16">
        <f t="shared" si="26"/>
        <v>0</v>
      </c>
      <c r="G80" s="14">
        <f t="shared" si="27"/>
        <v>0</v>
      </c>
      <c r="H80" s="46">
        <v>0</v>
      </c>
      <c r="I80" s="92">
        <f t="shared" si="28"/>
        <v>0</v>
      </c>
      <c r="J80" s="22">
        <f t="shared" si="29"/>
        <v>0</v>
      </c>
      <c r="K80" s="92">
        <v>0</v>
      </c>
      <c r="L80" s="92">
        <f t="shared" si="30"/>
        <v>0</v>
      </c>
      <c r="M80" s="14">
        <f t="shared" si="31"/>
        <v>0</v>
      </c>
      <c r="N80" s="46">
        <f t="shared" si="32"/>
        <v>0</v>
      </c>
      <c r="O80" s="46">
        <f t="shared" si="33"/>
        <v>0</v>
      </c>
      <c r="P80" s="22">
        <f t="shared" si="34"/>
        <v>0</v>
      </c>
      <c r="Q80" s="55">
        <f t="shared" si="35"/>
        <v>0</v>
      </c>
      <c r="R80" s="55">
        <f t="shared" si="36"/>
        <v>0</v>
      </c>
      <c r="S80" s="32">
        <f t="shared" si="37"/>
        <v>0</v>
      </c>
    </row>
    <row r="81" spans="1:19">
      <c r="A81" s="47">
        <v>0</v>
      </c>
      <c r="B81" s="47">
        <v>0</v>
      </c>
      <c r="C81" s="47">
        <v>0</v>
      </c>
      <c r="D81" s="13">
        <v>43922</v>
      </c>
      <c r="E81" s="16">
        <f t="shared" si="25"/>
        <v>0</v>
      </c>
      <c r="F81" s="16">
        <f t="shared" si="26"/>
        <v>0</v>
      </c>
      <c r="G81" s="14">
        <f t="shared" si="27"/>
        <v>0</v>
      </c>
      <c r="H81" s="46">
        <v>0</v>
      </c>
      <c r="I81" s="92">
        <f t="shared" si="28"/>
        <v>0</v>
      </c>
      <c r="J81" s="22">
        <f t="shared" si="29"/>
        <v>0</v>
      </c>
      <c r="K81" s="92">
        <v>0</v>
      </c>
      <c r="L81" s="92">
        <f t="shared" si="30"/>
        <v>0</v>
      </c>
      <c r="M81" s="14">
        <f t="shared" si="31"/>
        <v>0</v>
      </c>
      <c r="N81" s="46">
        <f t="shared" si="32"/>
        <v>0</v>
      </c>
      <c r="O81" s="46">
        <f t="shared" si="33"/>
        <v>0</v>
      </c>
      <c r="P81" s="22">
        <f t="shared" si="34"/>
        <v>0</v>
      </c>
      <c r="Q81" s="55">
        <f t="shared" si="35"/>
        <v>0</v>
      </c>
      <c r="R81" s="55">
        <f t="shared" si="36"/>
        <v>0</v>
      </c>
      <c r="S81" s="32">
        <f t="shared" si="37"/>
        <v>0</v>
      </c>
    </row>
    <row r="82" spans="1:19">
      <c r="A82" s="47">
        <v>0</v>
      </c>
      <c r="B82" s="47">
        <v>0</v>
      </c>
      <c r="C82" s="47">
        <v>0</v>
      </c>
      <c r="D82" s="13">
        <v>43952</v>
      </c>
      <c r="E82" s="16">
        <f t="shared" si="25"/>
        <v>0</v>
      </c>
      <c r="F82" s="16">
        <f t="shared" si="26"/>
        <v>0</v>
      </c>
      <c r="G82" s="14">
        <f t="shared" si="27"/>
        <v>0</v>
      </c>
      <c r="H82" s="46">
        <v>0</v>
      </c>
      <c r="I82" s="92">
        <f t="shared" si="28"/>
        <v>0</v>
      </c>
      <c r="J82" s="22">
        <f t="shared" si="29"/>
        <v>0</v>
      </c>
      <c r="K82" s="92">
        <v>0</v>
      </c>
      <c r="L82" s="92">
        <f t="shared" si="30"/>
        <v>0</v>
      </c>
      <c r="M82" s="14">
        <f t="shared" si="31"/>
        <v>0</v>
      </c>
      <c r="N82" s="46">
        <f t="shared" si="32"/>
        <v>0</v>
      </c>
      <c r="O82" s="46">
        <f t="shared" si="33"/>
        <v>0</v>
      </c>
      <c r="P82" s="22">
        <f t="shared" si="34"/>
        <v>0</v>
      </c>
      <c r="Q82" s="55">
        <f t="shared" si="35"/>
        <v>0</v>
      </c>
      <c r="R82" s="55">
        <f t="shared" si="36"/>
        <v>0</v>
      </c>
      <c r="S82" s="32">
        <f t="shared" si="37"/>
        <v>0</v>
      </c>
    </row>
    <row r="83" spans="1:19">
      <c r="A83" s="47">
        <v>0</v>
      </c>
      <c r="B83" s="47">
        <v>0</v>
      </c>
      <c r="C83" s="47">
        <v>0</v>
      </c>
      <c r="D83" s="13">
        <v>43983</v>
      </c>
      <c r="E83" s="16">
        <f t="shared" si="25"/>
        <v>0</v>
      </c>
      <c r="F83" s="16">
        <f t="shared" si="26"/>
        <v>0</v>
      </c>
      <c r="G83" s="14">
        <f t="shared" si="27"/>
        <v>0</v>
      </c>
      <c r="H83" s="46">
        <v>0</v>
      </c>
      <c r="I83" s="92">
        <f t="shared" si="28"/>
        <v>0</v>
      </c>
      <c r="J83" s="22">
        <f t="shared" si="29"/>
        <v>0</v>
      </c>
      <c r="K83" s="92">
        <v>0</v>
      </c>
      <c r="L83" s="92">
        <f t="shared" si="30"/>
        <v>0</v>
      </c>
      <c r="M83" s="14">
        <f t="shared" si="31"/>
        <v>0</v>
      </c>
      <c r="N83" s="46">
        <f t="shared" si="32"/>
        <v>0</v>
      </c>
      <c r="O83" s="46">
        <f t="shared" si="33"/>
        <v>0</v>
      </c>
      <c r="P83" s="22">
        <f t="shared" si="34"/>
        <v>0</v>
      </c>
      <c r="Q83" s="55">
        <f t="shared" si="35"/>
        <v>0</v>
      </c>
      <c r="R83" s="55">
        <f t="shared" si="36"/>
        <v>0</v>
      </c>
      <c r="S83" s="32">
        <f t="shared" si="37"/>
        <v>0</v>
      </c>
    </row>
    <row r="84" spans="1:19">
      <c r="A84" s="47">
        <v>0</v>
      </c>
      <c r="B84" s="47">
        <v>0</v>
      </c>
      <c r="C84" s="47">
        <v>0</v>
      </c>
      <c r="D84" s="13">
        <v>44013</v>
      </c>
      <c r="E84" s="16">
        <f t="shared" si="25"/>
        <v>0</v>
      </c>
      <c r="F84" s="16">
        <f t="shared" si="26"/>
        <v>0</v>
      </c>
      <c r="G84" s="14">
        <f t="shared" si="27"/>
        <v>0</v>
      </c>
      <c r="H84" s="46">
        <v>0</v>
      </c>
      <c r="I84" s="92">
        <f t="shared" si="28"/>
        <v>0</v>
      </c>
      <c r="J84" s="22">
        <f t="shared" si="29"/>
        <v>0</v>
      </c>
      <c r="K84" s="92">
        <v>0</v>
      </c>
      <c r="L84" s="92">
        <f t="shared" si="30"/>
        <v>0</v>
      </c>
      <c r="M84" s="14">
        <f t="shared" si="31"/>
        <v>0</v>
      </c>
      <c r="N84" s="46">
        <f t="shared" si="32"/>
        <v>0</v>
      </c>
      <c r="O84" s="46">
        <f t="shared" si="33"/>
        <v>0</v>
      </c>
      <c r="P84" s="22">
        <f t="shared" si="34"/>
        <v>0</v>
      </c>
      <c r="Q84" s="55">
        <f t="shared" si="35"/>
        <v>0</v>
      </c>
      <c r="R84" s="55">
        <f t="shared" si="36"/>
        <v>0</v>
      </c>
      <c r="S84" s="32">
        <f t="shared" si="37"/>
        <v>0</v>
      </c>
    </row>
    <row r="85" spans="1:19">
      <c r="A85" s="47">
        <v>0</v>
      </c>
      <c r="B85" s="47">
        <v>0</v>
      </c>
      <c r="C85" s="47">
        <v>0</v>
      </c>
      <c r="D85" s="13">
        <v>44044</v>
      </c>
      <c r="E85" s="16">
        <f t="shared" si="25"/>
        <v>0</v>
      </c>
      <c r="F85" s="16">
        <f t="shared" si="26"/>
        <v>0</v>
      </c>
      <c r="G85" s="14">
        <f t="shared" si="27"/>
        <v>0</v>
      </c>
      <c r="H85" s="46">
        <v>0</v>
      </c>
      <c r="I85" s="92">
        <f t="shared" si="28"/>
        <v>0</v>
      </c>
      <c r="J85" s="22">
        <f t="shared" si="29"/>
        <v>0</v>
      </c>
      <c r="K85" s="92">
        <v>0</v>
      </c>
      <c r="L85" s="92">
        <f t="shared" si="30"/>
        <v>0</v>
      </c>
      <c r="M85" s="14">
        <f t="shared" si="31"/>
        <v>0</v>
      </c>
      <c r="N85" s="46">
        <f t="shared" si="32"/>
        <v>0</v>
      </c>
      <c r="O85" s="46">
        <f t="shared" si="33"/>
        <v>0</v>
      </c>
      <c r="P85" s="22">
        <f t="shared" si="34"/>
        <v>0</v>
      </c>
      <c r="Q85" s="55">
        <f t="shared" si="35"/>
        <v>0</v>
      </c>
      <c r="R85" s="55">
        <f t="shared" si="36"/>
        <v>0</v>
      </c>
      <c r="S85" s="32">
        <f t="shared" si="37"/>
        <v>0</v>
      </c>
    </row>
    <row r="86" spans="1:19">
      <c r="A86" s="47">
        <v>0</v>
      </c>
      <c r="B86" s="47">
        <v>0</v>
      </c>
      <c r="C86" s="47">
        <v>0</v>
      </c>
      <c r="D86" s="13">
        <v>44075</v>
      </c>
      <c r="E86" s="16">
        <f t="shared" si="25"/>
        <v>0</v>
      </c>
      <c r="F86" s="16">
        <f t="shared" si="26"/>
        <v>0</v>
      </c>
      <c r="G86" s="14">
        <f t="shared" si="27"/>
        <v>0</v>
      </c>
      <c r="H86" s="46">
        <v>0</v>
      </c>
      <c r="I86" s="92">
        <f t="shared" si="28"/>
        <v>0</v>
      </c>
      <c r="J86" s="22">
        <f t="shared" si="29"/>
        <v>0</v>
      </c>
      <c r="K86" s="92">
        <v>0</v>
      </c>
      <c r="L86" s="92">
        <f t="shared" si="30"/>
        <v>0</v>
      </c>
      <c r="M86" s="14">
        <f t="shared" si="31"/>
        <v>0</v>
      </c>
      <c r="N86" s="46">
        <f t="shared" si="32"/>
        <v>0</v>
      </c>
      <c r="O86" s="46">
        <f t="shared" si="33"/>
        <v>0</v>
      </c>
      <c r="P86" s="22">
        <f t="shared" si="34"/>
        <v>0</v>
      </c>
      <c r="Q86" s="55">
        <f t="shared" si="35"/>
        <v>0</v>
      </c>
      <c r="R86" s="55">
        <f t="shared" si="36"/>
        <v>0</v>
      </c>
      <c r="S86" s="32">
        <f t="shared" si="37"/>
        <v>0</v>
      </c>
    </row>
    <row r="87" spans="1:19">
      <c r="A87" s="47">
        <v>0</v>
      </c>
      <c r="B87" s="47">
        <v>0</v>
      </c>
      <c r="C87" s="47">
        <v>0</v>
      </c>
      <c r="D87" s="13">
        <v>44105</v>
      </c>
      <c r="E87" s="16">
        <f t="shared" si="25"/>
        <v>0</v>
      </c>
      <c r="F87" s="16">
        <f t="shared" si="26"/>
        <v>0</v>
      </c>
      <c r="G87" s="14">
        <f t="shared" si="27"/>
        <v>0</v>
      </c>
      <c r="H87" s="46">
        <v>0</v>
      </c>
      <c r="I87" s="92">
        <f t="shared" si="28"/>
        <v>0</v>
      </c>
      <c r="J87" s="22">
        <f t="shared" si="29"/>
        <v>0</v>
      </c>
      <c r="K87" s="92">
        <v>0</v>
      </c>
      <c r="L87" s="92">
        <f t="shared" si="30"/>
        <v>0</v>
      </c>
      <c r="M87" s="14">
        <f t="shared" si="31"/>
        <v>0</v>
      </c>
      <c r="N87" s="46">
        <f t="shared" si="32"/>
        <v>0</v>
      </c>
      <c r="O87" s="46">
        <f t="shared" si="33"/>
        <v>0</v>
      </c>
      <c r="P87" s="22">
        <f t="shared" si="34"/>
        <v>0</v>
      </c>
      <c r="Q87" s="55">
        <f t="shared" si="35"/>
        <v>0</v>
      </c>
      <c r="R87" s="55">
        <f t="shared" si="36"/>
        <v>0</v>
      </c>
      <c r="S87" s="32">
        <f t="shared" si="37"/>
        <v>0</v>
      </c>
    </row>
    <row r="88" spans="1:19">
      <c r="A88" s="47">
        <v>0</v>
      </c>
      <c r="B88" s="47">
        <v>0</v>
      </c>
      <c r="C88" s="47">
        <v>0</v>
      </c>
      <c r="D88" s="13">
        <v>44136</v>
      </c>
      <c r="E88" s="16">
        <f t="shared" si="25"/>
        <v>0</v>
      </c>
      <c r="F88" s="16">
        <f t="shared" si="26"/>
        <v>0</v>
      </c>
      <c r="G88" s="14">
        <f t="shared" si="27"/>
        <v>0</v>
      </c>
      <c r="H88" s="46">
        <v>0</v>
      </c>
      <c r="I88" s="92">
        <f t="shared" si="28"/>
        <v>0</v>
      </c>
      <c r="J88" s="22">
        <f t="shared" si="29"/>
        <v>0</v>
      </c>
      <c r="K88" s="92">
        <v>0</v>
      </c>
      <c r="L88" s="92">
        <f t="shared" si="30"/>
        <v>0</v>
      </c>
      <c r="M88" s="14">
        <f t="shared" si="31"/>
        <v>0</v>
      </c>
      <c r="N88" s="46">
        <f t="shared" si="32"/>
        <v>0</v>
      </c>
      <c r="O88" s="46">
        <f t="shared" si="33"/>
        <v>0</v>
      </c>
      <c r="P88" s="22">
        <f t="shared" si="34"/>
        <v>0</v>
      </c>
      <c r="Q88" s="55">
        <f t="shared" si="35"/>
        <v>0</v>
      </c>
      <c r="R88" s="55">
        <f t="shared" si="36"/>
        <v>0</v>
      </c>
      <c r="S88" s="32">
        <f t="shared" si="37"/>
        <v>0</v>
      </c>
    </row>
    <row r="89" spans="1:19">
      <c r="A89" s="47">
        <v>0</v>
      </c>
      <c r="B89" s="47">
        <v>0</v>
      </c>
      <c r="C89" s="47">
        <v>0</v>
      </c>
      <c r="D89" s="13">
        <v>44166</v>
      </c>
      <c r="E89" s="16">
        <f t="shared" si="25"/>
        <v>0</v>
      </c>
      <c r="F89" s="16">
        <f t="shared" si="26"/>
        <v>0</v>
      </c>
      <c r="G89" s="14">
        <f t="shared" si="27"/>
        <v>0</v>
      </c>
      <c r="H89" s="46">
        <v>0</v>
      </c>
      <c r="I89" s="92">
        <f t="shared" si="28"/>
        <v>0</v>
      </c>
      <c r="J89" s="22">
        <f t="shared" si="29"/>
        <v>0</v>
      </c>
      <c r="K89" s="92">
        <v>0</v>
      </c>
      <c r="L89" s="92">
        <f t="shared" si="30"/>
        <v>0</v>
      </c>
      <c r="M89" s="14">
        <f t="shared" si="31"/>
        <v>0</v>
      </c>
      <c r="N89" s="46">
        <f t="shared" si="32"/>
        <v>0</v>
      </c>
      <c r="O89" s="46">
        <f t="shared" si="33"/>
        <v>0</v>
      </c>
      <c r="P89" s="22">
        <f t="shared" si="34"/>
        <v>0</v>
      </c>
      <c r="Q89" s="55">
        <f t="shared" si="35"/>
        <v>0</v>
      </c>
      <c r="R89" s="55">
        <f t="shared" si="36"/>
        <v>0</v>
      </c>
      <c r="S89" s="32">
        <f t="shared" si="37"/>
        <v>0</v>
      </c>
    </row>
  </sheetData>
  <mergeCells count="6">
    <mergeCell ref="Q6:S17"/>
    <mergeCell ref="E4:G4"/>
    <mergeCell ref="H4:J4"/>
    <mergeCell ref="K4:M4"/>
    <mergeCell ref="N4:P4"/>
    <mergeCell ref="Q4:S4"/>
  </mergeCells>
  <conditionalFormatting sqref="H30:H89">
    <cfRule type="cellIs" dxfId="14" priority="2" operator="greaterThan">
      <formula>0</formula>
    </cfRule>
  </conditionalFormatting>
  <conditionalFormatting sqref="H21:H29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V89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5.6640625" style="1" bestFit="1" customWidth="1"/>
    <col min="3" max="4" width="6.109375" style="1" bestFit="1" customWidth="1"/>
    <col min="5" max="5" width="5.6640625" style="1" bestFit="1" customWidth="1"/>
    <col min="6" max="6" width="7.88671875" style="1" bestFit="1" customWidth="1"/>
    <col min="7" max="7" width="5.6640625" style="1" bestFit="1" customWidth="1"/>
    <col min="8" max="8" width="6.33203125" style="1" bestFit="1" customWidth="1"/>
    <col min="9" max="9" width="8.44140625" style="1" bestFit="1" customWidth="1"/>
    <col min="10" max="11" width="6.33203125" style="1" bestFit="1" customWidth="1"/>
    <col min="12" max="12" width="8.44140625" style="1" bestFit="1" customWidth="1"/>
    <col min="13" max="13" width="5.6640625" style="1" bestFit="1" customWidth="1"/>
    <col min="14" max="14" width="6.33203125" style="1" bestFit="1" customWidth="1"/>
    <col min="15" max="15" width="10.5546875" style="1" bestFit="1" customWidth="1"/>
    <col min="16" max="17" width="6.33203125" style="1" bestFit="1" customWidth="1"/>
    <col min="18" max="18" width="8.44140625" style="1" bestFit="1" customWidth="1"/>
    <col min="19" max="19" width="6.33203125" style="1" bestFit="1" customWidth="1"/>
    <col min="20" max="20" width="12.6640625" style="1" bestFit="1" customWidth="1"/>
    <col min="21" max="21" width="10.33203125" style="1" bestFit="1" customWidth="1"/>
    <col min="22" max="22" width="9.88671875" style="1" bestFit="1" customWidth="1"/>
    <col min="23" max="16384" width="9.109375" style="1"/>
  </cols>
  <sheetData>
    <row r="1" spans="1:22" s="120" customFormat="1">
      <c r="A1" s="120" t="s">
        <v>65</v>
      </c>
    </row>
    <row r="2" spans="1:22" s="120" customFormat="1">
      <c r="A2" s="120" t="s">
        <v>59</v>
      </c>
    </row>
    <row r="4" spans="1:22">
      <c r="B4" s="17"/>
      <c r="C4" s="18"/>
      <c r="D4" s="19"/>
      <c r="E4" s="106" t="s">
        <v>0</v>
      </c>
      <c r="F4" s="106"/>
      <c r="G4" s="106"/>
      <c r="H4" s="106" t="s">
        <v>1</v>
      </c>
      <c r="I4" s="106"/>
      <c r="J4" s="106"/>
      <c r="K4" s="106" t="s">
        <v>40</v>
      </c>
      <c r="L4" s="106"/>
      <c r="M4" s="106"/>
      <c r="N4" s="106" t="s">
        <v>2</v>
      </c>
      <c r="O4" s="106"/>
      <c r="P4" s="106"/>
      <c r="Q4" s="106" t="s">
        <v>29</v>
      </c>
      <c r="R4" s="106"/>
      <c r="S4" s="106"/>
      <c r="T4" s="106" t="s">
        <v>39</v>
      </c>
      <c r="U4" s="106"/>
      <c r="V4" s="106"/>
    </row>
    <row r="5" spans="1:22">
      <c r="A5" s="20" t="s">
        <v>49</v>
      </c>
      <c r="B5" s="20" t="s">
        <v>20</v>
      </c>
      <c r="C5" s="12" t="s">
        <v>12</v>
      </c>
      <c r="D5" s="9" t="s">
        <v>26</v>
      </c>
      <c r="E5" s="11" t="s">
        <v>3</v>
      </c>
      <c r="F5" s="11" t="s">
        <v>27</v>
      </c>
      <c r="G5" s="11" t="s">
        <v>28</v>
      </c>
      <c r="H5" s="11" t="s">
        <v>3</v>
      </c>
      <c r="I5" s="11" t="s">
        <v>27</v>
      </c>
      <c r="J5" s="11" t="s">
        <v>28</v>
      </c>
      <c r="K5" s="11" t="s">
        <v>3</v>
      </c>
      <c r="L5" s="11" t="s">
        <v>27</v>
      </c>
      <c r="M5" s="11" t="s">
        <v>28</v>
      </c>
      <c r="N5" s="11" t="s">
        <v>3</v>
      </c>
      <c r="O5" s="11" t="s">
        <v>27</v>
      </c>
      <c r="P5" s="11" t="s">
        <v>28</v>
      </c>
      <c r="Q5" s="67" t="s">
        <v>3</v>
      </c>
      <c r="R5" s="67" t="s">
        <v>27</v>
      </c>
      <c r="S5" s="67" t="s">
        <v>28</v>
      </c>
      <c r="T5" s="68" t="s">
        <v>37</v>
      </c>
      <c r="U5" s="66" t="s">
        <v>38</v>
      </c>
      <c r="V5" s="66" t="s">
        <v>50</v>
      </c>
    </row>
    <row r="6" spans="1:22">
      <c r="A6" s="47">
        <v>3010</v>
      </c>
      <c r="B6" s="21">
        <v>5000</v>
      </c>
      <c r="C6" s="21">
        <v>90500</v>
      </c>
      <c r="D6" s="49">
        <v>41640</v>
      </c>
      <c r="E6" s="50">
        <v>89925</v>
      </c>
      <c r="F6" s="50">
        <v>9602615.2799999993</v>
      </c>
      <c r="G6" s="53">
        <f>F6/E6</f>
        <v>106.78471259382819</v>
      </c>
      <c r="H6" s="51">
        <v>0</v>
      </c>
      <c r="I6" s="54">
        <v>0</v>
      </c>
      <c r="J6" s="52">
        <f t="shared" ref="J6:J8" si="0">IF(H6=0,0,I6/H6)</f>
        <v>0</v>
      </c>
      <c r="K6" s="54">
        <v>266</v>
      </c>
      <c r="L6" s="54">
        <v>28404.74</v>
      </c>
      <c r="M6" s="53">
        <f t="shared" ref="M6:M46" si="1">IF(K6=0,0,L6/K6)</f>
        <v>106.78473684210527</v>
      </c>
      <c r="N6" s="51">
        <f t="shared" ref="N6:O53" si="2">+E6+H6-K6</f>
        <v>89659</v>
      </c>
      <c r="O6" s="51">
        <f t="shared" si="2"/>
        <v>9574210.5399999991</v>
      </c>
      <c r="P6" s="52">
        <f t="shared" ref="P6:P53" si="3">IF(N6=0,0,O6/N6)</f>
        <v>106.78471252188848</v>
      </c>
      <c r="Q6" s="107"/>
      <c r="R6" s="107"/>
      <c r="S6" s="107"/>
      <c r="T6" s="107"/>
      <c r="U6" s="107"/>
      <c r="V6" s="107"/>
    </row>
    <row r="7" spans="1:22">
      <c r="A7" s="21">
        <v>3010</v>
      </c>
      <c r="B7" s="21">
        <v>5000</v>
      </c>
      <c r="C7" s="21">
        <v>90500</v>
      </c>
      <c r="D7" s="49">
        <v>41671</v>
      </c>
      <c r="E7" s="50">
        <f t="shared" ref="E7:G47" si="4">N6</f>
        <v>89659</v>
      </c>
      <c r="F7" s="50">
        <f t="shared" si="4"/>
        <v>9574210.5399999991</v>
      </c>
      <c r="G7" s="53">
        <f t="shared" si="4"/>
        <v>106.78471252188848</v>
      </c>
      <c r="H7" s="51">
        <v>0</v>
      </c>
      <c r="I7" s="54">
        <v>0</v>
      </c>
      <c r="J7" s="52">
        <f t="shared" si="0"/>
        <v>0</v>
      </c>
      <c r="K7" s="54">
        <v>-92</v>
      </c>
      <c r="L7" s="54">
        <v>-9824.19</v>
      </c>
      <c r="M7" s="53">
        <f t="shared" si="1"/>
        <v>106.78467391304348</v>
      </c>
      <c r="N7" s="51">
        <f t="shared" si="2"/>
        <v>89751</v>
      </c>
      <c r="O7" s="51">
        <f t="shared" si="2"/>
        <v>9584034.7299999986</v>
      </c>
      <c r="P7" s="52">
        <f t="shared" si="3"/>
        <v>106.78471248231216</v>
      </c>
      <c r="Q7" s="107"/>
      <c r="R7" s="107"/>
      <c r="S7" s="107"/>
      <c r="T7" s="107"/>
      <c r="U7" s="107"/>
      <c r="V7" s="107"/>
    </row>
    <row r="8" spans="1:22">
      <c r="A8" s="21">
        <v>3010</v>
      </c>
      <c r="B8" s="21">
        <v>5000</v>
      </c>
      <c r="C8" s="21">
        <v>90500</v>
      </c>
      <c r="D8" s="49">
        <v>41699</v>
      </c>
      <c r="E8" s="50">
        <f t="shared" si="4"/>
        <v>89751</v>
      </c>
      <c r="F8" s="50">
        <f t="shared" si="4"/>
        <v>9584034.7299999986</v>
      </c>
      <c r="G8" s="53">
        <f t="shared" si="4"/>
        <v>106.78471248231216</v>
      </c>
      <c r="H8" s="51">
        <v>0</v>
      </c>
      <c r="I8" s="54">
        <v>0</v>
      </c>
      <c r="J8" s="52">
        <f t="shared" si="0"/>
        <v>0</v>
      </c>
      <c r="K8" s="54">
        <v>2346</v>
      </c>
      <c r="L8" s="54">
        <v>250516.94</v>
      </c>
      <c r="M8" s="53">
        <f t="shared" si="1"/>
        <v>106.78471440750214</v>
      </c>
      <c r="N8" s="51">
        <f t="shared" si="2"/>
        <v>87405</v>
      </c>
      <c r="O8" s="51">
        <f t="shared" si="2"/>
        <v>9333517.7899999991</v>
      </c>
      <c r="P8" s="52">
        <f t="shared" si="3"/>
        <v>106.78471243063898</v>
      </c>
      <c r="Q8" s="107"/>
      <c r="R8" s="107"/>
      <c r="S8" s="107"/>
      <c r="T8" s="107"/>
      <c r="U8" s="107"/>
      <c r="V8" s="107"/>
    </row>
    <row r="9" spans="1:22">
      <c r="A9" s="21">
        <v>3010</v>
      </c>
      <c r="B9" s="21">
        <v>5000</v>
      </c>
      <c r="C9" s="21">
        <v>90500</v>
      </c>
      <c r="D9" s="49">
        <v>41730</v>
      </c>
      <c r="E9" s="50">
        <f t="shared" si="4"/>
        <v>87405</v>
      </c>
      <c r="F9" s="50">
        <f t="shared" si="4"/>
        <v>9333517.7899999991</v>
      </c>
      <c r="G9" s="53">
        <f t="shared" si="4"/>
        <v>106.78471243063898</v>
      </c>
      <c r="H9" s="51">
        <v>0</v>
      </c>
      <c r="I9" s="54">
        <v>0</v>
      </c>
      <c r="J9" s="52">
        <f t="shared" ref="J9" si="5">IF(H9=0,0,I9/H9)</f>
        <v>0</v>
      </c>
      <c r="K9" s="54">
        <v>559</v>
      </c>
      <c r="L9" s="54">
        <v>59692.66</v>
      </c>
      <c r="M9" s="53">
        <f t="shared" si="1"/>
        <v>106.78472271914133</v>
      </c>
      <c r="N9" s="51">
        <f t="shared" si="2"/>
        <v>86846</v>
      </c>
      <c r="O9" s="51">
        <f t="shared" si="2"/>
        <v>9273825.129999999</v>
      </c>
      <c r="P9" s="52">
        <f t="shared" si="3"/>
        <v>106.78471236441516</v>
      </c>
      <c r="Q9" s="107"/>
      <c r="R9" s="107"/>
      <c r="S9" s="107"/>
      <c r="T9" s="107"/>
      <c r="U9" s="107"/>
      <c r="V9" s="107"/>
    </row>
    <row r="10" spans="1:22">
      <c r="A10" s="21">
        <v>3010</v>
      </c>
      <c r="B10" s="21">
        <v>5000</v>
      </c>
      <c r="C10" s="21">
        <v>90500</v>
      </c>
      <c r="D10" s="49">
        <v>41760</v>
      </c>
      <c r="E10" s="50">
        <f t="shared" si="4"/>
        <v>86846</v>
      </c>
      <c r="F10" s="50">
        <f t="shared" si="4"/>
        <v>9273825.129999999</v>
      </c>
      <c r="G10" s="53">
        <f t="shared" si="4"/>
        <v>106.78471236441516</v>
      </c>
      <c r="H10" s="51">
        <v>0</v>
      </c>
      <c r="I10" s="54">
        <v>0</v>
      </c>
      <c r="J10" s="52">
        <f t="shared" ref="J10" si="6">IF(H10=0,0,I10/H10)</f>
        <v>0</v>
      </c>
      <c r="K10" s="54">
        <v>-11</v>
      </c>
      <c r="L10" s="54">
        <v>-1174.6300000000001</v>
      </c>
      <c r="M10" s="53">
        <f t="shared" si="1"/>
        <v>106.78454545454547</v>
      </c>
      <c r="N10" s="51">
        <f t="shared" si="2"/>
        <v>86857</v>
      </c>
      <c r="O10" s="51">
        <f t="shared" si="2"/>
        <v>9274999.7599999998</v>
      </c>
      <c r="P10" s="52">
        <f t="shared" si="3"/>
        <v>106.78471234327688</v>
      </c>
      <c r="Q10" s="107"/>
      <c r="R10" s="107"/>
      <c r="S10" s="107"/>
      <c r="T10" s="107"/>
      <c r="U10" s="107"/>
      <c r="V10" s="107"/>
    </row>
    <row r="11" spans="1:22">
      <c r="A11" s="21">
        <v>3010</v>
      </c>
      <c r="B11" s="21">
        <v>5000</v>
      </c>
      <c r="C11" s="21">
        <v>90500</v>
      </c>
      <c r="D11" s="49">
        <v>41791</v>
      </c>
      <c r="E11" s="50">
        <f t="shared" si="4"/>
        <v>86857</v>
      </c>
      <c r="F11" s="50">
        <f t="shared" si="4"/>
        <v>9274999.7599999998</v>
      </c>
      <c r="G11" s="53">
        <f t="shared" si="4"/>
        <v>106.78471234327688</v>
      </c>
      <c r="H11" s="51">
        <v>0</v>
      </c>
      <c r="I11" s="54">
        <v>0</v>
      </c>
      <c r="J11" s="52">
        <f t="shared" ref="J11" si="7">IF(H11=0,0,I11/H11)</f>
        <v>0</v>
      </c>
      <c r="K11" s="54">
        <v>371</v>
      </c>
      <c r="L11" s="54">
        <f>IF(E11+H11&gt;0,((F11+I11)/(E11+H11)*K11),0)</f>
        <v>39617.128279355726</v>
      </c>
      <c r="M11" s="53">
        <f t="shared" si="1"/>
        <v>106.78471234327689</v>
      </c>
      <c r="N11" s="51">
        <f t="shared" si="2"/>
        <v>86486</v>
      </c>
      <c r="O11" s="51">
        <f t="shared" si="2"/>
        <v>9235382.6317206435</v>
      </c>
      <c r="P11" s="52">
        <f t="shared" si="3"/>
        <v>106.78471234327687</v>
      </c>
      <c r="Q11" s="107"/>
      <c r="R11" s="107"/>
      <c r="S11" s="107"/>
      <c r="T11" s="107"/>
      <c r="U11" s="107"/>
      <c r="V11" s="107"/>
    </row>
    <row r="12" spans="1:22">
      <c r="A12" s="21">
        <v>3010</v>
      </c>
      <c r="B12" s="21">
        <v>5000</v>
      </c>
      <c r="C12" s="21">
        <v>90500</v>
      </c>
      <c r="D12" s="49">
        <v>41821</v>
      </c>
      <c r="E12" s="50">
        <f t="shared" si="4"/>
        <v>86486</v>
      </c>
      <c r="F12" s="50">
        <f t="shared" si="4"/>
        <v>9235382.6317206435</v>
      </c>
      <c r="G12" s="53">
        <f t="shared" si="4"/>
        <v>106.78471234327687</v>
      </c>
      <c r="H12" s="51">
        <v>0</v>
      </c>
      <c r="I12" s="54">
        <v>0</v>
      </c>
      <c r="J12" s="52">
        <f t="shared" ref="J12" si="8">IF(H12=0,0,I12/H12)</f>
        <v>0</v>
      </c>
      <c r="K12" s="54">
        <v>577</v>
      </c>
      <c r="L12" s="54">
        <v>61614.77</v>
      </c>
      <c r="M12" s="53">
        <f t="shared" si="1"/>
        <v>106.78469670710571</v>
      </c>
      <c r="N12" s="51">
        <f t="shared" si="2"/>
        <v>85909</v>
      </c>
      <c r="O12" s="51">
        <f t="shared" si="2"/>
        <v>9173767.8617206439</v>
      </c>
      <c r="P12" s="52">
        <f t="shared" si="3"/>
        <v>106.78471244829581</v>
      </c>
      <c r="Q12" s="107"/>
      <c r="R12" s="107"/>
      <c r="S12" s="107"/>
      <c r="T12" s="107"/>
      <c r="U12" s="107"/>
      <c r="V12" s="107"/>
    </row>
    <row r="13" spans="1:22">
      <c r="A13" s="21">
        <v>3010</v>
      </c>
      <c r="B13" s="21">
        <v>5000</v>
      </c>
      <c r="C13" s="21">
        <v>90500</v>
      </c>
      <c r="D13" s="49">
        <v>41852</v>
      </c>
      <c r="E13" s="50">
        <f t="shared" si="4"/>
        <v>85909</v>
      </c>
      <c r="F13" s="50">
        <f t="shared" si="4"/>
        <v>9173767.8617206439</v>
      </c>
      <c r="G13" s="53">
        <f t="shared" si="4"/>
        <v>106.78471244829581</v>
      </c>
      <c r="H13" s="51">
        <v>0</v>
      </c>
      <c r="I13" s="54">
        <v>0</v>
      </c>
      <c r="J13" s="52">
        <f t="shared" ref="J13" si="9">IF(H13=0,0,I13/H13)</f>
        <v>0</v>
      </c>
      <c r="K13" s="54">
        <v>-860</v>
      </c>
      <c r="L13" s="54">
        <v>-91834.85</v>
      </c>
      <c r="M13" s="53">
        <f t="shared" si="1"/>
        <v>106.7847093023256</v>
      </c>
      <c r="N13" s="51">
        <f t="shared" si="2"/>
        <v>86769</v>
      </c>
      <c r="O13" s="51">
        <f t="shared" si="2"/>
        <v>9265602.7117206436</v>
      </c>
      <c r="P13" s="52">
        <f t="shared" si="3"/>
        <v>106.7847124171149</v>
      </c>
      <c r="Q13" s="107"/>
      <c r="R13" s="107"/>
      <c r="S13" s="107"/>
      <c r="T13" s="107"/>
      <c r="U13" s="107"/>
      <c r="V13" s="107"/>
    </row>
    <row r="14" spans="1:22">
      <c r="A14" s="21">
        <v>3010</v>
      </c>
      <c r="B14" s="21">
        <v>5000</v>
      </c>
      <c r="C14" s="21">
        <v>90500</v>
      </c>
      <c r="D14" s="49">
        <v>41883</v>
      </c>
      <c r="E14" s="50">
        <f t="shared" si="4"/>
        <v>86769</v>
      </c>
      <c r="F14" s="50">
        <f t="shared" si="4"/>
        <v>9265602.7117206436</v>
      </c>
      <c r="G14" s="53">
        <f t="shared" si="4"/>
        <v>106.7847124171149</v>
      </c>
      <c r="H14" s="51">
        <v>0</v>
      </c>
      <c r="I14" s="54">
        <v>0</v>
      </c>
      <c r="J14" s="52">
        <f t="shared" ref="J14" si="10">IF(H14=0,0,I14/H14)</f>
        <v>0</v>
      </c>
      <c r="K14" s="54">
        <v>-45</v>
      </c>
      <c r="L14" s="54">
        <v>-4805.32</v>
      </c>
      <c r="M14" s="53">
        <f t="shared" si="1"/>
        <v>106.78488888888889</v>
      </c>
      <c r="N14" s="51">
        <f t="shared" si="2"/>
        <v>86814</v>
      </c>
      <c r="O14" s="51">
        <f t="shared" si="2"/>
        <v>9270408.0317206439</v>
      </c>
      <c r="P14" s="52">
        <f t="shared" si="3"/>
        <v>106.78471250858898</v>
      </c>
      <c r="Q14" s="107"/>
      <c r="R14" s="107"/>
      <c r="S14" s="107"/>
      <c r="T14" s="107"/>
      <c r="U14" s="107"/>
      <c r="V14" s="107"/>
    </row>
    <row r="15" spans="1:22">
      <c r="A15" s="21">
        <v>3010</v>
      </c>
      <c r="B15" s="21">
        <v>5000</v>
      </c>
      <c r="C15" s="21">
        <v>90500</v>
      </c>
      <c r="D15" s="49">
        <v>41913</v>
      </c>
      <c r="E15" s="50">
        <f t="shared" si="4"/>
        <v>86814</v>
      </c>
      <c r="F15" s="50">
        <f t="shared" si="4"/>
        <v>9270408.0317206439</v>
      </c>
      <c r="G15" s="53">
        <f t="shared" si="4"/>
        <v>106.78471250858898</v>
      </c>
      <c r="H15" s="51">
        <v>0</v>
      </c>
      <c r="I15" s="54">
        <v>0</v>
      </c>
      <c r="J15" s="52">
        <f t="shared" ref="J15" si="11">IF(H15=0,0,I15/H15)</f>
        <v>0</v>
      </c>
      <c r="K15" s="54">
        <v>784</v>
      </c>
      <c r="L15" s="54">
        <v>83719.22</v>
      </c>
      <c r="M15" s="53">
        <f t="shared" si="1"/>
        <v>106.7847193877551</v>
      </c>
      <c r="N15" s="51">
        <f t="shared" si="2"/>
        <v>86030</v>
      </c>
      <c r="O15" s="51">
        <f t="shared" si="2"/>
        <v>9186688.8117206432</v>
      </c>
      <c r="P15" s="52">
        <f t="shared" si="3"/>
        <v>106.78471244589845</v>
      </c>
      <c r="Q15" s="107"/>
      <c r="R15" s="107"/>
      <c r="S15" s="107"/>
      <c r="T15" s="107"/>
      <c r="U15" s="107"/>
      <c r="V15" s="107"/>
    </row>
    <row r="16" spans="1:22">
      <c r="A16" s="21">
        <v>3010</v>
      </c>
      <c r="B16" s="21">
        <v>5000</v>
      </c>
      <c r="C16" s="21">
        <v>90500</v>
      </c>
      <c r="D16" s="49">
        <v>41944</v>
      </c>
      <c r="E16" s="50">
        <f t="shared" si="4"/>
        <v>86030</v>
      </c>
      <c r="F16" s="50">
        <f t="shared" si="4"/>
        <v>9186688.8117206432</v>
      </c>
      <c r="G16" s="53">
        <f t="shared" si="4"/>
        <v>106.78471244589845</v>
      </c>
      <c r="H16" s="51">
        <v>0</v>
      </c>
      <c r="I16" s="54">
        <v>0</v>
      </c>
      <c r="J16" s="52">
        <f t="shared" ref="J16:J29" si="12">IF(H16=0,0,I16/H16)</f>
        <v>0</v>
      </c>
      <c r="K16" s="54">
        <v>32</v>
      </c>
      <c r="L16" s="54">
        <v>3417.11</v>
      </c>
      <c r="M16" s="53">
        <f t="shared" si="1"/>
        <v>106.7846875</v>
      </c>
      <c r="N16" s="51">
        <f t="shared" si="2"/>
        <v>85998</v>
      </c>
      <c r="O16" s="51">
        <f t="shared" si="2"/>
        <v>9183271.7017206438</v>
      </c>
      <c r="P16" s="52">
        <f t="shared" si="3"/>
        <v>106.78471245518087</v>
      </c>
      <c r="Q16" s="107"/>
      <c r="R16" s="107"/>
      <c r="S16" s="107"/>
      <c r="T16" s="107"/>
      <c r="U16" s="107"/>
      <c r="V16" s="107"/>
    </row>
    <row r="17" spans="1:22">
      <c r="A17" s="21">
        <v>3010</v>
      </c>
      <c r="B17" s="21">
        <v>5000</v>
      </c>
      <c r="C17" s="21">
        <v>90500</v>
      </c>
      <c r="D17" s="49">
        <v>41974</v>
      </c>
      <c r="E17" s="50">
        <f t="shared" si="4"/>
        <v>85998</v>
      </c>
      <c r="F17" s="50">
        <f t="shared" si="4"/>
        <v>9183271.7017206438</v>
      </c>
      <c r="G17" s="53">
        <f t="shared" si="4"/>
        <v>106.78471245518087</v>
      </c>
      <c r="H17" s="51">
        <v>0</v>
      </c>
      <c r="I17" s="54">
        <v>0</v>
      </c>
      <c r="J17" s="52">
        <f t="shared" si="12"/>
        <v>0</v>
      </c>
      <c r="K17" s="54">
        <v>52</v>
      </c>
      <c r="L17" s="54">
        <v>5552.8</v>
      </c>
      <c r="M17" s="53">
        <f t="shared" si="1"/>
        <v>106.78461538461539</v>
      </c>
      <c r="N17" s="51">
        <f t="shared" si="2"/>
        <v>85946</v>
      </c>
      <c r="O17" s="51">
        <f t="shared" si="2"/>
        <v>9177718.901720643</v>
      </c>
      <c r="P17" s="52">
        <f t="shared" si="3"/>
        <v>106.78471251391156</v>
      </c>
      <c r="Q17" s="107"/>
      <c r="R17" s="107"/>
      <c r="S17" s="107"/>
      <c r="T17" s="107"/>
      <c r="U17" s="107"/>
      <c r="V17" s="107"/>
    </row>
    <row r="18" spans="1:22">
      <c r="A18" s="21">
        <v>3010</v>
      </c>
      <c r="B18" s="21">
        <v>5000</v>
      </c>
      <c r="C18" s="21">
        <v>90500</v>
      </c>
      <c r="D18" s="49">
        <v>42005</v>
      </c>
      <c r="E18" s="50">
        <f t="shared" si="4"/>
        <v>85946</v>
      </c>
      <c r="F18" s="50">
        <f t="shared" si="4"/>
        <v>9177718.901720643</v>
      </c>
      <c r="G18" s="53">
        <f t="shared" si="4"/>
        <v>106.78471251391156</v>
      </c>
      <c r="H18" s="51">
        <v>0</v>
      </c>
      <c r="I18" s="54">
        <v>0</v>
      </c>
      <c r="J18" s="52">
        <f t="shared" si="12"/>
        <v>0</v>
      </c>
      <c r="K18" s="54">
        <v>375</v>
      </c>
      <c r="L18" s="54">
        <v>40044.269999999997</v>
      </c>
      <c r="M18" s="53">
        <f t="shared" si="1"/>
        <v>106.78471999999999</v>
      </c>
      <c r="N18" s="51">
        <f t="shared" si="2"/>
        <v>85571</v>
      </c>
      <c r="O18" s="51">
        <f t="shared" si="2"/>
        <v>9137674.6317206435</v>
      </c>
      <c r="P18" s="52">
        <f t="shared" si="3"/>
        <v>106.78471248110509</v>
      </c>
      <c r="Q18" s="54">
        <f t="shared" ref="Q18:R29" si="13">AVERAGE(N6:N18)</f>
        <v>86926.230769230766</v>
      </c>
      <c r="R18" s="54">
        <f t="shared" si="13"/>
        <v>9282392.5564434715</v>
      </c>
      <c r="S18" s="56">
        <f t="shared" ref="S18:S29" si="14">IF(Q18=0,0,R18/Q18)</f>
        <v>106.784712442969</v>
      </c>
      <c r="T18" s="54">
        <f>N18+A18</f>
        <v>88581</v>
      </c>
      <c r="U18" s="58">
        <v>3010</v>
      </c>
      <c r="V18" s="75">
        <f>(T18-U18)/1200</f>
        <v>71.30916666666667</v>
      </c>
    </row>
    <row r="19" spans="1:22">
      <c r="A19" s="21">
        <v>3010</v>
      </c>
      <c r="B19" s="21">
        <v>5000</v>
      </c>
      <c r="C19" s="21">
        <v>90500</v>
      </c>
      <c r="D19" s="49">
        <v>42036</v>
      </c>
      <c r="E19" s="50">
        <f t="shared" si="4"/>
        <v>85571</v>
      </c>
      <c r="F19" s="50">
        <f t="shared" si="4"/>
        <v>9137674.6317206435</v>
      </c>
      <c r="G19" s="53">
        <f t="shared" si="4"/>
        <v>106.78471248110509</v>
      </c>
      <c r="H19" s="51">
        <v>0</v>
      </c>
      <c r="I19" s="54">
        <v>0</v>
      </c>
      <c r="J19" s="52">
        <f t="shared" si="12"/>
        <v>0</v>
      </c>
      <c r="K19" s="54">
        <v>379</v>
      </c>
      <c r="L19" s="54">
        <v>40471.4</v>
      </c>
      <c r="M19" s="53">
        <f t="shared" si="1"/>
        <v>106.78469656992085</v>
      </c>
      <c r="N19" s="51">
        <f t="shared" si="2"/>
        <v>85192</v>
      </c>
      <c r="O19" s="51">
        <f t="shared" si="2"/>
        <v>9097203.2317206431</v>
      </c>
      <c r="P19" s="52">
        <f t="shared" si="3"/>
        <v>106.78471255189035</v>
      </c>
      <c r="Q19" s="54">
        <f t="shared" si="13"/>
        <v>86582.61538461539</v>
      </c>
      <c r="R19" s="54">
        <f t="shared" si="13"/>
        <v>9245699.68657583</v>
      </c>
      <c r="S19" s="56">
        <f t="shared" si="14"/>
        <v>106.78471244492657</v>
      </c>
      <c r="T19" s="54">
        <f t="shared" ref="T19:T29" si="15">N19+A19</f>
        <v>88202</v>
      </c>
      <c r="U19" s="58">
        <v>3010</v>
      </c>
      <c r="V19" s="75">
        <f t="shared" ref="V19:V29" si="16">(T19-U19)/1200</f>
        <v>70.993333333333339</v>
      </c>
    </row>
    <row r="20" spans="1:22">
      <c r="A20" s="21">
        <v>3010</v>
      </c>
      <c r="B20" s="21">
        <v>5000</v>
      </c>
      <c r="C20" s="21">
        <v>90500</v>
      </c>
      <c r="D20" s="49">
        <v>42064</v>
      </c>
      <c r="E20" s="50">
        <f t="shared" si="4"/>
        <v>85192</v>
      </c>
      <c r="F20" s="50">
        <f t="shared" si="4"/>
        <v>9097203.2317206431</v>
      </c>
      <c r="G20" s="53">
        <f t="shared" si="4"/>
        <v>106.78471255189035</v>
      </c>
      <c r="H20" s="51">
        <v>0</v>
      </c>
      <c r="I20" s="54">
        <v>0</v>
      </c>
      <c r="J20" s="52">
        <f t="shared" si="12"/>
        <v>0</v>
      </c>
      <c r="K20" s="54">
        <v>635</v>
      </c>
      <c r="L20" s="54">
        <v>67808.289999999994</v>
      </c>
      <c r="M20" s="53">
        <f t="shared" si="1"/>
        <v>106.78470866141731</v>
      </c>
      <c r="N20" s="51">
        <f t="shared" si="2"/>
        <v>84557</v>
      </c>
      <c r="O20" s="51">
        <f t="shared" si="2"/>
        <v>9029394.941720644</v>
      </c>
      <c r="P20" s="52">
        <f t="shared" si="3"/>
        <v>106.78471258110676</v>
      </c>
      <c r="Q20" s="54">
        <f t="shared" si="13"/>
        <v>86183.076923076922</v>
      </c>
      <c r="R20" s="54">
        <f t="shared" si="13"/>
        <v>9203035.0874774177</v>
      </c>
      <c r="S20" s="56">
        <f t="shared" si="14"/>
        <v>106.78471245220946</v>
      </c>
      <c r="T20" s="54">
        <f t="shared" si="15"/>
        <v>87567</v>
      </c>
      <c r="U20" s="58">
        <v>3010</v>
      </c>
      <c r="V20" s="75">
        <f t="shared" si="16"/>
        <v>70.464166666666671</v>
      </c>
    </row>
    <row r="21" spans="1:22">
      <c r="A21" s="21">
        <v>3010</v>
      </c>
      <c r="B21" s="21">
        <v>5000</v>
      </c>
      <c r="C21" s="21">
        <v>90500</v>
      </c>
      <c r="D21" s="49">
        <v>42095</v>
      </c>
      <c r="E21" s="50">
        <f t="shared" si="4"/>
        <v>84557</v>
      </c>
      <c r="F21" s="50">
        <f t="shared" si="4"/>
        <v>9029394.941720644</v>
      </c>
      <c r="G21" s="53">
        <f t="shared" si="4"/>
        <v>106.78471258110676</v>
      </c>
      <c r="H21" s="51">
        <v>0</v>
      </c>
      <c r="I21" s="54">
        <v>0</v>
      </c>
      <c r="J21" s="52">
        <f t="shared" si="12"/>
        <v>0</v>
      </c>
      <c r="K21" s="54">
        <v>130</v>
      </c>
      <c r="L21" s="54">
        <v>13882.01</v>
      </c>
      <c r="M21" s="53">
        <f t="shared" si="1"/>
        <v>106.78469230769231</v>
      </c>
      <c r="N21" s="51">
        <f t="shared" si="2"/>
        <v>84427</v>
      </c>
      <c r="O21" s="51">
        <f t="shared" si="2"/>
        <v>9015512.9317206442</v>
      </c>
      <c r="P21" s="52">
        <f t="shared" si="3"/>
        <v>106.7847126123236</v>
      </c>
      <c r="Q21" s="54">
        <f t="shared" si="13"/>
        <v>85954</v>
      </c>
      <c r="R21" s="54">
        <f t="shared" si="13"/>
        <v>9178573.1753020845</v>
      </c>
      <c r="S21" s="56">
        <f t="shared" si="14"/>
        <v>106.78471246599442</v>
      </c>
      <c r="T21" s="54">
        <f t="shared" si="15"/>
        <v>87437</v>
      </c>
      <c r="U21" s="58">
        <v>3010</v>
      </c>
      <c r="V21" s="75">
        <f t="shared" si="16"/>
        <v>70.355833333333337</v>
      </c>
    </row>
    <row r="22" spans="1:22">
      <c r="A22" s="21">
        <v>3010</v>
      </c>
      <c r="B22" s="21">
        <v>5000</v>
      </c>
      <c r="C22" s="21">
        <v>90500</v>
      </c>
      <c r="D22" s="49">
        <v>42125</v>
      </c>
      <c r="E22" s="50">
        <f t="shared" si="4"/>
        <v>84427</v>
      </c>
      <c r="F22" s="50">
        <f t="shared" si="4"/>
        <v>9015512.9317206442</v>
      </c>
      <c r="G22" s="53">
        <f t="shared" si="4"/>
        <v>106.7847126123236</v>
      </c>
      <c r="H22" s="51">
        <v>0</v>
      </c>
      <c r="I22" s="54">
        <v>0</v>
      </c>
      <c r="J22" s="52">
        <f t="shared" si="12"/>
        <v>0</v>
      </c>
      <c r="K22" s="54">
        <v>334</v>
      </c>
      <c r="L22" s="54">
        <v>35666.089999999997</v>
      </c>
      <c r="M22" s="53">
        <f t="shared" si="1"/>
        <v>106.78470059880239</v>
      </c>
      <c r="N22" s="51">
        <f t="shared" si="2"/>
        <v>84093</v>
      </c>
      <c r="O22" s="51">
        <f t="shared" si="2"/>
        <v>8979846.8417206444</v>
      </c>
      <c r="P22" s="52">
        <f t="shared" si="3"/>
        <v>106.78471266003882</v>
      </c>
      <c r="Q22" s="54">
        <f t="shared" si="13"/>
        <v>85742.230769230766</v>
      </c>
      <c r="R22" s="54">
        <f t="shared" si="13"/>
        <v>9155959.4608190563</v>
      </c>
      <c r="S22" s="56">
        <f t="shared" si="14"/>
        <v>106.78471248854818</v>
      </c>
      <c r="T22" s="54">
        <f t="shared" si="15"/>
        <v>87103</v>
      </c>
      <c r="U22" s="58">
        <v>3010</v>
      </c>
      <c r="V22" s="75">
        <f t="shared" si="16"/>
        <v>70.077500000000001</v>
      </c>
    </row>
    <row r="23" spans="1:22">
      <c r="A23" s="21">
        <v>3010</v>
      </c>
      <c r="B23" s="21">
        <v>5000</v>
      </c>
      <c r="C23" s="21">
        <v>90500</v>
      </c>
      <c r="D23" s="49">
        <v>42156</v>
      </c>
      <c r="E23" s="50">
        <f t="shared" si="4"/>
        <v>84093</v>
      </c>
      <c r="F23" s="50">
        <f t="shared" si="4"/>
        <v>8979846.8417206444</v>
      </c>
      <c r="G23" s="53">
        <f t="shared" si="4"/>
        <v>106.78471266003882</v>
      </c>
      <c r="H23" s="51">
        <v>0</v>
      </c>
      <c r="I23" s="54">
        <v>0</v>
      </c>
      <c r="J23" s="52">
        <f t="shared" si="12"/>
        <v>0</v>
      </c>
      <c r="K23" s="54">
        <v>1099</v>
      </c>
      <c r="L23" s="54">
        <v>117356.4</v>
      </c>
      <c r="M23" s="53">
        <f t="shared" si="1"/>
        <v>106.78471337579617</v>
      </c>
      <c r="N23" s="51">
        <f t="shared" si="2"/>
        <v>82994</v>
      </c>
      <c r="O23" s="51">
        <f t="shared" si="2"/>
        <v>8862490.441720644</v>
      </c>
      <c r="P23" s="52">
        <f t="shared" si="3"/>
        <v>106.78471265056081</v>
      </c>
      <c r="Q23" s="54">
        <f t="shared" si="13"/>
        <v>85445.076923076922</v>
      </c>
      <c r="R23" s="54">
        <f t="shared" si="13"/>
        <v>9124227.9747975674</v>
      </c>
      <c r="S23" s="56">
        <f t="shared" si="14"/>
        <v>106.78471251201256</v>
      </c>
      <c r="T23" s="54">
        <f t="shared" si="15"/>
        <v>86004</v>
      </c>
      <c r="U23" s="58">
        <v>3010</v>
      </c>
      <c r="V23" s="75">
        <f t="shared" si="16"/>
        <v>69.161666666666662</v>
      </c>
    </row>
    <row r="24" spans="1:22">
      <c r="A24" s="21">
        <v>3010</v>
      </c>
      <c r="B24" s="21">
        <v>5000</v>
      </c>
      <c r="C24" s="21">
        <v>90500</v>
      </c>
      <c r="D24" s="49">
        <v>42186</v>
      </c>
      <c r="E24" s="50">
        <f t="shared" si="4"/>
        <v>82994</v>
      </c>
      <c r="F24" s="50">
        <f t="shared" si="4"/>
        <v>8862490.441720644</v>
      </c>
      <c r="G24" s="53">
        <f t="shared" si="4"/>
        <v>106.78471265056081</v>
      </c>
      <c r="H24" s="51">
        <v>0</v>
      </c>
      <c r="I24" s="54">
        <v>0</v>
      </c>
      <c r="J24" s="52">
        <f t="shared" si="12"/>
        <v>0</v>
      </c>
      <c r="K24" s="54">
        <v>937</v>
      </c>
      <c r="L24" s="54">
        <v>100057.27</v>
      </c>
      <c r="M24" s="53">
        <f t="shared" si="1"/>
        <v>106.78470651013875</v>
      </c>
      <c r="N24" s="51">
        <f t="shared" si="2"/>
        <v>82057</v>
      </c>
      <c r="O24" s="51">
        <f t="shared" si="2"/>
        <v>8762433.1717206445</v>
      </c>
      <c r="P24" s="52">
        <f t="shared" si="3"/>
        <v>106.78471272067763</v>
      </c>
      <c r="Q24" s="54">
        <f t="shared" si="13"/>
        <v>85104.38461538461</v>
      </c>
      <c r="R24" s="54">
        <f t="shared" si="13"/>
        <v>9087847.2471052594</v>
      </c>
      <c r="S24" s="56">
        <f t="shared" si="14"/>
        <v>106.78471254067935</v>
      </c>
      <c r="T24" s="54">
        <f t="shared" si="15"/>
        <v>85067</v>
      </c>
      <c r="U24" s="58">
        <v>3010</v>
      </c>
      <c r="V24" s="75">
        <f t="shared" si="16"/>
        <v>68.380833333333328</v>
      </c>
    </row>
    <row r="25" spans="1:22">
      <c r="A25" s="21">
        <v>3010</v>
      </c>
      <c r="B25" s="21">
        <v>10000</v>
      </c>
      <c r="C25" s="21">
        <v>90500</v>
      </c>
      <c r="D25" s="49">
        <v>42217</v>
      </c>
      <c r="E25" s="50">
        <f t="shared" si="4"/>
        <v>82057</v>
      </c>
      <c r="F25" s="50">
        <f t="shared" si="4"/>
        <v>8762433.1717206445</v>
      </c>
      <c r="G25" s="53">
        <f t="shared" si="4"/>
        <v>106.78471272067763</v>
      </c>
      <c r="H25" s="51">
        <v>0</v>
      </c>
      <c r="I25" s="54">
        <v>0</v>
      </c>
      <c r="J25" s="52">
        <f t="shared" si="12"/>
        <v>0</v>
      </c>
      <c r="K25" s="54">
        <v>1085</v>
      </c>
      <c r="L25" s="54">
        <v>115861.41</v>
      </c>
      <c r="M25" s="53">
        <f t="shared" si="1"/>
        <v>106.78470967741936</v>
      </c>
      <c r="N25" s="51">
        <f t="shared" si="2"/>
        <v>80972</v>
      </c>
      <c r="O25" s="51">
        <f t="shared" si="2"/>
        <v>8646571.7617206443</v>
      </c>
      <c r="P25" s="52">
        <f t="shared" si="3"/>
        <v>106.78471276145636</v>
      </c>
      <c r="Q25" s="54">
        <f t="shared" si="13"/>
        <v>84724.61538461539</v>
      </c>
      <c r="R25" s="54">
        <f t="shared" si="13"/>
        <v>9047293.7009514142</v>
      </c>
      <c r="S25" s="56">
        <f t="shared" si="14"/>
        <v>106.78471256411575</v>
      </c>
      <c r="T25" s="54">
        <f t="shared" si="15"/>
        <v>83982</v>
      </c>
      <c r="U25" s="58">
        <v>3010</v>
      </c>
      <c r="V25" s="75">
        <f t="shared" si="16"/>
        <v>67.476666666666674</v>
      </c>
    </row>
    <row r="26" spans="1:22">
      <c r="A26" s="21">
        <v>3010</v>
      </c>
      <c r="B26" s="47">
        <v>10000</v>
      </c>
      <c r="C26" s="21">
        <v>90500</v>
      </c>
      <c r="D26" s="49">
        <v>42248</v>
      </c>
      <c r="E26" s="50">
        <f t="shared" si="4"/>
        <v>80972</v>
      </c>
      <c r="F26" s="50">
        <f t="shared" si="4"/>
        <v>8646571.7617206443</v>
      </c>
      <c r="G26" s="53">
        <f t="shared" si="4"/>
        <v>106.78471276145636</v>
      </c>
      <c r="H26" s="51">
        <v>0</v>
      </c>
      <c r="I26" s="54">
        <v>1648.8</v>
      </c>
      <c r="J26" s="52">
        <f t="shared" si="12"/>
        <v>0</v>
      </c>
      <c r="K26" s="54">
        <v>577</v>
      </c>
      <c r="L26" s="54">
        <v>61626.52</v>
      </c>
      <c r="M26" s="53">
        <f t="shared" si="1"/>
        <v>106.80506065857885</v>
      </c>
      <c r="N26" s="51">
        <f t="shared" si="2"/>
        <v>80395</v>
      </c>
      <c r="O26" s="51">
        <f t="shared" si="2"/>
        <v>8586594.0417206455</v>
      </c>
      <c r="P26" s="52">
        <f t="shared" si="3"/>
        <v>106.80507546141732</v>
      </c>
      <c r="Q26" s="54">
        <f t="shared" si="13"/>
        <v>84234.307692307688</v>
      </c>
      <c r="R26" s="54">
        <f t="shared" si="13"/>
        <v>8995062.2647975665</v>
      </c>
      <c r="S26" s="56">
        <f t="shared" si="14"/>
        <v>106.78620755874033</v>
      </c>
      <c r="T26" s="54">
        <f t="shared" si="15"/>
        <v>83405</v>
      </c>
      <c r="U26" s="58">
        <v>3010</v>
      </c>
      <c r="V26" s="75">
        <f t="shared" si="16"/>
        <v>66.995833333333337</v>
      </c>
    </row>
    <row r="27" spans="1:22">
      <c r="A27" s="21">
        <v>3010</v>
      </c>
      <c r="B27" s="47">
        <v>10000</v>
      </c>
      <c r="C27" s="21">
        <v>90500</v>
      </c>
      <c r="D27" s="49">
        <v>42278</v>
      </c>
      <c r="E27" s="50">
        <f t="shared" si="4"/>
        <v>80395</v>
      </c>
      <c r="F27" s="50">
        <f t="shared" si="4"/>
        <v>8586594.0417206455</v>
      </c>
      <c r="G27" s="53">
        <f t="shared" si="4"/>
        <v>106.80507546141732</v>
      </c>
      <c r="H27" s="51">
        <v>0</v>
      </c>
      <c r="I27" s="54">
        <v>0</v>
      </c>
      <c r="J27" s="52">
        <f t="shared" si="12"/>
        <v>0</v>
      </c>
      <c r="K27" s="54">
        <v>640</v>
      </c>
      <c r="L27" s="54">
        <v>68355.25</v>
      </c>
      <c r="M27" s="53">
        <f t="shared" si="1"/>
        <v>106.80507812499999</v>
      </c>
      <c r="N27" s="51">
        <f t="shared" si="2"/>
        <v>79755</v>
      </c>
      <c r="O27" s="51">
        <f t="shared" si="2"/>
        <v>8518238.7917206455</v>
      </c>
      <c r="P27" s="52">
        <f t="shared" si="3"/>
        <v>106.8050754400432</v>
      </c>
      <c r="Q27" s="54">
        <f t="shared" si="13"/>
        <v>83691.307692307688</v>
      </c>
      <c r="R27" s="54">
        <f t="shared" si="13"/>
        <v>8937203.092489874</v>
      </c>
      <c r="S27" s="56">
        <f t="shared" si="14"/>
        <v>106.78770996562309</v>
      </c>
      <c r="T27" s="54">
        <f t="shared" si="15"/>
        <v>82765</v>
      </c>
      <c r="U27" s="58">
        <v>3010</v>
      </c>
      <c r="V27" s="75">
        <f t="shared" si="16"/>
        <v>66.462500000000006</v>
      </c>
    </row>
    <row r="28" spans="1:22">
      <c r="A28" s="21">
        <v>3010</v>
      </c>
      <c r="B28" s="47">
        <v>10000</v>
      </c>
      <c r="C28" s="21">
        <v>90500</v>
      </c>
      <c r="D28" s="49">
        <v>42309</v>
      </c>
      <c r="E28" s="50">
        <f t="shared" si="4"/>
        <v>79755</v>
      </c>
      <c r="F28" s="50">
        <f t="shared" si="4"/>
        <v>8518238.7917206455</v>
      </c>
      <c r="G28" s="53">
        <f t="shared" si="4"/>
        <v>106.8050754400432</v>
      </c>
      <c r="H28" s="51">
        <v>0</v>
      </c>
      <c r="I28" s="54">
        <v>0</v>
      </c>
      <c r="J28" s="52">
        <f t="shared" si="12"/>
        <v>0</v>
      </c>
      <c r="K28" s="54">
        <v>292</v>
      </c>
      <c r="L28" s="54">
        <v>31187.08</v>
      </c>
      <c r="M28" s="53">
        <f t="shared" si="1"/>
        <v>106.80506849315069</v>
      </c>
      <c r="N28" s="51">
        <f t="shared" si="2"/>
        <v>79463</v>
      </c>
      <c r="O28" s="51">
        <f t="shared" si="2"/>
        <v>8487051.7117206454</v>
      </c>
      <c r="P28" s="52">
        <f t="shared" si="3"/>
        <v>106.80507546557071</v>
      </c>
      <c r="Q28" s="54">
        <f t="shared" si="13"/>
        <v>83186.153846153844</v>
      </c>
      <c r="R28" s="54">
        <f t="shared" si="13"/>
        <v>8883384.8540283367</v>
      </c>
      <c r="S28" s="56">
        <f t="shared" si="14"/>
        <v>106.78922444782636</v>
      </c>
      <c r="T28" s="54">
        <f t="shared" si="15"/>
        <v>82473</v>
      </c>
      <c r="U28" s="58">
        <v>3010</v>
      </c>
      <c r="V28" s="75">
        <f t="shared" si="16"/>
        <v>66.219166666666666</v>
      </c>
    </row>
    <row r="29" spans="1:22">
      <c r="A29" s="21">
        <v>3010</v>
      </c>
      <c r="B29" s="47">
        <v>10000</v>
      </c>
      <c r="C29" s="21">
        <v>90500</v>
      </c>
      <c r="D29" s="49">
        <v>42339</v>
      </c>
      <c r="E29" s="50">
        <f t="shared" si="4"/>
        <v>79463</v>
      </c>
      <c r="F29" s="50">
        <f t="shared" si="4"/>
        <v>8487051.7117206454</v>
      </c>
      <c r="G29" s="53">
        <f t="shared" si="4"/>
        <v>106.80507546557071</v>
      </c>
      <c r="H29" s="51">
        <v>0</v>
      </c>
      <c r="I29" s="54">
        <v>0</v>
      </c>
      <c r="J29" s="52">
        <f t="shared" si="12"/>
        <v>0</v>
      </c>
      <c r="K29" s="54">
        <v>255</v>
      </c>
      <c r="L29" s="54">
        <v>27235.29</v>
      </c>
      <c r="M29" s="53">
        <f t="shared" si="1"/>
        <v>106.80505882352942</v>
      </c>
      <c r="N29" s="51">
        <f t="shared" si="2"/>
        <v>79208</v>
      </c>
      <c r="O29" s="51">
        <f t="shared" si="2"/>
        <v>8459816.4217206463</v>
      </c>
      <c r="P29" s="52">
        <f t="shared" si="3"/>
        <v>106.80507551914764</v>
      </c>
      <c r="Q29" s="54">
        <f t="shared" si="13"/>
        <v>82663.846153846156</v>
      </c>
      <c r="R29" s="54">
        <f t="shared" si="13"/>
        <v>8827734.4478744902</v>
      </c>
      <c r="S29" s="56">
        <f t="shared" si="14"/>
        <v>106.7907538616718</v>
      </c>
      <c r="T29" s="54">
        <f t="shared" si="15"/>
        <v>82218</v>
      </c>
      <c r="U29" s="58">
        <v>3010</v>
      </c>
      <c r="V29" s="75">
        <f t="shared" si="16"/>
        <v>66.006666666666661</v>
      </c>
    </row>
    <row r="30" spans="1:22">
      <c r="A30" s="21">
        <v>3010</v>
      </c>
      <c r="B30" s="47">
        <v>10000</v>
      </c>
      <c r="C30" s="21">
        <v>90500</v>
      </c>
      <c r="D30" s="13">
        <v>42370</v>
      </c>
      <c r="E30" s="16">
        <f t="shared" si="4"/>
        <v>79208</v>
      </c>
      <c r="F30" s="16">
        <f t="shared" si="4"/>
        <v>8459816.4217206463</v>
      </c>
      <c r="G30" s="14">
        <f t="shared" si="4"/>
        <v>106.80507551914764</v>
      </c>
      <c r="H30" s="46">
        <v>0</v>
      </c>
      <c r="I30" s="23">
        <f t="shared" ref="I30:I53" si="17">H30*J30</f>
        <v>0</v>
      </c>
      <c r="J30" s="22">
        <f>VLOOKUP(D30,Data!$A$5:$V$197,8,FALSE)*5.83</f>
        <v>56.166746915999994</v>
      </c>
      <c r="K30" s="48">
        <f>VLOOKUP(D30,Data!$A$5:$V$197,14,FALSE)</f>
        <v>924.87135506003426</v>
      </c>
      <c r="L30" s="48">
        <f t="shared" ref="L30:L65" si="18">IF(E30+H30&gt;0,((F30+I30)/(E30+H30)*K30),0)</f>
        <v>98780.954922683362</v>
      </c>
      <c r="M30" s="14">
        <f t="shared" si="1"/>
        <v>106.80507551914764</v>
      </c>
      <c r="N30" s="15">
        <f t="shared" si="2"/>
        <v>78283.128644939963</v>
      </c>
      <c r="O30" s="15">
        <f t="shared" si="2"/>
        <v>8361035.4667979628</v>
      </c>
      <c r="P30" s="22">
        <f t="shared" si="3"/>
        <v>106.80507551914764</v>
      </c>
      <c r="Q30" s="31">
        <f t="shared" ref="Q30:R31" si="19">AVERAGE(N18:N30)</f>
        <v>82074.394511149236</v>
      </c>
      <c r="R30" s="31">
        <f t="shared" si="19"/>
        <v>8764912.6451881304</v>
      </c>
      <c r="S30" s="32">
        <f t="shared" ref="S30:S53" si="20">IF(Q30=0,0,R30/Q30)</f>
        <v>106.79229127907216</v>
      </c>
      <c r="T30" s="31">
        <f t="shared" ref="T30:T65" si="21">N30+A30</f>
        <v>81293.128644939963</v>
      </c>
      <c r="U30" s="7">
        <v>3010</v>
      </c>
      <c r="V30" s="37">
        <f t="shared" ref="V30:V65" si="22">(T30-U30)/1200</f>
        <v>65.235940537449963</v>
      </c>
    </row>
    <row r="31" spans="1:22">
      <c r="A31" s="21">
        <v>3010</v>
      </c>
      <c r="B31" s="47">
        <v>10000</v>
      </c>
      <c r="C31" s="21">
        <v>90500</v>
      </c>
      <c r="D31" s="13">
        <v>42401</v>
      </c>
      <c r="E31" s="16">
        <f t="shared" si="4"/>
        <v>78283.128644939963</v>
      </c>
      <c r="F31" s="16">
        <f t="shared" si="4"/>
        <v>8361035.4667979628</v>
      </c>
      <c r="G31" s="14">
        <f t="shared" si="4"/>
        <v>106.80507551914764</v>
      </c>
      <c r="H31" s="46">
        <v>0</v>
      </c>
      <c r="I31" s="23">
        <f t="shared" si="17"/>
        <v>0</v>
      </c>
      <c r="J31" s="22">
        <f>VLOOKUP(D31,Data!$A$5:$V$197,8,FALSE)*5.83</f>
        <v>57.246146916000001</v>
      </c>
      <c r="K31" s="48">
        <f>VLOOKUP(D31,Data!$A$5:$V$197,14,FALSE)</f>
        <v>132.24699828473413</v>
      </c>
      <c r="L31" s="48">
        <f t="shared" si="18"/>
        <v>14124.650638981617</v>
      </c>
      <c r="M31" s="14">
        <f t="shared" si="1"/>
        <v>106.80507551914764</v>
      </c>
      <c r="N31" s="15">
        <f t="shared" si="2"/>
        <v>78150.881646655223</v>
      </c>
      <c r="O31" s="15">
        <f t="shared" si="2"/>
        <v>8346910.8161589811</v>
      </c>
      <c r="P31" s="22">
        <f t="shared" si="3"/>
        <v>106.80507551914765</v>
      </c>
      <c r="Q31" s="31">
        <f t="shared" si="19"/>
        <v>81503.616176276555</v>
      </c>
      <c r="R31" s="31">
        <f t="shared" si="19"/>
        <v>8704084.6593756936</v>
      </c>
      <c r="S31" s="32">
        <f t="shared" si="20"/>
        <v>106.79384630677542</v>
      </c>
      <c r="T31" s="31">
        <f t="shared" si="21"/>
        <v>81160.881646655223</v>
      </c>
      <c r="U31" s="7">
        <v>3010</v>
      </c>
      <c r="V31" s="37">
        <f t="shared" si="22"/>
        <v>65.125734705546023</v>
      </c>
    </row>
    <row r="32" spans="1:22">
      <c r="A32" s="21">
        <v>3010</v>
      </c>
      <c r="B32" s="47">
        <v>10000</v>
      </c>
      <c r="C32" s="21">
        <v>90500</v>
      </c>
      <c r="D32" s="13">
        <v>42430</v>
      </c>
      <c r="E32" s="16">
        <f t="shared" si="4"/>
        <v>78150.881646655223</v>
      </c>
      <c r="F32" s="16">
        <f t="shared" si="4"/>
        <v>8346910.8161589811</v>
      </c>
      <c r="G32" s="14">
        <f t="shared" si="4"/>
        <v>106.80507551914765</v>
      </c>
      <c r="H32" s="46">
        <v>0</v>
      </c>
      <c r="I32" s="23">
        <f t="shared" si="17"/>
        <v>0</v>
      </c>
      <c r="J32" s="22">
        <f>VLOOKUP(D32,Data!$A$5:$V$197,8,FALSE)*5.83</f>
        <v>58.195346915999984</v>
      </c>
      <c r="K32" s="48">
        <f>VLOOKUP(D32,Data!$A$5:$V$197,14,FALSE)</f>
        <v>36.535162950257288</v>
      </c>
      <c r="L32" s="48">
        <f t="shared" si="18"/>
        <v>3902.140838006595</v>
      </c>
      <c r="M32" s="14">
        <f t="shared" si="1"/>
        <v>106.80507551914765</v>
      </c>
      <c r="N32" s="15">
        <f t="shared" si="2"/>
        <v>78114.346483704969</v>
      </c>
      <c r="O32" s="15">
        <f t="shared" si="2"/>
        <v>8343008.6753209746</v>
      </c>
      <c r="P32" s="22">
        <f t="shared" si="3"/>
        <v>106.80507551914765</v>
      </c>
      <c r="Q32" s="31">
        <f t="shared" ref="Q32:R47" si="23">AVERAGE(N20:N32)</f>
        <v>80959.181290407694</v>
      </c>
      <c r="R32" s="31">
        <f t="shared" si="23"/>
        <v>8646069.6934987977</v>
      </c>
      <c r="S32" s="32">
        <f t="shared" si="20"/>
        <v>106.79541907031627</v>
      </c>
      <c r="T32" s="31">
        <f t="shared" si="21"/>
        <v>81124.346483704969</v>
      </c>
      <c r="U32" s="7">
        <v>3010</v>
      </c>
      <c r="V32" s="37">
        <f t="shared" si="22"/>
        <v>65.095288736420812</v>
      </c>
    </row>
    <row r="33" spans="1:22">
      <c r="A33" s="21">
        <v>3010</v>
      </c>
      <c r="B33" s="47">
        <v>10000</v>
      </c>
      <c r="C33" s="21">
        <v>90500</v>
      </c>
      <c r="D33" s="13">
        <v>42461</v>
      </c>
      <c r="E33" s="16">
        <f t="shared" si="4"/>
        <v>78114.346483704969</v>
      </c>
      <c r="F33" s="16">
        <f t="shared" si="4"/>
        <v>8343008.6753209746</v>
      </c>
      <c r="G33" s="14">
        <f t="shared" si="4"/>
        <v>106.80507551914765</v>
      </c>
      <c r="H33" s="46">
        <v>0</v>
      </c>
      <c r="I33" s="23">
        <f t="shared" si="17"/>
        <v>0</v>
      </c>
      <c r="J33" s="22">
        <f>VLOOKUP(D33,Data!$A$5:$V$197,8,FALSE)*5.83</f>
        <v>58.842146916000004</v>
      </c>
      <c r="K33" s="48">
        <f>VLOOKUP(D33,Data!$A$5:$V$197,14,FALSE)</f>
        <v>16.981132075471699</v>
      </c>
      <c r="L33" s="48">
        <f t="shared" si="18"/>
        <v>1813.6710937213752</v>
      </c>
      <c r="M33" s="14">
        <f t="shared" si="1"/>
        <v>106.80507551914765</v>
      </c>
      <c r="N33" s="15">
        <f t="shared" si="2"/>
        <v>78097.365351629502</v>
      </c>
      <c r="O33" s="15">
        <f t="shared" si="2"/>
        <v>8341195.0042272536</v>
      </c>
      <c r="P33" s="22">
        <f t="shared" si="3"/>
        <v>106.80507551914765</v>
      </c>
      <c r="Q33" s="31">
        <f t="shared" si="23"/>
        <v>80462.286317456135</v>
      </c>
      <c r="R33" s="31">
        <f t="shared" si="23"/>
        <v>8593131.2367685363</v>
      </c>
      <c r="S33" s="32">
        <f t="shared" si="20"/>
        <v>106.79700552958651</v>
      </c>
      <c r="T33" s="31">
        <f t="shared" si="21"/>
        <v>81107.365351629502</v>
      </c>
      <c r="U33" s="7">
        <v>3010</v>
      </c>
      <c r="V33" s="37">
        <f t="shared" si="22"/>
        <v>65.081137793024581</v>
      </c>
    </row>
    <row r="34" spans="1:22">
      <c r="A34" s="21">
        <v>3010</v>
      </c>
      <c r="B34" s="47">
        <v>10000</v>
      </c>
      <c r="C34" s="21">
        <v>90500</v>
      </c>
      <c r="D34" s="13">
        <v>42491</v>
      </c>
      <c r="E34" s="16">
        <f t="shared" si="4"/>
        <v>78097.365351629502</v>
      </c>
      <c r="F34" s="16">
        <f t="shared" si="4"/>
        <v>8341195.0042272536</v>
      </c>
      <c r="G34" s="14">
        <f t="shared" si="4"/>
        <v>106.80507551914765</v>
      </c>
      <c r="H34" s="46">
        <v>0</v>
      </c>
      <c r="I34" s="23">
        <f t="shared" si="17"/>
        <v>0</v>
      </c>
      <c r="J34" s="22">
        <f>VLOOKUP(D34,Data!$A$5:$V$197,8,FALSE)*5.83</f>
        <v>59.698946915999983</v>
      </c>
      <c r="K34" s="48">
        <f>VLOOKUP(D34,Data!$A$5:$V$197,14,FALSE)</f>
        <v>992.79588336192114</v>
      </c>
      <c r="L34" s="48">
        <f t="shared" si="18"/>
        <v>106035.63929756889</v>
      </c>
      <c r="M34" s="14">
        <f t="shared" si="1"/>
        <v>106.80507551914765</v>
      </c>
      <c r="N34" s="15">
        <f t="shared" si="2"/>
        <v>77104.569468267582</v>
      </c>
      <c r="O34" s="15">
        <f t="shared" si="2"/>
        <v>8235159.3649296844</v>
      </c>
      <c r="P34" s="22">
        <f t="shared" si="3"/>
        <v>106.80507551914764</v>
      </c>
      <c r="Q34" s="31">
        <f t="shared" si="23"/>
        <v>79899.022430399797</v>
      </c>
      <c r="R34" s="31">
        <f t="shared" si="23"/>
        <v>8533104.0393230785</v>
      </c>
      <c r="S34" s="32">
        <f t="shared" si="20"/>
        <v>106.79860378462431</v>
      </c>
      <c r="T34" s="31">
        <f t="shared" si="21"/>
        <v>80114.569468267582</v>
      </c>
      <c r="U34" s="7">
        <v>3010</v>
      </c>
      <c r="V34" s="37">
        <f t="shared" si="22"/>
        <v>64.253807890222987</v>
      </c>
    </row>
    <row r="35" spans="1:22">
      <c r="A35" s="21">
        <v>3010</v>
      </c>
      <c r="B35" s="47">
        <v>10000</v>
      </c>
      <c r="C35" s="21">
        <v>90500</v>
      </c>
      <c r="D35" s="13">
        <v>42522</v>
      </c>
      <c r="E35" s="16">
        <f t="shared" si="4"/>
        <v>77104.569468267582</v>
      </c>
      <c r="F35" s="16">
        <f t="shared" si="4"/>
        <v>8235159.3649296844</v>
      </c>
      <c r="G35" s="14">
        <f t="shared" si="4"/>
        <v>106.80507551914764</v>
      </c>
      <c r="H35" s="46">
        <v>0</v>
      </c>
      <c r="I35" s="23">
        <f t="shared" si="17"/>
        <v>0</v>
      </c>
      <c r="J35" s="22">
        <f>VLOOKUP(D35,Data!$A$5:$V$197,8,FALSE)*5.83</f>
        <v>60.769946915999988</v>
      </c>
      <c r="K35" s="48">
        <f>VLOOKUP(D35,Data!$A$5:$V$197,14,FALSE)</f>
        <v>812.69296740994855</v>
      </c>
      <c r="L35" s="48">
        <f t="shared" si="18"/>
        <v>86799.733758099741</v>
      </c>
      <c r="M35" s="14">
        <f t="shared" si="1"/>
        <v>106.80507551914764</v>
      </c>
      <c r="N35" s="15">
        <f t="shared" si="2"/>
        <v>76291.87650085763</v>
      </c>
      <c r="O35" s="15">
        <f t="shared" si="2"/>
        <v>8148359.6311715851</v>
      </c>
      <c r="P35" s="22">
        <f t="shared" si="3"/>
        <v>106.80507551914765</v>
      </c>
      <c r="Q35" s="31">
        <f t="shared" si="23"/>
        <v>79298.936007388853</v>
      </c>
      <c r="R35" s="31">
        <f t="shared" si="23"/>
        <v>8469143.4846654572</v>
      </c>
      <c r="S35" s="32">
        <f t="shared" si="20"/>
        <v>106.80021588027772</v>
      </c>
      <c r="T35" s="31">
        <f t="shared" si="21"/>
        <v>79301.87650085763</v>
      </c>
      <c r="U35" s="7">
        <v>3010</v>
      </c>
      <c r="V35" s="37">
        <f t="shared" si="22"/>
        <v>63.576563750714691</v>
      </c>
    </row>
    <row r="36" spans="1:22">
      <c r="A36" s="21">
        <v>3010</v>
      </c>
      <c r="B36" s="47">
        <v>10000</v>
      </c>
      <c r="C36" s="21">
        <v>90500</v>
      </c>
      <c r="D36" s="13">
        <v>42552</v>
      </c>
      <c r="E36" s="16">
        <f t="shared" si="4"/>
        <v>76291.87650085763</v>
      </c>
      <c r="F36" s="16">
        <f t="shared" si="4"/>
        <v>8148359.6311715851</v>
      </c>
      <c r="G36" s="14">
        <f t="shared" si="4"/>
        <v>106.80507551914765</v>
      </c>
      <c r="H36" s="46">
        <v>0</v>
      </c>
      <c r="I36" s="23">
        <f t="shared" si="17"/>
        <v>0</v>
      </c>
      <c r="J36" s="22">
        <f>VLOOKUP(D36,Data!$A$5:$V$197,8,FALSE)*5.83</f>
        <v>61.874546915999986</v>
      </c>
      <c r="K36" s="48">
        <f>VLOOKUP(D36,Data!$A$5:$V$197,14,FALSE)</f>
        <v>1056.0891938250429</v>
      </c>
      <c r="L36" s="48">
        <f t="shared" si="18"/>
        <v>112795.68610143947</v>
      </c>
      <c r="M36" s="14">
        <f t="shared" si="1"/>
        <v>106.80507551914765</v>
      </c>
      <c r="N36" s="15">
        <f t="shared" si="2"/>
        <v>75235.787307032588</v>
      </c>
      <c r="O36" s="15">
        <f t="shared" si="2"/>
        <v>8035563.9450701457</v>
      </c>
      <c r="P36" s="22">
        <f t="shared" si="3"/>
        <v>106.80507551914765</v>
      </c>
      <c r="Q36" s="31">
        <f t="shared" si="23"/>
        <v>78702.150415622134</v>
      </c>
      <c r="R36" s="31">
        <f t="shared" si="23"/>
        <v>8405533.7541538812</v>
      </c>
      <c r="S36" s="32">
        <f t="shared" si="20"/>
        <v>106.80183082374086</v>
      </c>
      <c r="T36" s="31">
        <f t="shared" si="21"/>
        <v>78245.787307032588</v>
      </c>
      <c r="U36" s="7">
        <v>3010</v>
      </c>
      <c r="V36" s="37">
        <f t="shared" si="22"/>
        <v>62.696489422527158</v>
      </c>
    </row>
    <row r="37" spans="1:22">
      <c r="A37" s="21">
        <v>3010</v>
      </c>
      <c r="B37" s="47">
        <v>10000</v>
      </c>
      <c r="C37" s="21">
        <v>90500</v>
      </c>
      <c r="D37" s="13">
        <v>42583</v>
      </c>
      <c r="E37" s="16">
        <f t="shared" si="4"/>
        <v>75235.787307032588</v>
      </c>
      <c r="F37" s="16">
        <f t="shared" si="4"/>
        <v>8035563.9450701457</v>
      </c>
      <c r="G37" s="14">
        <f t="shared" si="4"/>
        <v>106.80507551914765</v>
      </c>
      <c r="H37" s="46">
        <v>0</v>
      </c>
      <c r="I37" s="23">
        <f t="shared" si="17"/>
        <v>0</v>
      </c>
      <c r="J37" s="22">
        <f>VLOOKUP(D37,Data!$A$5:$V$197,8,FALSE)*5.83</f>
        <v>62.874146915999994</v>
      </c>
      <c r="K37" s="48">
        <f>VLOOKUP(D37,Data!$A$5:$V$197,14,FALSE)</f>
        <v>2258.8336192109778</v>
      </c>
      <c r="L37" s="48">
        <f t="shared" si="18"/>
        <v>241254.89528501808</v>
      </c>
      <c r="M37" s="14">
        <f t="shared" si="1"/>
        <v>106.80507551914765</v>
      </c>
      <c r="N37" s="15">
        <f t="shared" si="2"/>
        <v>72976.953687821617</v>
      </c>
      <c r="O37" s="15">
        <f t="shared" si="2"/>
        <v>7794309.0497851279</v>
      </c>
      <c r="P37" s="22">
        <f t="shared" si="3"/>
        <v>106.80507551914765</v>
      </c>
      <c r="Q37" s="31">
        <f t="shared" si="23"/>
        <v>78003.685314685325</v>
      </c>
      <c r="R37" s="31">
        <f t="shared" si="23"/>
        <v>8331062.6678511491</v>
      </c>
      <c r="S37" s="32">
        <f t="shared" si="20"/>
        <v>106.80344953243774</v>
      </c>
      <c r="T37" s="31">
        <f t="shared" si="21"/>
        <v>75986.953687821617</v>
      </c>
      <c r="U37" s="7">
        <v>3010</v>
      </c>
      <c r="V37" s="37">
        <f t="shared" si="22"/>
        <v>60.814128073184683</v>
      </c>
    </row>
    <row r="38" spans="1:22">
      <c r="A38" s="21">
        <v>3010</v>
      </c>
      <c r="B38" s="47">
        <v>10000</v>
      </c>
      <c r="C38" s="21">
        <v>90500</v>
      </c>
      <c r="D38" s="13">
        <v>42614</v>
      </c>
      <c r="E38" s="16">
        <f t="shared" si="4"/>
        <v>72976.953687821617</v>
      </c>
      <c r="F38" s="16">
        <f t="shared" si="4"/>
        <v>7794309.0497851279</v>
      </c>
      <c r="G38" s="14">
        <f t="shared" si="4"/>
        <v>106.80507551914765</v>
      </c>
      <c r="H38" s="46">
        <v>0</v>
      </c>
      <c r="I38" s="23">
        <f t="shared" si="17"/>
        <v>0</v>
      </c>
      <c r="J38" s="22">
        <f>VLOOKUP(D38,Data!$A$5:$V$197,8,FALSE)*5.83</f>
        <v>63.810746915999978</v>
      </c>
      <c r="K38" s="48">
        <f>VLOOKUP(D38,Data!$A$5:$V$197,14,FALSE)</f>
        <v>1308.2332761578045</v>
      </c>
      <c r="L38" s="48">
        <f t="shared" si="18"/>
        <v>139725.95385669626</v>
      </c>
      <c r="M38" s="14">
        <f t="shared" si="1"/>
        <v>106.80507551914765</v>
      </c>
      <c r="N38" s="15">
        <f t="shared" si="2"/>
        <v>71668.720411663817</v>
      </c>
      <c r="O38" s="15">
        <f t="shared" si="2"/>
        <v>7654583.0959284315</v>
      </c>
      <c r="P38" s="22">
        <f t="shared" si="3"/>
        <v>106.80507551914764</v>
      </c>
      <c r="Q38" s="31">
        <f t="shared" si="23"/>
        <v>77288.048423274828</v>
      </c>
      <c r="R38" s="31">
        <f t="shared" si="23"/>
        <v>8254755.8474055957</v>
      </c>
      <c r="S38" s="32">
        <f t="shared" si="20"/>
        <v>106.8050755040119</v>
      </c>
      <c r="T38" s="31">
        <f t="shared" si="21"/>
        <v>74678.720411663817</v>
      </c>
      <c r="U38" s="7">
        <v>3010</v>
      </c>
      <c r="V38" s="37">
        <f t="shared" si="22"/>
        <v>59.723933676386515</v>
      </c>
    </row>
    <row r="39" spans="1:22">
      <c r="A39" s="21">
        <v>3010</v>
      </c>
      <c r="B39" s="47">
        <v>10000</v>
      </c>
      <c r="C39" s="21">
        <v>90500</v>
      </c>
      <c r="D39" s="13">
        <v>42644</v>
      </c>
      <c r="E39" s="16">
        <f t="shared" si="4"/>
        <v>71668.720411663817</v>
      </c>
      <c r="F39" s="16">
        <f t="shared" si="4"/>
        <v>7654583.0959284315</v>
      </c>
      <c r="G39" s="14">
        <f t="shared" si="4"/>
        <v>106.80507551914764</v>
      </c>
      <c r="H39" s="46">
        <f t="shared" ref="H39:H88" si="24">IF(E39+A39-K39&lt;C39-B39,C39-E39+K39-A39,0)</f>
        <v>16960.730703258996</v>
      </c>
      <c r="I39" s="23">
        <f t="shared" si="17"/>
        <v>1098803.4304133458</v>
      </c>
      <c r="J39" s="22">
        <f>VLOOKUP(D39,Data!$A$5:$V$197,8,FALSE)*5.83</f>
        <v>64.785146915999988</v>
      </c>
      <c r="K39" s="48">
        <f>VLOOKUP(D39,Data!$A$5:$V$197,14,FALSE)</f>
        <v>1139.4511149228131</v>
      </c>
      <c r="L39" s="48">
        <f t="shared" si="18"/>
        <v>112536.58813544322</v>
      </c>
      <c r="M39" s="14">
        <f t="shared" si="1"/>
        <v>98.763858020417572</v>
      </c>
      <c r="N39" s="15">
        <f t="shared" si="2"/>
        <v>87490</v>
      </c>
      <c r="O39" s="15">
        <f t="shared" si="2"/>
        <v>8640849.9382063337</v>
      </c>
      <c r="P39" s="22">
        <f t="shared" si="3"/>
        <v>98.763858020417572</v>
      </c>
      <c r="Q39" s="31">
        <f t="shared" si="23"/>
        <v>77833.817654044076</v>
      </c>
      <c r="R39" s="31">
        <f t="shared" si="23"/>
        <v>8258929.3779044934</v>
      </c>
      <c r="S39" s="32">
        <f t="shared" si="20"/>
        <v>106.10978141421511</v>
      </c>
      <c r="T39" s="31">
        <f t="shared" si="21"/>
        <v>90500</v>
      </c>
      <c r="U39" s="7">
        <v>3010</v>
      </c>
      <c r="V39" s="37">
        <f t="shared" si="22"/>
        <v>72.908333333333331</v>
      </c>
    </row>
    <row r="40" spans="1:22">
      <c r="A40" s="21">
        <v>3010</v>
      </c>
      <c r="B40" s="47">
        <v>10000</v>
      </c>
      <c r="C40" s="21">
        <v>90500</v>
      </c>
      <c r="D40" s="13">
        <v>42675</v>
      </c>
      <c r="E40" s="16">
        <f t="shared" si="4"/>
        <v>87490</v>
      </c>
      <c r="F40" s="16">
        <f t="shared" si="4"/>
        <v>8640849.9382063337</v>
      </c>
      <c r="G40" s="14">
        <f t="shared" si="4"/>
        <v>98.763858020417572</v>
      </c>
      <c r="H40" s="46">
        <f t="shared" si="24"/>
        <v>0</v>
      </c>
      <c r="I40" s="23">
        <f t="shared" si="17"/>
        <v>0</v>
      </c>
      <c r="J40" s="22">
        <f>VLOOKUP(D40,Data!$A$5:$V$197,8,FALSE)*5.83</f>
        <v>65.662946915999996</v>
      </c>
      <c r="K40" s="48">
        <f>VLOOKUP(D40,Data!$A$5:$V$197,14,FALSE)</f>
        <v>0</v>
      </c>
      <c r="L40" s="48">
        <f t="shared" si="18"/>
        <v>0</v>
      </c>
      <c r="M40" s="14">
        <f t="shared" si="1"/>
        <v>0</v>
      </c>
      <c r="N40" s="15">
        <f t="shared" si="2"/>
        <v>87490</v>
      </c>
      <c r="O40" s="15">
        <f t="shared" si="2"/>
        <v>8640849.9382063337</v>
      </c>
      <c r="P40" s="22">
        <f t="shared" si="3"/>
        <v>98.763858020417572</v>
      </c>
      <c r="Q40" s="31">
        <f t="shared" si="23"/>
        <v>78428.817654044076</v>
      </c>
      <c r="R40" s="31">
        <f t="shared" si="23"/>
        <v>8268361.004557237</v>
      </c>
      <c r="S40" s="32">
        <f t="shared" si="20"/>
        <v>105.42503701929631</v>
      </c>
      <c r="T40" s="31">
        <f t="shared" si="21"/>
        <v>90500</v>
      </c>
      <c r="U40" s="7">
        <v>3010</v>
      </c>
      <c r="V40" s="37">
        <f t="shared" si="22"/>
        <v>72.908333333333331</v>
      </c>
    </row>
    <row r="41" spans="1:22">
      <c r="A41" s="21">
        <v>3010</v>
      </c>
      <c r="B41" s="47">
        <v>10000</v>
      </c>
      <c r="C41" s="21">
        <v>90500</v>
      </c>
      <c r="D41" s="13">
        <v>42705</v>
      </c>
      <c r="E41" s="16">
        <f t="shared" si="4"/>
        <v>87490</v>
      </c>
      <c r="F41" s="16">
        <f t="shared" si="4"/>
        <v>8640849.9382063337</v>
      </c>
      <c r="G41" s="14">
        <f t="shared" si="4"/>
        <v>98.763858020417572</v>
      </c>
      <c r="H41" s="46">
        <f t="shared" si="24"/>
        <v>0</v>
      </c>
      <c r="I41" s="23">
        <f t="shared" si="17"/>
        <v>0</v>
      </c>
      <c r="J41" s="22">
        <f>VLOOKUP(D41,Data!$A$5:$V$197,8,FALSE)*5.83</f>
        <v>66.486146915999981</v>
      </c>
      <c r="K41" s="48">
        <f>VLOOKUP(D41,Data!$A$5:$V$197,14,FALSE)</f>
        <v>613.20754716981128</v>
      </c>
      <c r="L41" s="48">
        <f t="shared" si="18"/>
        <v>60562.743125727749</v>
      </c>
      <c r="M41" s="14">
        <f t="shared" si="1"/>
        <v>98.763858020417572</v>
      </c>
      <c r="N41" s="15">
        <f t="shared" si="2"/>
        <v>86876.792452830196</v>
      </c>
      <c r="O41" s="15">
        <f t="shared" si="2"/>
        <v>8580287.1950806063</v>
      </c>
      <c r="P41" s="22">
        <f t="shared" si="3"/>
        <v>98.763858020417572</v>
      </c>
      <c r="Q41" s="31">
        <f t="shared" si="23"/>
        <v>78999.10938118487</v>
      </c>
      <c r="R41" s="31">
        <f t="shared" si="23"/>
        <v>8275532.9648156967</v>
      </c>
      <c r="S41" s="32">
        <f t="shared" si="20"/>
        <v>104.75476280225851</v>
      </c>
      <c r="T41" s="31">
        <f t="shared" si="21"/>
        <v>89886.792452830196</v>
      </c>
      <c r="U41" s="7">
        <v>3010</v>
      </c>
      <c r="V41" s="37">
        <f t="shared" si="22"/>
        <v>72.397327044025161</v>
      </c>
    </row>
    <row r="42" spans="1:22">
      <c r="A42" s="21">
        <v>3010</v>
      </c>
      <c r="B42" s="47">
        <v>10000</v>
      </c>
      <c r="C42" s="21">
        <v>90500</v>
      </c>
      <c r="D42" s="13">
        <v>42736</v>
      </c>
      <c r="E42" s="16">
        <f t="shared" si="4"/>
        <v>86876.792452830196</v>
      </c>
      <c r="F42" s="16">
        <f t="shared" si="4"/>
        <v>8580287.1950806063</v>
      </c>
      <c r="G42" s="14">
        <f t="shared" si="4"/>
        <v>98.763858020417572</v>
      </c>
      <c r="H42" s="46">
        <f t="shared" si="24"/>
        <v>0</v>
      </c>
      <c r="I42" s="23">
        <f t="shared" si="17"/>
        <v>0</v>
      </c>
      <c r="J42" s="22">
        <f>VLOOKUP(D42,Data!$A$5:$V$197,8,FALSE)*5.83</f>
        <v>67.317746916000004</v>
      </c>
      <c r="K42" s="48">
        <f>VLOOKUP(D42,Data!$A$5:$V$197,14,FALSE)</f>
        <v>0</v>
      </c>
      <c r="L42" s="48">
        <f t="shared" si="18"/>
        <v>0</v>
      </c>
      <c r="M42" s="14">
        <f t="shared" si="1"/>
        <v>0</v>
      </c>
      <c r="N42" s="15">
        <f t="shared" si="2"/>
        <v>86876.792452830196</v>
      </c>
      <c r="O42" s="15">
        <f t="shared" si="2"/>
        <v>8580287.1950806063</v>
      </c>
      <c r="P42" s="22">
        <f t="shared" si="3"/>
        <v>98.763858020417572</v>
      </c>
      <c r="Q42" s="31">
        <f t="shared" si="23"/>
        <v>79589.016492941038</v>
      </c>
      <c r="R42" s="31">
        <f t="shared" si="23"/>
        <v>8284799.9473818485</v>
      </c>
      <c r="S42" s="32">
        <f t="shared" si="20"/>
        <v>104.09476473574277</v>
      </c>
      <c r="T42" s="31">
        <f t="shared" si="21"/>
        <v>89886.792452830196</v>
      </c>
      <c r="U42" s="7">
        <v>3010</v>
      </c>
      <c r="V42" s="37">
        <f t="shared" si="22"/>
        <v>72.397327044025161</v>
      </c>
    </row>
    <row r="43" spans="1:22">
      <c r="A43" s="21">
        <v>3010</v>
      </c>
      <c r="B43" s="47">
        <v>10000</v>
      </c>
      <c r="C43" s="21">
        <v>90500</v>
      </c>
      <c r="D43" s="13">
        <v>42767</v>
      </c>
      <c r="E43" s="16">
        <f t="shared" si="4"/>
        <v>86876.792452830196</v>
      </c>
      <c r="F43" s="16">
        <f t="shared" si="4"/>
        <v>8580287.1950806063</v>
      </c>
      <c r="G43" s="14">
        <f t="shared" si="4"/>
        <v>98.763858020417572</v>
      </c>
      <c r="H43" s="46">
        <f t="shared" si="24"/>
        <v>0</v>
      </c>
      <c r="I43" s="23">
        <f t="shared" si="17"/>
        <v>0</v>
      </c>
      <c r="J43" s="22">
        <f>VLOOKUP(D43,Data!$A$5:$V$197,8,FALSE)*5.83</f>
        <v>67.989746916000001</v>
      </c>
      <c r="K43" s="48">
        <f>VLOOKUP(D43,Data!$A$5:$V$197,14,FALSE)</f>
        <v>321.0977701543739</v>
      </c>
      <c r="L43" s="48">
        <f t="shared" si="18"/>
        <v>31712.854582199259</v>
      </c>
      <c r="M43" s="14">
        <f t="shared" si="1"/>
        <v>98.763858020417572</v>
      </c>
      <c r="N43" s="15">
        <f t="shared" si="2"/>
        <v>86555.694682675821</v>
      </c>
      <c r="O43" s="15">
        <f t="shared" si="2"/>
        <v>8548574.3404984064</v>
      </c>
      <c r="P43" s="22">
        <f t="shared" si="3"/>
        <v>98.763858020417572</v>
      </c>
      <c r="Q43" s="31">
        <f t="shared" si="23"/>
        <v>80225.36772661304</v>
      </c>
      <c r="R43" s="31">
        <f t="shared" si="23"/>
        <v>8299226.0145895742</v>
      </c>
      <c r="S43" s="32">
        <f t="shared" si="20"/>
        <v>103.44889964071159</v>
      </c>
      <c r="T43" s="31">
        <f t="shared" si="21"/>
        <v>89565.694682675821</v>
      </c>
      <c r="U43" s="7">
        <v>3010</v>
      </c>
      <c r="V43" s="37">
        <f t="shared" si="22"/>
        <v>72.129745568896524</v>
      </c>
    </row>
    <row r="44" spans="1:22">
      <c r="A44" s="21">
        <v>3010</v>
      </c>
      <c r="B44" s="47">
        <v>10000</v>
      </c>
      <c r="C44" s="21">
        <v>90500</v>
      </c>
      <c r="D44" s="13">
        <v>42795</v>
      </c>
      <c r="E44" s="16">
        <f t="shared" si="4"/>
        <v>86555.694682675821</v>
      </c>
      <c r="F44" s="16">
        <f t="shared" si="4"/>
        <v>8548574.3404984064</v>
      </c>
      <c r="G44" s="14">
        <f t="shared" si="4"/>
        <v>98.763858020417572</v>
      </c>
      <c r="H44" s="46">
        <f t="shared" si="24"/>
        <v>0</v>
      </c>
      <c r="I44" s="23">
        <f t="shared" si="17"/>
        <v>0</v>
      </c>
      <c r="J44" s="22">
        <f>VLOOKUP(D44,Data!$A$5:$V$197,8,FALSE)*5.83</f>
        <v>68.388746915999988</v>
      </c>
      <c r="K44" s="48">
        <f>VLOOKUP(D44,Data!$A$5:$V$197,14,FALSE)</f>
        <v>89.708404802744425</v>
      </c>
      <c r="L44" s="48">
        <f t="shared" si="18"/>
        <v>8859.9481551763965</v>
      </c>
      <c r="M44" s="14">
        <f t="shared" si="1"/>
        <v>98.763858020417572</v>
      </c>
      <c r="N44" s="15">
        <f t="shared" si="2"/>
        <v>86465.986277873075</v>
      </c>
      <c r="O44" s="15">
        <f t="shared" si="2"/>
        <v>8539714.3923432305</v>
      </c>
      <c r="P44" s="22">
        <f t="shared" si="3"/>
        <v>98.763858020417572</v>
      </c>
      <c r="Q44" s="31">
        <f t="shared" si="23"/>
        <v>80864.991159783647</v>
      </c>
      <c r="R44" s="31">
        <f t="shared" si="23"/>
        <v>8314057.0589114409</v>
      </c>
      <c r="S44" s="32">
        <f t="shared" si="20"/>
        <v>102.81404770679363</v>
      </c>
      <c r="T44" s="31">
        <f t="shared" si="21"/>
        <v>89475.986277873075</v>
      </c>
      <c r="U44" s="7">
        <v>3010</v>
      </c>
      <c r="V44" s="37">
        <f t="shared" si="22"/>
        <v>72.054988564894231</v>
      </c>
    </row>
    <row r="45" spans="1:22">
      <c r="A45" s="21">
        <v>3010</v>
      </c>
      <c r="B45" s="47">
        <v>10000</v>
      </c>
      <c r="C45" s="21">
        <v>90500</v>
      </c>
      <c r="D45" s="13">
        <v>42826</v>
      </c>
      <c r="E45" s="16">
        <f t="shared" si="4"/>
        <v>86465.986277873075</v>
      </c>
      <c r="F45" s="16">
        <f t="shared" si="4"/>
        <v>8539714.3923432305</v>
      </c>
      <c r="G45" s="14">
        <f t="shared" si="4"/>
        <v>98.763858020417572</v>
      </c>
      <c r="H45" s="46">
        <f t="shared" si="24"/>
        <v>0</v>
      </c>
      <c r="I45" s="23">
        <f t="shared" si="17"/>
        <v>0</v>
      </c>
      <c r="J45" s="22">
        <f>VLOOKUP(D45,Data!$A$5:$V$197,8,FALSE)*5.83</f>
        <v>68.422346915999995</v>
      </c>
      <c r="K45" s="48">
        <f>VLOOKUP(D45,Data!$A$5:$V$197,14,FALSE)</f>
        <v>0</v>
      </c>
      <c r="L45" s="48">
        <f t="shared" si="18"/>
        <v>0</v>
      </c>
      <c r="M45" s="14">
        <f t="shared" si="1"/>
        <v>0</v>
      </c>
      <c r="N45" s="15">
        <f t="shared" si="2"/>
        <v>86465.986277873075</v>
      </c>
      <c r="O45" s="15">
        <f t="shared" si="2"/>
        <v>8539714.3923432305</v>
      </c>
      <c r="P45" s="22">
        <f t="shared" si="3"/>
        <v>98.763858020417572</v>
      </c>
      <c r="Q45" s="31">
        <f t="shared" si="23"/>
        <v>81507.424990104249</v>
      </c>
      <c r="R45" s="31">
        <f t="shared" si="23"/>
        <v>8329188.2679131515</v>
      </c>
      <c r="S45" s="32">
        <f t="shared" si="20"/>
        <v>102.18931918072975</v>
      </c>
      <c r="T45" s="31">
        <f t="shared" si="21"/>
        <v>89475.986277873075</v>
      </c>
      <c r="U45" s="7">
        <v>3010</v>
      </c>
      <c r="V45" s="37">
        <f t="shared" si="22"/>
        <v>72.054988564894231</v>
      </c>
    </row>
    <row r="46" spans="1:22">
      <c r="A46" s="21">
        <v>3010</v>
      </c>
      <c r="B46" s="47">
        <v>10000</v>
      </c>
      <c r="C46" s="21">
        <v>90500</v>
      </c>
      <c r="D46" s="13">
        <v>42856</v>
      </c>
      <c r="E46" s="16">
        <f t="shared" si="4"/>
        <v>86465.986277873075</v>
      </c>
      <c r="F46" s="16">
        <f t="shared" si="4"/>
        <v>8539714.3923432305</v>
      </c>
      <c r="G46" s="14">
        <f t="shared" si="4"/>
        <v>98.763858020417572</v>
      </c>
      <c r="H46" s="46">
        <f t="shared" si="24"/>
        <v>0</v>
      </c>
      <c r="I46" s="23">
        <f t="shared" si="17"/>
        <v>0</v>
      </c>
      <c r="J46" s="22">
        <f>VLOOKUP(D46,Data!$A$5:$V$197,8,FALSE)*5.83</f>
        <v>68.804546915999993</v>
      </c>
      <c r="K46" s="48">
        <f>VLOOKUP(D46,Data!$A$5:$V$197,14,FALSE)</f>
        <v>857.97598627787306</v>
      </c>
      <c r="L46" s="48">
        <f t="shared" si="18"/>
        <v>84737.018493675598</v>
      </c>
      <c r="M46" s="14">
        <f t="shared" si="1"/>
        <v>98.763858020417587</v>
      </c>
      <c r="N46" s="15">
        <f t="shared" si="2"/>
        <v>85608.010291595201</v>
      </c>
      <c r="O46" s="15">
        <f t="shared" si="2"/>
        <v>8454977.3738495559</v>
      </c>
      <c r="P46" s="22">
        <f t="shared" si="3"/>
        <v>98.763858020417587</v>
      </c>
      <c r="Q46" s="31">
        <f t="shared" si="23"/>
        <v>82085.166908563144</v>
      </c>
      <c r="R46" s="31">
        <f t="shared" si="23"/>
        <v>8337940.7578840982</v>
      </c>
      <c r="S46" s="32">
        <f t="shared" si="20"/>
        <v>101.57670468249097</v>
      </c>
      <c r="T46" s="31">
        <f t="shared" si="21"/>
        <v>88618.010291595201</v>
      </c>
      <c r="U46" s="7">
        <v>3010</v>
      </c>
      <c r="V46" s="37">
        <f t="shared" si="22"/>
        <v>71.340008576329339</v>
      </c>
    </row>
    <row r="47" spans="1:22">
      <c r="A47" s="21">
        <v>3010</v>
      </c>
      <c r="B47" s="47">
        <v>10000</v>
      </c>
      <c r="C47" s="21">
        <v>90500</v>
      </c>
      <c r="D47" s="13">
        <v>42887</v>
      </c>
      <c r="E47" s="16">
        <f t="shared" si="4"/>
        <v>85608.010291595201</v>
      </c>
      <c r="F47" s="16">
        <f t="shared" si="4"/>
        <v>8454977.3738495559</v>
      </c>
      <c r="G47" s="14">
        <f t="shared" si="4"/>
        <v>98.763858020417587</v>
      </c>
      <c r="H47" s="46">
        <f t="shared" si="24"/>
        <v>0</v>
      </c>
      <c r="I47" s="23">
        <f t="shared" si="17"/>
        <v>0</v>
      </c>
      <c r="J47" s="22">
        <f>VLOOKUP(D47,Data!$A$5:$V$197,8,FALSE)*5.83</f>
        <v>69.316946915999992</v>
      </c>
      <c r="K47" s="48">
        <f>VLOOKUP(D47,Data!$A$5:$V$197,14,FALSE)</f>
        <v>103.77358490566037</v>
      </c>
      <c r="L47" s="48">
        <f t="shared" si="18"/>
        <v>10249.07960589239</v>
      </c>
      <c r="M47" s="14">
        <f t="shared" ref="M47:M53" si="25">IF(K47=0,0,L47/K47)</f>
        <v>98.763858020417587</v>
      </c>
      <c r="N47" s="15">
        <f t="shared" si="2"/>
        <v>85504.236706689539</v>
      </c>
      <c r="O47" s="15">
        <f t="shared" si="2"/>
        <v>8444728.2942436635</v>
      </c>
      <c r="P47" s="22">
        <f t="shared" si="3"/>
        <v>98.763858020417587</v>
      </c>
      <c r="Q47" s="31">
        <f t="shared" si="23"/>
        <v>82731.295157672517</v>
      </c>
      <c r="R47" s="31">
        <f t="shared" si="23"/>
        <v>8354061.4447544049</v>
      </c>
      <c r="S47" s="32">
        <f t="shared" si="20"/>
        <v>100.97825047743916</v>
      </c>
      <c r="T47" s="31">
        <f t="shared" si="21"/>
        <v>88514.236706689539</v>
      </c>
      <c r="U47" s="7">
        <v>3010</v>
      </c>
      <c r="V47" s="37">
        <f t="shared" si="22"/>
        <v>71.25353058890795</v>
      </c>
    </row>
    <row r="48" spans="1:22">
      <c r="A48" s="21">
        <v>3010</v>
      </c>
      <c r="B48" s="47">
        <v>10000</v>
      </c>
      <c r="C48" s="21">
        <v>90500</v>
      </c>
      <c r="D48" s="13">
        <v>42917</v>
      </c>
      <c r="E48" s="16">
        <f t="shared" ref="E48:G53" si="26">N47</f>
        <v>85504.236706689539</v>
      </c>
      <c r="F48" s="16">
        <f t="shared" si="26"/>
        <v>8444728.2942436635</v>
      </c>
      <c r="G48" s="14">
        <f t="shared" si="26"/>
        <v>98.763858020417587</v>
      </c>
      <c r="H48" s="46">
        <f t="shared" si="24"/>
        <v>0</v>
      </c>
      <c r="I48" s="23">
        <f t="shared" si="17"/>
        <v>0</v>
      </c>
      <c r="J48" s="22">
        <f>VLOOKUP(D48,Data!$A$5:$V$197,8,FALSE)*5.83</f>
        <v>69.993146916000001</v>
      </c>
      <c r="K48" s="48">
        <f>VLOOKUP(D48,Data!$A$5:$V$197,14,FALSE)</f>
        <v>103.77358490566037</v>
      </c>
      <c r="L48" s="48">
        <f t="shared" si="18"/>
        <v>10249.07960589239</v>
      </c>
      <c r="M48" s="14">
        <f t="shared" si="25"/>
        <v>98.763858020417587</v>
      </c>
      <c r="N48" s="15">
        <f t="shared" si="2"/>
        <v>85400.463121783876</v>
      </c>
      <c r="O48" s="15">
        <f t="shared" si="2"/>
        <v>8434479.2146377712</v>
      </c>
      <c r="P48" s="22">
        <f t="shared" si="3"/>
        <v>98.763858020417587</v>
      </c>
      <c r="Q48" s="31">
        <f t="shared" ref="Q48:R53" si="27">AVERAGE(N36:N48)</f>
        <v>83431.955666974522</v>
      </c>
      <c r="R48" s="31">
        <f t="shared" si="27"/>
        <v>8376070.6434825724</v>
      </c>
      <c r="S48" s="32">
        <f t="shared" si="20"/>
        <v>100.39403459408699</v>
      </c>
      <c r="T48" s="31">
        <f t="shared" si="21"/>
        <v>88410.463121783876</v>
      </c>
      <c r="U48" s="7">
        <v>3010</v>
      </c>
      <c r="V48" s="37">
        <f t="shared" si="22"/>
        <v>71.16705260148656</v>
      </c>
    </row>
    <row r="49" spans="1:22">
      <c r="A49" s="21">
        <v>3010</v>
      </c>
      <c r="B49" s="47">
        <v>10000</v>
      </c>
      <c r="C49" s="21">
        <v>90500</v>
      </c>
      <c r="D49" s="13">
        <v>42948</v>
      </c>
      <c r="E49" s="16">
        <f t="shared" si="26"/>
        <v>85400.463121783876</v>
      </c>
      <c r="F49" s="16">
        <f t="shared" si="26"/>
        <v>8434479.2146377712</v>
      </c>
      <c r="G49" s="14">
        <f t="shared" si="26"/>
        <v>98.763858020417587</v>
      </c>
      <c r="H49" s="46">
        <f t="shared" si="24"/>
        <v>0</v>
      </c>
      <c r="I49" s="23">
        <f t="shared" si="17"/>
        <v>0</v>
      </c>
      <c r="J49" s="22">
        <f>VLOOKUP(D49,Data!$A$5:$V$197,8,FALSE)*5.83</f>
        <v>70.681946916000001</v>
      </c>
      <c r="K49" s="48">
        <f>VLOOKUP(D49,Data!$A$5:$V$197,14,FALSE)</f>
        <v>0</v>
      </c>
      <c r="L49" s="48">
        <f t="shared" si="18"/>
        <v>0</v>
      </c>
      <c r="M49" s="14">
        <f t="shared" si="25"/>
        <v>0</v>
      </c>
      <c r="N49" s="15">
        <f t="shared" si="2"/>
        <v>85400.463121783876</v>
      </c>
      <c r="O49" s="15">
        <f t="shared" si="2"/>
        <v>8434479.2146377712</v>
      </c>
      <c r="P49" s="22">
        <f t="shared" si="3"/>
        <v>98.763858020417587</v>
      </c>
      <c r="Q49" s="31">
        <f t="shared" si="27"/>
        <v>84213.853806570798</v>
      </c>
      <c r="R49" s="31">
        <f t="shared" si="27"/>
        <v>8406756.433449313</v>
      </c>
      <c r="S49" s="32">
        <f t="shared" si="20"/>
        <v>99.826288115951002</v>
      </c>
      <c r="T49" s="31">
        <f t="shared" si="21"/>
        <v>88410.463121783876</v>
      </c>
      <c r="U49" s="7">
        <v>3010</v>
      </c>
      <c r="V49" s="37">
        <f t="shared" si="22"/>
        <v>71.16705260148656</v>
      </c>
    </row>
    <row r="50" spans="1:22">
      <c r="A50" s="21">
        <v>3010</v>
      </c>
      <c r="B50" s="47">
        <v>10000</v>
      </c>
      <c r="C50" s="21">
        <v>90500</v>
      </c>
      <c r="D50" s="13">
        <v>42979</v>
      </c>
      <c r="E50" s="16">
        <f t="shared" si="26"/>
        <v>85400.463121783876</v>
      </c>
      <c r="F50" s="16">
        <f t="shared" si="26"/>
        <v>8434479.2146377712</v>
      </c>
      <c r="G50" s="14">
        <f t="shared" si="26"/>
        <v>98.763858020417587</v>
      </c>
      <c r="H50" s="46">
        <f t="shared" si="24"/>
        <v>0</v>
      </c>
      <c r="I50" s="23">
        <f t="shared" si="17"/>
        <v>0</v>
      </c>
      <c r="J50" s="22">
        <f>VLOOKUP(D50,Data!$A$5:$V$197,8,FALSE)*5.83</f>
        <v>71.395946916</v>
      </c>
      <c r="K50" s="48">
        <f>VLOOKUP(D50,Data!$A$5:$V$197,14,FALSE)</f>
        <v>0</v>
      </c>
      <c r="L50" s="48">
        <f t="shared" si="18"/>
        <v>0</v>
      </c>
      <c r="M50" s="14">
        <f t="shared" si="25"/>
        <v>0</v>
      </c>
      <c r="N50" s="15">
        <f t="shared" si="2"/>
        <v>85400.463121783876</v>
      </c>
      <c r="O50" s="15">
        <f t="shared" si="2"/>
        <v>8434479.2146377712</v>
      </c>
      <c r="P50" s="22">
        <f t="shared" si="3"/>
        <v>98.763858020417587</v>
      </c>
      <c r="Q50" s="31">
        <f t="shared" si="27"/>
        <v>85169.508378414044</v>
      </c>
      <c r="R50" s="31">
        <f t="shared" si="27"/>
        <v>8456000.2922841329</v>
      </c>
      <c r="S50" s="32">
        <f t="shared" si="20"/>
        <v>99.284361895263459</v>
      </c>
      <c r="T50" s="31">
        <f t="shared" si="21"/>
        <v>88410.463121783876</v>
      </c>
      <c r="U50" s="7">
        <v>3010</v>
      </c>
      <c r="V50" s="37">
        <f t="shared" si="22"/>
        <v>71.16705260148656</v>
      </c>
    </row>
    <row r="51" spans="1:22">
      <c r="A51" s="21">
        <v>3010</v>
      </c>
      <c r="B51" s="47">
        <v>10000</v>
      </c>
      <c r="C51" s="21">
        <v>90500</v>
      </c>
      <c r="D51" s="13">
        <v>43009</v>
      </c>
      <c r="E51" s="16">
        <f t="shared" si="26"/>
        <v>85400.463121783876</v>
      </c>
      <c r="F51" s="16">
        <f t="shared" si="26"/>
        <v>8434479.2146377712</v>
      </c>
      <c r="G51" s="14">
        <f t="shared" si="26"/>
        <v>98.763858020417587</v>
      </c>
      <c r="H51" s="46">
        <f t="shared" si="24"/>
        <v>0</v>
      </c>
      <c r="I51" s="23">
        <f t="shared" si="17"/>
        <v>0</v>
      </c>
      <c r="J51" s="22">
        <f>VLOOKUP(D51,Data!$A$5:$V$197,8,FALSE)*5.83</f>
        <v>72.109946915999984</v>
      </c>
      <c r="K51" s="48">
        <f>VLOOKUP(D51,Data!$A$5:$V$197,14,FALSE)</f>
        <v>103.77358490566037</v>
      </c>
      <c r="L51" s="48">
        <f t="shared" si="18"/>
        <v>10249.07960589239</v>
      </c>
      <c r="M51" s="14">
        <f t="shared" si="25"/>
        <v>98.763858020417587</v>
      </c>
      <c r="N51" s="15">
        <f t="shared" si="2"/>
        <v>85296.689536878213</v>
      </c>
      <c r="O51" s="15">
        <f t="shared" si="2"/>
        <v>8424230.1350318789</v>
      </c>
      <c r="P51" s="22">
        <f t="shared" si="3"/>
        <v>98.763858020417601</v>
      </c>
      <c r="Q51" s="31">
        <f t="shared" si="27"/>
        <v>86217.813695738238</v>
      </c>
      <c r="R51" s="31">
        <f t="shared" si="27"/>
        <v>8515203.9106767047</v>
      </c>
      <c r="S51" s="32">
        <f t="shared" si="20"/>
        <v>98.763858020417572</v>
      </c>
      <c r="T51" s="31">
        <f t="shared" si="21"/>
        <v>88306.689536878213</v>
      </c>
      <c r="U51" s="7">
        <v>3010</v>
      </c>
      <c r="V51" s="37">
        <f t="shared" si="22"/>
        <v>71.080574614065185</v>
      </c>
    </row>
    <row r="52" spans="1:22">
      <c r="A52" s="21">
        <v>3010</v>
      </c>
      <c r="B52" s="47">
        <v>10000</v>
      </c>
      <c r="C52" s="21">
        <v>90500</v>
      </c>
      <c r="D52" s="13">
        <v>43040</v>
      </c>
      <c r="E52" s="16">
        <f t="shared" si="26"/>
        <v>85296.689536878213</v>
      </c>
      <c r="F52" s="16">
        <f t="shared" si="26"/>
        <v>8424230.1350318789</v>
      </c>
      <c r="G52" s="14">
        <f t="shared" si="26"/>
        <v>98.763858020417601</v>
      </c>
      <c r="H52" s="46">
        <f t="shared" si="24"/>
        <v>0</v>
      </c>
      <c r="I52" s="23">
        <f t="shared" si="17"/>
        <v>0</v>
      </c>
      <c r="J52" s="22">
        <f>VLOOKUP(D52,Data!$A$5:$V$197,8,FALSE)*5.83</f>
        <v>72.697946915999992</v>
      </c>
      <c r="K52" s="48">
        <f>VLOOKUP(D52,Data!$A$5:$V$197,14,FALSE)</f>
        <v>0</v>
      </c>
      <c r="L52" s="48">
        <f t="shared" si="18"/>
        <v>0</v>
      </c>
      <c r="M52" s="14">
        <f t="shared" si="25"/>
        <v>0</v>
      </c>
      <c r="N52" s="15">
        <f t="shared" si="2"/>
        <v>85296.689536878213</v>
      </c>
      <c r="O52" s="15">
        <f t="shared" si="2"/>
        <v>8424230.1350318789</v>
      </c>
      <c r="P52" s="22">
        <f t="shared" si="3"/>
        <v>98.763858020417601</v>
      </c>
      <c r="Q52" s="31">
        <f t="shared" si="27"/>
        <v>86049.097506267339</v>
      </c>
      <c r="R52" s="31">
        <f t="shared" si="27"/>
        <v>8498540.8488940541</v>
      </c>
      <c r="S52" s="32">
        <f t="shared" si="20"/>
        <v>98.763858020417558</v>
      </c>
      <c r="T52" s="31">
        <f t="shared" si="21"/>
        <v>88306.689536878213</v>
      </c>
      <c r="U52" s="7">
        <v>3010</v>
      </c>
      <c r="V52" s="37">
        <f t="shared" si="22"/>
        <v>71.080574614065185</v>
      </c>
    </row>
    <row r="53" spans="1:22">
      <c r="A53" s="21">
        <v>3010</v>
      </c>
      <c r="B53" s="47">
        <v>10000</v>
      </c>
      <c r="C53" s="21">
        <v>90500</v>
      </c>
      <c r="D53" s="13">
        <v>43070</v>
      </c>
      <c r="E53" s="16">
        <f t="shared" si="26"/>
        <v>85296.689536878213</v>
      </c>
      <c r="F53" s="16">
        <f t="shared" si="26"/>
        <v>8424230.1350318789</v>
      </c>
      <c r="G53" s="14">
        <f t="shared" si="26"/>
        <v>98.763858020417601</v>
      </c>
      <c r="H53" s="46">
        <f t="shared" si="24"/>
        <v>0</v>
      </c>
      <c r="I53" s="23">
        <f t="shared" si="17"/>
        <v>0</v>
      </c>
      <c r="J53" s="22">
        <f>VLOOKUP(D53,Data!$A$5:$V$197,8,FALSE)*5.83</f>
        <v>73.201946915999983</v>
      </c>
      <c r="K53" s="48">
        <f>VLOOKUP(D53,Data!$A$5:$V$197,14,FALSE)</f>
        <v>0</v>
      </c>
      <c r="L53" s="48">
        <f t="shared" si="18"/>
        <v>0</v>
      </c>
      <c r="M53" s="14">
        <f t="shared" si="25"/>
        <v>0</v>
      </c>
      <c r="N53" s="15">
        <f t="shared" si="2"/>
        <v>85296.689536878213</v>
      </c>
      <c r="O53" s="15">
        <f t="shared" si="2"/>
        <v>8424230.1350318789</v>
      </c>
      <c r="P53" s="22">
        <f t="shared" si="3"/>
        <v>98.763858020417601</v>
      </c>
      <c r="Q53" s="31">
        <f t="shared" si="27"/>
        <v>85880.381316796425</v>
      </c>
      <c r="R53" s="31">
        <f t="shared" si="27"/>
        <v>8481877.7871114034</v>
      </c>
      <c r="S53" s="32">
        <f t="shared" si="20"/>
        <v>98.763858020417558</v>
      </c>
      <c r="T53" s="31">
        <f t="shared" si="21"/>
        <v>88306.689536878213</v>
      </c>
      <c r="U53" s="7">
        <v>3010</v>
      </c>
      <c r="V53" s="37">
        <f t="shared" si="22"/>
        <v>71.080574614065185</v>
      </c>
    </row>
    <row r="54" spans="1:22">
      <c r="A54" s="21">
        <v>3010</v>
      </c>
      <c r="B54" s="47">
        <v>10000</v>
      </c>
      <c r="C54" s="21">
        <v>90500</v>
      </c>
      <c r="D54" s="13">
        <v>43101</v>
      </c>
      <c r="E54" s="16">
        <f t="shared" ref="E54:E65" si="28">N53</f>
        <v>85296.689536878213</v>
      </c>
      <c r="F54" s="16">
        <f t="shared" ref="F54:F65" si="29">O53</f>
        <v>8424230.1350318789</v>
      </c>
      <c r="G54" s="14">
        <f t="shared" ref="G54:G65" si="30">P53</f>
        <v>98.763858020417601</v>
      </c>
      <c r="H54" s="46">
        <f t="shared" si="24"/>
        <v>0</v>
      </c>
      <c r="I54" s="23">
        <f t="shared" ref="I54:I65" si="31">H54*J54</f>
        <v>0</v>
      </c>
      <c r="J54" s="22">
        <f>VLOOKUP(D54,Data!$A$5:$V$197,8,FALSE)*5.83</f>
        <v>73.726946916000003</v>
      </c>
      <c r="K54" s="48">
        <f>VLOOKUP(D54,Data!$A$5:$V$197,14,FALSE)</f>
        <v>0</v>
      </c>
      <c r="L54" s="48">
        <f t="shared" si="18"/>
        <v>0</v>
      </c>
      <c r="M54" s="14">
        <f t="shared" ref="M54:M65" si="32">IF(K54=0,0,L54/K54)</f>
        <v>0</v>
      </c>
      <c r="N54" s="15">
        <f t="shared" ref="N54:N65" si="33">+E54+H54-K54</f>
        <v>85296.689536878213</v>
      </c>
      <c r="O54" s="15">
        <f t="shared" ref="O54:O65" si="34">+F54+I54-L54</f>
        <v>8424230.1350318789</v>
      </c>
      <c r="P54" s="22">
        <f t="shared" ref="P54:P65" si="35">IF(N54=0,0,O54/N54)</f>
        <v>98.763858020417601</v>
      </c>
      <c r="Q54" s="31">
        <f t="shared" ref="Q54:Q65" si="36">AVERAGE(N42:N54)</f>
        <v>85758.83493864628</v>
      </c>
      <c r="R54" s="31">
        <f t="shared" ref="R54:R65" si="37">AVERAGE(O42:O54)</f>
        <v>8469873.3978768867</v>
      </c>
      <c r="S54" s="32">
        <f t="shared" ref="S54:S65" si="38">IF(Q54=0,0,R54/Q54)</f>
        <v>98.763858020417572</v>
      </c>
      <c r="T54" s="31">
        <f t="shared" si="21"/>
        <v>88306.689536878213</v>
      </c>
      <c r="U54" s="7">
        <v>3010</v>
      </c>
      <c r="V54" s="37">
        <f t="shared" si="22"/>
        <v>71.080574614065185</v>
      </c>
    </row>
    <row r="55" spans="1:22">
      <c r="A55" s="21">
        <v>3010</v>
      </c>
      <c r="B55" s="47">
        <v>10000</v>
      </c>
      <c r="C55" s="21">
        <v>90500</v>
      </c>
      <c r="D55" s="13">
        <v>43132</v>
      </c>
      <c r="E55" s="16">
        <f t="shared" si="28"/>
        <v>85296.689536878213</v>
      </c>
      <c r="F55" s="16">
        <f t="shared" si="29"/>
        <v>8424230.1350318789</v>
      </c>
      <c r="G55" s="14">
        <f t="shared" si="30"/>
        <v>98.763858020417601</v>
      </c>
      <c r="H55" s="46">
        <f t="shared" si="24"/>
        <v>0</v>
      </c>
      <c r="I55" s="23">
        <f t="shared" si="31"/>
        <v>0</v>
      </c>
      <c r="J55" s="22">
        <f>VLOOKUP(D55,Data!$A$5:$V$197,8,FALSE)*5.83</f>
        <v>73.999946915999985</v>
      </c>
      <c r="K55" s="48">
        <f>VLOOKUP(D55,Data!$A$5:$V$197,14,FALSE)</f>
        <v>695.71183533447686</v>
      </c>
      <c r="L55" s="48">
        <f t="shared" si="18"/>
        <v>68711.184928098417</v>
      </c>
      <c r="M55" s="14">
        <f t="shared" si="32"/>
        <v>98.763858020417601</v>
      </c>
      <c r="N55" s="15">
        <f t="shared" si="33"/>
        <v>84600.977701543743</v>
      </c>
      <c r="O55" s="15">
        <f t="shared" si="34"/>
        <v>8355518.9501037803</v>
      </c>
      <c r="P55" s="22">
        <f t="shared" si="35"/>
        <v>98.763858020417587</v>
      </c>
      <c r="Q55" s="31">
        <f t="shared" si="36"/>
        <v>85583.772265470383</v>
      </c>
      <c r="R55" s="31">
        <f t="shared" si="37"/>
        <v>8452583.532878669</v>
      </c>
      <c r="S55" s="32">
        <f t="shared" si="38"/>
        <v>98.763858020417587</v>
      </c>
      <c r="T55" s="31">
        <f t="shared" si="21"/>
        <v>87610.977701543743</v>
      </c>
      <c r="U55" s="7">
        <v>3010</v>
      </c>
      <c r="V55" s="37">
        <f t="shared" si="22"/>
        <v>70.500814751286455</v>
      </c>
    </row>
    <row r="56" spans="1:22">
      <c r="A56" s="21">
        <v>3010</v>
      </c>
      <c r="B56" s="47">
        <v>10000</v>
      </c>
      <c r="C56" s="21">
        <v>90500</v>
      </c>
      <c r="D56" s="13">
        <v>43160</v>
      </c>
      <c r="E56" s="16">
        <f t="shared" si="28"/>
        <v>84600.977701543743</v>
      </c>
      <c r="F56" s="16">
        <f t="shared" si="29"/>
        <v>8355518.9501037803</v>
      </c>
      <c r="G56" s="14">
        <f t="shared" si="30"/>
        <v>98.763858020417587</v>
      </c>
      <c r="H56" s="46">
        <f t="shared" si="24"/>
        <v>0</v>
      </c>
      <c r="I56" s="23">
        <f t="shared" si="31"/>
        <v>0</v>
      </c>
      <c r="J56" s="22">
        <f>VLOOKUP(D56,Data!$A$5:$V$197,8,FALSE)*5.83</f>
        <v>73.978946915999984</v>
      </c>
      <c r="K56" s="48">
        <f>VLOOKUP(D56,Data!$A$5:$V$197,14,FALSE)</f>
        <v>321.0977701543739</v>
      </c>
      <c r="L56" s="48">
        <f t="shared" si="18"/>
        <v>31712.854582199263</v>
      </c>
      <c r="M56" s="14">
        <f t="shared" si="32"/>
        <v>98.763858020417587</v>
      </c>
      <c r="N56" s="15">
        <f t="shared" si="33"/>
        <v>84279.879931389369</v>
      </c>
      <c r="O56" s="15">
        <f t="shared" si="34"/>
        <v>8323806.0955215814</v>
      </c>
      <c r="P56" s="22">
        <f t="shared" si="35"/>
        <v>98.763858020417587</v>
      </c>
      <c r="Q56" s="31">
        <f t="shared" si="36"/>
        <v>85408.709592294501</v>
      </c>
      <c r="R56" s="31">
        <f t="shared" si="37"/>
        <v>8435293.6678804513</v>
      </c>
      <c r="S56" s="32">
        <f t="shared" si="38"/>
        <v>98.763858020417587</v>
      </c>
      <c r="T56" s="31">
        <f t="shared" si="21"/>
        <v>87289.879931389369</v>
      </c>
      <c r="U56" s="7">
        <v>3010</v>
      </c>
      <c r="V56" s="37">
        <f t="shared" si="22"/>
        <v>70.233233276157804</v>
      </c>
    </row>
    <row r="57" spans="1:22">
      <c r="A57" s="21">
        <v>3010</v>
      </c>
      <c r="B57" s="47">
        <v>10000</v>
      </c>
      <c r="C57" s="21">
        <v>90500</v>
      </c>
      <c r="D57" s="13">
        <v>43191</v>
      </c>
      <c r="E57" s="16">
        <f t="shared" si="28"/>
        <v>84279.879931389369</v>
      </c>
      <c r="F57" s="16">
        <f t="shared" si="29"/>
        <v>8323806.0955215814</v>
      </c>
      <c r="G57" s="14">
        <f t="shared" si="30"/>
        <v>98.763858020417587</v>
      </c>
      <c r="H57" s="46">
        <f t="shared" si="24"/>
        <v>0</v>
      </c>
      <c r="I57" s="23">
        <f t="shared" si="31"/>
        <v>0</v>
      </c>
      <c r="J57" s="22">
        <f>VLOOKUP(D57,Data!$A$5:$V$197,8,FALSE)*5.83</f>
        <v>73.810946915999992</v>
      </c>
      <c r="K57" s="48">
        <f>VLOOKUP(D57,Data!$A$5:$V$197,14,FALSE)</f>
        <v>1388.3361921097769</v>
      </c>
      <c r="L57" s="48">
        <f t="shared" si="18"/>
        <v>137117.43856213719</v>
      </c>
      <c r="M57" s="14">
        <f t="shared" si="32"/>
        <v>98.763858020417587</v>
      </c>
      <c r="N57" s="15">
        <f t="shared" si="33"/>
        <v>82891.543739279587</v>
      </c>
      <c r="O57" s="15">
        <f t="shared" si="34"/>
        <v>8186688.6569594443</v>
      </c>
      <c r="P57" s="22">
        <f t="shared" si="35"/>
        <v>98.763858020417601</v>
      </c>
      <c r="Q57" s="31">
        <f t="shared" si="36"/>
        <v>85133.75247394116</v>
      </c>
      <c r="R57" s="31">
        <f t="shared" si="37"/>
        <v>8408137.8420816977</v>
      </c>
      <c r="S57" s="32">
        <f t="shared" si="38"/>
        <v>98.763858020417572</v>
      </c>
      <c r="T57" s="31">
        <f t="shared" si="21"/>
        <v>85901.543739279587</v>
      </c>
      <c r="U57" s="7">
        <v>3010</v>
      </c>
      <c r="V57" s="37">
        <f t="shared" si="22"/>
        <v>69.07628644939966</v>
      </c>
    </row>
    <row r="58" spans="1:22">
      <c r="A58" s="21">
        <v>3010</v>
      </c>
      <c r="B58" s="47">
        <v>10000</v>
      </c>
      <c r="C58" s="21">
        <v>90500</v>
      </c>
      <c r="D58" s="13">
        <v>43221</v>
      </c>
      <c r="E58" s="16">
        <f t="shared" si="28"/>
        <v>82891.543739279587</v>
      </c>
      <c r="F58" s="16">
        <f t="shared" si="29"/>
        <v>8186688.6569594443</v>
      </c>
      <c r="G58" s="14">
        <f t="shared" si="30"/>
        <v>98.763858020417601</v>
      </c>
      <c r="H58" s="46">
        <f t="shared" si="24"/>
        <v>0</v>
      </c>
      <c r="I58" s="23">
        <f t="shared" si="31"/>
        <v>0</v>
      </c>
      <c r="J58" s="22">
        <f>VLOOKUP(D58,Data!$A$5:$V$197,8,FALSE)*5.83</f>
        <v>74.188946915999992</v>
      </c>
      <c r="K58" s="48">
        <f>VLOOKUP(D58,Data!$A$5:$V$197,14,FALSE)</f>
        <v>0</v>
      </c>
      <c r="L58" s="48">
        <f t="shared" si="18"/>
        <v>0</v>
      </c>
      <c r="M58" s="14">
        <f t="shared" si="32"/>
        <v>0</v>
      </c>
      <c r="N58" s="15">
        <f t="shared" si="33"/>
        <v>82891.543739279587</v>
      </c>
      <c r="O58" s="15">
        <f t="shared" si="34"/>
        <v>8186688.6569594443</v>
      </c>
      <c r="P58" s="22">
        <f t="shared" si="35"/>
        <v>98.763858020417601</v>
      </c>
      <c r="Q58" s="31">
        <f t="shared" si="36"/>
        <v>84858.795355587805</v>
      </c>
      <c r="R58" s="31">
        <f t="shared" si="37"/>
        <v>8380982.0162829459</v>
      </c>
      <c r="S58" s="32">
        <f t="shared" si="38"/>
        <v>98.763858020417587</v>
      </c>
      <c r="T58" s="31">
        <f t="shared" si="21"/>
        <v>85901.543739279587</v>
      </c>
      <c r="U58" s="7">
        <v>3010</v>
      </c>
      <c r="V58" s="37">
        <f t="shared" si="22"/>
        <v>69.07628644939966</v>
      </c>
    </row>
    <row r="59" spans="1:22">
      <c r="A59" s="21">
        <v>3010</v>
      </c>
      <c r="B59" s="47">
        <v>10000</v>
      </c>
      <c r="C59" s="21">
        <v>90500</v>
      </c>
      <c r="D59" s="13">
        <v>43252</v>
      </c>
      <c r="E59" s="16">
        <f t="shared" si="28"/>
        <v>82891.543739279587</v>
      </c>
      <c r="F59" s="16">
        <f t="shared" si="29"/>
        <v>8186688.6569594443</v>
      </c>
      <c r="G59" s="14">
        <f t="shared" si="30"/>
        <v>98.763858020417601</v>
      </c>
      <c r="H59" s="46">
        <f t="shared" si="24"/>
        <v>0</v>
      </c>
      <c r="I59" s="23">
        <f t="shared" si="31"/>
        <v>0</v>
      </c>
      <c r="J59" s="22">
        <f>VLOOKUP(D59,Data!$A$5:$V$197,8,FALSE)*5.83</f>
        <v>74.629946915999994</v>
      </c>
      <c r="K59" s="48">
        <f>VLOOKUP(D59,Data!$A$5:$V$197,14,FALSE)</f>
        <v>0</v>
      </c>
      <c r="L59" s="48">
        <f t="shared" si="18"/>
        <v>0</v>
      </c>
      <c r="M59" s="14">
        <f t="shared" si="32"/>
        <v>0</v>
      </c>
      <c r="N59" s="15">
        <f t="shared" si="33"/>
        <v>82891.543739279587</v>
      </c>
      <c r="O59" s="15">
        <f t="shared" si="34"/>
        <v>8186688.6569594443</v>
      </c>
      <c r="P59" s="22">
        <f t="shared" si="35"/>
        <v>98.763858020417601</v>
      </c>
      <c r="Q59" s="31">
        <f t="shared" si="36"/>
        <v>84649.83639002507</v>
      </c>
      <c r="R59" s="31">
        <f t="shared" si="37"/>
        <v>8360344.4226760138</v>
      </c>
      <c r="S59" s="32">
        <f t="shared" si="38"/>
        <v>98.763858020417587</v>
      </c>
      <c r="T59" s="31">
        <f t="shared" si="21"/>
        <v>85901.543739279587</v>
      </c>
      <c r="U59" s="7">
        <v>3010</v>
      </c>
      <c r="V59" s="37">
        <f t="shared" si="22"/>
        <v>69.07628644939966</v>
      </c>
    </row>
    <row r="60" spans="1:22">
      <c r="A60" s="21">
        <v>3010</v>
      </c>
      <c r="B60" s="47">
        <v>10000</v>
      </c>
      <c r="C60" s="21">
        <v>90500</v>
      </c>
      <c r="D60" s="13">
        <v>43282</v>
      </c>
      <c r="E60" s="16">
        <f t="shared" si="28"/>
        <v>82891.543739279587</v>
      </c>
      <c r="F60" s="16">
        <f t="shared" si="29"/>
        <v>8186688.6569594443</v>
      </c>
      <c r="G60" s="14">
        <f t="shared" si="30"/>
        <v>98.763858020417601</v>
      </c>
      <c r="H60" s="46">
        <f t="shared" si="24"/>
        <v>0</v>
      </c>
      <c r="I60" s="23">
        <f t="shared" si="31"/>
        <v>0</v>
      </c>
      <c r="J60" s="22">
        <f>VLOOKUP(D60,Data!$A$5:$V$197,8,FALSE)*5.83</f>
        <v>75.175946915999987</v>
      </c>
      <c r="K60" s="48">
        <f>VLOOKUP(D60,Data!$A$5:$V$197,14,FALSE)</f>
        <v>0</v>
      </c>
      <c r="L60" s="48">
        <f t="shared" si="18"/>
        <v>0</v>
      </c>
      <c r="M60" s="14">
        <f t="shared" si="32"/>
        <v>0</v>
      </c>
      <c r="N60" s="15">
        <f t="shared" si="33"/>
        <v>82891.543739279587</v>
      </c>
      <c r="O60" s="15">
        <f t="shared" si="34"/>
        <v>8186688.6569594443</v>
      </c>
      <c r="P60" s="22">
        <f t="shared" si="35"/>
        <v>98.763858020417601</v>
      </c>
      <c r="Q60" s="31">
        <f t="shared" si="36"/>
        <v>84448.860007916606</v>
      </c>
      <c r="R60" s="31">
        <f t="shared" si="37"/>
        <v>8340495.2198079973</v>
      </c>
      <c r="S60" s="32">
        <f t="shared" si="38"/>
        <v>98.763858020417601</v>
      </c>
      <c r="T60" s="31">
        <f t="shared" si="21"/>
        <v>85901.543739279587</v>
      </c>
      <c r="U60" s="7">
        <v>3010</v>
      </c>
      <c r="V60" s="37">
        <f t="shared" si="22"/>
        <v>69.07628644939966</v>
      </c>
    </row>
    <row r="61" spans="1:22">
      <c r="A61" s="21">
        <v>3010</v>
      </c>
      <c r="B61" s="47">
        <v>10000</v>
      </c>
      <c r="C61" s="21">
        <v>90500</v>
      </c>
      <c r="D61" s="13">
        <v>43313</v>
      </c>
      <c r="E61" s="16">
        <f t="shared" si="28"/>
        <v>82891.543739279587</v>
      </c>
      <c r="F61" s="16">
        <f t="shared" si="29"/>
        <v>8186688.6569594443</v>
      </c>
      <c r="G61" s="14">
        <f t="shared" si="30"/>
        <v>98.763858020417601</v>
      </c>
      <c r="H61" s="46">
        <f t="shared" si="24"/>
        <v>0</v>
      </c>
      <c r="I61" s="23">
        <f t="shared" si="31"/>
        <v>0</v>
      </c>
      <c r="J61" s="22">
        <f>VLOOKUP(D61,Data!$A$5:$V$197,8,FALSE)*5.83</f>
        <v>75.700946915999978</v>
      </c>
      <c r="K61" s="48">
        <f>VLOOKUP(D61,Data!$A$5:$V$197,14,FALSE)</f>
        <v>0</v>
      </c>
      <c r="L61" s="48">
        <f t="shared" si="18"/>
        <v>0</v>
      </c>
      <c r="M61" s="14">
        <f t="shared" si="32"/>
        <v>0</v>
      </c>
      <c r="N61" s="15">
        <f t="shared" si="33"/>
        <v>82891.543739279587</v>
      </c>
      <c r="O61" s="15">
        <f t="shared" si="34"/>
        <v>8186688.6569594443</v>
      </c>
      <c r="P61" s="22">
        <f t="shared" si="35"/>
        <v>98.763858020417601</v>
      </c>
      <c r="Q61" s="31">
        <f t="shared" si="36"/>
        <v>84255.866209262444</v>
      </c>
      <c r="R61" s="31">
        <f t="shared" si="37"/>
        <v>8321434.4076788956</v>
      </c>
      <c r="S61" s="32">
        <f t="shared" si="38"/>
        <v>98.763858020417587</v>
      </c>
      <c r="T61" s="31">
        <f t="shared" si="21"/>
        <v>85901.543739279587</v>
      </c>
      <c r="U61" s="7">
        <v>3010</v>
      </c>
      <c r="V61" s="37">
        <f t="shared" si="22"/>
        <v>69.07628644939966</v>
      </c>
    </row>
    <row r="62" spans="1:22">
      <c r="A62" s="21">
        <v>3010</v>
      </c>
      <c r="B62" s="47">
        <v>10000</v>
      </c>
      <c r="C62" s="21">
        <v>90500</v>
      </c>
      <c r="D62" s="13">
        <v>43344</v>
      </c>
      <c r="E62" s="16">
        <f t="shared" si="28"/>
        <v>82891.543739279587</v>
      </c>
      <c r="F62" s="16">
        <f t="shared" si="29"/>
        <v>8186688.6569594443</v>
      </c>
      <c r="G62" s="14">
        <f t="shared" si="30"/>
        <v>98.763858020417601</v>
      </c>
      <c r="H62" s="46">
        <f t="shared" si="24"/>
        <v>0</v>
      </c>
      <c r="I62" s="23">
        <f t="shared" si="31"/>
        <v>0</v>
      </c>
      <c r="J62" s="22">
        <f>VLOOKUP(D62,Data!$A$5:$V$197,8,FALSE)*5.83</f>
        <v>76.246946915999985</v>
      </c>
      <c r="K62" s="48">
        <f>VLOOKUP(D62,Data!$A$5:$V$197,14,FALSE)</f>
        <v>0</v>
      </c>
      <c r="L62" s="48">
        <f t="shared" si="18"/>
        <v>0</v>
      </c>
      <c r="M62" s="14">
        <f t="shared" si="32"/>
        <v>0</v>
      </c>
      <c r="N62" s="15">
        <f t="shared" si="33"/>
        <v>82891.543739279587</v>
      </c>
      <c r="O62" s="15">
        <f t="shared" si="34"/>
        <v>8186688.6569594443</v>
      </c>
      <c r="P62" s="22">
        <f t="shared" si="35"/>
        <v>98.763858020417601</v>
      </c>
      <c r="Q62" s="31">
        <f t="shared" si="36"/>
        <v>84062.872410608252</v>
      </c>
      <c r="R62" s="31">
        <f t="shared" si="37"/>
        <v>8302373.5955497939</v>
      </c>
      <c r="S62" s="32">
        <f t="shared" si="38"/>
        <v>98.763858020417615</v>
      </c>
      <c r="T62" s="31">
        <f t="shared" si="21"/>
        <v>85901.543739279587</v>
      </c>
      <c r="U62" s="7">
        <v>3010</v>
      </c>
      <c r="V62" s="37">
        <f t="shared" si="22"/>
        <v>69.07628644939966</v>
      </c>
    </row>
    <row r="63" spans="1:22">
      <c r="A63" s="21">
        <v>3010</v>
      </c>
      <c r="B63" s="47">
        <v>10000</v>
      </c>
      <c r="C63" s="21">
        <v>90500</v>
      </c>
      <c r="D63" s="13">
        <v>43374</v>
      </c>
      <c r="E63" s="16">
        <f t="shared" si="28"/>
        <v>82891.543739279587</v>
      </c>
      <c r="F63" s="16">
        <f t="shared" si="29"/>
        <v>8186688.6569594443</v>
      </c>
      <c r="G63" s="14">
        <f t="shared" si="30"/>
        <v>98.763858020417601</v>
      </c>
      <c r="H63" s="46">
        <f t="shared" si="24"/>
        <v>0</v>
      </c>
      <c r="I63" s="23">
        <f t="shared" si="31"/>
        <v>0</v>
      </c>
      <c r="J63" s="22">
        <f>VLOOKUP(D63,Data!$A$5:$V$197,8,FALSE)*5.83</f>
        <v>76.771946915999976</v>
      </c>
      <c r="K63" s="48">
        <f>VLOOKUP(D63,Data!$A$5:$V$197,14,FALSE)</f>
        <v>0</v>
      </c>
      <c r="L63" s="48">
        <f t="shared" si="18"/>
        <v>0</v>
      </c>
      <c r="M63" s="14">
        <f t="shared" si="32"/>
        <v>0</v>
      </c>
      <c r="N63" s="15">
        <f t="shared" si="33"/>
        <v>82891.543739279587</v>
      </c>
      <c r="O63" s="15">
        <f t="shared" si="34"/>
        <v>8186688.6569594443</v>
      </c>
      <c r="P63" s="22">
        <f t="shared" si="35"/>
        <v>98.763858020417601</v>
      </c>
      <c r="Q63" s="31">
        <f t="shared" si="36"/>
        <v>83869.878611954089</v>
      </c>
      <c r="R63" s="31">
        <f t="shared" si="37"/>
        <v>8283312.7834206913</v>
      </c>
      <c r="S63" s="32">
        <f t="shared" si="38"/>
        <v>98.763858020417587</v>
      </c>
      <c r="T63" s="31">
        <f t="shared" si="21"/>
        <v>85901.543739279587</v>
      </c>
      <c r="U63" s="7">
        <v>3010</v>
      </c>
      <c r="V63" s="37">
        <f t="shared" si="22"/>
        <v>69.07628644939966</v>
      </c>
    </row>
    <row r="64" spans="1:22">
      <c r="A64" s="21">
        <v>3010</v>
      </c>
      <c r="B64" s="47">
        <v>10000</v>
      </c>
      <c r="C64" s="21">
        <v>90500</v>
      </c>
      <c r="D64" s="13">
        <v>43405</v>
      </c>
      <c r="E64" s="16">
        <f t="shared" si="28"/>
        <v>82891.543739279587</v>
      </c>
      <c r="F64" s="16">
        <f t="shared" si="29"/>
        <v>8186688.6569594443</v>
      </c>
      <c r="G64" s="14">
        <f t="shared" si="30"/>
        <v>98.763858020417601</v>
      </c>
      <c r="H64" s="46">
        <f t="shared" si="24"/>
        <v>0</v>
      </c>
      <c r="I64" s="23">
        <f t="shared" si="31"/>
        <v>0</v>
      </c>
      <c r="J64" s="22">
        <f>VLOOKUP(D64,Data!$A$5:$V$197,8,FALSE)*5.83</f>
        <v>77.170946916000005</v>
      </c>
      <c r="K64" s="48">
        <f>VLOOKUP(D64,Data!$A$5:$V$197,14,FALSE)</f>
        <v>0</v>
      </c>
      <c r="L64" s="48">
        <f t="shared" si="18"/>
        <v>0</v>
      </c>
      <c r="M64" s="14">
        <f t="shared" si="32"/>
        <v>0</v>
      </c>
      <c r="N64" s="15">
        <f t="shared" si="33"/>
        <v>82891.543739279587</v>
      </c>
      <c r="O64" s="15">
        <f t="shared" si="34"/>
        <v>8186688.6569594443</v>
      </c>
      <c r="P64" s="22">
        <f t="shared" si="35"/>
        <v>98.763858020417601</v>
      </c>
      <c r="Q64" s="31">
        <f t="shared" si="36"/>
        <v>83684.867396754198</v>
      </c>
      <c r="R64" s="31">
        <f t="shared" si="37"/>
        <v>8265040.3620305043</v>
      </c>
      <c r="S64" s="32">
        <f t="shared" si="38"/>
        <v>98.763858020417587</v>
      </c>
      <c r="T64" s="31">
        <f t="shared" si="21"/>
        <v>85901.543739279587</v>
      </c>
      <c r="U64" s="7">
        <v>3010</v>
      </c>
      <c r="V64" s="37">
        <f t="shared" si="22"/>
        <v>69.07628644939966</v>
      </c>
    </row>
    <row r="65" spans="1:22">
      <c r="A65" s="21">
        <v>3010</v>
      </c>
      <c r="B65" s="47">
        <v>10000</v>
      </c>
      <c r="C65" s="21">
        <v>90500</v>
      </c>
      <c r="D65" s="13">
        <v>43435</v>
      </c>
      <c r="E65" s="16">
        <f t="shared" si="28"/>
        <v>82891.543739279587</v>
      </c>
      <c r="F65" s="16">
        <f t="shared" si="29"/>
        <v>8186688.6569594443</v>
      </c>
      <c r="G65" s="14">
        <f t="shared" si="30"/>
        <v>98.763858020417601</v>
      </c>
      <c r="H65" s="46">
        <f t="shared" si="24"/>
        <v>0</v>
      </c>
      <c r="I65" s="23">
        <f t="shared" si="31"/>
        <v>0</v>
      </c>
      <c r="J65" s="22">
        <f>VLOOKUP(D65,Data!$A$5:$V$197,8,FALSE)*5.83</f>
        <v>77.50694691599999</v>
      </c>
      <c r="K65" s="48">
        <f>VLOOKUP(D65,Data!$A$5:$V$197,14,FALSE)</f>
        <v>0</v>
      </c>
      <c r="L65" s="48">
        <f t="shared" si="18"/>
        <v>0</v>
      </c>
      <c r="M65" s="14">
        <f t="shared" si="32"/>
        <v>0</v>
      </c>
      <c r="N65" s="15">
        <f t="shared" si="33"/>
        <v>82891.543739279587</v>
      </c>
      <c r="O65" s="15">
        <f t="shared" si="34"/>
        <v>8186688.6569594443</v>
      </c>
      <c r="P65" s="22">
        <f t="shared" si="35"/>
        <v>98.763858020417601</v>
      </c>
      <c r="Q65" s="31">
        <f t="shared" si="36"/>
        <v>83499.856181554293</v>
      </c>
      <c r="R65" s="31">
        <f t="shared" si="37"/>
        <v>8246767.9406403163</v>
      </c>
      <c r="S65" s="32">
        <f t="shared" si="38"/>
        <v>98.763858020417587</v>
      </c>
      <c r="T65" s="31">
        <f t="shared" si="21"/>
        <v>85901.543739279587</v>
      </c>
      <c r="U65" s="7">
        <v>3010</v>
      </c>
      <c r="V65" s="37">
        <f t="shared" si="22"/>
        <v>69.07628644939966</v>
      </c>
    </row>
    <row r="66" spans="1:22">
      <c r="A66" s="47">
        <v>3010</v>
      </c>
      <c r="B66" s="47">
        <v>10000</v>
      </c>
      <c r="C66" s="47">
        <v>90500</v>
      </c>
      <c r="D66" s="13">
        <v>43466</v>
      </c>
      <c r="E66" s="16">
        <f t="shared" ref="E66:E89" si="39">N65</f>
        <v>82891.543739279587</v>
      </c>
      <c r="F66" s="16">
        <f t="shared" ref="F66:F89" si="40">O65</f>
        <v>8186688.6569594443</v>
      </c>
      <c r="G66" s="14">
        <f t="shared" ref="G66:G89" si="41">P65</f>
        <v>98.763858020417601</v>
      </c>
      <c r="H66" s="46">
        <f t="shared" si="24"/>
        <v>0</v>
      </c>
      <c r="I66" s="74">
        <f t="shared" ref="I66:I89" si="42">H66*J66</f>
        <v>0</v>
      </c>
      <c r="J66" s="22">
        <f>VLOOKUP(D66,Data!$A$5:$V$197,8,FALSE)*5.83</f>
        <v>83.248223461435202</v>
      </c>
      <c r="K66" s="74">
        <f>VLOOKUP(D66,Data!$A$5:$V$197,14,FALSE)</f>
        <v>321.0977701543739</v>
      </c>
      <c r="L66" s="74">
        <f t="shared" ref="L66:L89" si="43">IF(E66+H66&gt;0,((F66+I66)/(E66+H66)*K66),0)</f>
        <v>31712.85458219927</v>
      </c>
      <c r="M66" s="14">
        <f t="shared" ref="M66:M89" si="44">IF(K66=0,0,L66/K66)</f>
        <v>98.763858020417601</v>
      </c>
      <c r="N66" s="46">
        <f t="shared" ref="N66:N89" si="45">+E66+H66-K66</f>
        <v>82570.445969125212</v>
      </c>
      <c r="O66" s="46">
        <f t="shared" ref="O66:O89" si="46">+F66+I66-L66</f>
        <v>8154975.8023772454</v>
      </c>
      <c r="P66" s="22">
        <f t="shared" ref="P66:P89" si="47">IF(N66=0,0,O66/N66)</f>
        <v>98.763858020417601</v>
      </c>
      <c r="Q66" s="55">
        <f t="shared" ref="Q66:Q89" si="48">AVERAGE(N54:N66)</f>
        <v>83290.145137881002</v>
      </c>
      <c r="R66" s="55">
        <f t="shared" ref="R66:R89" si="49">AVERAGE(O54:O66)</f>
        <v>8226056.0688976515</v>
      </c>
      <c r="S66" s="32">
        <f t="shared" ref="S66:S89" si="50">IF(Q66=0,0,R66/Q66)</f>
        <v>98.763858020417558</v>
      </c>
      <c r="T66" s="55">
        <f t="shared" ref="T66:T89" si="51">N66+A66</f>
        <v>85580.445969125212</v>
      </c>
      <c r="U66" s="45">
        <v>3011</v>
      </c>
      <c r="V66" s="37">
        <f t="shared" ref="V66:V89" si="52">(T66-U66)/1200</f>
        <v>68.807871640937677</v>
      </c>
    </row>
    <row r="67" spans="1:22">
      <c r="A67" s="47">
        <v>3010</v>
      </c>
      <c r="B67" s="47">
        <v>10000</v>
      </c>
      <c r="C67" s="47">
        <v>90500</v>
      </c>
      <c r="D67" s="13">
        <v>43497</v>
      </c>
      <c r="E67" s="16">
        <f t="shared" si="39"/>
        <v>82570.445969125212</v>
      </c>
      <c r="F67" s="16">
        <f t="shared" si="40"/>
        <v>8154975.8023772454</v>
      </c>
      <c r="G67" s="14">
        <f t="shared" si="41"/>
        <v>98.763858020417601</v>
      </c>
      <c r="H67" s="46">
        <f t="shared" si="24"/>
        <v>0</v>
      </c>
      <c r="I67" s="74">
        <f t="shared" si="42"/>
        <v>0</v>
      </c>
      <c r="J67" s="22">
        <f>VLOOKUP(D67,Data!$A$5:$V$197,8,FALSE)*5.83</f>
        <v>85.835650543006707</v>
      </c>
      <c r="K67" s="74">
        <f>VLOOKUP(D67,Data!$A$5:$V$197,14,FALSE)</f>
        <v>649.2281303602058</v>
      </c>
      <c r="L67" s="74">
        <f t="shared" si="43"/>
        <v>64120.274889756533</v>
      </c>
      <c r="M67" s="14">
        <f t="shared" si="44"/>
        <v>98.763858020417601</v>
      </c>
      <c r="N67" s="46">
        <f t="shared" si="45"/>
        <v>81921.217838765006</v>
      </c>
      <c r="O67" s="46">
        <f t="shared" si="46"/>
        <v>8090855.5274874885</v>
      </c>
      <c r="P67" s="22">
        <f t="shared" si="47"/>
        <v>98.763858020417601</v>
      </c>
      <c r="Q67" s="55">
        <f t="shared" si="48"/>
        <v>83030.493468795365</v>
      </c>
      <c r="R67" s="55">
        <f t="shared" si="49"/>
        <v>8200411.8683173144</v>
      </c>
      <c r="S67" s="32">
        <f t="shared" si="50"/>
        <v>98.763858020417572</v>
      </c>
      <c r="T67" s="55">
        <f t="shared" si="51"/>
        <v>84931.217838765006</v>
      </c>
      <c r="U67" s="45">
        <v>3012</v>
      </c>
      <c r="V67" s="37">
        <f t="shared" si="52"/>
        <v>68.266014865637501</v>
      </c>
    </row>
    <row r="68" spans="1:22">
      <c r="A68" s="47">
        <v>3010</v>
      </c>
      <c r="B68" s="47">
        <v>10000</v>
      </c>
      <c r="C68" s="47">
        <v>90500</v>
      </c>
      <c r="D68" s="13">
        <v>43525</v>
      </c>
      <c r="E68" s="16">
        <f t="shared" si="39"/>
        <v>81921.217838765006</v>
      </c>
      <c r="F68" s="16">
        <f t="shared" si="40"/>
        <v>8090855.5274874885</v>
      </c>
      <c r="G68" s="14">
        <f t="shared" si="41"/>
        <v>98.763858020417601</v>
      </c>
      <c r="H68" s="46">
        <f t="shared" si="24"/>
        <v>0</v>
      </c>
      <c r="I68" s="74">
        <f t="shared" si="42"/>
        <v>0</v>
      </c>
      <c r="J68" s="22">
        <f>VLOOKUP(D68,Data!$A$5:$V$197,8,FALSE)*5.83</f>
        <v>89.886073263527052</v>
      </c>
      <c r="K68" s="74">
        <f>VLOOKUP(D68,Data!$A$5:$V$197,14,FALSE)</f>
        <v>0</v>
      </c>
      <c r="L68" s="74">
        <f t="shared" si="43"/>
        <v>0</v>
      </c>
      <c r="M68" s="14">
        <f t="shared" si="44"/>
        <v>0</v>
      </c>
      <c r="N68" s="46">
        <f t="shared" si="45"/>
        <v>81921.217838765006</v>
      </c>
      <c r="O68" s="46">
        <f t="shared" si="46"/>
        <v>8090855.5274874885</v>
      </c>
      <c r="P68" s="22">
        <f t="shared" si="47"/>
        <v>98.763858020417601</v>
      </c>
      <c r="Q68" s="55">
        <f t="shared" si="48"/>
        <v>82824.358094735464</v>
      </c>
      <c r="R68" s="55">
        <f t="shared" si="49"/>
        <v>8180053.1435006764</v>
      </c>
      <c r="S68" s="32">
        <f t="shared" si="50"/>
        <v>98.763858020417572</v>
      </c>
      <c r="T68" s="55">
        <f t="shared" si="51"/>
        <v>84931.217838765006</v>
      </c>
      <c r="U68" s="45">
        <v>3013</v>
      </c>
      <c r="V68" s="37">
        <f t="shared" si="52"/>
        <v>68.265181532304169</v>
      </c>
    </row>
    <row r="69" spans="1:22">
      <c r="A69" s="47">
        <v>3010</v>
      </c>
      <c r="B69" s="47">
        <v>10000</v>
      </c>
      <c r="C69" s="47">
        <v>90500</v>
      </c>
      <c r="D69" s="13">
        <v>43556</v>
      </c>
      <c r="E69" s="16">
        <f t="shared" si="39"/>
        <v>81921.217838765006</v>
      </c>
      <c r="F69" s="16">
        <f t="shared" si="40"/>
        <v>8090855.5274874885</v>
      </c>
      <c r="G69" s="14">
        <f t="shared" si="41"/>
        <v>98.763858020417601</v>
      </c>
      <c r="H69" s="46">
        <f t="shared" si="24"/>
        <v>0</v>
      </c>
      <c r="I69" s="74">
        <f t="shared" si="42"/>
        <v>0</v>
      </c>
      <c r="J69" s="22">
        <f>VLOOKUP(D69,Data!$A$5:$V$197,8,FALSE)*5.83</f>
        <v>92.219245272171108</v>
      </c>
      <c r="K69" s="74">
        <f>VLOOKUP(D69,Data!$A$5:$V$197,14,FALSE)</f>
        <v>0</v>
      </c>
      <c r="L69" s="74">
        <f t="shared" si="43"/>
        <v>0</v>
      </c>
      <c r="M69" s="14">
        <f t="shared" si="44"/>
        <v>0</v>
      </c>
      <c r="N69" s="46">
        <f t="shared" si="45"/>
        <v>81921.217838765006</v>
      </c>
      <c r="O69" s="46">
        <f t="shared" si="46"/>
        <v>8090855.5274874885</v>
      </c>
      <c r="P69" s="22">
        <f t="shared" si="47"/>
        <v>98.763858020417601</v>
      </c>
      <c r="Q69" s="55">
        <f t="shared" si="48"/>
        <v>82642.922549148992</v>
      </c>
      <c r="R69" s="55">
        <f t="shared" si="49"/>
        <v>8162133.8690365152</v>
      </c>
      <c r="S69" s="32">
        <f t="shared" si="50"/>
        <v>98.763858020417558</v>
      </c>
      <c r="T69" s="55">
        <f t="shared" si="51"/>
        <v>84931.217838765006</v>
      </c>
      <c r="U69" s="45">
        <v>3014</v>
      </c>
      <c r="V69" s="37">
        <f t="shared" si="52"/>
        <v>68.264348198970836</v>
      </c>
    </row>
    <row r="70" spans="1:22">
      <c r="A70" s="47">
        <v>3010</v>
      </c>
      <c r="B70" s="47">
        <v>10000</v>
      </c>
      <c r="C70" s="47">
        <v>90500</v>
      </c>
      <c r="D70" s="13">
        <v>43586</v>
      </c>
      <c r="E70" s="16">
        <f t="shared" si="39"/>
        <v>81921.217838765006</v>
      </c>
      <c r="F70" s="16">
        <f t="shared" si="40"/>
        <v>8090855.5274874885</v>
      </c>
      <c r="G70" s="14">
        <f t="shared" si="41"/>
        <v>98.763858020417601</v>
      </c>
      <c r="H70" s="46">
        <f t="shared" si="24"/>
        <v>0</v>
      </c>
      <c r="I70" s="74">
        <f t="shared" si="42"/>
        <v>0</v>
      </c>
      <c r="J70" s="22">
        <f>VLOOKUP(D70,Data!$A$5:$V$197,8,FALSE)*5.83</f>
        <v>91.297288495978975</v>
      </c>
      <c r="K70" s="74">
        <f>VLOOKUP(D70,Data!$A$5:$V$197,14,FALSE)</f>
        <v>857.97598627787306</v>
      </c>
      <c r="L70" s="74">
        <f t="shared" si="43"/>
        <v>84737.018493675612</v>
      </c>
      <c r="M70" s="14">
        <f t="shared" si="44"/>
        <v>98.763858020417601</v>
      </c>
      <c r="N70" s="46">
        <f t="shared" si="45"/>
        <v>81063.241852487132</v>
      </c>
      <c r="O70" s="46">
        <f t="shared" si="46"/>
        <v>8006118.5089938128</v>
      </c>
      <c r="P70" s="22">
        <f t="shared" si="47"/>
        <v>98.763858020417601</v>
      </c>
      <c r="Q70" s="55">
        <f t="shared" si="48"/>
        <v>82502.283942472641</v>
      </c>
      <c r="R70" s="55">
        <f t="shared" si="49"/>
        <v>8148243.8576545436</v>
      </c>
      <c r="S70" s="32">
        <f t="shared" si="50"/>
        <v>98.763858020417558</v>
      </c>
      <c r="T70" s="55">
        <f t="shared" si="51"/>
        <v>84073.241852487132</v>
      </c>
      <c r="U70" s="45">
        <v>3015</v>
      </c>
      <c r="V70" s="37">
        <f t="shared" si="52"/>
        <v>67.548534877072612</v>
      </c>
    </row>
    <row r="71" spans="1:22">
      <c r="A71" s="47">
        <v>3010</v>
      </c>
      <c r="B71" s="47">
        <v>10000</v>
      </c>
      <c r="C71" s="47">
        <v>90500</v>
      </c>
      <c r="D71" s="13">
        <v>43617</v>
      </c>
      <c r="E71" s="16">
        <f t="shared" si="39"/>
        <v>81063.241852487132</v>
      </c>
      <c r="F71" s="16">
        <f t="shared" si="40"/>
        <v>8006118.5089938128</v>
      </c>
      <c r="G71" s="14">
        <f t="shared" si="41"/>
        <v>98.763858020417601</v>
      </c>
      <c r="H71" s="46">
        <f t="shared" si="24"/>
        <v>0</v>
      </c>
      <c r="I71" s="74">
        <f t="shared" si="42"/>
        <v>0</v>
      </c>
      <c r="J71" s="22">
        <f>VLOOKUP(D71,Data!$A$5:$V$197,8,FALSE)*5.83</f>
        <v>92.048148646942678</v>
      </c>
      <c r="K71" s="74">
        <f>VLOOKUP(D71,Data!$A$5:$V$197,14,FALSE)</f>
        <v>857.97598627787306</v>
      </c>
      <c r="L71" s="74">
        <f t="shared" si="43"/>
        <v>84737.018493675612</v>
      </c>
      <c r="M71" s="14">
        <f t="shared" si="44"/>
        <v>98.763858020417601</v>
      </c>
      <c r="N71" s="46">
        <f t="shared" si="45"/>
        <v>80205.265866209258</v>
      </c>
      <c r="O71" s="46">
        <f t="shared" si="46"/>
        <v>7921381.4905001372</v>
      </c>
      <c r="P71" s="22">
        <f t="shared" si="47"/>
        <v>98.763858020417601</v>
      </c>
      <c r="Q71" s="55">
        <f t="shared" si="48"/>
        <v>82295.647183005683</v>
      </c>
      <c r="R71" s="55">
        <f t="shared" si="49"/>
        <v>8127835.6140807522</v>
      </c>
      <c r="S71" s="32">
        <f t="shared" si="50"/>
        <v>98.763858020417587</v>
      </c>
      <c r="T71" s="55">
        <f t="shared" si="51"/>
        <v>83215.265866209258</v>
      </c>
      <c r="U71" s="45">
        <v>3016</v>
      </c>
      <c r="V71" s="37">
        <f t="shared" si="52"/>
        <v>66.832721555174388</v>
      </c>
    </row>
    <row r="72" spans="1:22">
      <c r="A72" s="47">
        <v>3010</v>
      </c>
      <c r="B72" s="47">
        <v>10000</v>
      </c>
      <c r="C72" s="47">
        <v>90500</v>
      </c>
      <c r="D72" s="13">
        <v>43647</v>
      </c>
      <c r="E72" s="16">
        <f t="shared" si="39"/>
        <v>80205.265866209258</v>
      </c>
      <c r="F72" s="16">
        <f t="shared" si="40"/>
        <v>7921381.4905001372</v>
      </c>
      <c r="G72" s="14">
        <f t="shared" si="41"/>
        <v>98.763858020417601</v>
      </c>
      <c r="H72" s="46">
        <f t="shared" si="24"/>
        <v>0</v>
      </c>
      <c r="I72" s="74">
        <f t="shared" si="42"/>
        <v>0</v>
      </c>
      <c r="J72" s="22">
        <f>VLOOKUP(D72,Data!$A$5:$V$197,8,FALSE)*5.83</f>
        <v>93.402980770097884</v>
      </c>
      <c r="K72" s="74">
        <f>VLOOKUP(D72,Data!$A$5:$V$197,14,FALSE)</f>
        <v>0</v>
      </c>
      <c r="L72" s="74">
        <f t="shared" si="43"/>
        <v>0</v>
      </c>
      <c r="M72" s="14">
        <f t="shared" si="44"/>
        <v>0</v>
      </c>
      <c r="N72" s="46">
        <f t="shared" si="45"/>
        <v>80205.265866209258</v>
      </c>
      <c r="O72" s="46">
        <f t="shared" si="46"/>
        <v>7921381.4905001372</v>
      </c>
      <c r="P72" s="22">
        <f t="shared" si="47"/>
        <v>98.763858020417601</v>
      </c>
      <c r="Q72" s="55">
        <f t="shared" si="48"/>
        <v>82089.010423538726</v>
      </c>
      <c r="R72" s="55">
        <f t="shared" si="49"/>
        <v>8107427.370506959</v>
      </c>
      <c r="S72" s="32">
        <f t="shared" si="50"/>
        <v>98.763858020417601</v>
      </c>
      <c r="T72" s="55">
        <f t="shared" si="51"/>
        <v>83215.265866209258</v>
      </c>
      <c r="U72" s="45">
        <v>3017</v>
      </c>
      <c r="V72" s="37">
        <f t="shared" si="52"/>
        <v>66.831888221841055</v>
      </c>
    </row>
    <row r="73" spans="1:22">
      <c r="A73" s="47">
        <v>3010</v>
      </c>
      <c r="B73" s="47">
        <v>10000</v>
      </c>
      <c r="C73" s="47">
        <v>90500</v>
      </c>
      <c r="D73" s="13">
        <v>43678</v>
      </c>
      <c r="E73" s="16">
        <f t="shared" si="39"/>
        <v>80205.265866209258</v>
      </c>
      <c r="F73" s="16">
        <f t="shared" si="40"/>
        <v>7921381.4905001372</v>
      </c>
      <c r="G73" s="14">
        <f t="shared" si="41"/>
        <v>98.763858020417601</v>
      </c>
      <c r="H73" s="46">
        <f t="shared" si="24"/>
        <v>0</v>
      </c>
      <c r="I73" s="74">
        <f t="shared" si="42"/>
        <v>0</v>
      </c>
      <c r="J73" s="22">
        <f>VLOOKUP(D73,Data!$A$5:$V$197,8,FALSE)*5.83</f>
        <v>92.508241899884936</v>
      </c>
      <c r="K73" s="74">
        <f>VLOOKUP(D73,Data!$A$5:$V$197,14,FALSE)</f>
        <v>0</v>
      </c>
      <c r="L73" s="74">
        <f t="shared" si="43"/>
        <v>0</v>
      </c>
      <c r="M73" s="14">
        <f t="shared" si="44"/>
        <v>0</v>
      </c>
      <c r="N73" s="46">
        <f t="shared" si="45"/>
        <v>80205.265866209258</v>
      </c>
      <c r="O73" s="46">
        <f t="shared" si="46"/>
        <v>7921381.4905001372</v>
      </c>
      <c r="P73" s="22">
        <f t="shared" si="47"/>
        <v>98.763858020417601</v>
      </c>
      <c r="Q73" s="55">
        <f t="shared" si="48"/>
        <v>81882.373664071769</v>
      </c>
      <c r="R73" s="55">
        <f t="shared" si="49"/>
        <v>8087019.1269331668</v>
      </c>
      <c r="S73" s="32">
        <f t="shared" si="50"/>
        <v>98.763858020417615</v>
      </c>
      <c r="T73" s="55">
        <f t="shared" si="51"/>
        <v>83215.265866209258</v>
      </c>
      <c r="U73" s="45">
        <v>3018</v>
      </c>
      <c r="V73" s="37">
        <f t="shared" si="52"/>
        <v>66.831054888507708</v>
      </c>
    </row>
    <row r="74" spans="1:22">
      <c r="A74" s="47">
        <v>3010</v>
      </c>
      <c r="B74" s="47">
        <v>10000</v>
      </c>
      <c r="C74" s="47">
        <v>90500</v>
      </c>
      <c r="D74" s="13">
        <v>43709</v>
      </c>
      <c r="E74" s="16">
        <f t="shared" si="39"/>
        <v>80205.265866209258</v>
      </c>
      <c r="F74" s="16">
        <f t="shared" si="40"/>
        <v>7921381.4905001372</v>
      </c>
      <c r="G74" s="14">
        <f t="shared" si="41"/>
        <v>98.763858020417601</v>
      </c>
      <c r="H74" s="46">
        <f t="shared" si="24"/>
        <v>0</v>
      </c>
      <c r="I74" s="74">
        <f t="shared" si="42"/>
        <v>0</v>
      </c>
      <c r="J74" s="22">
        <f>VLOOKUP(D74,Data!$A$5:$V$197,8,FALSE)*5.83</f>
        <v>92.085501350432793</v>
      </c>
      <c r="K74" s="74">
        <f>VLOOKUP(D74,Data!$A$5:$V$197,14,FALSE)</f>
        <v>857.97598627787306</v>
      </c>
      <c r="L74" s="74">
        <f t="shared" si="43"/>
        <v>84737.018493675612</v>
      </c>
      <c r="M74" s="14">
        <f t="shared" si="44"/>
        <v>98.763858020417601</v>
      </c>
      <c r="N74" s="46">
        <f t="shared" si="45"/>
        <v>79347.289879931384</v>
      </c>
      <c r="O74" s="46">
        <f t="shared" si="46"/>
        <v>7836644.4720064616</v>
      </c>
      <c r="P74" s="22">
        <f t="shared" si="47"/>
        <v>98.763858020417601</v>
      </c>
      <c r="Q74" s="55">
        <f t="shared" si="48"/>
        <v>81609.73875181422</v>
      </c>
      <c r="R74" s="55">
        <f t="shared" si="49"/>
        <v>8060092.6511675511</v>
      </c>
      <c r="S74" s="32">
        <f t="shared" si="50"/>
        <v>98.763858020417587</v>
      </c>
      <c r="T74" s="55">
        <f t="shared" si="51"/>
        <v>82357.289879931384</v>
      </c>
      <c r="U74" s="45">
        <v>3019</v>
      </c>
      <c r="V74" s="37">
        <f t="shared" si="52"/>
        <v>66.115241566609484</v>
      </c>
    </row>
    <row r="75" spans="1:22">
      <c r="A75" s="47">
        <v>3010</v>
      </c>
      <c r="B75" s="47">
        <v>10000</v>
      </c>
      <c r="C75" s="47">
        <v>90500</v>
      </c>
      <c r="D75" s="13">
        <v>43739</v>
      </c>
      <c r="E75" s="16">
        <f t="shared" si="39"/>
        <v>79347.289879931384</v>
      </c>
      <c r="F75" s="16">
        <f t="shared" si="40"/>
        <v>7836644.4720064616</v>
      </c>
      <c r="G75" s="14">
        <f t="shared" si="41"/>
        <v>98.763858020417601</v>
      </c>
      <c r="H75" s="46">
        <f t="shared" si="24"/>
        <v>0</v>
      </c>
      <c r="I75" s="74">
        <f t="shared" si="42"/>
        <v>0</v>
      </c>
      <c r="J75" s="22">
        <f>VLOOKUP(D75,Data!$A$5:$V$197,8,FALSE)*5.83</f>
        <v>90.953590515760666</v>
      </c>
      <c r="K75" s="74">
        <f>VLOOKUP(D75,Data!$A$5:$V$197,14,FALSE)</f>
        <v>0</v>
      </c>
      <c r="L75" s="74">
        <f t="shared" si="43"/>
        <v>0</v>
      </c>
      <c r="M75" s="14">
        <f t="shared" si="44"/>
        <v>0</v>
      </c>
      <c r="N75" s="46">
        <f t="shared" si="45"/>
        <v>79347.289879931384</v>
      </c>
      <c r="O75" s="46">
        <f t="shared" si="46"/>
        <v>7836644.4720064616</v>
      </c>
      <c r="P75" s="22">
        <f t="shared" si="47"/>
        <v>98.763858020417601</v>
      </c>
      <c r="Q75" s="55">
        <f t="shared" si="48"/>
        <v>81337.103839556672</v>
      </c>
      <c r="R75" s="55">
        <f t="shared" si="49"/>
        <v>8033166.1754019363</v>
      </c>
      <c r="S75" s="32">
        <f t="shared" si="50"/>
        <v>98.763858020417572</v>
      </c>
      <c r="T75" s="55">
        <f t="shared" si="51"/>
        <v>82357.289879931384</v>
      </c>
      <c r="U75" s="45">
        <v>3020</v>
      </c>
      <c r="V75" s="37">
        <f t="shared" si="52"/>
        <v>66.114408233276151</v>
      </c>
    </row>
    <row r="76" spans="1:22">
      <c r="A76" s="47">
        <v>3010</v>
      </c>
      <c r="B76" s="47">
        <v>10000</v>
      </c>
      <c r="C76" s="47">
        <v>90500</v>
      </c>
      <c r="D76" s="13">
        <v>43770</v>
      </c>
      <c r="E76" s="16">
        <f t="shared" si="39"/>
        <v>79347.289879931384</v>
      </c>
      <c r="F76" s="16">
        <f t="shared" si="40"/>
        <v>7836644.4720064616</v>
      </c>
      <c r="G76" s="14">
        <f t="shared" si="41"/>
        <v>98.763858020417601</v>
      </c>
      <c r="H76" s="46">
        <f t="shared" si="24"/>
        <v>0</v>
      </c>
      <c r="I76" s="74">
        <f t="shared" si="42"/>
        <v>0</v>
      </c>
      <c r="J76" s="22">
        <f>VLOOKUP(D76,Data!$A$5:$V$197,8,FALSE)*5.83</f>
        <v>90.564440845395012</v>
      </c>
      <c r="K76" s="74">
        <f>VLOOKUP(D76,Data!$A$5:$V$197,14,FALSE)</f>
        <v>1040.3087478559175</v>
      </c>
      <c r="L76" s="74">
        <f t="shared" si="43"/>
        <v>102744.90547064025</v>
      </c>
      <c r="M76" s="14">
        <f t="shared" si="44"/>
        <v>98.763858020417601</v>
      </c>
      <c r="N76" s="46">
        <f t="shared" si="45"/>
        <v>78306.981132075467</v>
      </c>
      <c r="O76" s="46">
        <f t="shared" si="46"/>
        <v>7733899.5665358212</v>
      </c>
      <c r="P76" s="22">
        <f t="shared" si="47"/>
        <v>98.763858020417601</v>
      </c>
      <c r="Q76" s="55">
        <f t="shared" si="48"/>
        <v>80984.445177464047</v>
      </c>
      <c r="R76" s="55">
        <f t="shared" si="49"/>
        <v>7998336.2453693496</v>
      </c>
      <c r="S76" s="32">
        <f t="shared" si="50"/>
        <v>98.763858020417572</v>
      </c>
      <c r="T76" s="55">
        <f t="shared" si="51"/>
        <v>81316.981132075467</v>
      </c>
      <c r="U76" s="45">
        <v>3021</v>
      </c>
      <c r="V76" s="37">
        <f t="shared" si="52"/>
        <v>65.246650943396219</v>
      </c>
    </row>
    <row r="77" spans="1:22">
      <c r="A77" s="47">
        <v>3010</v>
      </c>
      <c r="B77" s="47">
        <v>10000</v>
      </c>
      <c r="C77" s="47">
        <v>90500</v>
      </c>
      <c r="D77" s="13">
        <v>43800</v>
      </c>
      <c r="E77" s="16">
        <f t="shared" si="39"/>
        <v>78306.981132075467</v>
      </c>
      <c r="F77" s="16">
        <f t="shared" si="40"/>
        <v>7733899.5665358212</v>
      </c>
      <c r="G77" s="14">
        <f t="shared" si="41"/>
        <v>98.763858020417601</v>
      </c>
      <c r="H77" s="46">
        <f t="shared" si="24"/>
        <v>0</v>
      </c>
      <c r="I77" s="74">
        <f t="shared" si="42"/>
        <v>0</v>
      </c>
      <c r="J77" s="22">
        <f>VLOOKUP(D77,Data!$A$5:$V$197,8,FALSE)*5.83</f>
        <v>87.699479636351342</v>
      </c>
      <c r="K77" s="74">
        <f>VLOOKUP(D77,Data!$A$5:$V$197,14,FALSE)</f>
        <v>0</v>
      </c>
      <c r="L77" s="74">
        <f t="shared" si="43"/>
        <v>0</v>
      </c>
      <c r="M77" s="14">
        <f t="shared" si="44"/>
        <v>0</v>
      </c>
      <c r="N77" s="46">
        <f t="shared" si="45"/>
        <v>78306.981132075467</v>
      </c>
      <c r="O77" s="46">
        <f t="shared" si="46"/>
        <v>7733899.5665358212</v>
      </c>
      <c r="P77" s="22">
        <f t="shared" si="47"/>
        <v>98.763858020417601</v>
      </c>
      <c r="Q77" s="55">
        <f t="shared" si="48"/>
        <v>80631.786515371423</v>
      </c>
      <c r="R77" s="55">
        <f t="shared" si="49"/>
        <v>7963506.3153367629</v>
      </c>
      <c r="S77" s="32">
        <f t="shared" si="50"/>
        <v>98.763858020417572</v>
      </c>
      <c r="T77" s="55">
        <f t="shared" si="51"/>
        <v>81316.981132075467</v>
      </c>
      <c r="U77" s="45">
        <v>3022</v>
      </c>
      <c r="V77" s="37">
        <f t="shared" si="52"/>
        <v>65.245817610062886</v>
      </c>
    </row>
    <row r="78" spans="1:22">
      <c r="A78" s="47">
        <v>3010</v>
      </c>
      <c r="B78" s="47">
        <v>10000</v>
      </c>
      <c r="C78" s="47">
        <v>90500</v>
      </c>
      <c r="D78" s="13">
        <v>43831</v>
      </c>
      <c r="E78" s="16">
        <f t="shared" si="39"/>
        <v>78306.981132075467</v>
      </c>
      <c r="F78" s="16">
        <f t="shared" si="40"/>
        <v>7733899.5665358212</v>
      </c>
      <c r="G78" s="14">
        <f t="shared" si="41"/>
        <v>98.763858020417601</v>
      </c>
      <c r="H78" s="46">
        <f t="shared" si="24"/>
        <v>0</v>
      </c>
      <c r="I78" s="74">
        <f t="shared" si="42"/>
        <v>0</v>
      </c>
      <c r="J78" s="22">
        <f>VLOOKUP(D78,Data!$A$5:$V$197,8,FALSE)*5.83</f>
        <v>86.694828171209409</v>
      </c>
      <c r="K78" s="74">
        <f>VLOOKUP(D78,Data!$A$5:$V$197,14,FALSE)</f>
        <v>321.0977701543739</v>
      </c>
      <c r="L78" s="74">
        <f t="shared" si="43"/>
        <v>31712.85458219927</v>
      </c>
      <c r="M78" s="14">
        <f t="shared" si="44"/>
        <v>98.763858020417601</v>
      </c>
      <c r="N78" s="46">
        <f t="shared" si="45"/>
        <v>77985.883361921093</v>
      </c>
      <c r="O78" s="46">
        <f t="shared" si="46"/>
        <v>7702186.7119536223</v>
      </c>
      <c r="P78" s="22">
        <f t="shared" si="47"/>
        <v>98.763858020417601</v>
      </c>
      <c r="Q78" s="55">
        <f t="shared" si="48"/>
        <v>80254.428024805369</v>
      </c>
      <c r="R78" s="55">
        <f t="shared" si="49"/>
        <v>7926236.9349516993</v>
      </c>
      <c r="S78" s="32">
        <f t="shared" si="50"/>
        <v>98.763858020417587</v>
      </c>
      <c r="T78" s="55">
        <f t="shared" si="51"/>
        <v>80995.883361921093</v>
      </c>
      <c r="U78" s="45">
        <v>3023</v>
      </c>
      <c r="V78" s="37">
        <f t="shared" si="52"/>
        <v>64.977402801600917</v>
      </c>
    </row>
    <row r="79" spans="1:22">
      <c r="A79" s="47">
        <v>3010</v>
      </c>
      <c r="B79" s="47">
        <v>10000</v>
      </c>
      <c r="C79" s="47">
        <v>90500</v>
      </c>
      <c r="D79" s="13">
        <v>43862</v>
      </c>
      <c r="E79" s="16">
        <f t="shared" si="39"/>
        <v>77985.883361921093</v>
      </c>
      <c r="F79" s="16">
        <f t="shared" si="40"/>
        <v>7702186.7119536223</v>
      </c>
      <c r="G79" s="14">
        <f t="shared" si="41"/>
        <v>98.763858020417601</v>
      </c>
      <c r="H79" s="46">
        <f t="shared" si="24"/>
        <v>0</v>
      </c>
      <c r="I79" s="74">
        <f t="shared" si="42"/>
        <v>0</v>
      </c>
      <c r="J79" s="22">
        <f>VLOOKUP(D79,Data!$A$5:$V$197,8,FALSE)*5.83</f>
        <v>89.40389939053739</v>
      </c>
      <c r="K79" s="74">
        <f>VLOOKUP(D79,Data!$A$5:$V$197,14,FALSE)</f>
        <v>0</v>
      </c>
      <c r="L79" s="74">
        <f t="shared" si="43"/>
        <v>0</v>
      </c>
      <c r="M79" s="14">
        <f t="shared" si="44"/>
        <v>0</v>
      </c>
      <c r="N79" s="46">
        <f t="shared" si="45"/>
        <v>77985.883361921093</v>
      </c>
      <c r="O79" s="46">
        <f t="shared" si="46"/>
        <v>7702186.7119536223</v>
      </c>
      <c r="P79" s="22">
        <f t="shared" si="47"/>
        <v>98.763858020417601</v>
      </c>
      <c r="Q79" s="55">
        <f t="shared" si="48"/>
        <v>79901.769362712745</v>
      </c>
      <c r="R79" s="55">
        <f t="shared" si="49"/>
        <v>7891407.0049191155</v>
      </c>
      <c r="S79" s="32">
        <f t="shared" si="50"/>
        <v>98.763858020417615</v>
      </c>
      <c r="T79" s="55">
        <f t="shared" si="51"/>
        <v>80995.883361921093</v>
      </c>
      <c r="U79" s="45">
        <v>3024</v>
      </c>
      <c r="V79" s="37">
        <f t="shared" si="52"/>
        <v>64.976569468267584</v>
      </c>
    </row>
    <row r="80" spans="1:22">
      <c r="A80" s="47">
        <v>3010</v>
      </c>
      <c r="B80" s="47">
        <v>10000</v>
      </c>
      <c r="C80" s="47">
        <v>90500</v>
      </c>
      <c r="D80" s="13">
        <v>43891</v>
      </c>
      <c r="E80" s="16">
        <f t="shared" si="39"/>
        <v>77985.883361921093</v>
      </c>
      <c r="F80" s="16">
        <f t="shared" si="40"/>
        <v>7702186.7119536223</v>
      </c>
      <c r="G80" s="14">
        <f t="shared" si="41"/>
        <v>98.763858020417601</v>
      </c>
      <c r="H80" s="46">
        <f t="shared" si="24"/>
        <v>0</v>
      </c>
      <c r="I80" s="74">
        <f t="shared" si="42"/>
        <v>0</v>
      </c>
      <c r="J80" s="22">
        <f>VLOOKUP(D80,Data!$A$5:$V$197,8,FALSE)*5.83</f>
        <v>93.64474687042437</v>
      </c>
      <c r="K80" s="74">
        <f>VLOOKUP(D80,Data!$A$5:$V$197,14,FALSE)</f>
        <v>0</v>
      </c>
      <c r="L80" s="74">
        <f t="shared" si="43"/>
        <v>0</v>
      </c>
      <c r="M80" s="14">
        <f t="shared" si="44"/>
        <v>0</v>
      </c>
      <c r="N80" s="46">
        <f t="shared" si="45"/>
        <v>77985.883361921093</v>
      </c>
      <c r="O80" s="46">
        <f t="shared" si="46"/>
        <v>7702186.7119536223</v>
      </c>
      <c r="P80" s="22">
        <f t="shared" si="47"/>
        <v>98.763858020417601</v>
      </c>
      <c r="Q80" s="55">
        <f t="shared" si="48"/>
        <v>79599.051326032437</v>
      </c>
      <c r="R80" s="55">
        <f t="shared" si="49"/>
        <v>7861509.4037242029</v>
      </c>
      <c r="S80" s="32">
        <f t="shared" si="50"/>
        <v>98.763858020417629</v>
      </c>
      <c r="T80" s="55">
        <f t="shared" si="51"/>
        <v>80995.883361921093</v>
      </c>
      <c r="U80" s="45">
        <v>3025</v>
      </c>
      <c r="V80" s="37">
        <f t="shared" si="52"/>
        <v>64.975736134934237</v>
      </c>
    </row>
    <row r="81" spans="1:22">
      <c r="A81" s="47">
        <v>3010</v>
      </c>
      <c r="B81" s="47">
        <v>10000</v>
      </c>
      <c r="C81" s="47">
        <v>90500</v>
      </c>
      <c r="D81" s="13">
        <v>43922</v>
      </c>
      <c r="E81" s="16">
        <f t="shared" si="39"/>
        <v>77985.883361921093</v>
      </c>
      <c r="F81" s="16">
        <f t="shared" si="40"/>
        <v>7702186.7119536223</v>
      </c>
      <c r="G81" s="14">
        <f t="shared" si="41"/>
        <v>98.763858020417601</v>
      </c>
      <c r="H81" s="46">
        <f t="shared" si="24"/>
        <v>10198.284734133797</v>
      </c>
      <c r="I81" s="74">
        <f t="shared" si="42"/>
        <v>979928.80194687902</v>
      </c>
      <c r="J81" s="22">
        <f>VLOOKUP(D81,Data!$A$5:$V$197,8,FALSE)*5.83</f>
        <v>96.087609582721697</v>
      </c>
      <c r="K81" s="74">
        <f>VLOOKUP(D81,Data!$A$5:$V$197,14,FALSE)</f>
        <v>694.16809605488845</v>
      </c>
      <c r="L81" s="74">
        <f t="shared" si="43"/>
        <v>68343.873125254846</v>
      </c>
      <c r="M81" s="14">
        <f t="shared" si="44"/>
        <v>98.454356392447693</v>
      </c>
      <c r="N81" s="46">
        <f t="shared" si="45"/>
        <v>87490</v>
      </c>
      <c r="O81" s="46">
        <f t="shared" si="46"/>
        <v>8613771.6407752465</v>
      </c>
      <c r="P81" s="22">
        <f t="shared" si="47"/>
        <v>98.454356392447664</v>
      </c>
      <c r="Q81" s="55">
        <f t="shared" si="48"/>
        <v>80027.419184588973</v>
      </c>
      <c r="R81" s="55">
        <f t="shared" si="49"/>
        <v>7901733.7201309549</v>
      </c>
      <c r="S81" s="32">
        <f t="shared" si="50"/>
        <v>98.737830116763362</v>
      </c>
      <c r="T81" s="55">
        <f t="shared" si="51"/>
        <v>90500</v>
      </c>
      <c r="U81" s="45">
        <v>3026</v>
      </c>
      <c r="V81" s="37">
        <f t="shared" si="52"/>
        <v>72.894999999999996</v>
      </c>
    </row>
    <row r="82" spans="1:22">
      <c r="A82" s="47">
        <v>3010</v>
      </c>
      <c r="B82" s="47">
        <v>10000</v>
      </c>
      <c r="C82" s="47">
        <v>90500</v>
      </c>
      <c r="D82" s="13">
        <v>43952</v>
      </c>
      <c r="E82" s="16">
        <f t="shared" si="39"/>
        <v>87490</v>
      </c>
      <c r="F82" s="16">
        <f t="shared" si="40"/>
        <v>8613771.6407752465</v>
      </c>
      <c r="G82" s="14">
        <f t="shared" si="41"/>
        <v>98.454356392447664</v>
      </c>
      <c r="H82" s="46">
        <f t="shared" si="24"/>
        <v>0</v>
      </c>
      <c r="I82" s="74">
        <f t="shared" si="42"/>
        <v>0</v>
      </c>
      <c r="J82" s="22">
        <f>VLOOKUP(D82,Data!$A$5:$V$197,8,FALSE)*5.83</f>
        <v>95.122308343650815</v>
      </c>
      <c r="K82" s="74">
        <f>VLOOKUP(D82,Data!$A$5:$V$197,14,FALSE)</f>
        <v>47.169811320754718</v>
      </c>
      <c r="L82" s="74">
        <f t="shared" si="43"/>
        <v>4644.0734147380972</v>
      </c>
      <c r="M82" s="14">
        <f t="shared" si="44"/>
        <v>98.454356392447664</v>
      </c>
      <c r="N82" s="46">
        <f t="shared" si="45"/>
        <v>87442.830188679247</v>
      </c>
      <c r="O82" s="46">
        <f t="shared" si="46"/>
        <v>8609127.5673605092</v>
      </c>
      <c r="P82" s="22">
        <f t="shared" si="47"/>
        <v>98.454356392447679</v>
      </c>
      <c r="Q82" s="55">
        <f t="shared" si="48"/>
        <v>80452.158596120848</v>
      </c>
      <c r="R82" s="55">
        <f t="shared" si="49"/>
        <v>7941600.8001211863</v>
      </c>
      <c r="S82" s="32">
        <f t="shared" si="50"/>
        <v>98.712090995456592</v>
      </c>
      <c r="T82" s="55">
        <f t="shared" si="51"/>
        <v>90452.830188679247</v>
      </c>
      <c r="U82" s="45">
        <v>3027</v>
      </c>
      <c r="V82" s="37">
        <f t="shared" si="52"/>
        <v>72.854858490566045</v>
      </c>
    </row>
    <row r="83" spans="1:22">
      <c r="A83" s="47">
        <v>3010</v>
      </c>
      <c r="B83" s="47">
        <v>10000</v>
      </c>
      <c r="C83" s="47">
        <v>90500</v>
      </c>
      <c r="D83" s="13">
        <v>43983</v>
      </c>
      <c r="E83" s="16">
        <f t="shared" si="39"/>
        <v>87442.830188679247</v>
      </c>
      <c r="F83" s="16">
        <f t="shared" si="40"/>
        <v>8609127.5673605092</v>
      </c>
      <c r="G83" s="14">
        <f t="shared" si="41"/>
        <v>98.454356392447679</v>
      </c>
      <c r="H83" s="46">
        <f t="shared" si="24"/>
        <v>0</v>
      </c>
      <c r="I83" s="74">
        <f t="shared" si="42"/>
        <v>0</v>
      </c>
      <c r="J83" s="22">
        <f>VLOOKUP(D83,Data!$A$5:$V$197,8,FALSE)*5.83</f>
        <v>95.908469097398736</v>
      </c>
      <c r="K83" s="74">
        <f>VLOOKUP(D83,Data!$A$5:$V$197,14,FALSE)</f>
        <v>0</v>
      </c>
      <c r="L83" s="74">
        <f t="shared" si="43"/>
        <v>0</v>
      </c>
      <c r="M83" s="14">
        <f t="shared" si="44"/>
        <v>0</v>
      </c>
      <c r="N83" s="46">
        <f t="shared" si="45"/>
        <v>87442.830188679247</v>
      </c>
      <c r="O83" s="46">
        <f t="shared" si="46"/>
        <v>8609127.5673605092</v>
      </c>
      <c r="P83" s="22">
        <f t="shared" si="47"/>
        <v>98.454356392447679</v>
      </c>
      <c r="Q83" s="55">
        <f t="shared" si="48"/>
        <v>80942.896160443313</v>
      </c>
      <c r="R83" s="55">
        <f t="shared" si="49"/>
        <v>7987986.1123032402</v>
      </c>
      <c r="S83" s="32">
        <f t="shared" si="50"/>
        <v>98.686685196803694</v>
      </c>
      <c r="T83" s="55">
        <f t="shared" si="51"/>
        <v>90452.830188679247</v>
      </c>
      <c r="U83" s="45">
        <v>3028</v>
      </c>
      <c r="V83" s="37">
        <f t="shared" si="52"/>
        <v>72.854025157232712</v>
      </c>
    </row>
    <row r="84" spans="1:22">
      <c r="A84" s="47">
        <v>3010</v>
      </c>
      <c r="B84" s="47">
        <v>10000</v>
      </c>
      <c r="C84" s="47">
        <v>90500</v>
      </c>
      <c r="D84" s="13">
        <v>44013</v>
      </c>
      <c r="E84" s="16">
        <f t="shared" si="39"/>
        <v>87442.830188679247</v>
      </c>
      <c r="F84" s="16">
        <f t="shared" si="40"/>
        <v>8609127.5673605092</v>
      </c>
      <c r="G84" s="14">
        <f t="shared" si="41"/>
        <v>98.454356392447679</v>
      </c>
      <c r="H84" s="46">
        <f t="shared" si="24"/>
        <v>0</v>
      </c>
      <c r="I84" s="74">
        <f t="shared" si="42"/>
        <v>0</v>
      </c>
      <c r="J84" s="22">
        <f>VLOOKUP(D84,Data!$A$5:$V$197,8,FALSE)*5.83</f>
        <v>97.326996691085213</v>
      </c>
      <c r="K84" s="74">
        <f>VLOOKUP(D84,Data!$A$5:$V$197,14,FALSE)</f>
        <v>0</v>
      </c>
      <c r="L84" s="74">
        <f t="shared" si="43"/>
        <v>0</v>
      </c>
      <c r="M84" s="14">
        <f t="shared" si="44"/>
        <v>0</v>
      </c>
      <c r="N84" s="46">
        <f t="shared" si="45"/>
        <v>87442.830188679247</v>
      </c>
      <c r="O84" s="46">
        <f t="shared" si="46"/>
        <v>8609127.5673605092</v>
      </c>
      <c r="P84" s="22">
        <f t="shared" si="47"/>
        <v>98.454356392447679</v>
      </c>
      <c r="Q84" s="55">
        <f t="shared" si="48"/>
        <v>81499.631877556414</v>
      </c>
      <c r="R84" s="55">
        <f t="shared" si="49"/>
        <v>8040889.6566771138</v>
      </c>
      <c r="S84" s="32">
        <f t="shared" si="50"/>
        <v>98.661668420264803</v>
      </c>
      <c r="T84" s="55">
        <f t="shared" si="51"/>
        <v>90452.830188679247</v>
      </c>
      <c r="U84" s="45">
        <v>3029</v>
      </c>
      <c r="V84" s="37">
        <f t="shared" si="52"/>
        <v>72.853191823899365</v>
      </c>
    </row>
    <row r="85" spans="1:22">
      <c r="A85" s="47">
        <v>3010</v>
      </c>
      <c r="B85" s="47">
        <v>10000</v>
      </c>
      <c r="C85" s="47">
        <v>90500</v>
      </c>
      <c r="D85" s="13">
        <v>44044</v>
      </c>
      <c r="E85" s="16">
        <f t="shared" si="39"/>
        <v>87442.830188679247</v>
      </c>
      <c r="F85" s="16">
        <f t="shared" si="40"/>
        <v>8609127.5673605092</v>
      </c>
      <c r="G85" s="14">
        <f t="shared" si="41"/>
        <v>98.454356392447679</v>
      </c>
      <c r="H85" s="46">
        <f t="shared" si="24"/>
        <v>0</v>
      </c>
      <c r="I85" s="74">
        <f t="shared" si="42"/>
        <v>0</v>
      </c>
      <c r="J85" s="22">
        <f>VLOOKUP(D85,Data!$A$5:$V$197,8,FALSE)*5.83</f>
        <v>96.390192968432771</v>
      </c>
      <c r="K85" s="74">
        <f>VLOOKUP(D85,Data!$A$5:$V$197,14,FALSE)</f>
        <v>0</v>
      </c>
      <c r="L85" s="74">
        <f t="shared" si="43"/>
        <v>0</v>
      </c>
      <c r="M85" s="14">
        <f t="shared" si="44"/>
        <v>0</v>
      </c>
      <c r="N85" s="46">
        <f t="shared" si="45"/>
        <v>87442.830188679247</v>
      </c>
      <c r="O85" s="46">
        <f t="shared" si="46"/>
        <v>8609127.5673605092</v>
      </c>
      <c r="P85" s="22">
        <f t="shared" si="47"/>
        <v>98.454356392447679</v>
      </c>
      <c r="Q85" s="55">
        <f t="shared" si="48"/>
        <v>82056.367594669486</v>
      </c>
      <c r="R85" s="55">
        <f t="shared" si="49"/>
        <v>8093793.2010509884</v>
      </c>
      <c r="S85" s="32">
        <f t="shared" si="50"/>
        <v>98.636991111178247</v>
      </c>
      <c r="T85" s="55">
        <f t="shared" si="51"/>
        <v>90452.830188679247</v>
      </c>
      <c r="U85" s="45">
        <v>3030</v>
      </c>
      <c r="V85" s="37">
        <f t="shared" si="52"/>
        <v>72.852358490566033</v>
      </c>
    </row>
    <row r="86" spans="1:22">
      <c r="A86" s="47">
        <v>3010</v>
      </c>
      <c r="B86" s="47">
        <v>10000</v>
      </c>
      <c r="C86" s="47">
        <v>90500</v>
      </c>
      <c r="D86" s="13">
        <v>44075</v>
      </c>
      <c r="E86" s="16">
        <f t="shared" si="39"/>
        <v>87442.830188679247</v>
      </c>
      <c r="F86" s="16">
        <f t="shared" si="40"/>
        <v>8609127.5673605092</v>
      </c>
      <c r="G86" s="14">
        <f t="shared" si="41"/>
        <v>98.454356392447679</v>
      </c>
      <c r="H86" s="46">
        <f t="shared" si="24"/>
        <v>0</v>
      </c>
      <c r="I86" s="74">
        <f t="shared" si="42"/>
        <v>0</v>
      </c>
      <c r="J86" s="22">
        <f>VLOOKUP(D86,Data!$A$5:$V$197,8,FALSE)*5.83</f>
        <v>95.947577884158335</v>
      </c>
      <c r="K86" s="74">
        <f>VLOOKUP(D86,Data!$A$5:$V$197,14,FALSE)</f>
        <v>0</v>
      </c>
      <c r="L86" s="74">
        <f t="shared" si="43"/>
        <v>0</v>
      </c>
      <c r="M86" s="14">
        <f t="shared" si="44"/>
        <v>0</v>
      </c>
      <c r="N86" s="46">
        <f t="shared" si="45"/>
        <v>87442.830188679247</v>
      </c>
      <c r="O86" s="46">
        <f t="shared" si="46"/>
        <v>8609127.5673605092</v>
      </c>
      <c r="P86" s="22">
        <f t="shared" si="47"/>
        <v>98.454356392447679</v>
      </c>
      <c r="Q86" s="55">
        <f t="shared" si="48"/>
        <v>82613.103311782557</v>
      </c>
      <c r="R86" s="55">
        <f t="shared" si="49"/>
        <v>8146696.745424863</v>
      </c>
      <c r="S86" s="32">
        <f t="shared" si="50"/>
        <v>98.612646406456363</v>
      </c>
      <c r="T86" s="55">
        <f t="shared" si="51"/>
        <v>90452.830188679247</v>
      </c>
      <c r="U86" s="45">
        <v>3031</v>
      </c>
      <c r="V86" s="37">
        <f t="shared" si="52"/>
        <v>72.8515251572327</v>
      </c>
    </row>
    <row r="87" spans="1:22">
      <c r="A87" s="47">
        <v>3010</v>
      </c>
      <c r="B87" s="47">
        <v>10000</v>
      </c>
      <c r="C87" s="47">
        <v>90500</v>
      </c>
      <c r="D87" s="13">
        <v>44105</v>
      </c>
      <c r="E87" s="16">
        <f t="shared" si="39"/>
        <v>87442.830188679247</v>
      </c>
      <c r="F87" s="16">
        <f t="shared" si="40"/>
        <v>8609127.5673605092</v>
      </c>
      <c r="G87" s="14">
        <f t="shared" si="41"/>
        <v>98.454356392447679</v>
      </c>
      <c r="H87" s="46">
        <f t="shared" si="24"/>
        <v>0</v>
      </c>
      <c r="I87" s="74">
        <f t="shared" si="42"/>
        <v>0</v>
      </c>
      <c r="J87" s="22">
        <f>VLOOKUP(D87,Data!$A$5:$V$197,8,FALSE)*5.83</f>
        <v>94.762451900552492</v>
      </c>
      <c r="K87" s="74">
        <f>VLOOKUP(D87,Data!$A$5:$V$197,14,FALSE)</f>
        <v>103.77358490566037</v>
      </c>
      <c r="L87" s="74">
        <f t="shared" si="43"/>
        <v>10216.961512423815</v>
      </c>
      <c r="M87" s="14">
        <f t="shared" si="44"/>
        <v>98.454356392447679</v>
      </c>
      <c r="N87" s="46">
        <f t="shared" si="45"/>
        <v>87339.056603773584</v>
      </c>
      <c r="O87" s="46">
        <f t="shared" si="46"/>
        <v>8598910.6058480851</v>
      </c>
      <c r="P87" s="22">
        <f t="shared" si="47"/>
        <v>98.454356392447679</v>
      </c>
      <c r="Q87" s="55">
        <f t="shared" si="48"/>
        <v>83227.854598231948</v>
      </c>
      <c r="R87" s="55">
        <f t="shared" si="49"/>
        <v>8205332.6018742183</v>
      </c>
      <c r="S87" s="32">
        <f t="shared" si="50"/>
        <v>98.588779459521575</v>
      </c>
      <c r="T87" s="55">
        <f t="shared" si="51"/>
        <v>90349.056603773584</v>
      </c>
      <c r="U87" s="45">
        <v>3032</v>
      </c>
      <c r="V87" s="37">
        <f t="shared" si="52"/>
        <v>72.764213836477992</v>
      </c>
    </row>
    <row r="88" spans="1:22">
      <c r="A88" s="47">
        <v>3010</v>
      </c>
      <c r="B88" s="47">
        <v>10000</v>
      </c>
      <c r="C88" s="47">
        <v>90500</v>
      </c>
      <c r="D88" s="13">
        <v>44136</v>
      </c>
      <c r="E88" s="16">
        <f t="shared" si="39"/>
        <v>87339.056603773584</v>
      </c>
      <c r="F88" s="16">
        <f t="shared" si="40"/>
        <v>8598910.6058480851</v>
      </c>
      <c r="G88" s="14">
        <f t="shared" si="41"/>
        <v>98.454356392447679</v>
      </c>
      <c r="H88" s="46">
        <f t="shared" si="24"/>
        <v>0</v>
      </c>
      <c r="I88" s="74">
        <f t="shared" si="42"/>
        <v>0</v>
      </c>
      <c r="J88" s="22">
        <f>VLOOKUP(D88,Data!$A$5:$V$197,8,FALSE)*5.83</f>
        <v>94.355006921906664</v>
      </c>
      <c r="K88" s="74">
        <f>VLOOKUP(D88,Data!$A$5:$V$197,14,FALSE)</f>
        <v>0</v>
      </c>
      <c r="L88" s="74">
        <f t="shared" si="43"/>
        <v>0</v>
      </c>
      <c r="M88" s="14">
        <f t="shared" si="44"/>
        <v>0</v>
      </c>
      <c r="N88" s="46">
        <f t="shared" si="45"/>
        <v>87339.056603773584</v>
      </c>
      <c r="O88" s="46">
        <f t="shared" si="46"/>
        <v>8598910.6058480851</v>
      </c>
      <c r="P88" s="22">
        <f t="shared" si="47"/>
        <v>98.454356392447679</v>
      </c>
      <c r="Q88" s="55">
        <f t="shared" si="48"/>
        <v>83842.605884681368</v>
      </c>
      <c r="R88" s="55">
        <f t="shared" si="49"/>
        <v>8263968.4583235737</v>
      </c>
      <c r="S88" s="32">
        <f t="shared" si="50"/>
        <v>98.56526250734602</v>
      </c>
      <c r="T88" s="55">
        <f t="shared" si="51"/>
        <v>90349.056603773584</v>
      </c>
      <c r="U88" s="45">
        <v>3033</v>
      </c>
      <c r="V88" s="37">
        <f t="shared" si="52"/>
        <v>72.76338050314466</v>
      </c>
    </row>
    <row r="89" spans="1:22">
      <c r="A89" s="47">
        <v>3010</v>
      </c>
      <c r="B89" s="47">
        <v>10000</v>
      </c>
      <c r="C89" s="47">
        <v>90500</v>
      </c>
      <c r="D89" s="13">
        <v>44166</v>
      </c>
      <c r="E89" s="16">
        <f t="shared" si="39"/>
        <v>87339.056603773584</v>
      </c>
      <c r="F89" s="16">
        <f t="shared" si="40"/>
        <v>8598910.6058480851</v>
      </c>
      <c r="G89" s="14">
        <f t="shared" si="41"/>
        <v>98.454356392447679</v>
      </c>
      <c r="H89" s="46">
        <f t="shared" ref="H89" si="53">IF(E89+A89-K89&lt;C89-B89,C89-E89+K89-A89,0)</f>
        <v>0</v>
      </c>
      <c r="I89" s="74">
        <f t="shared" si="42"/>
        <v>0</v>
      </c>
      <c r="J89" s="22">
        <f>VLOOKUP(D89,Data!$A$5:$V$197,8,FALSE)*5.83</f>
        <v>91.355353709960923</v>
      </c>
      <c r="K89" s="74">
        <f>VLOOKUP(D89,Data!$A$5:$V$197,14,FALSE)</f>
        <v>695.71183533447686</v>
      </c>
      <c r="L89" s="74">
        <f t="shared" si="43"/>
        <v>68495.860982464452</v>
      </c>
      <c r="M89" s="14">
        <f t="shared" si="44"/>
        <v>98.454356392447664</v>
      </c>
      <c r="N89" s="46">
        <f t="shared" si="45"/>
        <v>86643.344768439114</v>
      </c>
      <c r="O89" s="46">
        <f t="shared" si="46"/>
        <v>8530414.7448656205</v>
      </c>
      <c r="P89" s="22">
        <f t="shared" si="47"/>
        <v>98.454356392447664</v>
      </c>
      <c r="Q89" s="55">
        <f t="shared" si="48"/>
        <v>84483.864625940114</v>
      </c>
      <c r="R89" s="55">
        <f t="shared" si="49"/>
        <v>8325238.8566566361</v>
      </c>
      <c r="S89" s="32">
        <f t="shared" si="50"/>
        <v>98.542353543098173</v>
      </c>
      <c r="T89" s="55">
        <f t="shared" si="51"/>
        <v>89653.344768439114</v>
      </c>
      <c r="U89" s="45">
        <v>3034</v>
      </c>
      <c r="V89" s="37">
        <f t="shared" si="52"/>
        <v>72.182787307032598</v>
      </c>
    </row>
  </sheetData>
  <mergeCells count="8">
    <mergeCell ref="T4:V4"/>
    <mergeCell ref="Q6:S17"/>
    <mergeCell ref="T6:V17"/>
    <mergeCell ref="E4:G4"/>
    <mergeCell ref="H4:J4"/>
    <mergeCell ref="K4:M4"/>
    <mergeCell ref="N4:P4"/>
    <mergeCell ref="Q4:S4"/>
  </mergeCells>
  <conditionalFormatting sqref="H30:H89">
    <cfRule type="cellIs" dxfId="12" priority="2" operator="greaterThan">
      <formula>0</formula>
    </cfRule>
  </conditionalFormatting>
  <conditionalFormatting sqref="H27:H29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59999389629810485"/>
  </sheetPr>
  <dimension ref="A1:V89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5.6640625" style="1" bestFit="1" customWidth="1"/>
    <col min="3" max="3" width="6.5546875" style="1" bestFit="1" customWidth="1"/>
    <col min="4" max="4" width="6.109375" style="1" bestFit="1" customWidth="1"/>
    <col min="5" max="5" width="6.5546875" style="1" bestFit="1" customWidth="1"/>
    <col min="6" max="6" width="8.6640625" style="1" bestFit="1" customWidth="1"/>
    <col min="7" max="7" width="5.6640625" style="1" bestFit="1" customWidth="1"/>
    <col min="8" max="8" width="6.33203125" style="1" bestFit="1" customWidth="1"/>
    <col min="9" max="9" width="8.44140625" style="1" bestFit="1" customWidth="1"/>
    <col min="10" max="11" width="6.33203125" style="1" bestFit="1" customWidth="1"/>
    <col min="12" max="12" width="8.44140625" style="1" bestFit="1" customWidth="1"/>
    <col min="13" max="13" width="5.6640625" style="1" bestFit="1" customWidth="1"/>
    <col min="14" max="14" width="7.109375" style="1" bestFit="1" customWidth="1"/>
    <col min="15" max="15" width="11.44140625" style="1" bestFit="1" customWidth="1"/>
    <col min="16" max="16" width="6.33203125" style="1" bestFit="1" customWidth="1"/>
    <col min="17" max="17" width="7.109375" style="1" bestFit="1" customWidth="1"/>
    <col min="18" max="18" width="9.33203125" style="1" bestFit="1" customWidth="1"/>
    <col min="19" max="19" width="6.33203125" style="1" bestFit="1" customWidth="1"/>
    <col min="20" max="20" width="12.6640625" style="1" bestFit="1" customWidth="1"/>
    <col min="21" max="21" width="10.33203125" style="1" bestFit="1" customWidth="1"/>
    <col min="22" max="22" width="8.88671875" style="1" bestFit="1" customWidth="1"/>
    <col min="23" max="16384" width="9.109375" style="1"/>
  </cols>
  <sheetData>
    <row r="1" spans="1:22" s="120" customFormat="1">
      <c r="A1" s="120" t="s">
        <v>66</v>
      </c>
    </row>
    <row r="2" spans="1:22" s="120" customFormat="1">
      <c r="A2" s="120" t="s">
        <v>59</v>
      </c>
    </row>
    <row r="4" spans="1:22">
      <c r="B4" s="17"/>
      <c r="C4" s="18"/>
      <c r="D4" s="19"/>
      <c r="E4" s="106" t="s">
        <v>0</v>
      </c>
      <c r="F4" s="106"/>
      <c r="G4" s="106"/>
      <c r="H4" s="106" t="s">
        <v>1</v>
      </c>
      <c r="I4" s="106"/>
      <c r="J4" s="106"/>
      <c r="K4" s="106" t="s">
        <v>40</v>
      </c>
      <c r="L4" s="106"/>
      <c r="M4" s="106"/>
      <c r="N4" s="108" t="s">
        <v>2</v>
      </c>
      <c r="O4" s="109"/>
      <c r="P4" s="110"/>
      <c r="Q4" s="106" t="s">
        <v>29</v>
      </c>
      <c r="R4" s="106"/>
      <c r="S4" s="106"/>
      <c r="T4" s="106" t="s">
        <v>39</v>
      </c>
      <c r="U4" s="106"/>
      <c r="V4" s="106"/>
    </row>
    <row r="5" spans="1:22">
      <c r="A5" s="20" t="s">
        <v>49</v>
      </c>
      <c r="B5" s="20" t="s">
        <v>20</v>
      </c>
      <c r="C5" s="12" t="s">
        <v>12</v>
      </c>
      <c r="D5" s="9" t="s">
        <v>26</v>
      </c>
      <c r="E5" s="11" t="s">
        <v>3</v>
      </c>
      <c r="F5" s="11" t="s">
        <v>27</v>
      </c>
      <c r="G5" s="11" t="s">
        <v>28</v>
      </c>
      <c r="H5" s="11" t="s">
        <v>3</v>
      </c>
      <c r="I5" s="11" t="s">
        <v>27</v>
      </c>
      <c r="J5" s="11" t="s">
        <v>28</v>
      </c>
      <c r="K5" s="11" t="s">
        <v>3</v>
      </c>
      <c r="L5" s="11" t="s">
        <v>27</v>
      </c>
      <c r="M5" s="11" t="s">
        <v>28</v>
      </c>
      <c r="N5" s="67" t="s">
        <v>3</v>
      </c>
      <c r="O5" s="67" t="s">
        <v>27</v>
      </c>
      <c r="P5" s="67" t="s">
        <v>28</v>
      </c>
      <c r="Q5" s="67" t="s">
        <v>3</v>
      </c>
      <c r="R5" s="67" t="s">
        <v>27</v>
      </c>
      <c r="S5" s="67" t="s">
        <v>28</v>
      </c>
      <c r="T5" s="68" t="s">
        <v>37</v>
      </c>
      <c r="U5" s="66" t="s">
        <v>38</v>
      </c>
      <c r="V5" s="66" t="s">
        <v>50</v>
      </c>
    </row>
    <row r="6" spans="1:22">
      <c r="A6" s="47">
        <v>4436</v>
      </c>
      <c r="B6" s="21">
        <v>10000</v>
      </c>
      <c r="C6" s="21">
        <v>283000</v>
      </c>
      <c r="D6" s="49">
        <v>41640</v>
      </c>
      <c r="E6" s="50">
        <v>268862</v>
      </c>
      <c r="F6" s="50">
        <v>34824335.360000007</v>
      </c>
      <c r="G6" s="53">
        <f>F6/E6</f>
        <v>129.52494350261475</v>
      </c>
      <c r="H6" s="51">
        <v>0</v>
      </c>
      <c r="I6" s="54">
        <v>0</v>
      </c>
      <c r="J6" s="52">
        <f t="shared" ref="J6:J8" si="0">IF(H6=0,0,I6/H6)</f>
        <v>0</v>
      </c>
      <c r="K6" s="54">
        <v>138</v>
      </c>
      <c r="L6" s="54">
        <v>17874.439999999999</v>
      </c>
      <c r="M6" s="53">
        <f t="shared" ref="M6:M46" si="1">IF(K6=0,0,L6/K6)</f>
        <v>129.52492753623187</v>
      </c>
      <c r="N6" s="51">
        <f t="shared" ref="N6:O53" si="2">+E6+H6-K6</f>
        <v>268724</v>
      </c>
      <c r="O6" s="51">
        <f t="shared" si="2"/>
        <v>34806460.920000009</v>
      </c>
      <c r="P6" s="52">
        <f t="shared" ref="P6:P53" si="3">IF(N6=0,0,O6/N6)</f>
        <v>129.5249435108141</v>
      </c>
      <c r="Q6" s="107"/>
      <c r="R6" s="107"/>
      <c r="S6" s="107"/>
      <c r="T6" s="107"/>
      <c r="U6" s="107"/>
      <c r="V6" s="107"/>
    </row>
    <row r="7" spans="1:22">
      <c r="A7" s="21">
        <v>4436</v>
      </c>
      <c r="B7" s="21">
        <v>10000</v>
      </c>
      <c r="C7" s="21">
        <v>283000</v>
      </c>
      <c r="D7" s="49">
        <v>41671</v>
      </c>
      <c r="E7" s="50">
        <f t="shared" ref="E7:G47" si="4">N6</f>
        <v>268724</v>
      </c>
      <c r="F7" s="50">
        <f t="shared" si="4"/>
        <v>34806460.920000009</v>
      </c>
      <c r="G7" s="53">
        <f t="shared" si="4"/>
        <v>129.5249435108141</v>
      </c>
      <c r="H7" s="51">
        <v>0</v>
      </c>
      <c r="I7" s="54">
        <v>0</v>
      </c>
      <c r="J7" s="52">
        <f t="shared" si="0"/>
        <v>0</v>
      </c>
      <c r="K7" s="54">
        <v>-77</v>
      </c>
      <c r="L7" s="54">
        <v>-9973.42</v>
      </c>
      <c r="M7" s="53">
        <f t="shared" si="1"/>
        <v>129.52493506493508</v>
      </c>
      <c r="N7" s="51">
        <f t="shared" si="2"/>
        <v>268801</v>
      </c>
      <c r="O7" s="51">
        <f t="shared" si="2"/>
        <v>34816434.340000011</v>
      </c>
      <c r="P7" s="52">
        <f t="shared" si="3"/>
        <v>129.52494350839473</v>
      </c>
      <c r="Q7" s="107"/>
      <c r="R7" s="107"/>
      <c r="S7" s="107"/>
      <c r="T7" s="107"/>
      <c r="U7" s="107"/>
      <c r="V7" s="107"/>
    </row>
    <row r="8" spans="1:22">
      <c r="A8" s="21">
        <v>4436</v>
      </c>
      <c r="B8" s="21">
        <v>10000</v>
      </c>
      <c r="C8" s="21">
        <v>283000</v>
      </c>
      <c r="D8" s="49">
        <v>41699</v>
      </c>
      <c r="E8" s="50">
        <f t="shared" si="4"/>
        <v>268801</v>
      </c>
      <c r="F8" s="50">
        <f t="shared" si="4"/>
        <v>34816434.340000011</v>
      </c>
      <c r="G8" s="53">
        <f t="shared" si="4"/>
        <v>129.52494350839473</v>
      </c>
      <c r="H8" s="51">
        <v>0</v>
      </c>
      <c r="I8" s="54">
        <v>0</v>
      </c>
      <c r="J8" s="52">
        <f t="shared" si="0"/>
        <v>0</v>
      </c>
      <c r="K8" s="54">
        <v>38</v>
      </c>
      <c r="L8" s="54">
        <v>4921.95</v>
      </c>
      <c r="M8" s="53">
        <f t="shared" si="1"/>
        <v>129.52500000000001</v>
      </c>
      <c r="N8" s="51">
        <f t="shared" si="2"/>
        <v>268763</v>
      </c>
      <c r="O8" s="51">
        <f t="shared" si="2"/>
        <v>34811512.390000008</v>
      </c>
      <c r="P8" s="52">
        <f t="shared" si="3"/>
        <v>129.52494350040746</v>
      </c>
      <c r="Q8" s="107"/>
      <c r="R8" s="107"/>
      <c r="S8" s="107"/>
      <c r="T8" s="107"/>
      <c r="U8" s="107"/>
      <c r="V8" s="107"/>
    </row>
    <row r="9" spans="1:22">
      <c r="A9" s="21">
        <v>4436</v>
      </c>
      <c r="B9" s="21">
        <v>10000</v>
      </c>
      <c r="C9" s="21">
        <v>283000</v>
      </c>
      <c r="D9" s="49">
        <v>41730</v>
      </c>
      <c r="E9" s="50">
        <f t="shared" si="4"/>
        <v>268763</v>
      </c>
      <c r="F9" s="50">
        <f t="shared" si="4"/>
        <v>34811512.390000008</v>
      </c>
      <c r="G9" s="53">
        <f t="shared" si="4"/>
        <v>129.52494350040746</v>
      </c>
      <c r="H9" s="51">
        <v>0</v>
      </c>
      <c r="I9" s="54">
        <v>0</v>
      </c>
      <c r="J9" s="52">
        <f t="shared" ref="J9" si="5">IF(H9=0,0,I9/H9)</f>
        <v>0</v>
      </c>
      <c r="K9" s="54">
        <v>-33</v>
      </c>
      <c r="L9" s="54">
        <v>-4274.33</v>
      </c>
      <c r="M9" s="53">
        <f t="shared" si="1"/>
        <v>129.52515151515152</v>
      </c>
      <c r="N9" s="51">
        <f t="shared" si="2"/>
        <v>268796</v>
      </c>
      <c r="O9" s="51">
        <f t="shared" si="2"/>
        <v>34815786.720000006</v>
      </c>
      <c r="P9" s="52">
        <f t="shared" si="3"/>
        <v>129.52494352594536</v>
      </c>
      <c r="Q9" s="107"/>
      <c r="R9" s="107"/>
      <c r="S9" s="107"/>
      <c r="T9" s="107"/>
      <c r="U9" s="107"/>
      <c r="V9" s="107"/>
    </row>
    <row r="10" spans="1:22">
      <c r="A10" s="21">
        <v>4436</v>
      </c>
      <c r="B10" s="21">
        <v>10000</v>
      </c>
      <c r="C10" s="21">
        <v>283000</v>
      </c>
      <c r="D10" s="49">
        <v>41760</v>
      </c>
      <c r="E10" s="50">
        <f t="shared" si="4"/>
        <v>268796</v>
      </c>
      <c r="F10" s="50">
        <f t="shared" si="4"/>
        <v>34815786.720000006</v>
      </c>
      <c r="G10" s="53">
        <f t="shared" si="4"/>
        <v>129.52494352594536</v>
      </c>
      <c r="H10" s="51">
        <v>0</v>
      </c>
      <c r="I10" s="54">
        <v>0</v>
      </c>
      <c r="J10" s="52">
        <f t="shared" ref="J10" si="6">IF(H10=0,0,I10/H10)</f>
        <v>0</v>
      </c>
      <c r="K10" s="54">
        <v>77</v>
      </c>
      <c r="L10" s="54">
        <v>9973.42</v>
      </c>
      <c r="M10" s="53">
        <f t="shared" si="1"/>
        <v>129.52493506493508</v>
      </c>
      <c r="N10" s="51">
        <f t="shared" si="2"/>
        <v>268719</v>
      </c>
      <c r="O10" s="51">
        <f t="shared" si="2"/>
        <v>34805813.300000004</v>
      </c>
      <c r="P10" s="52">
        <f t="shared" si="3"/>
        <v>129.52494352836979</v>
      </c>
      <c r="Q10" s="107"/>
      <c r="R10" s="107"/>
      <c r="S10" s="107"/>
      <c r="T10" s="107"/>
      <c r="U10" s="107"/>
      <c r="V10" s="107"/>
    </row>
    <row r="11" spans="1:22">
      <c r="A11" s="21">
        <v>4436</v>
      </c>
      <c r="B11" s="21">
        <v>10000</v>
      </c>
      <c r="C11" s="21">
        <v>283000</v>
      </c>
      <c r="D11" s="49">
        <v>41791</v>
      </c>
      <c r="E11" s="50">
        <f t="shared" si="4"/>
        <v>268719</v>
      </c>
      <c r="F11" s="50">
        <f t="shared" si="4"/>
        <v>34805813.300000004</v>
      </c>
      <c r="G11" s="53">
        <f t="shared" si="4"/>
        <v>129.52494352836979</v>
      </c>
      <c r="H11" s="51">
        <v>0</v>
      </c>
      <c r="I11" s="54">
        <v>0</v>
      </c>
      <c r="J11" s="52">
        <f t="shared" ref="J11" si="7">IF(H11=0,0,I11/H11)</f>
        <v>0</v>
      </c>
      <c r="K11" s="54">
        <v>-32</v>
      </c>
      <c r="L11" s="54">
        <f>IF(E11+H11&gt;0,((F11+I11)/(E11+H11)*K11),0)</f>
        <v>-4144.7981929078333</v>
      </c>
      <c r="M11" s="53">
        <f t="shared" si="1"/>
        <v>129.52494352836979</v>
      </c>
      <c r="N11" s="51">
        <f t="shared" si="2"/>
        <v>268751</v>
      </c>
      <c r="O11" s="51">
        <f t="shared" si="2"/>
        <v>34809958.098192915</v>
      </c>
      <c r="P11" s="52">
        <f t="shared" si="3"/>
        <v>129.52494352836982</v>
      </c>
      <c r="Q11" s="107"/>
      <c r="R11" s="107"/>
      <c r="S11" s="107"/>
      <c r="T11" s="107"/>
      <c r="U11" s="107"/>
      <c r="V11" s="107"/>
    </row>
    <row r="12" spans="1:22">
      <c r="A12" s="21">
        <v>4436</v>
      </c>
      <c r="B12" s="21">
        <v>10000</v>
      </c>
      <c r="C12" s="21">
        <v>276500</v>
      </c>
      <c r="D12" s="49">
        <v>41821</v>
      </c>
      <c r="E12" s="50">
        <f t="shared" si="4"/>
        <v>268751</v>
      </c>
      <c r="F12" s="50">
        <f t="shared" si="4"/>
        <v>34809958.098192915</v>
      </c>
      <c r="G12" s="53">
        <f t="shared" si="4"/>
        <v>129.52494352836982</v>
      </c>
      <c r="H12" s="51">
        <v>0</v>
      </c>
      <c r="I12" s="54">
        <v>0</v>
      </c>
      <c r="J12" s="52">
        <f t="shared" ref="J12" si="8">IF(H12=0,0,I12/H12)</f>
        <v>0</v>
      </c>
      <c r="K12" s="54">
        <v>6767</v>
      </c>
      <c r="L12" s="54">
        <v>876495.29</v>
      </c>
      <c r="M12" s="53">
        <f t="shared" si="1"/>
        <v>129.52494310625093</v>
      </c>
      <c r="N12" s="51">
        <f t="shared" si="2"/>
        <v>261984</v>
      </c>
      <c r="O12" s="51">
        <f t="shared" si="2"/>
        <v>33933462.808192916</v>
      </c>
      <c r="P12" s="52">
        <f t="shared" si="3"/>
        <v>129.52494353927307</v>
      </c>
      <c r="Q12" s="107"/>
      <c r="R12" s="107"/>
      <c r="S12" s="107"/>
      <c r="T12" s="107"/>
      <c r="U12" s="107"/>
      <c r="V12" s="107"/>
    </row>
    <row r="13" spans="1:22">
      <c r="A13" s="21">
        <v>4436</v>
      </c>
      <c r="B13" s="21">
        <v>10000</v>
      </c>
      <c r="C13" s="47">
        <v>276500</v>
      </c>
      <c r="D13" s="49">
        <v>41852</v>
      </c>
      <c r="E13" s="50">
        <f t="shared" si="4"/>
        <v>261984</v>
      </c>
      <c r="F13" s="50">
        <f t="shared" si="4"/>
        <v>33933462.808192916</v>
      </c>
      <c r="G13" s="53">
        <f t="shared" si="4"/>
        <v>129.52494353927307</v>
      </c>
      <c r="H13" s="51">
        <v>0</v>
      </c>
      <c r="I13" s="54">
        <v>0</v>
      </c>
      <c r="J13" s="52">
        <f t="shared" ref="J13" si="9">IF(H13=0,0,I13/H13)</f>
        <v>0</v>
      </c>
      <c r="K13" s="54">
        <v>65</v>
      </c>
      <c r="L13" s="54">
        <v>8419.1200000000008</v>
      </c>
      <c r="M13" s="53">
        <f t="shared" si="1"/>
        <v>129.5249230769231</v>
      </c>
      <c r="N13" s="51">
        <f t="shared" si="2"/>
        <v>261919</v>
      </c>
      <c r="O13" s="51">
        <f t="shared" si="2"/>
        <v>33925043.688192919</v>
      </c>
      <c r="P13" s="52">
        <f t="shared" si="3"/>
        <v>129.52494354435117</v>
      </c>
      <c r="Q13" s="107"/>
      <c r="R13" s="107"/>
      <c r="S13" s="107"/>
      <c r="T13" s="107"/>
      <c r="U13" s="107"/>
      <c r="V13" s="107"/>
    </row>
    <row r="14" spans="1:22">
      <c r="A14" s="21">
        <v>4436</v>
      </c>
      <c r="B14" s="21">
        <v>10000</v>
      </c>
      <c r="C14" s="47">
        <v>276500</v>
      </c>
      <c r="D14" s="49">
        <v>41883</v>
      </c>
      <c r="E14" s="50">
        <f t="shared" si="4"/>
        <v>261919</v>
      </c>
      <c r="F14" s="50">
        <f t="shared" si="4"/>
        <v>33925043.688192919</v>
      </c>
      <c r="G14" s="53">
        <f t="shared" si="4"/>
        <v>129.52494354435117</v>
      </c>
      <c r="H14" s="51">
        <v>0</v>
      </c>
      <c r="I14" s="54">
        <v>0</v>
      </c>
      <c r="J14" s="52">
        <f t="shared" ref="J14" si="10">IF(H14=0,0,I14/H14)</f>
        <v>0</v>
      </c>
      <c r="K14" s="54">
        <v>-34</v>
      </c>
      <c r="L14" s="54">
        <v>-4403.8500000000004</v>
      </c>
      <c r="M14" s="53">
        <f t="shared" si="1"/>
        <v>129.52500000000001</v>
      </c>
      <c r="N14" s="51">
        <f t="shared" si="2"/>
        <v>261953</v>
      </c>
      <c r="O14" s="51">
        <f t="shared" si="2"/>
        <v>33929447.53819292</v>
      </c>
      <c r="P14" s="52">
        <f t="shared" si="3"/>
        <v>129.5249435516788</v>
      </c>
      <c r="Q14" s="107"/>
      <c r="R14" s="107"/>
      <c r="S14" s="107"/>
      <c r="T14" s="107"/>
      <c r="U14" s="107"/>
      <c r="V14" s="107"/>
    </row>
    <row r="15" spans="1:22">
      <c r="A15" s="21">
        <v>4436</v>
      </c>
      <c r="B15" s="21">
        <v>10000</v>
      </c>
      <c r="C15" s="47">
        <v>276500</v>
      </c>
      <c r="D15" s="49">
        <v>41913</v>
      </c>
      <c r="E15" s="50">
        <f t="shared" si="4"/>
        <v>261953</v>
      </c>
      <c r="F15" s="50">
        <f t="shared" si="4"/>
        <v>33929447.53819292</v>
      </c>
      <c r="G15" s="53">
        <f t="shared" si="4"/>
        <v>129.5249435516788</v>
      </c>
      <c r="H15" s="51">
        <v>0</v>
      </c>
      <c r="I15" s="54">
        <v>0</v>
      </c>
      <c r="J15" s="52">
        <f t="shared" ref="J15" si="11">IF(H15=0,0,I15/H15)</f>
        <v>0</v>
      </c>
      <c r="K15" s="54">
        <v>-12</v>
      </c>
      <c r="L15" s="54">
        <v>-1554.3</v>
      </c>
      <c r="M15" s="53">
        <f t="shared" si="1"/>
        <v>129.52500000000001</v>
      </c>
      <c r="N15" s="51">
        <f t="shared" si="2"/>
        <v>261965</v>
      </c>
      <c r="O15" s="51">
        <f t="shared" si="2"/>
        <v>33931001.838192917</v>
      </c>
      <c r="P15" s="52">
        <f t="shared" si="3"/>
        <v>129.52494355426458</v>
      </c>
      <c r="Q15" s="107"/>
      <c r="R15" s="107"/>
      <c r="S15" s="107"/>
      <c r="T15" s="107"/>
      <c r="U15" s="107"/>
      <c r="V15" s="107"/>
    </row>
    <row r="16" spans="1:22">
      <c r="A16" s="21">
        <v>4436</v>
      </c>
      <c r="B16" s="21">
        <v>10000</v>
      </c>
      <c r="C16" s="47">
        <v>276500</v>
      </c>
      <c r="D16" s="49">
        <v>41944</v>
      </c>
      <c r="E16" s="50">
        <f t="shared" si="4"/>
        <v>261965</v>
      </c>
      <c r="F16" s="50">
        <f t="shared" si="4"/>
        <v>33931001.838192917</v>
      </c>
      <c r="G16" s="53">
        <f t="shared" si="4"/>
        <v>129.52494355426458</v>
      </c>
      <c r="H16" s="51">
        <v>0</v>
      </c>
      <c r="I16" s="54">
        <v>0</v>
      </c>
      <c r="J16" s="52">
        <f t="shared" ref="J16" si="12">IF(H16=0,0,I16/H16)</f>
        <v>0</v>
      </c>
      <c r="K16" s="54">
        <v>-4</v>
      </c>
      <c r="L16" s="54">
        <v>-518.1</v>
      </c>
      <c r="M16" s="53">
        <f t="shared" si="1"/>
        <v>129.52500000000001</v>
      </c>
      <c r="N16" s="51">
        <f t="shared" si="2"/>
        <v>261969</v>
      </c>
      <c r="O16" s="51">
        <f t="shared" si="2"/>
        <v>33931519.938192919</v>
      </c>
      <c r="P16" s="52">
        <f t="shared" si="3"/>
        <v>129.52494355512644</v>
      </c>
      <c r="Q16" s="107"/>
      <c r="R16" s="107"/>
      <c r="S16" s="107"/>
      <c r="T16" s="107"/>
      <c r="U16" s="107"/>
      <c r="V16" s="107"/>
    </row>
    <row r="17" spans="1:22">
      <c r="A17" s="21">
        <v>4436</v>
      </c>
      <c r="B17" s="21">
        <v>10000</v>
      </c>
      <c r="C17" s="47">
        <v>276500</v>
      </c>
      <c r="D17" s="49">
        <v>41974</v>
      </c>
      <c r="E17" s="50">
        <f t="shared" si="4"/>
        <v>261969</v>
      </c>
      <c r="F17" s="50">
        <f t="shared" si="4"/>
        <v>33931519.938192919</v>
      </c>
      <c r="G17" s="53">
        <f t="shared" si="4"/>
        <v>129.52494355512644</v>
      </c>
      <c r="H17" s="51">
        <v>0</v>
      </c>
      <c r="I17" s="54">
        <v>0</v>
      </c>
      <c r="J17" s="52">
        <f t="shared" ref="J17:J29" si="13">IF(H17=0,0,I17/H17)</f>
        <v>0</v>
      </c>
      <c r="K17" s="54">
        <v>2543</v>
      </c>
      <c r="L17" s="54">
        <v>329381.94</v>
      </c>
      <c r="M17" s="53">
        <f t="shared" si="1"/>
        <v>129.52494691309477</v>
      </c>
      <c r="N17" s="51">
        <f t="shared" si="2"/>
        <v>259426</v>
      </c>
      <c r="O17" s="51">
        <f t="shared" si="2"/>
        <v>33602137.998192921</v>
      </c>
      <c r="P17" s="52">
        <f t="shared" si="3"/>
        <v>129.52494352221026</v>
      </c>
      <c r="Q17" s="107"/>
      <c r="R17" s="107"/>
      <c r="S17" s="107"/>
      <c r="T17" s="107"/>
      <c r="U17" s="107"/>
      <c r="V17" s="107"/>
    </row>
    <row r="18" spans="1:22">
      <c r="A18" s="21">
        <v>4436</v>
      </c>
      <c r="B18" s="47">
        <v>10000</v>
      </c>
      <c r="C18" s="47">
        <v>276500</v>
      </c>
      <c r="D18" s="49">
        <v>42005</v>
      </c>
      <c r="E18" s="50">
        <f t="shared" si="4"/>
        <v>259426</v>
      </c>
      <c r="F18" s="50">
        <f t="shared" si="4"/>
        <v>33602137.998192921</v>
      </c>
      <c r="G18" s="53">
        <f t="shared" si="4"/>
        <v>129.52494352221026</v>
      </c>
      <c r="H18" s="51">
        <v>0</v>
      </c>
      <c r="I18" s="54">
        <v>0</v>
      </c>
      <c r="J18" s="52">
        <f t="shared" si="13"/>
        <v>0</v>
      </c>
      <c r="K18" s="54">
        <v>13988</v>
      </c>
      <c r="L18" s="54">
        <v>1811794.92</v>
      </c>
      <c r="M18" s="53">
        <f t="shared" si="1"/>
        <v>129.52494423791822</v>
      </c>
      <c r="N18" s="51">
        <f t="shared" si="2"/>
        <v>245438</v>
      </c>
      <c r="O18" s="51">
        <f t="shared" si="2"/>
        <v>31790343.078192919</v>
      </c>
      <c r="P18" s="52">
        <f t="shared" si="3"/>
        <v>129.52494348142065</v>
      </c>
      <c r="Q18" s="54">
        <f t="shared" ref="Q18:R29" si="14">AVERAGE(N6:N18)</f>
        <v>263631.38461538462</v>
      </c>
      <c r="R18" s="54">
        <f t="shared" si="14"/>
        <v>34146840.204272561</v>
      </c>
      <c r="S18" s="56">
        <f t="shared" ref="S18:S29" si="15">IF(Q18=0,0,R18/Q18)</f>
        <v>129.52494352707606</v>
      </c>
      <c r="T18" s="54">
        <f>N18+A18</f>
        <v>249874</v>
      </c>
      <c r="U18" s="58">
        <v>6000</v>
      </c>
      <c r="V18" s="75">
        <f>(T18-U18)/4050</f>
        <v>60.215802469135802</v>
      </c>
    </row>
    <row r="19" spans="1:22">
      <c r="A19" s="21">
        <v>4436</v>
      </c>
      <c r="B19" s="47">
        <v>10000</v>
      </c>
      <c r="C19" s="47">
        <v>276500</v>
      </c>
      <c r="D19" s="49">
        <v>42036</v>
      </c>
      <c r="E19" s="50">
        <f t="shared" si="4"/>
        <v>245438</v>
      </c>
      <c r="F19" s="50">
        <f t="shared" si="4"/>
        <v>31790343.078192919</v>
      </c>
      <c r="G19" s="53">
        <f t="shared" si="4"/>
        <v>129.52494348142065</v>
      </c>
      <c r="H19" s="51">
        <v>0</v>
      </c>
      <c r="I19" s="54">
        <v>0</v>
      </c>
      <c r="J19" s="52">
        <f t="shared" si="13"/>
        <v>0</v>
      </c>
      <c r="K19" s="54">
        <v>3286</v>
      </c>
      <c r="L19" s="54">
        <v>425618.96</v>
      </c>
      <c r="M19" s="53">
        <f t="shared" si="1"/>
        <v>129.52494217894096</v>
      </c>
      <c r="N19" s="51">
        <f t="shared" si="2"/>
        <v>242152</v>
      </c>
      <c r="O19" s="51">
        <f t="shared" si="2"/>
        <v>31364724.118192919</v>
      </c>
      <c r="P19" s="52">
        <f t="shared" si="3"/>
        <v>129.52494349909529</v>
      </c>
      <c r="Q19" s="54">
        <f t="shared" si="14"/>
        <v>261587.38461538462</v>
      </c>
      <c r="R19" s="54">
        <f t="shared" si="14"/>
        <v>33882091.219518177</v>
      </c>
      <c r="S19" s="56">
        <f t="shared" si="15"/>
        <v>129.52494352636867</v>
      </c>
      <c r="T19" s="54">
        <f t="shared" ref="T19:T29" si="16">N19+A19</f>
        <v>246588</v>
      </c>
      <c r="U19" s="58">
        <v>6000</v>
      </c>
      <c r="V19" s="75">
        <f t="shared" ref="V19:V29" si="17">(T19-U19)/4050</f>
        <v>59.404444444444444</v>
      </c>
    </row>
    <row r="20" spans="1:22">
      <c r="A20" s="21">
        <v>4436</v>
      </c>
      <c r="B20" s="21">
        <v>10000</v>
      </c>
      <c r="C20" s="47">
        <v>283800</v>
      </c>
      <c r="D20" s="49">
        <v>42064</v>
      </c>
      <c r="E20" s="50">
        <f t="shared" si="4"/>
        <v>242152</v>
      </c>
      <c r="F20" s="50">
        <f t="shared" si="4"/>
        <v>31364724.118192919</v>
      </c>
      <c r="G20" s="53">
        <f t="shared" si="4"/>
        <v>129.52494349909529</v>
      </c>
      <c r="H20" s="51">
        <v>0</v>
      </c>
      <c r="I20" s="54">
        <v>0</v>
      </c>
      <c r="J20" s="52">
        <f t="shared" si="13"/>
        <v>0</v>
      </c>
      <c r="K20" s="54">
        <v>17921</v>
      </c>
      <c r="L20" s="54">
        <v>2321216.5299999998</v>
      </c>
      <c r="M20" s="53">
        <f t="shared" si="1"/>
        <v>129.52494447854471</v>
      </c>
      <c r="N20" s="51">
        <f t="shared" si="2"/>
        <v>224231</v>
      </c>
      <c r="O20" s="51">
        <f t="shared" si="2"/>
        <v>29043507.588192917</v>
      </c>
      <c r="P20" s="52">
        <f t="shared" si="3"/>
        <v>129.52494342081567</v>
      </c>
      <c r="Q20" s="54">
        <f t="shared" si="14"/>
        <v>258158.92307692306</v>
      </c>
      <c r="R20" s="54">
        <f t="shared" si="14"/>
        <v>33438019.930917628</v>
      </c>
      <c r="S20" s="56">
        <f t="shared" si="15"/>
        <v>129.5249435207559</v>
      </c>
      <c r="T20" s="54">
        <f t="shared" si="16"/>
        <v>228667</v>
      </c>
      <c r="U20" s="58">
        <v>6000</v>
      </c>
      <c r="V20" s="75">
        <f t="shared" si="17"/>
        <v>54.979506172839507</v>
      </c>
    </row>
    <row r="21" spans="1:22">
      <c r="A21" s="21">
        <v>4436</v>
      </c>
      <c r="B21" s="21">
        <v>10000</v>
      </c>
      <c r="C21" s="47">
        <v>283800</v>
      </c>
      <c r="D21" s="49">
        <v>42095</v>
      </c>
      <c r="E21" s="50">
        <f t="shared" si="4"/>
        <v>224231</v>
      </c>
      <c r="F21" s="50">
        <f t="shared" si="4"/>
        <v>29043507.588192917</v>
      </c>
      <c r="G21" s="53">
        <f t="shared" si="4"/>
        <v>129.52494342081567</v>
      </c>
      <c r="H21" s="51">
        <v>11439</v>
      </c>
      <c r="I21" s="54">
        <v>1053377.32</v>
      </c>
      <c r="J21" s="52">
        <f t="shared" si="13"/>
        <v>92.086486580994844</v>
      </c>
      <c r="K21" s="54">
        <v>5041</v>
      </c>
      <c r="L21" s="54">
        <v>643774.75</v>
      </c>
      <c r="M21" s="53">
        <f t="shared" si="1"/>
        <v>127.70774647887323</v>
      </c>
      <c r="N21" s="51">
        <f t="shared" si="2"/>
        <v>230629</v>
      </c>
      <c r="O21" s="51">
        <f t="shared" si="2"/>
        <v>29453110.158192918</v>
      </c>
      <c r="P21" s="52">
        <f t="shared" si="3"/>
        <v>127.70774776022493</v>
      </c>
      <c r="Q21" s="54">
        <f t="shared" si="14"/>
        <v>255225.53846153847</v>
      </c>
      <c r="R21" s="54">
        <f t="shared" si="14"/>
        <v>33025835.143855549</v>
      </c>
      <c r="S21" s="56">
        <f t="shared" si="15"/>
        <v>129.39863049336819</v>
      </c>
      <c r="T21" s="54">
        <f t="shared" si="16"/>
        <v>235065</v>
      </c>
      <c r="U21" s="58">
        <v>6000</v>
      </c>
      <c r="V21" s="75">
        <f t="shared" si="17"/>
        <v>56.559259259259257</v>
      </c>
    </row>
    <row r="22" spans="1:22">
      <c r="A22" s="21">
        <v>4436</v>
      </c>
      <c r="B22" s="21">
        <v>10000</v>
      </c>
      <c r="C22" s="47">
        <v>283800</v>
      </c>
      <c r="D22" s="49">
        <v>42125</v>
      </c>
      <c r="E22" s="50">
        <f t="shared" si="4"/>
        <v>230629</v>
      </c>
      <c r="F22" s="50">
        <f t="shared" si="4"/>
        <v>29453110.158192918</v>
      </c>
      <c r="G22" s="53">
        <f t="shared" si="4"/>
        <v>127.70774776022493</v>
      </c>
      <c r="H22" s="51">
        <v>20691</v>
      </c>
      <c r="I22" s="54">
        <v>1945269.4</v>
      </c>
      <c r="J22" s="52">
        <f t="shared" si="13"/>
        <v>94.015243342516072</v>
      </c>
      <c r="K22" s="54">
        <v>1825</v>
      </c>
      <c r="L22" s="54">
        <v>228004.32</v>
      </c>
      <c r="M22" s="53">
        <f t="shared" si="1"/>
        <v>124.93387397260274</v>
      </c>
      <c r="N22" s="51">
        <f t="shared" si="2"/>
        <v>249495</v>
      </c>
      <c r="O22" s="51">
        <f t="shared" si="2"/>
        <v>31170375.238192916</v>
      </c>
      <c r="P22" s="52">
        <f t="shared" si="3"/>
        <v>124.93386736484865</v>
      </c>
      <c r="Q22" s="54">
        <f t="shared" si="14"/>
        <v>253740.84615384616</v>
      </c>
      <c r="R22" s="54">
        <f t="shared" si="14"/>
        <v>32745418.876024231</v>
      </c>
      <c r="S22" s="56">
        <f t="shared" si="15"/>
        <v>129.05064112606564</v>
      </c>
      <c r="T22" s="54">
        <f t="shared" si="16"/>
        <v>253931</v>
      </c>
      <c r="U22" s="58">
        <v>6000</v>
      </c>
      <c r="V22" s="75">
        <f t="shared" si="17"/>
        <v>61.217530864197528</v>
      </c>
    </row>
    <row r="23" spans="1:22">
      <c r="A23" s="21">
        <v>4436</v>
      </c>
      <c r="B23" s="21">
        <v>10000</v>
      </c>
      <c r="C23" s="47">
        <v>283800</v>
      </c>
      <c r="D23" s="49">
        <v>42156</v>
      </c>
      <c r="E23" s="50">
        <f t="shared" si="4"/>
        <v>249495</v>
      </c>
      <c r="F23" s="50">
        <f t="shared" si="4"/>
        <v>31170375.238192916</v>
      </c>
      <c r="G23" s="53">
        <f t="shared" si="4"/>
        <v>124.93386736484865</v>
      </c>
      <c r="H23" s="51">
        <v>18233</v>
      </c>
      <c r="I23" s="54">
        <v>1668248.8</v>
      </c>
      <c r="J23" s="52">
        <f t="shared" si="13"/>
        <v>91.496122415400649</v>
      </c>
      <c r="K23" s="54">
        <v>2297</v>
      </c>
      <c r="L23" s="54">
        <v>281742.36</v>
      </c>
      <c r="M23" s="53">
        <f t="shared" si="1"/>
        <v>122.65666521549846</v>
      </c>
      <c r="N23" s="51">
        <f t="shared" si="2"/>
        <v>265431</v>
      </c>
      <c r="O23" s="51">
        <f t="shared" si="2"/>
        <v>32556881.678192917</v>
      </c>
      <c r="P23" s="52">
        <f t="shared" si="3"/>
        <v>122.65666662218399</v>
      </c>
      <c r="Q23" s="54">
        <f t="shared" si="14"/>
        <v>253487.92307692306</v>
      </c>
      <c r="R23" s="54">
        <f t="shared" si="14"/>
        <v>32572424.135885231</v>
      </c>
      <c r="S23" s="56">
        <f t="shared" si="15"/>
        <v>128.4969466809701</v>
      </c>
      <c r="T23" s="54">
        <f t="shared" si="16"/>
        <v>269867</v>
      </c>
      <c r="U23" s="58">
        <v>6000</v>
      </c>
      <c r="V23" s="75">
        <f t="shared" si="17"/>
        <v>65.152345679012342</v>
      </c>
    </row>
    <row r="24" spans="1:22">
      <c r="A24" s="21">
        <v>4436</v>
      </c>
      <c r="B24" s="21">
        <v>10000</v>
      </c>
      <c r="C24" s="47">
        <v>277000</v>
      </c>
      <c r="D24" s="49">
        <v>42186</v>
      </c>
      <c r="E24" s="50">
        <f t="shared" si="4"/>
        <v>265431</v>
      </c>
      <c r="F24" s="50">
        <f t="shared" si="4"/>
        <v>32556881.678192917</v>
      </c>
      <c r="G24" s="53">
        <f t="shared" si="4"/>
        <v>122.65666662218399</v>
      </c>
      <c r="H24" s="51">
        <v>11057</v>
      </c>
      <c r="I24" s="54">
        <v>995139.55</v>
      </c>
      <c r="J24" s="52">
        <f t="shared" si="13"/>
        <v>90.000863706249433</v>
      </c>
      <c r="K24" s="54">
        <v>1578</v>
      </c>
      <c r="L24" s="54">
        <v>191491.45</v>
      </c>
      <c r="M24" s="53">
        <f t="shared" si="1"/>
        <v>121.35072877059569</v>
      </c>
      <c r="N24" s="51">
        <f t="shared" si="2"/>
        <v>274910</v>
      </c>
      <c r="O24" s="51">
        <f t="shared" si="2"/>
        <v>33360529.778192919</v>
      </c>
      <c r="P24" s="52">
        <f t="shared" si="3"/>
        <v>121.35073216031763</v>
      </c>
      <c r="Q24" s="54">
        <f t="shared" si="14"/>
        <v>253961.69230769231</v>
      </c>
      <c r="R24" s="54">
        <f t="shared" si="14"/>
        <v>32460929.649731379</v>
      </c>
      <c r="S24" s="56">
        <f t="shared" si="15"/>
        <v>127.81821287599035</v>
      </c>
      <c r="T24" s="54">
        <f t="shared" si="16"/>
        <v>279346</v>
      </c>
      <c r="U24" s="58">
        <v>6000</v>
      </c>
      <c r="V24" s="75">
        <f t="shared" si="17"/>
        <v>67.492839506172842</v>
      </c>
    </row>
    <row r="25" spans="1:22">
      <c r="A25" s="21">
        <v>4436</v>
      </c>
      <c r="B25" s="21">
        <v>10000</v>
      </c>
      <c r="C25" s="47">
        <v>277000</v>
      </c>
      <c r="D25" s="49">
        <v>42217</v>
      </c>
      <c r="E25" s="50">
        <f t="shared" si="4"/>
        <v>274910</v>
      </c>
      <c r="F25" s="50">
        <f t="shared" si="4"/>
        <v>33360529.778192919</v>
      </c>
      <c r="G25" s="53">
        <f t="shared" si="4"/>
        <v>121.35073216031763</v>
      </c>
      <c r="H25" s="51">
        <v>0</v>
      </c>
      <c r="I25" s="54">
        <v>0</v>
      </c>
      <c r="J25" s="52">
        <f t="shared" si="13"/>
        <v>0</v>
      </c>
      <c r="K25" s="54">
        <v>2948</v>
      </c>
      <c r="L25" s="54">
        <v>357741.95</v>
      </c>
      <c r="M25" s="53">
        <f t="shared" si="1"/>
        <v>121.35072930800543</v>
      </c>
      <c r="N25" s="51">
        <f t="shared" si="2"/>
        <v>271962</v>
      </c>
      <c r="O25" s="51">
        <f t="shared" si="2"/>
        <v>33002787.828192919</v>
      </c>
      <c r="P25" s="52">
        <f t="shared" si="3"/>
        <v>121.35073219123598</v>
      </c>
      <c r="Q25" s="54">
        <f t="shared" si="14"/>
        <v>254729.23076923078</v>
      </c>
      <c r="R25" s="54">
        <f t="shared" si="14"/>
        <v>32389339.266654454</v>
      </c>
      <c r="S25" s="56">
        <f t="shared" si="15"/>
        <v>127.15203186083198</v>
      </c>
      <c r="T25" s="54">
        <f t="shared" si="16"/>
        <v>276398</v>
      </c>
      <c r="U25" s="58">
        <v>6000</v>
      </c>
      <c r="V25" s="75">
        <f t="shared" si="17"/>
        <v>66.764938271604933</v>
      </c>
    </row>
    <row r="26" spans="1:22">
      <c r="A26" s="21">
        <v>4436</v>
      </c>
      <c r="B26" s="21">
        <v>10000</v>
      </c>
      <c r="C26" s="47">
        <v>277000</v>
      </c>
      <c r="D26" s="49">
        <v>42248</v>
      </c>
      <c r="E26" s="50">
        <f t="shared" si="4"/>
        <v>271962</v>
      </c>
      <c r="F26" s="50">
        <f t="shared" si="4"/>
        <v>33002787.828192919</v>
      </c>
      <c r="G26" s="53">
        <f t="shared" si="4"/>
        <v>121.35073219123598</v>
      </c>
      <c r="H26" s="51">
        <v>0</v>
      </c>
      <c r="I26" s="54">
        <v>10774.68</v>
      </c>
      <c r="J26" s="52">
        <f t="shared" si="13"/>
        <v>0</v>
      </c>
      <c r="K26" s="54">
        <v>7781</v>
      </c>
      <c r="L26" s="54">
        <v>944538.32</v>
      </c>
      <c r="M26" s="53">
        <f t="shared" si="1"/>
        <v>121.39035085464593</v>
      </c>
      <c r="N26" s="51">
        <f t="shared" si="2"/>
        <v>264181</v>
      </c>
      <c r="O26" s="51">
        <f t="shared" si="2"/>
        <v>32069024.188192919</v>
      </c>
      <c r="P26" s="52">
        <f t="shared" si="3"/>
        <v>121.39035051041868</v>
      </c>
      <c r="Q26" s="54">
        <f t="shared" si="14"/>
        <v>254903.23076923078</v>
      </c>
      <c r="R26" s="54">
        <f t="shared" si="14"/>
        <v>32246568.53588523</v>
      </c>
      <c r="S26" s="56">
        <f t="shared" si="15"/>
        <v>126.50513859151013</v>
      </c>
      <c r="T26" s="54">
        <f t="shared" si="16"/>
        <v>268617</v>
      </c>
      <c r="U26" s="58">
        <v>6000</v>
      </c>
      <c r="V26" s="75">
        <f t="shared" si="17"/>
        <v>64.84370370370371</v>
      </c>
    </row>
    <row r="27" spans="1:22">
      <c r="A27" s="21">
        <v>4436</v>
      </c>
      <c r="B27" s="21">
        <v>10000</v>
      </c>
      <c r="C27" s="47">
        <v>277000</v>
      </c>
      <c r="D27" s="49">
        <v>42278</v>
      </c>
      <c r="E27" s="50">
        <f t="shared" si="4"/>
        <v>264181</v>
      </c>
      <c r="F27" s="50">
        <f t="shared" si="4"/>
        <v>32069024.188192919</v>
      </c>
      <c r="G27" s="53">
        <f t="shared" si="4"/>
        <v>121.39035051041868</v>
      </c>
      <c r="H27" s="51">
        <v>-1104</v>
      </c>
      <c r="I27" s="54">
        <v>0</v>
      </c>
      <c r="J27" s="52">
        <f t="shared" si="13"/>
        <v>0</v>
      </c>
      <c r="K27" s="54">
        <v>4744</v>
      </c>
      <c r="L27" s="54">
        <v>578292.47999999998</v>
      </c>
      <c r="M27" s="53">
        <f t="shared" si="1"/>
        <v>121.89976391231028</v>
      </c>
      <c r="N27" s="51">
        <f t="shared" si="2"/>
        <v>258333</v>
      </c>
      <c r="O27" s="51">
        <f t="shared" si="2"/>
        <v>31490731.708192918</v>
      </c>
      <c r="P27" s="52">
        <f t="shared" si="3"/>
        <v>121.89976390237763</v>
      </c>
      <c r="Q27" s="54">
        <f t="shared" si="14"/>
        <v>254624.76923076922</v>
      </c>
      <c r="R27" s="54">
        <f t="shared" si="14"/>
        <v>32058975.01050061</v>
      </c>
      <c r="S27" s="56">
        <f t="shared" si="15"/>
        <v>125.90674154502703</v>
      </c>
      <c r="T27" s="54">
        <f t="shared" si="16"/>
        <v>262769</v>
      </c>
      <c r="U27" s="58">
        <v>6000</v>
      </c>
      <c r="V27" s="75">
        <f t="shared" si="17"/>
        <v>63.39975308641975</v>
      </c>
    </row>
    <row r="28" spans="1:22">
      <c r="A28" s="21">
        <v>4436</v>
      </c>
      <c r="B28" s="21">
        <v>10000</v>
      </c>
      <c r="C28" s="47">
        <v>277000</v>
      </c>
      <c r="D28" s="49">
        <v>42309</v>
      </c>
      <c r="E28" s="50">
        <f t="shared" si="4"/>
        <v>258333</v>
      </c>
      <c r="F28" s="50">
        <f t="shared" si="4"/>
        <v>31490731.708192918</v>
      </c>
      <c r="G28" s="53">
        <f t="shared" si="4"/>
        <v>121.89976390237763</v>
      </c>
      <c r="H28" s="51">
        <v>0</v>
      </c>
      <c r="I28" s="54">
        <v>0</v>
      </c>
      <c r="J28" s="52">
        <f t="shared" si="13"/>
        <v>0</v>
      </c>
      <c r="K28" s="54">
        <v>1079</v>
      </c>
      <c r="L28" s="54">
        <v>131529.84</v>
      </c>
      <c r="M28" s="53">
        <f t="shared" si="1"/>
        <v>121.89975903614457</v>
      </c>
      <c r="N28" s="51">
        <f t="shared" si="2"/>
        <v>257254</v>
      </c>
      <c r="O28" s="51">
        <f t="shared" si="2"/>
        <v>31359201.868192919</v>
      </c>
      <c r="P28" s="52">
        <f t="shared" si="3"/>
        <v>121.89976392278805</v>
      </c>
      <c r="Q28" s="54">
        <f t="shared" si="14"/>
        <v>254262.38461538462</v>
      </c>
      <c r="R28" s="54">
        <f t="shared" si="14"/>
        <v>31861144.243577532</v>
      </c>
      <c r="S28" s="56">
        <f t="shared" si="15"/>
        <v>125.30813117234375</v>
      </c>
      <c r="T28" s="54">
        <f t="shared" si="16"/>
        <v>261690</v>
      </c>
      <c r="U28" s="58">
        <v>6000</v>
      </c>
      <c r="V28" s="75">
        <f t="shared" si="17"/>
        <v>63.133333333333333</v>
      </c>
    </row>
    <row r="29" spans="1:22">
      <c r="A29" s="21">
        <v>4436</v>
      </c>
      <c r="B29" s="21">
        <v>10000</v>
      </c>
      <c r="C29" s="47">
        <v>277000</v>
      </c>
      <c r="D29" s="49">
        <v>42339</v>
      </c>
      <c r="E29" s="50">
        <f t="shared" si="4"/>
        <v>257254</v>
      </c>
      <c r="F29" s="50">
        <f t="shared" si="4"/>
        <v>31359201.868192919</v>
      </c>
      <c r="G29" s="53">
        <f t="shared" si="4"/>
        <v>121.89976392278805</v>
      </c>
      <c r="H29" s="51">
        <v>0</v>
      </c>
      <c r="I29" s="54">
        <v>0</v>
      </c>
      <c r="J29" s="52">
        <f t="shared" si="13"/>
        <v>0</v>
      </c>
      <c r="K29" s="54">
        <v>11617</v>
      </c>
      <c r="L29" s="54">
        <v>1416109.56</v>
      </c>
      <c r="M29" s="53">
        <f t="shared" si="1"/>
        <v>121.89976413876217</v>
      </c>
      <c r="N29" s="51">
        <f t="shared" si="2"/>
        <v>245637</v>
      </c>
      <c r="O29" s="51">
        <f t="shared" si="2"/>
        <v>29943092.30819292</v>
      </c>
      <c r="P29" s="52">
        <f t="shared" si="3"/>
        <v>121.89976391257392</v>
      </c>
      <c r="Q29" s="54">
        <f t="shared" si="14"/>
        <v>253006.07692307694</v>
      </c>
      <c r="R29" s="54">
        <f t="shared" si="14"/>
        <v>31554342.118192915</v>
      </c>
      <c r="S29" s="56">
        <f t="shared" si="15"/>
        <v>124.7177241825167</v>
      </c>
      <c r="T29" s="54">
        <f t="shared" si="16"/>
        <v>250073</v>
      </c>
      <c r="U29" s="58">
        <v>6000</v>
      </c>
      <c r="V29" s="75">
        <f t="shared" si="17"/>
        <v>60.26493827160494</v>
      </c>
    </row>
    <row r="30" spans="1:22">
      <c r="A30" s="21">
        <v>4436</v>
      </c>
      <c r="B30" s="21">
        <v>10000</v>
      </c>
      <c r="C30" s="47">
        <v>277000</v>
      </c>
      <c r="D30" s="13">
        <v>42370</v>
      </c>
      <c r="E30" s="16">
        <f t="shared" si="4"/>
        <v>245637</v>
      </c>
      <c r="F30" s="16">
        <f t="shared" si="4"/>
        <v>29943092.30819292</v>
      </c>
      <c r="G30" s="14">
        <f t="shared" si="4"/>
        <v>121.89976391257392</v>
      </c>
      <c r="H30" s="46">
        <v>0</v>
      </c>
      <c r="I30" s="23">
        <f t="shared" ref="I30:I53" si="18">H30*J30</f>
        <v>0</v>
      </c>
      <c r="J30" s="22">
        <f>VLOOKUP(D30,Data!$A$5:$V$197,8,FALSE)*5.83</f>
        <v>56.166746915999994</v>
      </c>
      <c r="K30" s="71">
        <f>VLOOKUP(D30,Data!$A$5:$V$197,15,FALSE)</f>
        <v>3263.121783876501</v>
      </c>
      <c r="L30" s="48">
        <f t="shared" ref="L30:L65" si="19">IF(E30+H30&gt;0,((F30+I30)/(E30+H30)*K30),0)</f>
        <v>397773.77507252252</v>
      </c>
      <c r="M30" s="14">
        <f t="shared" si="1"/>
        <v>121.89976391257392</v>
      </c>
      <c r="N30" s="15">
        <f t="shared" si="2"/>
        <v>242373.8782161235</v>
      </c>
      <c r="O30" s="15">
        <f t="shared" si="2"/>
        <v>29545318.533120397</v>
      </c>
      <c r="P30" s="22">
        <f t="shared" si="3"/>
        <v>121.89976391257392</v>
      </c>
      <c r="Q30" s="31">
        <f t="shared" ref="Q30:R31" si="20">AVERAGE(N18:N30)</f>
        <v>251694.37524739414</v>
      </c>
      <c r="R30" s="31">
        <f t="shared" si="20"/>
        <v>31242279.082418106</v>
      </c>
      <c r="S30" s="32">
        <f t="shared" ref="S30:S53" si="21">IF(Q30=0,0,R30/Q30)</f>
        <v>124.12783977277842</v>
      </c>
      <c r="T30" s="31">
        <f t="shared" ref="T30:T65" si="22">N30+A30</f>
        <v>246809.8782161235</v>
      </c>
      <c r="U30" s="7">
        <v>6000</v>
      </c>
      <c r="V30" s="37">
        <f t="shared" ref="V30:V65" si="23">(T30-U30)/4050</f>
        <v>59.459229189166294</v>
      </c>
    </row>
    <row r="31" spans="1:22">
      <c r="A31" s="21">
        <v>4436</v>
      </c>
      <c r="B31" s="21">
        <v>10000</v>
      </c>
      <c r="C31" s="47">
        <v>277000</v>
      </c>
      <c r="D31" s="13">
        <v>42401</v>
      </c>
      <c r="E31" s="16">
        <f t="shared" si="4"/>
        <v>242373.8782161235</v>
      </c>
      <c r="F31" s="16">
        <f t="shared" si="4"/>
        <v>29545318.533120397</v>
      </c>
      <c r="G31" s="14">
        <f t="shared" si="4"/>
        <v>121.89976391257392</v>
      </c>
      <c r="H31" s="46">
        <f t="shared" ref="H31:H88" si="24">IF(E31+A31-K31&lt;C31-B31,C31-E31+K31-A31,0)</f>
        <v>30190.121783876501</v>
      </c>
      <c r="I31" s="23">
        <f t="shared" si="18"/>
        <v>1728268.1470517262</v>
      </c>
      <c r="J31" s="22">
        <f>VLOOKUP(D31,Data!$A$5:$V$197,8,FALSE)*5.83</f>
        <v>57.246146916000001</v>
      </c>
      <c r="K31" s="71">
        <f>VLOOKUP(D31,Data!$A$5:$V$197,15,FALSE)</f>
        <v>0</v>
      </c>
      <c r="L31" s="48">
        <f t="shared" si="19"/>
        <v>0</v>
      </c>
      <c r="M31" s="14">
        <f t="shared" si="1"/>
        <v>0</v>
      </c>
      <c r="N31" s="15">
        <f t="shared" si="2"/>
        <v>272564</v>
      </c>
      <c r="O31" s="15">
        <f t="shared" si="2"/>
        <v>31273586.680172123</v>
      </c>
      <c r="P31" s="22">
        <f t="shared" si="3"/>
        <v>114.73850794738895</v>
      </c>
      <c r="Q31" s="31">
        <f t="shared" si="20"/>
        <v>253780.99063200952</v>
      </c>
      <c r="R31" s="31">
        <f t="shared" si="20"/>
        <v>31202528.590262666</v>
      </c>
      <c r="S31" s="32">
        <f t="shared" si="21"/>
        <v>122.95061388387171</v>
      </c>
      <c r="T31" s="31">
        <f t="shared" si="22"/>
        <v>277000</v>
      </c>
      <c r="U31" s="7">
        <v>6000</v>
      </c>
      <c r="V31" s="37">
        <f t="shared" si="23"/>
        <v>66.913580246913583</v>
      </c>
    </row>
    <row r="32" spans="1:22">
      <c r="A32" s="21">
        <v>4436</v>
      </c>
      <c r="B32" s="21">
        <v>10000</v>
      </c>
      <c r="C32" s="47">
        <v>277000</v>
      </c>
      <c r="D32" s="13">
        <v>42430</v>
      </c>
      <c r="E32" s="16">
        <f t="shared" si="4"/>
        <v>272564</v>
      </c>
      <c r="F32" s="16">
        <f t="shared" si="4"/>
        <v>31273586.680172123</v>
      </c>
      <c r="G32" s="14">
        <f t="shared" si="4"/>
        <v>114.73850794738895</v>
      </c>
      <c r="H32" s="46">
        <f t="shared" si="24"/>
        <v>0</v>
      </c>
      <c r="I32" s="23">
        <f t="shared" si="18"/>
        <v>0</v>
      </c>
      <c r="J32" s="22">
        <f>VLOOKUP(D32,Data!$A$5:$V$197,8,FALSE)*5.83</f>
        <v>58.195346915999984</v>
      </c>
      <c r="K32" s="71">
        <f>VLOOKUP(D32,Data!$A$5:$V$197,15,FALSE)</f>
        <v>0</v>
      </c>
      <c r="L32" s="48">
        <f t="shared" si="19"/>
        <v>0</v>
      </c>
      <c r="M32" s="14">
        <f t="shared" si="1"/>
        <v>0</v>
      </c>
      <c r="N32" s="15">
        <f t="shared" si="2"/>
        <v>272564</v>
      </c>
      <c r="O32" s="15">
        <f t="shared" si="2"/>
        <v>31273586.680172123</v>
      </c>
      <c r="P32" s="22">
        <f t="shared" si="3"/>
        <v>114.73850794738895</v>
      </c>
      <c r="Q32" s="31">
        <f t="shared" ref="Q32:R47" si="25">AVERAGE(N20:N32)</f>
        <v>256120.37524739414</v>
      </c>
      <c r="R32" s="31">
        <f t="shared" si="25"/>
        <v>31195518.018107221</v>
      </c>
      <c r="S32" s="32">
        <f t="shared" si="21"/>
        <v>121.80021986917113</v>
      </c>
      <c r="T32" s="31">
        <f t="shared" si="22"/>
        <v>277000</v>
      </c>
      <c r="U32" s="7">
        <v>6000</v>
      </c>
      <c r="V32" s="37">
        <f t="shared" si="23"/>
        <v>66.913580246913583</v>
      </c>
    </row>
    <row r="33" spans="1:22">
      <c r="A33" s="21">
        <v>4436</v>
      </c>
      <c r="B33" s="21">
        <v>10000</v>
      </c>
      <c r="C33" s="47">
        <v>277000</v>
      </c>
      <c r="D33" s="13">
        <v>42461</v>
      </c>
      <c r="E33" s="16">
        <f t="shared" si="4"/>
        <v>272564</v>
      </c>
      <c r="F33" s="16">
        <f t="shared" si="4"/>
        <v>31273586.680172123</v>
      </c>
      <c r="G33" s="14">
        <f t="shared" si="4"/>
        <v>114.73850794738895</v>
      </c>
      <c r="H33" s="46">
        <f t="shared" si="24"/>
        <v>0</v>
      </c>
      <c r="I33" s="23">
        <f t="shared" si="18"/>
        <v>0</v>
      </c>
      <c r="J33" s="22">
        <f>VLOOKUP(D33,Data!$A$5:$V$197,8,FALSE)*5.83</f>
        <v>58.842146916000004</v>
      </c>
      <c r="K33" s="71">
        <f>VLOOKUP(D33,Data!$A$5:$V$197,15,FALSE)</f>
        <v>0</v>
      </c>
      <c r="L33" s="48">
        <f t="shared" si="19"/>
        <v>0</v>
      </c>
      <c r="M33" s="14">
        <f t="shared" si="1"/>
        <v>0</v>
      </c>
      <c r="N33" s="15">
        <f t="shared" si="2"/>
        <v>272564</v>
      </c>
      <c r="O33" s="15">
        <f t="shared" si="2"/>
        <v>31273586.680172123</v>
      </c>
      <c r="P33" s="22">
        <f t="shared" si="3"/>
        <v>114.73850794738895</v>
      </c>
      <c r="Q33" s="31">
        <f t="shared" si="25"/>
        <v>259838.29832431721</v>
      </c>
      <c r="R33" s="31">
        <f t="shared" si="25"/>
        <v>31367062.563644085</v>
      </c>
      <c r="S33" s="32">
        <f t="shared" si="21"/>
        <v>120.71762617723613</v>
      </c>
      <c r="T33" s="31">
        <f t="shared" si="22"/>
        <v>277000</v>
      </c>
      <c r="U33" s="7">
        <v>6000</v>
      </c>
      <c r="V33" s="37">
        <f t="shared" si="23"/>
        <v>66.913580246913583</v>
      </c>
    </row>
    <row r="34" spans="1:22">
      <c r="A34" s="21">
        <v>4436</v>
      </c>
      <c r="B34" s="21">
        <v>10000</v>
      </c>
      <c r="C34" s="47">
        <v>277000</v>
      </c>
      <c r="D34" s="13">
        <v>42491</v>
      </c>
      <c r="E34" s="16">
        <f t="shared" si="4"/>
        <v>272564</v>
      </c>
      <c r="F34" s="16">
        <f t="shared" si="4"/>
        <v>31273586.680172123</v>
      </c>
      <c r="G34" s="14">
        <f t="shared" si="4"/>
        <v>114.73850794738895</v>
      </c>
      <c r="H34" s="46">
        <f t="shared" si="24"/>
        <v>0</v>
      </c>
      <c r="I34" s="23">
        <f t="shared" si="18"/>
        <v>0</v>
      </c>
      <c r="J34" s="22">
        <f>VLOOKUP(D34,Data!$A$5:$V$197,8,FALSE)*5.83</f>
        <v>59.698946915999983</v>
      </c>
      <c r="K34" s="71">
        <f>VLOOKUP(D34,Data!$A$5:$V$197,15,FALSE)</f>
        <v>0</v>
      </c>
      <c r="L34" s="48">
        <f t="shared" si="19"/>
        <v>0</v>
      </c>
      <c r="M34" s="14">
        <f t="shared" si="1"/>
        <v>0</v>
      </c>
      <c r="N34" s="15">
        <f t="shared" si="2"/>
        <v>272564</v>
      </c>
      <c r="O34" s="15">
        <f t="shared" si="2"/>
        <v>31273586.680172123</v>
      </c>
      <c r="P34" s="22">
        <f t="shared" si="3"/>
        <v>114.73850794738895</v>
      </c>
      <c r="Q34" s="31">
        <f t="shared" si="25"/>
        <v>263064.06755508645</v>
      </c>
      <c r="R34" s="31">
        <f t="shared" si="25"/>
        <v>31507099.219180945</v>
      </c>
      <c r="S34" s="32">
        <f t="shared" si="21"/>
        <v>119.76968010875623</v>
      </c>
      <c r="T34" s="31">
        <f t="shared" si="22"/>
        <v>277000</v>
      </c>
      <c r="U34" s="7">
        <v>6000</v>
      </c>
      <c r="V34" s="37">
        <f t="shared" si="23"/>
        <v>66.913580246913583</v>
      </c>
    </row>
    <row r="35" spans="1:22">
      <c r="A35" s="21">
        <v>4436</v>
      </c>
      <c r="B35" s="21">
        <v>10000</v>
      </c>
      <c r="C35" s="47">
        <v>277000</v>
      </c>
      <c r="D35" s="13">
        <v>42522</v>
      </c>
      <c r="E35" s="16">
        <f t="shared" si="4"/>
        <v>272564</v>
      </c>
      <c r="F35" s="16">
        <f t="shared" si="4"/>
        <v>31273586.680172123</v>
      </c>
      <c r="G35" s="14">
        <f t="shared" si="4"/>
        <v>114.73850794738895</v>
      </c>
      <c r="H35" s="46">
        <f t="shared" si="24"/>
        <v>0</v>
      </c>
      <c r="I35" s="23">
        <f t="shared" si="18"/>
        <v>0</v>
      </c>
      <c r="J35" s="22">
        <f>VLOOKUP(D35,Data!$A$5:$V$197,8,FALSE)*5.83</f>
        <v>60.769946915999988</v>
      </c>
      <c r="K35" s="71">
        <f>VLOOKUP(D35,Data!$A$5:$V$197,15,FALSE)</f>
        <v>0</v>
      </c>
      <c r="L35" s="48">
        <f t="shared" si="19"/>
        <v>0</v>
      </c>
      <c r="M35" s="14">
        <f t="shared" si="1"/>
        <v>0</v>
      </c>
      <c r="N35" s="15">
        <f t="shared" si="2"/>
        <v>272564</v>
      </c>
      <c r="O35" s="15">
        <f t="shared" si="2"/>
        <v>31273586.680172123</v>
      </c>
      <c r="P35" s="22">
        <f t="shared" si="3"/>
        <v>114.73850794738895</v>
      </c>
      <c r="Q35" s="31">
        <f t="shared" si="25"/>
        <v>264838.60601662484</v>
      </c>
      <c r="R35" s="31">
        <f t="shared" si="25"/>
        <v>31515038.560871657</v>
      </c>
      <c r="S35" s="32">
        <f t="shared" si="21"/>
        <v>118.99714711114794</v>
      </c>
      <c r="T35" s="31">
        <f t="shared" si="22"/>
        <v>277000</v>
      </c>
      <c r="U35" s="7">
        <v>6000</v>
      </c>
      <c r="V35" s="37">
        <f t="shared" si="23"/>
        <v>66.913580246913583</v>
      </c>
    </row>
    <row r="36" spans="1:22">
      <c r="A36" s="21">
        <v>4436</v>
      </c>
      <c r="B36" s="21">
        <v>10000</v>
      </c>
      <c r="C36" s="47">
        <v>277000</v>
      </c>
      <c r="D36" s="13">
        <v>42552</v>
      </c>
      <c r="E36" s="16">
        <f t="shared" si="4"/>
        <v>272564</v>
      </c>
      <c r="F36" s="16">
        <f t="shared" si="4"/>
        <v>31273586.680172123</v>
      </c>
      <c r="G36" s="14">
        <f t="shared" si="4"/>
        <v>114.73850794738895</v>
      </c>
      <c r="H36" s="46">
        <f t="shared" si="24"/>
        <v>0</v>
      </c>
      <c r="I36" s="23">
        <f t="shared" si="18"/>
        <v>0</v>
      </c>
      <c r="J36" s="22">
        <f>VLOOKUP(D36,Data!$A$5:$V$197,8,FALSE)*5.83</f>
        <v>61.874546915999986</v>
      </c>
      <c r="K36" s="71">
        <f>VLOOKUP(D36,Data!$A$5:$V$197,15,FALSE)</f>
        <v>0</v>
      </c>
      <c r="L36" s="48">
        <f t="shared" si="19"/>
        <v>0</v>
      </c>
      <c r="M36" s="14">
        <f t="shared" si="1"/>
        <v>0</v>
      </c>
      <c r="N36" s="15">
        <f t="shared" si="2"/>
        <v>272564</v>
      </c>
      <c r="O36" s="15">
        <f t="shared" si="2"/>
        <v>31273586.680172123</v>
      </c>
      <c r="P36" s="22">
        <f t="shared" si="3"/>
        <v>114.73850794738895</v>
      </c>
      <c r="Q36" s="31">
        <f t="shared" si="25"/>
        <v>265387.29832431715</v>
      </c>
      <c r="R36" s="31">
        <f t="shared" si="25"/>
        <v>31416323.561023898</v>
      </c>
      <c r="S36" s="32">
        <f t="shared" si="21"/>
        <v>118.37915288105276</v>
      </c>
      <c r="T36" s="31">
        <f t="shared" si="22"/>
        <v>277000</v>
      </c>
      <c r="U36" s="7">
        <v>6000</v>
      </c>
      <c r="V36" s="37">
        <f t="shared" si="23"/>
        <v>66.913580246913583</v>
      </c>
    </row>
    <row r="37" spans="1:22">
      <c r="A37" s="21">
        <v>4436</v>
      </c>
      <c r="B37" s="21">
        <v>10000</v>
      </c>
      <c r="C37" s="47">
        <v>277000</v>
      </c>
      <c r="D37" s="13">
        <v>42583</v>
      </c>
      <c r="E37" s="16">
        <f t="shared" si="4"/>
        <v>272564</v>
      </c>
      <c r="F37" s="16">
        <f t="shared" si="4"/>
        <v>31273586.680172123</v>
      </c>
      <c r="G37" s="14">
        <f t="shared" si="4"/>
        <v>114.73850794738895</v>
      </c>
      <c r="H37" s="46">
        <f t="shared" si="24"/>
        <v>0</v>
      </c>
      <c r="I37" s="23">
        <f t="shared" si="18"/>
        <v>0</v>
      </c>
      <c r="J37" s="22">
        <f>VLOOKUP(D37,Data!$A$5:$V$197,8,FALSE)*5.83</f>
        <v>62.874146915999994</v>
      </c>
      <c r="K37" s="71">
        <f>VLOOKUP(D37,Data!$A$5:$V$197,15,FALSE)</f>
        <v>0</v>
      </c>
      <c r="L37" s="48">
        <f t="shared" si="19"/>
        <v>0</v>
      </c>
      <c r="M37" s="14">
        <f t="shared" si="1"/>
        <v>0</v>
      </c>
      <c r="N37" s="15">
        <f t="shared" si="2"/>
        <v>272564</v>
      </c>
      <c r="O37" s="15">
        <f t="shared" si="2"/>
        <v>31273586.680172123</v>
      </c>
      <c r="P37" s="22">
        <f t="shared" si="3"/>
        <v>114.73850794738895</v>
      </c>
      <c r="Q37" s="31">
        <f t="shared" si="25"/>
        <v>265206.83678585564</v>
      </c>
      <c r="R37" s="31">
        <f t="shared" si="25"/>
        <v>31255789.476560764</v>
      </c>
      <c r="S37" s="32">
        <f t="shared" si="21"/>
        <v>117.8543881272511</v>
      </c>
      <c r="T37" s="31">
        <f t="shared" si="22"/>
        <v>277000</v>
      </c>
      <c r="U37" s="7">
        <v>6000</v>
      </c>
      <c r="V37" s="37">
        <f t="shared" si="23"/>
        <v>66.913580246913583</v>
      </c>
    </row>
    <row r="38" spans="1:22">
      <c r="A38" s="21">
        <v>4436</v>
      </c>
      <c r="B38" s="21">
        <v>10000</v>
      </c>
      <c r="C38" s="47">
        <v>277000</v>
      </c>
      <c r="D38" s="13">
        <v>42614</v>
      </c>
      <c r="E38" s="16">
        <f t="shared" si="4"/>
        <v>272564</v>
      </c>
      <c r="F38" s="16">
        <f t="shared" si="4"/>
        <v>31273586.680172123</v>
      </c>
      <c r="G38" s="14">
        <f t="shared" si="4"/>
        <v>114.73850794738895</v>
      </c>
      <c r="H38" s="46">
        <f t="shared" si="24"/>
        <v>0</v>
      </c>
      <c r="I38" s="23">
        <f t="shared" si="18"/>
        <v>0</v>
      </c>
      <c r="J38" s="22">
        <f>VLOOKUP(D38,Data!$A$5:$V$197,8,FALSE)*5.83</f>
        <v>63.810746915999978</v>
      </c>
      <c r="K38" s="71">
        <f>VLOOKUP(D38,Data!$A$5:$V$197,15,FALSE)</f>
        <v>0</v>
      </c>
      <c r="L38" s="48">
        <f t="shared" si="19"/>
        <v>0</v>
      </c>
      <c r="M38" s="14">
        <f t="shared" si="1"/>
        <v>0</v>
      </c>
      <c r="N38" s="15">
        <f t="shared" si="2"/>
        <v>272564</v>
      </c>
      <c r="O38" s="15">
        <f t="shared" si="2"/>
        <v>31273586.680172123</v>
      </c>
      <c r="P38" s="22">
        <f t="shared" si="3"/>
        <v>114.73850794738895</v>
      </c>
      <c r="Q38" s="31">
        <f t="shared" si="25"/>
        <v>265253.14447816333</v>
      </c>
      <c r="R38" s="31">
        <f t="shared" si="25"/>
        <v>31122774.003636088</v>
      </c>
      <c r="S38" s="32">
        <f t="shared" si="21"/>
        <v>117.33234704856905</v>
      </c>
      <c r="T38" s="31">
        <f t="shared" si="22"/>
        <v>277000</v>
      </c>
      <c r="U38" s="7">
        <v>6000</v>
      </c>
      <c r="V38" s="37">
        <f t="shared" si="23"/>
        <v>66.913580246913583</v>
      </c>
    </row>
    <row r="39" spans="1:22">
      <c r="A39" s="21">
        <v>4436</v>
      </c>
      <c r="B39" s="21">
        <v>10000</v>
      </c>
      <c r="C39" s="47">
        <v>277000</v>
      </c>
      <c r="D39" s="13">
        <v>42644</v>
      </c>
      <c r="E39" s="16">
        <f t="shared" si="4"/>
        <v>272564</v>
      </c>
      <c r="F39" s="16">
        <f t="shared" si="4"/>
        <v>31273586.680172123</v>
      </c>
      <c r="G39" s="14">
        <f t="shared" si="4"/>
        <v>114.73850794738895</v>
      </c>
      <c r="H39" s="46">
        <f t="shared" si="24"/>
        <v>0</v>
      </c>
      <c r="I39" s="23">
        <f t="shared" si="18"/>
        <v>0</v>
      </c>
      <c r="J39" s="22">
        <f>VLOOKUP(D39,Data!$A$5:$V$197,8,FALSE)*5.83</f>
        <v>64.785146915999988</v>
      </c>
      <c r="K39" s="71">
        <f>VLOOKUP(D39,Data!$A$5:$V$197,15,FALSE)</f>
        <v>0</v>
      </c>
      <c r="L39" s="48">
        <f t="shared" si="19"/>
        <v>0</v>
      </c>
      <c r="M39" s="14">
        <f t="shared" si="1"/>
        <v>0</v>
      </c>
      <c r="N39" s="15">
        <f t="shared" si="2"/>
        <v>272564</v>
      </c>
      <c r="O39" s="15">
        <f t="shared" si="2"/>
        <v>31273586.680172123</v>
      </c>
      <c r="P39" s="22">
        <f t="shared" si="3"/>
        <v>114.73850794738895</v>
      </c>
      <c r="Q39" s="31">
        <f t="shared" si="25"/>
        <v>265897.99063200946</v>
      </c>
      <c r="R39" s="31">
        <f t="shared" si="25"/>
        <v>31061586.503019102</v>
      </c>
      <c r="S39" s="32">
        <f t="shared" si="21"/>
        <v>116.81768045403135</v>
      </c>
      <c r="T39" s="31">
        <f t="shared" si="22"/>
        <v>277000</v>
      </c>
      <c r="U39" s="7">
        <v>6000</v>
      </c>
      <c r="V39" s="37">
        <f t="shared" si="23"/>
        <v>66.913580246913583</v>
      </c>
    </row>
    <row r="40" spans="1:22">
      <c r="A40" s="21">
        <v>4436</v>
      </c>
      <c r="B40" s="21">
        <v>10000</v>
      </c>
      <c r="C40" s="47">
        <v>277000</v>
      </c>
      <c r="D40" s="13">
        <v>42675</v>
      </c>
      <c r="E40" s="16">
        <f t="shared" si="4"/>
        <v>272564</v>
      </c>
      <c r="F40" s="16">
        <f t="shared" si="4"/>
        <v>31273586.680172123</v>
      </c>
      <c r="G40" s="14">
        <f t="shared" si="4"/>
        <v>114.73850794738895</v>
      </c>
      <c r="H40" s="46">
        <f t="shared" si="24"/>
        <v>0</v>
      </c>
      <c r="I40" s="23">
        <f t="shared" si="18"/>
        <v>0</v>
      </c>
      <c r="J40" s="22">
        <f>VLOOKUP(D40,Data!$A$5:$V$197,8,FALSE)*5.83</f>
        <v>65.662946915999996</v>
      </c>
      <c r="K40" s="71">
        <f>VLOOKUP(D40,Data!$A$5:$V$197,15,FALSE)</f>
        <v>0</v>
      </c>
      <c r="L40" s="48">
        <f t="shared" si="19"/>
        <v>0</v>
      </c>
      <c r="M40" s="14">
        <f t="shared" si="1"/>
        <v>0</v>
      </c>
      <c r="N40" s="15">
        <f t="shared" si="2"/>
        <v>272564</v>
      </c>
      <c r="O40" s="15">
        <f t="shared" si="2"/>
        <v>31273586.680172123</v>
      </c>
      <c r="P40" s="22">
        <f t="shared" si="3"/>
        <v>114.73850794738895</v>
      </c>
      <c r="Q40" s="31">
        <f t="shared" si="25"/>
        <v>266992.68293970177</v>
      </c>
      <c r="R40" s="31">
        <f t="shared" si="25"/>
        <v>31044883.039325196</v>
      </c>
      <c r="S40" s="32">
        <f t="shared" si="21"/>
        <v>116.27615670028096</v>
      </c>
      <c r="T40" s="31">
        <f t="shared" si="22"/>
        <v>277000</v>
      </c>
      <c r="U40" s="7">
        <v>6000</v>
      </c>
      <c r="V40" s="37">
        <f t="shared" si="23"/>
        <v>66.913580246913583</v>
      </c>
    </row>
    <row r="41" spans="1:22">
      <c r="A41" s="21">
        <v>4436</v>
      </c>
      <c r="B41" s="21">
        <v>10000</v>
      </c>
      <c r="C41" s="47">
        <v>277000</v>
      </c>
      <c r="D41" s="13">
        <v>42705</v>
      </c>
      <c r="E41" s="16">
        <f t="shared" si="4"/>
        <v>272564</v>
      </c>
      <c r="F41" s="16">
        <f t="shared" si="4"/>
        <v>31273586.680172123</v>
      </c>
      <c r="G41" s="14">
        <f t="shared" si="4"/>
        <v>114.73850794738895</v>
      </c>
      <c r="H41" s="46">
        <f t="shared" si="24"/>
        <v>0</v>
      </c>
      <c r="I41" s="23">
        <f t="shared" si="18"/>
        <v>0</v>
      </c>
      <c r="J41" s="22">
        <f>VLOOKUP(D41,Data!$A$5:$V$197,8,FALSE)*5.83</f>
        <v>66.486146915999981</v>
      </c>
      <c r="K41" s="71">
        <f>VLOOKUP(D41,Data!$A$5:$V$197,15,FALSE)</f>
        <v>0</v>
      </c>
      <c r="L41" s="48">
        <f t="shared" si="19"/>
        <v>0</v>
      </c>
      <c r="M41" s="14">
        <f t="shared" si="1"/>
        <v>0</v>
      </c>
      <c r="N41" s="15">
        <f t="shared" si="2"/>
        <v>272564</v>
      </c>
      <c r="O41" s="15">
        <f t="shared" si="2"/>
        <v>31273586.680172123</v>
      </c>
      <c r="P41" s="22">
        <f t="shared" si="3"/>
        <v>114.73850794738895</v>
      </c>
      <c r="Q41" s="31">
        <f t="shared" si="25"/>
        <v>268170.37524739408</v>
      </c>
      <c r="R41" s="31">
        <f t="shared" si="25"/>
        <v>31038297.255631287</v>
      </c>
      <c r="S41" s="32">
        <f t="shared" si="21"/>
        <v>115.74096216630065</v>
      </c>
      <c r="T41" s="31">
        <f t="shared" si="22"/>
        <v>277000</v>
      </c>
      <c r="U41" s="7">
        <v>6000</v>
      </c>
      <c r="V41" s="37">
        <f t="shared" si="23"/>
        <v>66.913580246913583</v>
      </c>
    </row>
    <row r="42" spans="1:22">
      <c r="A42" s="21">
        <v>4436</v>
      </c>
      <c r="B42" s="21">
        <v>10000</v>
      </c>
      <c r="C42" s="47">
        <v>277000</v>
      </c>
      <c r="D42" s="13">
        <v>42736</v>
      </c>
      <c r="E42" s="16">
        <f t="shared" si="4"/>
        <v>272564</v>
      </c>
      <c r="F42" s="16">
        <f t="shared" si="4"/>
        <v>31273586.680172123</v>
      </c>
      <c r="G42" s="14">
        <f t="shared" si="4"/>
        <v>114.73850794738895</v>
      </c>
      <c r="H42" s="46">
        <f t="shared" si="24"/>
        <v>0</v>
      </c>
      <c r="I42" s="23">
        <f t="shared" si="18"/>
        <v>0</v>
      </c>
      <c r="J42" s="22">
        <f>VLOOKUP(D42,Data!$A$5:$V$197,8,FALSE)*5.83</f>
        <v>67.317746916000004</v>
      </c>
      <c r="K42" s="71">
        <f>VLOOKUP(D42,Data!$A$5:$V$197,15,FALSE)</f>
        <v>6120.2401372212689</v>
      </c>
      <c r="L42" s="48">
        <f t="shared" si="19"/>
        <v>702227.22162449139</v>
      </c>
      <c r="M42" s="14">
        <f t="shared" si="1"/>
        <v>114.73850794738895</v>
      </c>
      <c r="N42" s="15">
        <f t="shared" si="2"/>
        <v>266443.75986277871</v>
      </c>
      <c r="O42" s="15">
        <f t="shared" si="2"/>
        <v>30571359.458547633</v>
      </c>
      <c r="P42" s="22">
        <f t="shared" si="3"/>
        <v>114.73850794738897</v>
      </c>
      <c r="Q42" s="31">
        <f t="shared" si="25"/>
        <v>269770.89523683861</v>
      </c>
      <c r="R42" s="31">
        <f t="shared" si="25"/>
        <v>31086625.497966267</v>
      </c>
      <c r="S42" s="32">
        <f t="shared" si="21"/>
        <v>115.23342972441316</v>
      </c>
      <c r="T42" s="31">
        <f t="shared" si="22"/>
        <v>270879.75986277871</v>
      </c>
      <c r="U42" s="7">
        <v>6000</v>
      </c>
      <c r="V42" s="37">
        <f t="shared" si="23"/>
        <v>65.402409842661413</v>
      </c>
    </row>
    <row r="43" spans="1:22">
      <c r="A43" s="21">
        <v>4436</v>
      </c>
      <c r="B43" s="21">
        <v>10000</v>
      </c>
      <c r="C43" s="47">
        <v>277000</v>
      </c>
      <c r="D43" s="13">
        <v>42767</v>
      </c>
      <c r="E43" s="16">
        <f t="shared" si="4"/>
        <v>266443.75986277871</v>
      </c>
      <c r="F43" s="16">
        <f t="shared" si="4"/>
        <v>30571359.458547633</v>
      </c>
      <c r="G43" s="14">
        <f t="shared" si="4"/>
        <v>114.73850794738897</v>
      </c>
      <c r="H43" s="46">
        <f t="shared" si="24"/>
        <v>0</v>
      </c>
      <c r="I43" s="23">
        <f t="shared" si="18"/>
        <v>0</v>
      </c>
      <c r="J43" s="22">
        <f>VLOOKUP(D43,Data!$A$5:$V$197,8,FALSE)*5.83</f>
        <v>67.989746916000001</v>
      </c>
      <c r="K43" s="71">
        <f>VLOOKUP(D43,Data!$A$5:$V$197,15,FALSE)</f>
        <v>2642.1955403087477</v>
      </c>
      <c r="L43" s="48">
        <f t="shared" si="19"/>
        <v>303161.57400027092</v>
      </c>
      <c r="M43" s="14">
        <f t="shared" si="1"/>
        <v>114.73850794738897</v>
      </c>
      <c r="N43" s="15">
        <f t="shared" si="2"/>
        <v>263801.56432246999</v>
      </c>
      <c r="O43" s="15">
        <f t="shared" si="2"/>
        <v>30268197.884547364</v>
      </c>
      <c r="P43" s="22">
        <f t="shared" si="3"/>
        <v>114.73850794738897</v>
      </c>
      <c r="Q43" s="31">
        <f t="shared" si="25"/>
        <v>271419.17878348066</v>
      </c>
      <c r="R43" s="31">
        <f t="shared" si="25"/>
        <v>31142231.601922181</v>
      </c>
      <c r="S43" s="32">
        <f t="shared" si="21"/>
        <v>114.73850794738895</v>
      </c>
      <c r="T43" s="31">
        <f t="shared" si="22"/>
        <v>268237.56432246999</v>
      </c>
      <c r="U43" s="7">
        <v>6000</v>
      </c>
      <c r="V43" s="37">
        <f t="shared" si="23"/>
        <v>64.750015882091361</v>
      </c>
    </row>
    <row r="44" spans="1:22">
      <c r="A44" s="21">
        <v>4436</v>
      </c>
      <c r="B44" s="21">
        <v>10000</v>
      </c>
      <c r="C44" s="47">
        <v>277000</v>
      </c>
      <c r="D44" s="13">
        <v>42795</v>
      </c>
      <c r="E44" s="16">
        <f t="shared" si="4"/>
        <v>263801.56432246999</v>
      </c>
      <c r="F44" s="16">
        <f t="shared" si="4"/>
        <v>30268197.884547364</v>
      </c>
      <c r="G44" s="14">
        <f t="shared" si="4"/>
        <v>114.73850794738897</v>
      </c>
      <c r="H44" s="46">
        <f t="shared" si="24"/>
        <v>0</v>
      </c>
      <c r="I44" s="23">
        <f t="shared" si="18"/>
        <v>0</v>
      </c>
      <c r="J44" s="22">
        <f>VLOOKUP(D44,Data!$A$5:$V$197,8,FALSE)*5.83</f>
        <v>68.388746915999988</v>
      </c>
      <c r="K44" s="71">
        <f>VLOOKUP(D44,Data!$A$5:$V$197,15,FALSE)</f>
        <v>0</v>
      </c>
      <c r="L44" s="48">
        <f t="shared" si="19"/>
        <v>0</v>
      </c>
      <c r="M44" s="14">
        <f t="shared" si="1"/>
        <v>0</v>
      </c>
      <c r="N44" s="15">
        <f t="shared" si="2"/>
        <v>263801.56432246999</v>
      </c>
      <c r="O44" s="15">
        <f t="shared" si="2"/>
        <v>30268197.884547364</v>
      </c>
      <c r="P44" s="22">
        <f t="shared" si="3"/>
        <v>114.73850794738897</v>
      </c>
      <c r="Q44" s="31">
        <f t="shared" si="25"/>
        <v>270745.14526982448</v>
      </c>
      <c r="R44" s="31">
        <f t="shared" si="25"/>
        <v>31064894.002258737</v>
      </c>
      <c r="S44" s="32">
        <f t="shared" si="21"/>
        <v>114.73850794738897</v>
      </c>
      <c r="T44" s="31">
        <f t="shared" si="22"/>
        <v>268237.56432246999</v>
      </c>
      <c r="U44" s="7">
        <v>6000</v>
      </c>
      <c r="V44" s="37">
        <f t="shared" si="23"/>
        <v>64.750015882091361</v>
      </c>
    </row>
    <row r="45" spans="1:22">
      <c r="A45" s="21">
        <v>4436</v>
      </c>
      <c r="B45" s="21">
        <v>10000</v>
      </c>
      <c r="C45" s="47">
        <v>277000</v>
      </c>
      <c r="D45" s="13">
        <v>42826</v>
      </c>
      <c r="E45" s="16">
        <f t="shared" si="4"/>
        <v>263801.56432246999</v>
      </c>
      <c r="F45" s="16">
        <f t="shared" si="4"/>
        <v>30268197.884547364</v>
      </c>
      <c r="G45" s="14">
        <f t="shared" si="4"/>
        <v>114.73850794738897</v>
      </c>
      <c r="H45" s="46">
        <f t="shared" si="24"/>
        <v>0</v>
      </c>
      <c r="I45" s="23">
        <f t="shared" si="18"/>
        <v>0</v>
      </c>
      <c r="J45" s="22">
        <f>VLOOKUP(D45,Data!$A$5:$V$197,8,FALSE)*5.83</f>
        <v>68.422346915999995</v>
      </c>
      <c r="K45" s="71">
        <f>VLOOKUP(D45,Data!$A$5:$V$197,15,FALSE)</f>
        <v>0</v>
      </c>
      <c r="L45" s="48">
        <f t="shared" si="19"/>
        <v>0</v>
      </c>
      <c r="M45" s="14">
        <f t="shared" si="1"/>
        <v>0</v>
      </c>
      <c r="N45" s="15">
        <f t="shared" si="2"/>
        <v>263801.56432246999</v>
      </c>
      <c r="O45" s="15">
        <f t="shared" si="2"/>
        <v>30268197.884547364</v>
      </c>
      <c r="P45" s="22">
        <f t="shared" si="3"/>
        <v>114.73850794738897</v>
      </c>
      <c r="Q45" s="31">
        <f t="shared" si="25"/>
        <v>270071.11175616831</v>
      </c>
      <c r="R45" s="31">
        <f t="shared" si="25"/>
        <v>30987556.402595289</v>
      </c>
      <c r="S45" s="32">
        <f t="shared" si="21"/>
        <v>114.73850794738895</v>
      </c>
      <c r="T45" s="31">
        <f t="shared" si="22"/>
        <v>268237.56432246999</v>
      </c>
      <c r="U45" s="7">
        <v>6000</v>
      </c>
      <c r="V45" s="37">
        <f t="shared" si="23"/>
        <v>64.750015882091361</v>
      </c>
    </row>
    <row r="46" spans="1:22">
      <c r="A46" s="21">
        <v>4436</v>
      </c>
      <c r="B46" s="21">
        <v>10000</v>
      </c>
      <c r="C46" s="47">
        <v>277000</v>
      </c>
      <c r="D46" s="13">
        <v>42856</v>
      </c>
      <c r="E46" s="16">
        <f t="shared" si="4"/>
        <v>263801.56432246999</v>
      </c>
      <c r="F46" s="16">
        <f t="shared" si="4"/>
        <v>30268197.884547364</v>
      </c>
      <c r="G46" s="14">
        <f t="shared" si="4"/>
        <v>114.73850794738897</v>
      </c>
      <c r="H46" s="46">
        <f t="shared" si="24"/>
        <v>0</v>
      </c>
      <c r="I46" s="23">
        <f t="shared" si="18"/>
        <v>0</v>
      </c>
      <c r="J46" s="22">
        <f>VLOOKUP(D46,Data!$A$5:$V$197,8,FALSE)*5.83</f>
        <v>68.804546915999993</v>
      </c>
      <c r="K46" s="71">
        <f>VLOOKUP(D46,Data!$A$5:$V$197,15,FALSE)</f>
        <v>0</v>
      </c>
      <c r="L46" s="48">
        <f t="shared" si="19"/>
        <v>0</v>
      </c>
      <c r="M46" s="14">
        <f t="shared" si="1"/>
        <v>0</v>
      </c>
      <c r="N46" s="15">
        <f t="shared" si="2"/>
        <v>263801.56432246999</v>
      </c>
      <c r="O46" s="15">
        <f t="shared" si="2"/>
        <v>30268197.884547364</v>
      </c>
      <c r="P46" s="22">
        <f t="shared" si="3"/>
        <v>114.73850794738897</v>
      </c>
      <c r="Q46" s="31">
        <f t="shared" si="25"/>
        <v>269397.07824251213</v>
      </c>
      <c r="R46" s="31">
        <f t="shared" si="25"/>
        <v>30910218.802931845</v>
      </c>
      <c r="S46" s="32">
        <f t="shared" si="21"/>
        <v>114.73850794738897</v>
      </c>
      <c r="T46" s="31">
        <f t="shared" si="22"/>
        <v>268237.56432246999</v>
      </c>
      <c r="U46" s="7">
        <v>6000</v>
      </c>
      <c r="V46" s="37">
        <f t="shared" si="23"/>
        <v>64.750015882091361</v>
      </c>
    </row>
    <row r="47" spans="1:22">
      <c r="A47" s="21">
        <v>4436</v>
      </c>
      <c r="B47" s="21">
        <v>10000</v>
      </c>
      <c r="C47" s="47">
        <v>277000</v>
      </c>
      <c r="D47" s="13">
        <v>42887</v>
      </c>
      <c r="E47" s="16">
        <f t="shared" si="4"/>
        <v>263801.56432246999</v>
      </c>
      <c r="F47" s="16">
        <f t="shared" si="4"/>
        <v>30268197.884547364</v>
      </c>
      <c r="G47" s="14">
        <f t="shared" si="4"/>
        <v>114.73850794738897</v>
      </c>
      <c r="H47" s="46">
        <f t="shared" si="24"/>
        <v>0</v>
      </c>
      <c r="I47" s="23">
        <f t="shared" si="18"/>
        <v>0</v>
      </c>
      <c r="J47" s="22">
        <f>VLOOKUP(D47,Data!$A$5:$V$197,8,FALSE)*5.83</f>
        <v>69.316946915999992</v>
      </c>
      <c r="K47" s="71">
        <f>VLOOKUP(D47,Data!$A$5:$V$197,15,FALSE)</f>
        <v>0</v>
      </c>
      <c r="L47" s="48">
        <f t="shared" si="19"/>
        <v>0</v>
      </c>
      <c r="M47" s="14">
        <f t="shared" ref="M47:M53" si="26">IF(K47=0,0,L47/K47)</f>
        <v>0</v>
      </c>
      <c r="N47" s="15">
        <f t="shared" si="2"/>
        <v>263801.56432246999</v>
      </c>
      <c r="O47" s="15">
        <f t="shared" si="2"/>
        <v>30268197.884547364</v>
      </c>
      <c r="P47" s="22">
        <f t="shared" si="3"/>
        <v>114.73850794738897</v>
      </c>
      <c r="Q47" s="31">
        <f t="shared" si="25"/>
        <v>268723.04472885595</v>
      </c>
      <c r="R47" s="31">
        <f t="shared" si="25"/>
        <v>30832881.203268405</v>
      </c>
      <c r="S47" s="32">
        <f t="shared" si="21"/>
        <v>114.73850794738898</v>
      </c>
      <c r="T47" s="31">
        <f t="shared" si="22"/>
        <v>268237.56432246999</v>
      </c>
      <c r="U47" s="7">
        <v>6000</v>
      </c>
      <c r="V47" s="37">
        <f t="shared" si="23"/>
        <v>64.750015882091361</v>
      </c>
    </row>
    <row r="48" spans="1:22">
      <c r="A48" s="21">
        <v>4436</v>
      </c>
      <c r="B48" s="21">
        <v>10000</v>
      </c>
      <c r="C48" s="47">
        <v>277000</v>
      </c>
      <c r="D48" s="13">
        <v>42917</v>
      </c>
      <c r="E48" s="16">
        <f t="shared" ref="E48:G53" si="27">N47</f>
        <v>263801.56432246999</v>
      </c>
      <c r="F48" s="16">
        <f t="shared" si="27"/>
        <v>30268197.884547364</v>
      </c>
      <c r="G48" s="14">
        <f t="shared" si="27"/>
        <v>114.73850794738897</v>
      </c>
      <c r="H48" s="46">
        <f t="shared" si="24"/>
        <v>0</v>
      </c>
      <c r="I48" s="23">
        <f t="shared" si="18"/>
        <v>0</v>
      </c>
      <c r="J48" s="22">
        <f>VLOOKUP(D48,Data!$A$5:$V$197,8,FALSE)*5.83</f>
        <v>69.993146916000001</v>
      </c>
      <c r="K48" s="71">
        <f>VLOOKUP(D48,Data!$A$5:$V$197,15,FALSE)</f>
        <v>0</v>
      </c>
      <c r="L48" s="48">
        <f t="shared" si="19"/>
        <v>0</v>
      </c>
      <c r="M48" s="14">
        <f t="shared" si="26"/>
        <v>0</v>
      </c>
      <c r="N48" s="15">
        <f t="shared" si="2"/>
        <v>263801.56432246999</v>
      </c>
      <c r="O48" s="15">
        <f t="shared" si="2"/>
        <v>30268197.884547364</v>
      </c>
      <c r="P48" s="22">
        <f t="shared" si="3"/>
        <v>114.73850794738897</v>
      </c>
      <c r="Q48" s="31">
        <f t="shared" ref="Q48:R53" si="28">AVERAGE(N36:N48)</f>
        <v>268049.01121519977</v>
      </c>
      <c r="R48" s="31">
        <f t="shared" si="28"/>
        <v>30755543.603604957</v>
      </c>
      <c r="S48" s="32">
        <f t="shared" si="21"/>
        <v>114.73850794738898</v>
      </c>
      <c r="T48" s="31">
        <f t="shared" si="22"/>
        <v>268237.56432246999</v>
      </c>
      <c r="U48" s="7">
        <v>6000</v>
      </c>
      <c r="V48" s="37">
        <f t="shared" si="23"/>
        <v>64.750015882091361</v>
      </c>
    </row>
    <row r="49" spans="1:22">
      <c r="A49" s="21">
        <v>4436</v>
      </c>
      <c r="B49" s="21">
        <v>10000</v>
      </c>
      <c r="C49" s="47">
        <v>277000</v>
      </c>
      <c r="D49" s="13">
        <v>42948</v>
      </c>
      <c r="E49" s="16">
        <f t="shared" si="27"/>
        <v>263801.56432246999</v>
      </c>
      <c r="F49" s="16">
        <f t="shared" si="27"/>
        <v>30268197.884547364</v>
      </c>
      <c r="G49" s="14">
        <f t="shared" si="27"/>
        <v>114.73850794738897</v>
      </c>
      <c r="H49" s="46">
        <f t="shared" si="24"/>
        <v>0</v>
      </c>
      <c r="I49" s="23">
        <f t="shared" si="18"/>
        <v>0</v>
      </c>
      <c r="J49" s="22">
        <f>VLOOKUP(D49,Data!$A$5:$V$197,8,FALSE)*5.83</f>
        <v>70.681946916000001</v>
      </c>
      <c r="K49" s="71">
        <f>VLOOKUP(D49,Data!$A$5:$V$197,15,FALSE)</f>
        <v>0</v>
      </c>
      <c r="L49" s="48">
        <f t="shared" si="19"/>
        <v>0</v>
      </c>
      <c r="M49" s="14">
        <f t="shared" si="26"/>
        <v>0</v>
      </c>
      <c r="N49" s="15">
        <f t="shared" si="2"/>
        <v>263801.56432246999</v>
      </c>
      <c r="O49" s="15">
        <f t="shared" si="2"/>
        <v>30268197.884547364</v>
      </c>
      <c r="P49" s="22">
        <f t="shared" si="3"/>
        <v>114.73850794738897</v>
      </c>
      <c r="Q49" s="31">
        <f t="shared" si="28"/>
        <v>267374.97770154371</v>
      </c>
      <c r="R49" s="31">
        <f t="shared" si="28"/>
        <v>30678206.003941517</v>
      </c>
      <c r="S49" s="32">
        <f t="shared" si="21"/>
        <v>114.73850794738895</v>
      </c>
      <c r="T49" s="31">
        <f t="shared" si="22"/>
        <v>268237.56432246999</v>
      </c>
      <c r="U49" s="7">
        <v>6000</v>
      </c>
      <c r="V49" s="37">
        <f t="shared" si="23"/>
        <v>64.750015882091361</v>
      </c>
    </row>
    <row r="50" spans="1:22">
      <c r="A50" s="21">
        <v>4436</v>
      </c>
      <c r="B50" s="21">
        <v>10000</v>
      </c>
      <c r="C50" s="47">
        <v>277000</v>
      </c>
      <c r="D50" s="13">
        <v>42979</v>
      </c>
      <c r="E50" s="16">
        <f t="shared" si="27"/>
        <v>263801.56432246999</v>
      </c>
      <c r="F50" s="16">
        <f t="shared" si="27"/>
        <v>30268197.884547364</v>
      </c>
      <c r="G50" s="14">
        <f t="shared" si="27"/>
        <v>114.73850794738897</v>
      </c>
      <c r="H50" s="46">
        <f t="shared" si="24"/>
        <v>0</v>
      </c>
      <c r="I50" s="23">
        <f t="shared" si="18"/>
        <v>0</v>
      </c>
      <c r="J50" s="22">
        <f>VLOOKUP(D50,Data!$A$5:$V$197,8,FALSE)*5.83</f>
        <v>71.395946916</v>
      </c>
      <c r="K50" s="71">
        <f>VLOOKUP(D50,Data!$A$5:$V$197,15,FALSE)</f>
        <v>0</v>
      </c>
      <c r="L50" s="48">
        <f t="shared" si="19"/>
        <v>0</v>
      </c>
      <c r="M50" s="14">
        <f t="shared" si="26"/>
        <v>0</v>
      </c>
      <c r="N50" s="15">
        <f t="shared" si="2"/>
        <v>263801.56432246999</v>
      </c>
      <c r="O50" s="15">
        <f t="shared" si="2"/>
        <v>30268197.884547364</v>
      </c>
      <c r="P50" s="22">
        <f t="shared" si="3"/>
        <v>114.73850794738897</v>
      </c>
      <c r="Q50" s="31">
        <f t="shared" si="28"/>
        <v>266700.94418788754</v>
      </c>
      <c r="R50" s="31">
        <f t="shared" si="28"/>
        <v>30600868.404278073</v>
      </c>
      <c r="S50" s="32">
        <f t="shared" si="21"/>
        <v>114.73850794738895</v>
      </c>
      <c r="T50" s="31">
        <f t="shared" si="22"/>
        <v>268237.56432246999</v>
      </c>
      <c r="U50" s="7">
        <v>6000</v>
      </c>
      <c r="V50" s="37">
        <f t="shared" si="23"/>
        <v>64.750015882091361</v>
      </c>
    </row>
    <row r="51" spans="1:22">
      <c r="A51" s="21">
        <v>4436</v>
      </c>
      <c r="B51" s="21">
        <v>10000</v>
      </c>
      <c r="C51" s="47">
        <v>277000</v>
      </c>
      <c r="D51" s="13">
        <v>43009</v>
      </c>
      <c r="E51" s="16">
        <f t="shared" si="27"/>
        <v>263801.56432246999</v>
      </c>
      <c r="F51" s="16">
        <f t="shared" si="27"/>
        <v>30268197.884547364</v>
      </c>
      <c r="G51" s="14">
        <f t="shared" si="27"/>
        <v>114.73850794738897</v>
      </c>
      <c r="H51" s="46">
        <f t="shared" si="24"/>
        <v>0</v>
      </c>
      <c r="I51" s="23">
        <f t="shared" si="18"/>
        <v>0</v>
      </c>
      <c r="J51" s="22">
        <f>VLOOKUP(D51,Data!$A$5:$V$197,8,FALSE)*5.83</f>
        <v>72.109946915999984</v>
      </c>
      <c r="K51" s="71">
        <f>VLOOKUP(D51,Data!$A$5:$V$197,15,FALSE)</f>
        <v>0</v>
      </c>
      <c r="L51" s="48">
        <f t="shared" si="19"/>
        <v>0</v>
      </c>
      <c r="M51" s="14">
        <f t="shared" si="26"/>
        <v>0</v>
      </c>
      <c r="N51" s="15">
        <f t="shared" si="2"/>
        <v>263801.56432246999</v>
      </c>
      <c r="O51" s="15">
        <f t="shared" si="2"/>
        <v>30268197.884547364</v>
      </c>
      <c r="P51" s="22">
        <f t="shared" si="3"/>
        <v>114.73850794738897</v>
      </c>
      <c r="Q51" s="31">
        <f t="shared" si="28"/>
        <v>266026.91067423136</v>
      </c>
      <c r="R51" s="31">
        <f t="shared" si="28"/>
        <v>30523530.80461463</v>
      </c>
      <c r="S51" s="32">
        <f t="shared" si="21"/>
        <v>114.73850794738897</v>
      </c>
      <c r="T51" s="31">
        <f t="shared" si="22"/>
        <v>268237.56432246999</v>
      </c>
      <c r="U51" s="7">
        <v>6000</v>
      </c>
      <c r="V51" s="37">
        <f t="shared" si="23"/>
        <v>64.750015882091361</v>
      </c>
    </row>
    <row r="52" spans="1:22">
      <c r="A52" s="21">
        <v>4436</v>
      </c>
      <c r="B52" s="21">
        <v>10000</v>
      </c>
      <c r="C52" s="47">
        <v>277000</v>
      </c>
      <c r="D52" s="13">
        <v>43040</v>
      </c>
      <c r="E52" s="16">
        <f t="shared" si="27"/>
        <v>263801.56432246999</v>
      </c>
      <c r="F52" s="16">
        <f t="shared" si="27"/>
        <v>30268197.884547364</v>
      </c>
      <c r="G52" s="14">
        <f t="shared" si="27"/>
        <v>114.73850794738897</v>
      </c>
      <c r="H52" s="46">
        <f t="shared" si="24"/>
        <v>0</v>
      </c>
      <c r="I52" s="23">
        <f t="shared" si="18"/>
        <v>0</v>
      </c>
      <c r="J52" s="22">
        <f>VLOOKUP(D52,Data!$A$5:$V$197,8,FALSE)*5.83</f>
        <v>72.697946915999992</v>
      </c>
      <c r="K52" s="71">
        <f>VLOOKUP(D52,Data!$A$5:$V$197,15,FALSE)</f>
        <v>794.16809605488845</v>
      </c>
      <c r="L52" s="48">
        <f t="shared" si="19"/>
        <v>91121.662400756584</v>
      </c>
      <c r="M52" s="14">
        <f t="shared" si="26"/>
        <v>114.73850794738897</v>
      </c>
      <c r="N52" s="15">
        <f t="shared" si="2"/>
        <v>263007.39622641512</v>
      </c>
      <c r="O52" s="15">
        <f t="shared" si="2"/>
        <v>30177076.222146608</v>
      </c>
      <c r="P52" s="22">
        <f t="shared" si="3"/>
        <v>114.73850794738895</v>
      </c>
      <c r="Q52" s="31">
        <f t="shared" si="28"/>
        <v>265291.7873070325</v>
      </c>
      <c r="R52" s="31">
        <f t="shared" si="28"/>
        <v>30439183.846304979</v>
      </c>
      <c r="S52" s="32">
        <f t="shared" si="21"/>
        <v>114.738507947389</v>
      </c>
      <c r="T52" s="31">
        <f t="shared" si="22"/>
        <v>267443.39622641512</v>
      </c>
      <c r="U52" s="7">
        <v>6000</v>
      </c>
      <c r="V52" s="37">
        <f t="shared" si="23"/>
        <v>64.553924994176569</v>
      </c>
    </row>
    <row r="53" spans="1:22">
      <c r="A53" s="21">
        <v>4436</v>
      </c>
      <c r="B53" s="21">
        <v>10000</v>
      </c>
      <c r="C53" s="47">
        <v>277000</v>
      </c>
      <c r="D53" s="13">
        <v>43070</v>
      </c>
      <c r="E53" s="16">
        <f t="shared" si="27"/>
        <v>263007.39622641512</v>
      </c>
      <c r="F53" s="16">
        <f t="shared" si="27"/>
        <v>30177076.222146608</v>
      </c>
      <c r="G53" s="14">
        <f t="shared" si="27"/>
        <v>114.73850794738895</v>
      </c>
      <c r="H53" s="46">
        <f t="shared" si="24"/>
        <v>0</v>
      </c>
      <c r="I53" s="23">
        <f t="shared" si="18"/>
        <v>0</v>
      </c>
      <c r="J53" s="22">
        <f>VLOOKUP(D53,Data!$A$5:$V$197,8,FALSE)*5.83</f>
        <v>73.201946915999983</v>
      </c>
      <c r="K53" s="71">
        <f>VLOOKUP(D53,Data!$A$5:$V$197,15,FALSE)</f>
        <v>0</v>
      </c>
      <c r="L53" s="48">
        <f t="shared" si="19"/>
        <v>0</v>
      </c>
      <c r="M53" s="14">
        <f t="shared" si="26"/>
        <v>0</v>
      </c>
      <c r="N53" s="15">
        <f t="shared" si="2"/>
        <v>263007.39622641512</v>
      </c>
      <c r="O53" s="15">
        <f t="shared" si="2"/>
        <v>30177076.222146608</v>
      </c>
      <c r="P53" s="22">
        <f t="shared" si="3"/>
        <v>114.73850794738895</v>
      </c>
      <c r="Q53" s="31">
        <f t="shared" si="28"/>
        <v>264556.6639398337</v>
      </c>
      <c r="R53" s="31">
        <f t="shared" si="28"/>
        <v>30354836.887995325</v>
      </c>
      <c r="S53" s="32">
        <f t="shared" si="21"/>
        <v>114.73850794738898</v>
      </c>
      <c r="T53" s="31">
        <f t="shared" si="22"/>
        <v>267443.39622641512</v>
      </c>
      <c r="U53" s="7">
        <v>6000</v>
      </c>
      <c r="V53" s="37">
        <f t="shared" si="23"/>
        <v>64.553924994176569</v>
      </c>
    </row>
    <row r="54" spans="1:22">
      <c r="A54" s="21">
        <v>4436</v>
      </c>
      <c r="B54" s="21">
        <v>10000</v>
      </c>
      <c r="C54" s="47">
        <v>277000</v>
      </c>
      <c r="D54" s="13">
        <v>43101</v>
      </c>
      <c r="E54" s="16">
        <f t="shared" ref="E54:E65" si="29">N53</f>
        <v>263007.39622641512</v>
      </c>
      <c r="F54" s="16">
        <f t="shared" ref="F54:F65" si="30">O53</f>
        <v>30177076.222146608</v>
      </c>
      <c r="G54" s="14">
        <f t="shared" ref="G54:G65" si="31">P53</f>
        <v>114.73850794738895</v>
      </c>
      <c r="H54" s="46">
        <f t="shared" si="24"/>
        <v>12566.895368782134</v>
      </c>
      <c r="I54" s="23">
        <f t="shared" ref="I54:I65" si="32">H54*J54</f>
        <v>926518.82775312662</v>
      </c>
      <c r="J54" s="22">
        <f>VLOOKUP(D54,Data!$A$5:$V$197,8,FALSE)*5.83</f>
        <v>73.726946916000003</v>
      </c>
      <c r="K54" s="71">
        <f>VLOOKUP(D54,Data!$A$5:$V$197,15,FALSE)</f>
        <v>3010.2915951972554</v>
      </c>
      <c r="L54" s="48">
        <f t="shared" si="19"/>
        <v>339766.42094274348</v>
      </c>
      <c r="M54" s="14">
        <f t="shared" ref="M54:M65" si="33">IF(K54=0,0,L54/K54)</f>
        <v>112.86827544707661</v>
      </c>
      <c r="N54" s="15">
        <f t="shared" ref="N54:N65" si="34">+E54+H54-K54</f>
        <v>272564</v>
      </c>
      <c r="O54" s="15">
        <f t="shared" ref="O54:O65" si="35">+F54+I54-L54</f>
        <v>30763828.628956992</v>
      </c>
      <c r="P54" s="22">
        <f t="shared" ref="P54:P65" si="36">IF(N54=0,0,O54/N54)</f>
        <v>112.86827544707663</v>
      </c>
      <c r="Q54" s="31">
        <f t="shared" ref="Q54:Q65" si="37">AVERAGE(N42:N54)</f>
        <v>264556.6639398337</v>
      </c>
      <c r="R54" s="31">
        <f t="shared" ref="R54:R65" si="38">AVERAGE(O42:O54)</f>
        <v>30315624.730209548</v>
      </c>
      <c r="S54" s="32">
        <f t="shared" ref="S54:S65" si="39">IF(Q54=0,0,R54/Q54)</f>
        <v>114.59028957631557</v>
      </c>
      <c r="T54" s="31">
        <f t="shared" si="22"/>
        <v>277000</v>
      </c>
      <c r="U54" s="7">
        <v>6000</v>
      </c>
      <c r="V54" s="37">
        <f t="shared" si="23"/>
        <v>66.913580246913583</v>
      </c>
    </row>
    <row r="55" spans="1:22">
      <c r="A55" s="21">
        <v>4436</v>
      </c>
      <c r="B55" s="21">
        <v>10000</v>
      </c>
      <c r="C55" s="47">
        <v>277000</v>
      </c>
      <c r="D55" s="13">
        <v>43132</v>
      </c>
      <c r="E55" s="16">
        <f t="shared" si="29"/>
        <v>272564</v>
      </c>
      <c r="F55" s="16">
        <f t="shared" si="30"/>
        <v>30763828.628956992</v>
      </c>
      <c r="G55" s="14">
        <f t="shared" si="31"/>
        <v>112.86827544707663</v>
      </c>
      <c r="H55" s="46">
        <f t="shared" si="24"/>
        <v>0</v>
      </c>
      <c r="I55" s="23">
        <f t="shared" si="32"/>
        <v>0</v>
      </c>
      <c r="J55" s="22">
        <f>VLOOKUP(D55,Data!$A$5:$V$197,8,FALSE)*5.83</f>
        <v>73.999946915999985</v>
      </c>
      <c r="K55" s="71">
        <f>VLOOKUP(D55,Data!$A$5:$V$197,15,FALSE)</f>
        <v>1315.4373927958834</v>
      </c>
      <c r="L55" s="48">
        <f t="shared" si="19"/>
        <v>148471.1499834701</v>
      </c>
      <c r="M55" s="14">
        <f t="shared" si="33"/>
        <v>112.86827544707663</v>
      </c>
      <c r="N55" s="15">
        <f t="shared" si="34"/>
        <v>271248.56260720413</v>
      </c>
      <c r="O55" s="15">
        <f t="shared" si="35"/>
        <v>30615357.478973523</v>
      </c>
      <c r="P55" s="22">
        <f t="shared" si="36"/>
        <v>112.86827544707661</v>
      </c>
      <c r="Q55" s="31">
        <f t="shared" si="37"/>
        <v>264926.26415094337</v>
      </c>
      <c r="R55" s="31">
        <f t="shared" si="38"/>
        <v>30319009.193319228</v>
      </c>
      <c r="S55" s="32">
        <f t="shared" si="39"/>
        <v>114.44319909348356</v>
      </c>
      <c r="T55" s="31">
        <f t="shared" si="22"/>
        <v>275684.56260720413</v>
      </c>
      <c r="U55" s="7">
        <v>6000</v>
      </c>
      <c r="V55" s="37">
        <f t="shared" si="23"/>
        <v>66.588780890667692</v>
      </c>
    </row>
    <row r="56" spans="1:22">
      <c r="A56" s="21">
        <v>4436</v>
      </c>
      <c r="B56" s="21">
        <v>10000</v>
      </c>
      <c r="C56" s="47">
        <v>277000</v>
      </c>
      <c r="D56" s="13">
        <v>43160</v>
      </c>
      <c r="E56" s="16">
        <f t="shared" si="29"/>
        <v>271248.56260720413</v>
      </c>
      <c r="F56" s="16">
        <f t="shared" si="30"/>
        <v>30615357.478973523</v>
      </c>
      <c r="G56" s="14">
        <f t="shared" si="31"/>
        <v>112.86827544707661</v>
      </c>
      <c r="H56" s="46">
        <f t="shared" si="24"/>
        <v>0</v>
      </c>
      <c r="I56" s="23">
        <f t="shared" si="32"/>
        <v>0</v>
      </c>
      <c r="J56" s="22">
        <f>VLOOKUP(D56,Data!$A$5:$V$197,8,FALSE)*5.83</f>
        <v>73.978946915999984</v>
      </c>
      <c r="K56" s="71">
        <f>VLOOKUP(D56,Data!$A$5:$V$197,15,FALSE)</f>
        <v>0</v>
      </c>
      <c r="L56" s="48">
        <f t="shared" si="19"/>
        <v>0</v>
      </c>
      <c r="M56" s="14">
        <f t="shared" si="33"/>
        <v>0</v>
      </c>
      <c r="N56" s="15">
        <f t="shared" si="34"/>
        <v>271248.56260720413</v>
      </c>
      <c r="O56" s="15">
        <f t="shared" si="35"/>
        <v>30615357.478973523</v>
      </c>
      <c r="P56" s="22">
        <f t="shared" si="36"/>
        <v>112.86827544707661</v>
      </c>
      <c r="Q56" s="31">
        <f t="shared" si="37"/>
        <v>265499.11017284601</v>
      </c>
      <c r="R56" s="31">
        <f t="shared" si="38"/>
        <v>30345713.777505856</v>
      </c>
      <c r="S56" s="32">
        <f t="shared" si="39"/>
        <v>114.29685680584805</v>
      </c>
      <c r="T56" s="31">
        <f t="shared" si="22"/>
        <v>275684.56260720413</v>
      </c>
      <c r="U56" s="7">
        <v>6000</v>
      </c>
      <c r="V56" s="37">
        <f t="shared" si="23"/>
        <v>66.588780890667692</v>
      </c>
    </row>
    <row r="57" spans="1:22">
      <c r="A57" s="21">
        <v>4436</v>
      </c>
      <c r="B57" s="21">
        <v>10000</v>
      </c>
      <c r="C57" s="47">
        <v>277000</v>
      </c>
      <c r="D57" s="13">
        <v>43191</v>
      </c>
      <c r="E57" s="16">
        <f t="shared" si="29"/>
        <v>271248.56260720413</v>
      </c>
      <c r="F57" s="16">
        <f t="shared" si="30"/>
        <v>30615357.478973523</v>
      </c>
      <c r="G57" s="14">
        <f t="shared" si="31"/>
        <v>112.86827544707661</v>
      </c>
      <c r="H57" s="46">
        <f t="shared" si="24"/>
        <v>0</v>
      </c>
      <c r="I57" s="23">
        <f t="shared" si="32"/>
        <v>0</v>
      </c>
      <c r="J57" s="22">
        <f>VLOOKUP(D57,Data!$A$5:$V$197,8,FALSE)*5.83</f>
        <v>73.810946915999992</v>
      </c>
      <c r="K57" s="71">
        <f>VLOOKUP(D57,Data!$A$5:$V$197,15,FALSE)</f>
        <v>1969.1252144082332</v>
      </c>
      <c r="L57" s="48">
        <f t="shared" si="19"/>
        <v>222251.76708961226</v>
      </c>
      <c r="M57" s="14">
        <f t="shared" si="33"/>
        <v>112.86827544707661</v>
      </c>
      <c r="N57" s="15">
        <f t="shared" si="34"/>
        <v>269279.43739279592</v>
      </c>
      <c r="O57" s="15">
        <f t="shared" si="35"/>
        <v>30393105.71188391</v>
      </c>
      <c r="P57" s="22">
        <f t="shared" si="36"/>
        <v>112.8682754470766</v>
      </c>
      <c r="Q57" s="31">
        <f t="shared" si="37"/>
        <v>265920.48502440954</v>
      </c>
      <c r="R57" s="31">
        <f t="shared" si="38"/>
        <v>30355322.071916357</v>
      </c>
      <c r="S57" s="32">
        <f t="shared" si="39"/>
        <v>114.15187539662453</v>
      </c>
      <c r="T57" s="31">
        <f t="shared" si="22"/>
        <v>273715.43739279592</v>
      </c>
      <c r="U57" s="7">
        <v>6000</v>
      </c>
      <c r="V57" s="37">
        <f t="shared" si="23"/>
        <v>66.10257713402369</v>
      </c>
    </row>
    <row r="58" spans="1:22">
      <c r="A58" s="21">
        <v>4436</v>
      </c>
      <c r="B58" s="21">
        <v>10000</v>
      </c>
      <c r="C58" s="47">
        <v>277000</v>
      </c>
      <c r="D58" s="13">
        <v>43221</v>
      </c>
      <c r="E58" s="16">
        <f t="shared" si="29"/>
        <v>269279.43739279592</v>
      </c>
      <c r="F58" s="16">
        <f t="shared" si="30"/>
        <v>30393105.71188391</v>
      </c>
      <c r="G58" s="14">
        <f t="shared" si="31"/>
        <v>112.8682754470766</v>
      </c>
      <c r="H58" s="46">
        <f t="shared" si="24"/>
        <v>0</v>
      </c>
      <c r="I58" s="23">
        <f t="shared" si="32"/>
        <v>0</v>
      </c>
      <c r="J58" s="22">
        <f>VLOOKUP(D58,Data!$A$5:$V$197,8,FALSE)*5.83</f>
        <v>74.188946915999992</v>
      </c>
      <c r="K58" s="71">
        <f>VLOOKUP(D58,Data!$A$5:$V$197,15,FALSE)</f>
        <v>0</v>
      </c>
      <c r="L58" s="48">
        <f t="shared" si="19"/>
        <v>0</v>
      </c>
      <c r="M58" s="14">
        <f t="shared" si="33"/>
        <v>0</v>
      </c>
      <c r="N58" s="15">
        <f t="shared" si="34"/>
        <v>269279.43739279592</v>
      </c>
      <c r="O58" s="15">
        <f t="shared" si="35"/>
        <v>30393105.71188391</v>
      </c>
      <c r="P58" s="22">
        <f t="shared" si="36"/>
        <v>112.8682754470766</v>
      </c>
      <c r="Q58" s="31">
        <f t="shared" si="37"/>
        <v>266341.85987597308</v>
      </c>
      <c r="R58" s="31">
        <f t="shared" si="38"/>
        <v>30364930.366326861</v>
      </c>
      <c r="S58" s="32">
        <f t="shared" si="39"/>
        <v>114.00735273256274</v>
      </c>
      <c r="T58" s="31">
        <f t="shared" si="22"/>
        <v>273715.43739279592</v>
      </c>
      <c r="U58" s="7">
        <v>6000</v>
      </c>
      <c r="V58" s="37">
        <f t="shared" si="23"/>
        <v>66.10257713402369</v>
      </c>
    </row>
    <row r="59" spans="1:22">
      <c r="A59" s="21">
        <v>4436</v>
      </c>
      <c r="B59" s="21">
        <v>10000</v>
      </c>
      <c r="C59" s="47">
        <v>277000</v>
      </c>
      <c r="D59" s="13">
        <v>43252</v>
      </c>
      <c r="E59" s="16">
        <f t="shared" si="29"/>
        <v>269279.43739279592</v>
      </c>
      <c r="F59" s="16">
        <f t="shared" si="30"/>
        <v>30393105.71188391</v>
      </c>
      <c r="G59" s="14">
        <f t="shared" si="31"/>
        <v>112.8682754470766</v>
      </c>
      <c r="H59" s="46">
        <f t="shared" si="24"/>
        <v>0</v>
      </c>
      <c r="I59" s="23">
        <f t="shared" si="32"/>
        <v>0</v>
      </c>
      <c r="J59" s="22">
        <f>VLOOKUP(D59,Data!$A$5:$V$197,8,FALSE)*5.83</f>
        <v>74.629946915999994</v>
      </c>
      <c r="K59" s="71">
        <f>VLOOKUP(D59,Data!$A$5:$V$197,15,FALSE)</f>
        <v>0</v>
      </c>
      <c r="L59" s="48">
        <f t="shared" si="19"/>
        <v>0</v>
      </c>
      <c r="M59" s="14">
        <f t="shared" si="33"/>
        <v>0</v>
      </c>
      <c r="N59" s="15">
        <f t="shared" si="34"/>
        <v>269279.43739279592</v>
      </c>
      <c r="O59" s="15">
        <f t="shared" si="35"/>
        <v>30393105.71188391</v>
      </c>
      <c r="P59" s="22">
        <f t="shared" si="36"/>
        <v>112.8682754470766</v>
      </c>
      <c r="Q59" s="31">
        <f t="shared" si="37"/>
        <v>266763.23472753668</v>
      </c>
      <c r="R59" s="31">
        <f t="shared" si="38"/>
        <v>30374538.660737369</v>
      </c>
      <c r="S59" s="32">
        <f t="shared" si="39"/>
        <v>113.86328663978355</v>
      </c>
      <c r="T59" s="31">
        <f t="shared" si="22"/>
        <v>273715.43739279592</v>
      </c>
      <c r="U59" s="7">
        <v>6000</v>
      </c>
      <c r="V59" s="37">
        <f t="shared" si="23"/>
        <v>66.10257713402369</v>
      </c>
    </row>
    <row r="60" spans="1:22">
      <c r="A60" s="21">
        <v>4436</v>
      </c>
      <c r="B60" s="21">
        <v>10000</v>
      </c>
      <c r="C60" s="47">
        <v>277000</v>
      </c>
      <c r="D60" s="13">
        <v>43282</v>
      </c>
      <c r="E60" s="16">
        <f t="shared" si="29"/>
        <v>269279.43739279592</v>
      </c>
      <c r="F60" s="16">
        <f t="shared" si="30"/>
        <v>30393105.71188391</v>
      </c>
      <c r="G60" s="14">
        <f t="shared" si="31"/>
        <v>112.8682754470766</v>
      </c>
      <c r="H60" s="46">
        <f t="shared" si="24"/>
        <v>0</v>
      </c>
      <c r="I60" s="23">
        <f t="shared" si="32"/>
        <v>0</v>
      </c>
      <c r="J60" s="22">
        <f>VLOOKUP(D60,Data!$A$5:$V$197,8,FALSE)*5.83</f>
        <v>75.175946915999987</v>
      </c>
      <c r="K60" s="71">
        <f>VLOOKUP(D60,Data!$A$5:$V$197,15,FALSE)</f>
        <v>0</v>
      </c>
      <c r="L60" s="48">
        <f t="shared" si="19"/>
        <v>0</v>
      </c>
      <c r="M60" s="14">
        <f t="shared" si="33"/>
        <v>0</v>
      </c>
      <c r="N60" s="15">
        <f t="shared" si="34"/>
        <v>269279.43739279592</v>
      </c>
      <c r="O60" s="15">
        <f t="shared" si="35"/>
        <v>30393105.71188391</v>
      </c>
      <c r="P60" s="22">
        <f t="shared" si="36"/>
        <v>112.8682754470766</v>
      </c>
      <c r="Q60" s="31">
        <f t="shared" si="37"/>
        <v>267184.60957910016</v>
      </c>
      <c r="R60" s="31">
        <f t="shared" si="38"/>
        <v>30384146.95514787</v>
      </c>
      <c r="S60" s="32">
        <f t="shared" si="39"/>
        <v>113.71967495812152</v>
      </c>
      <c r="T60" s="31">
        <f t="shared" si="22"/>
        <v>273715.43739279592</v>
      </c>
      <c r="U60" s="7">
        <v>6000</v>
      </c>
      <c r="V60" s="37">
        <f t="shared" si="23"/>
        <v>66.10257713402369</v>
      </c>
    </row>
    <row r="61" spans="1:22">
      <c r="A61" s="21">
        <v>4436</v>
      </c>
      <c r="B61" s="21">
        <v>10000</v>
      </c>
      <c r="C61" s="47">
        <v>277000</v>
      </c>
      <c r="D61" s="13">
        <v>43313</v>
      </c>
      <c r="E61" s="16">
        <f t="shared" si="29"/>
        <v>269279.43739279592</v>
      </c>
      <c r="F61" s="16">
        <f t="shared" si="30"/>
        <v>30393105.71188391</v>
      </c>
      <c r="G61" s="14">
        <f t="shared" si="31"/>
        <v>112.8682754470766</v>
      </c>
      <c r="H61" s="46">
        <f t="shared" si="24"/>
        <v>0</v>
      </c>
      <c r="I61" s="23">
        <f t="shared" si="32"/>
        <v>0</v>
      </c>
      <c r="J61" s="22">
        <f>VLOOKUP(D61,Data!$A$5:$V$197,8,FALSE)*5.83</f>
        <v>75.700946915999978</v>
      </c>
      <c r="K61" s="71">
        <f>VLOOKUP(D61,Data!$A$5:$V$197,15,FALSE)</f>
        <v>0</v>
      </c>
      <c r="L61" s="48">
        <f t="shared" si="19"/>
        <v>0</v>
      </c>
      <c r="M61" s="14">
        <f t="shared" si="33"/>
        <v>0</v>
      </c>
      <c r="N61" s="15">
        <f t="shared" si="34"/>
        <v>269279.43739279592</v>
      </c>
      <c r="O61" s="15">
        <f t="shared" si="35"/>
        <v>30393105.71188391</v>
      </c>
      <c r="P61" s="22">
        <f t="shared" si="36"/>
        <v>112.8682754470766</v>
      </c>
      <c r="Q61" s="31">
        <f t="shared" si="37"/>
        <v>267605.9844306637</v>
      </c>
      <c r="R61" s="31">
        <f t="shared" si="38"/>
        <v>30393755.249558371</v>
      </c>
      <c r="S61" s="32">
        <f t="shared" si="39"/>
        <v>113.57651554101679</v>
      </c>
      <c r="T61" s="31">
        <f t="shared" si="22"/>
        <v>273715.43739279592</v>
      </c>
      <c r="U61" s="7">
        <v>6000</v>
      </c>
      <c r="V61" s="37">
        <f t="shared" si="23"/>
        <v>66.10257713402369</v>
      </c>
    </row>
    <row r="62" spans="1:22">
      <c r="A62" s="21">
        <v>4436</v>
      </c>
      <c r="B62" s="21">
        <v>10000</v>
      </c>
      <c r="C62" s="47">
        <v>277000</v>
      </c>
      <c r="D62" s="13">
        <v>43344</v>
      </c>
      <c r="E62" s="16">
        <f t="shared" si="29"/>
        <v>269279.43739279592</v>
      </c>
      <c r="F62" s="16">
        <f t="shared" si="30"/>
        <v>30393105.71188391</v>
      </c>
      <c r="G62" s="14">
        <f t="shared" si="31"/>
        <v>112.8682754470766</v>
      </c>
      <c r="H62" s="46">
        <f t="shared" si="24"/>
        <v>0</v>
      </c>
      <c r="I62" s="23">
        <f t="shared" si="32"/>
        <v>0</v>
      </c>
      <c r="J62" s="22">
        <f>VLOOKUP(D62,Data!$A$5:$V$197,8,FALSE)*5.83</f>
        <v>76.246946915999985</v>
      </c>
      <c r="K62" s="71">
        <f>VLOOKUP(D62,Data!$A$5:$V$197,15,FALSE)</f>
        <v>0</v>
      </c>
      <c r="L62" s="48">
        <f t="shared" si="19"/>
        <v>0</v>
      </c>
      <c r="M62" s="14">
        <f t="shared" si="33"/>
        <v>0</v>
      </c>
      <c r="N62" s="15">
        <f t="shared" si="34"/>
        <v>269279.43739279592</v>
      </c>
      <c r="O62" s="15">
        <f t="shared" si="35"/>
        <v>30393105.71188391</v>
      </c>
      <c r="P62" s="22">
        <f t="shared" si="36"/>
        <v>112.8682754470766</v>
      </c>
      <c r="Q62" s="31">
        <f t="shared" si="37"/>
        <v>268027.35928222723</v>
      </c>
      <c r="R62" s="31">
        <f t="shared" si="38"/>
        <v>30403363.543968875</v>
      </c>
      <c r="S62" s="32">
        <f t="shared" si="39"/>
        <v>113.4338062554083</v>
      </c>
      <c r="T62" s="31">
        <f t="shared" si="22"/>
        <v>273715.43739279592</v>
      </c>
      <c r="U62" s="7">
        <v>6000</v>
      </c>
      <c r="V62" s="37">
        <f t="shared" si="23"/>
        <v>66.10257713402369</v>
      </c>
    </row>
    <row r="63" spans="1:22">
      <c r="A63" s="21">
        <v>4436</v>
      </c>
      <c r="B63" s="21">
        <v>10000</v>
      </c>
      <c r="C63" s="47">
        <v>277000</v>
      </c>
      <c r="D63" s="13">
        <v>43374</v>
      </c>
      <c r="E63" s="16">
        <f t="shared" si="29"/>
        <v>269279.43739279592</v>
      </c>
      <c r="F63" s="16">
        <f t="shared" si="30"/>
        <v>30393105.71188391</v>
      </c>
      <c r="G63" s="14">
        <f t="shared" si="31"/>
        <v>112.8682754470766</v>
      </c>
      <c r="H63" s="46">
        <f t="shared" si="24"/>
        <v>0</v>
      </c>
      <c r="I63" s="23">
        <f t="shared" si="32"/>
        <v>0</v>
      </c>
      <c r="J63" s="22">
        <f>VLOOKUP(D63,Data!$A$5:$V$197,8,FALSE)*5.83</f>
        <v>76.771946915999976</v>
      </c>
      <c r="K63" s="71">
        <f>VLOOKUP(D63,Data!$A$5:$V$197,15,FALSE)</f>
        <v>0</v>
      </c>
      <c r="L63" s="48">
        <f t="shared" si="19"/>
        <v>0</v>
      </c>
      <c r="M63" s="14">
        <f t="shared" si="33"/>
        <v>0</v>
      </c>
      <c r="N63" s="15">
        <f t="shared" si="34"/>
        <v>269279.43739279592</v>
      </c>
      <c r="O63" s="15">
        <f t="shared" si="35"/>
        <v>30393105.71188391</v>
      </c>
      <c r="P63" s="22">
        <f t="shared" si="36"/>
        <v>112.8682754470766</v>
      </c>
      <c r="Q63" s="31">
        <f t="shared" si="37"/>
        <v>268448.73413379077</v>
      </c>
      <c r="R63" s="31">
        <f t="shared" si="38"/>
        <v>30412971.838379379</v>
      </c>
      <c r="S63" s="32">
        <f t="shared" si="39"/>
        <v>113.29154498162772</v>
      </c>
      <c r="T63" s="31">
        <f t="shared" si="22"/>
        <v>273715.43739279592</v>
      </c>
      <c r="U63" s="7">
        <v>6000</v>
      </c>
      <c r="V63" s="37">
        <f t="shared" si="23"/>
        <v>66.10257713402369</v>
      </c>
    </row>
    <row r="64" spans="1:22">
      <c r="A64" s="21">
        <v>4436</v>
      </c>
      <c r="B64" s="21">
        <v>10000</v>
      </c>
      <c r="C64" s="47">
        <v>277000</v>
      </c>
      <c r="D64" s="13">
        <v>43405</v>
      </c>
      <c r="E64" s="16">
        <f t="shared" si="29"/>
        <v>269279.43739279592</v>
      </c>
      <c r="F64" s="16">
        <f t="shared" si="30"/>
        <v>30393105.71188391</v>
      </c>
      <c r="G64" s="14">
        <f t="shared" si="31"/>
        <v>112.8682754470766</v>
      </c>
      <c r="H64" s="46">
        <f t="shared" si="24"/>
        <v>0</v>
      </c>
      <c r="I64" s="23">
        <f t="shared" si="32"/>
        <v>0</v>
      </c>
      <c r="J64" s="22">
        <f>VLOOKUP(D64,Data!$A$5:$V$197,8,FALSE)*5.83</f>
        <v>77.170946916000005</v>
      </c>
      <c r="K64" s="71">
        <f>VLOOKUP(D64,Data!$A$5:$V$197,15,FALSE)</f>
        <v>0</v>
      </c>
      <c r="L64" s="48">
        <f t="shared" si="19"/>
        <v>0</v>
      </c>
      <c r="M64" s="14">
        <f t="shared" si="33"/>
        <v>0</v>
      </c>
      <c r="N64" s="15">
        <f t="shared" si="34"/>
        <v>269279.43739279592</v>
      </c>
      <c r="O64" s="15">
        <f t="shared" si="35"/>
        <v>30393105.71188391</v>
      </c>
      <c r="P64" s="22">
        <f t="shared" si="36"/>
        <v>112.8682754470766</v>
      </c>
      <c r="Q64" s="31">
        <f t="shared" si="37"/>
        <v>268870.10898535431</v>
      </c>
      <c r="R64" s="31">
        <f t="shared" si="38"/>
        <v>30422580.132789884</v>
      </c>
      <c r="S64" s="32">
        <f t="shared" si="39"/>
        <v>113.14972961329457</v>
      </c>
      <c r="T64" s="31">
        <f t="shared" si="22"/>
        <v>273715.43739279592</v>
      </c>
      <c r="U64" s="7">
        <v>6000</v>
      </c>
      <c r="V64" s="37">
        <f t="shared" si="23"/>
        <v>66.10257713402369</v>
      </c>
    </row>
    <row r="65" spans="1:22">
      <c r="A65" s="21">
        <v>4436</v>
      </c>
      <c r="B65" s="21">
        <v>10000</v>
      </c>
      <c r="C65" s="47">
        <v>277000</v>
      </c>
      <c r="D65" s="13">
        <v>43435</v>
      </c>
      <c r="E65" s="16">
        <f t="shared" si="29"/>
        <v>269279.43739279592</v>
      </c>
      <c r="F65" s="16">
        <f t="shared" si="30"/>
        <v>30393105.71188391</v>
      </c>
      <c r="G65" s="14">
        <f t="shared" si="31"/>
        <v>112.8682754470766</v>
      </c>
      <c r="H65" s="46">
        <f t="shared" si="24"/>
        <v>0</v>
      </c>
      <c r="I65" s="23">
        <f t="shared" si="32"/>
        <v>0</v>
      </c>
      <c r="J65" s="22">
        <f>VLOOKUP(D65,Data!$A$5:$V$197,8,FALSE)*5.83</f>
        <v>77.50694691599999</v>
      </c>
      <c r="K65" s="71">
        <f>VLOOKUP(D65,Data!$A$5:$V$197,15,FALSE)</f>
        <v>0</v>
      </c>
      <c r="L65" s="48">
        <f t="shared" si="19"/>
        <v>0</v>
      </c>
      <c r="M65" s="14">
        <f t="shared" si="33"/>
        <v>0</v>
      </c>
      <c r="N65" s="15">
        <f t="shared" si="34"/>
        <v>269279.43739279592</v>
      </c>
      <c r="O65" s="15">
        <f t="shared" si="35"/>
        <v>30393105.71188391</v>
      </c>
      <c r="P65" s="22">
        <f t="shared" si="36"/>
        <v>112.8682754470766</v>
      </c>
      <c r="Q65" s="31">
        <f t="shared" si="37"/>
        <v>269352.57369046053</v>
      </c>
      <c r="R65" s="31">
        <f t="shared" si="38"/>
        <v>30439197.785846598</v>
      </c>
      <c r="S65" s="32">
        <f t="shared" si="39"/>
        <v>113.00875045963834</v>
      </c>
      <c r="T65" s="31">
        <f t="shared" si="22"/>
        <v>273715.43739279592</v>
      </c>
      <c r="U65" s="7">
        <v>6000</v>
      </c>
      <c r="V65" s="37">
        <f t="shared" si="23"/>
        <v>66.10257713402369</v>
      </c>
    </row>
    <row r="66" spans="1:22">
      <c r="A66" s="47">
        <v>4436</v>
      </c>
      <c r="B66" s="47">
        <v>10000</v>
      </c>
      <c r="C66" s="47">
        <v>277000</v>
      </c>
      <c r="D66" s="13">
        <v>43466</v>
      </c>
      <c r="E66" s="16">
        <f t="shared" ref="E66:E89" si="40">N65</f>
        <v>269279.43739279592</v>
      </c>
      <c r="F66" s="16">
        <f t="shared" ref="F66:F89" si="41">O65</f>
        <v>30393105.71188391</v>
      </c>
      <c r="G66" s="14">
        <f t="shared" ref="G66:G89" si="42">P65</f>
        <v>112.8682754470766</v>
      </c>
      <c r="H66" s="46">
        <f t="shared" si="24"/>
        <v>0</v>
      </c>
      <c r="I66" s="74">
        <f t="shared" ref="I66:I89" si="43">H66*J66</f>
        <v>0</v>
      </c>
      <c r="J66" s="22">
        <f>VLOOKUP(D66,Data!$A$5:$V$197,8,FALSE)*5.83</f>
        <v>83.248223461435202</v>
      </c>
      <c r="K66" s="74">
        <f>VLOOKUP(D66,Data!$A$5:$V$197,15,FALSE)</f>
        <v>759.69125214408234</v>
      </c>
      <c r="L66" s="74">
        <f t="shared" ref="L66:L89" si="44">IF(E66+H66&gt;0,((F66+I66)/(E66+H66)*K66),0)</f>
        <v>85745.041501732805</v>
      </c>
      <c r="M66" s="14">
        <f t="shared" ref="M66:M89" si="45">IF(K66=0,0,L66/K66)</f>
        <v>112.8682754470766</v>
      </c>
      <c r="N66" s="46">
        <f t="shared" ref="N66:N89" si="46">+E66+H66-K66</f>
        <v>268519.74614065187</v>
      </c>
      <c r="O66" s="46">
        <f t="shared" ref="O66:O89" si="47">+F66+I66-L66</f>
        <v>30307360.670382176</v>
      </c>
      <c r="P66" s="22">
        <f t="shared" ref="P66:P89" si="48">IF(N66=0,0,O66/N66)</f>
        <v>112.86827544707658</v>
      </c>
      <c r="Q66" s="55">
        <f t="shared" ref="Q66:Q89" si="49">AVERAGE(N54:N66)</f>
        <v>269776.60060694028</v>
      </c>
      <c r="R66" s="55">
        <f t="shared" ref="R66:R89" si="50">AVERAGE(O54:O66)</f>
        <v>30449219.666480105</v>
      </c>
      <c r="S66" s="32">
        <f t="shared" ref="S66:S89" si="51">IF(Q66=0,0,R66/Q66)</f>
        <v>112.86827544707658</v>
      </c>
      <c r="T66" s="55">
        <f t="shared" ref="T66:T89" si="52">N66+A66</f>
        <v>272955.74614065187</v>
      </c>
      <c r="U66" s="45">
        <v>6001</v>
      </c>
      <c r="V66" s="37">
        <f t="shared" ref="V66:V89" si="53">(T66-U66)/4050</f>
        <v>65.914752133494289</v>
      </c>
    </row>
    <row r="67" spans="1:22">
      <c r="A67" s="47">
        <v>4436</v>
      </c>
      <c r="B67" s="47">
        <v>10000</v>
      </c>
      <c r="C67" s="47">
        <v>277000</v>
      </c>
      <c r="D67" s="13">
        <v>43497</v>
      </c>
      <c r="E67" s="16">
        <f t="shared" si="40"/>
        <v>268519.74614065187</v>
      </c>
      <c r="F67" s="16">
        <f t="shared" si="41"/>
        <v>30307360.670382176</v>
      </c>
      <c r="G67" s="14">
        <f t="shared" si="42"/>
        <v>112.86827544707658</v>
      </c>
      <c r="H67" s="46">
        <f t="shared" si="24"/>
        <v>0</v>
      </c>
      <c r="I67" s="74">
        <f t="shared" si="43"/>
        <v>0</v>
      </c>
      <c r="J67" s="22">
        <f>VLOOKUP(D67,Data!$A$5:$V$197,8,FALSE)*5.83</f>
        <v>85.835650543006707</v>
      </c>
      <c r="K67" s="74">
        <f>VLOOKUP(D67,Data!$A$5:$V$197,15,FALSE)</f>
        <v>1937.7358490566039</v>
      </c>
      <c r="L67" s="74">
        <f t="shared" si="44"/>
        <v>218708.90355499557</v>
      </c>
      <c r="M67" s="14">
        <f t="shared" si="45"/>
        <v>112.86827544707658</v>
      </c>
      <c r="N67" s="46">
        <f t="shared" si="46"/>
        <v>266582.01029159524</v>
      </c>
      <c r="O67" s="46">
        <f t="shared" si="47"/>
        <v>30088651.766827181</v>
      </c>
      <c r="P67" s="22">
        <f t="shared" si="48"/>
        <v>112.8682754470766</v>
      </c>
      <c r="Q67" s="55">
        <f t="shared" si="49"/>
        <v>269316.44755244756</v>
      </c>
      <c r="R67" s="55">
        <f t="shared" si="50"/>
        <v>30397282.984777812</v>
      </c>
      <c r="S67" s="32">
        <f t="shared" si="51"/>
        <v>112.86827544707661</v>
      </c>
      <c r="T67" s="55">
        <f t="shared" si="52"/>
        <v>271018.01029159524</v>
      </c>
      <c r="U67" s="45">
        <v>6002</v>
      </c>
      <c r="V67" s="37">
        <f t="shared" si="53"/>
        <v>65.436051923850684</v>
      </c>
    </row>
    <row r="68" spans="1:22">
      <c r="A68" s="47">
        <v>4436</v>
      </c>
      <c r="B68" s="47">
        <v>10000</v>
      </c>
      <c r="C68" s="47">
        <v>277000</v>
      </c>
      <c r="D68" s="13">
        <v>43525</v>
      </c>
      <c r="E68" s="16">
        <f t="shared" si="40"/>
        <v>266582.01029159524</v>
      </c>
      <c r="F68" s="16">
        <f t="shared" si="41"/>
        <v>30088651.766827181</v>
      </c>
      <c r="G68" s="14">
        <f t="shared" si="42"/>
        <v>112.8682754470766</v>
      </c>
      <c r="H68" s="46">
        <f t="shared" si="24"/>
        <v>0</v>
      </c>
      <c r="I68" s="74">
        <f t="shared" si="43"/>
        <v>0</v>
      </c>
      <c r="J68" s="22">
        <f>VLOOKUP(D68,Data!$A$5:$V$197,8,FALSE)*5.83</f>
        <v>89.886073263527052</v>
      </c>
      <c r="K68" s="74">
        <f>VLOOKUP(D68,Data!$A$5:$V$197,15,FALSE)</f>
        <v>0</v>
      </c>
      <c r="L68" s="74">
        <f t="shared" si="44"/>
        <v>0</v>
      </c>
      <c r="M68" s="14">
        <f t="shared" si="45"/>
        <v>0</v>
      </c>
      <c r="N68" s="46">
        <f t="shared" si="46"/>
        <v>266582.01029159524</v>
      </c>
      <c r="O68" s="46">
        <f t="shared" si="47"/>
        <v>30088651.766827181</v>
      </c>
      <c r="P68" s="22">
        <f t="shared" si="48"/>
        <v>112.8682754470766</v>
      </c>
      <c r="Q68" s="55">
        <f t="shared" si="49"/>
        <v>268957.48198970844</v>
      </c>
      <c r="R68" s="55">
        <f t="shared" si="50"/>
        <v>30356767.160766557</v>
      </c>
      <c r="S68" s="32">
        <f t="shared" si="51"/>
        <v>112.8682754470766</v>
      </c>
      <c r="T68" s="55">
        <f t="shared" si="52"/>
        <v>271018.01029159524</v>
      </c>
      <c r="U68" s="45">
        <v>6003</v>
      </c>
      <c r="V68" s="37">
        <f t="shared" si="53"/>
        <v>65.435805010270428</v>
      </c>
    </row>
    <row r="69" spans="1:22">
      <c r="A69" s="47">
        <v>4436</v>
      </c>
      <c r="B69" s="47">
        <v>10000</v>
      </c>
      <c r="C69" s="47">
        <v>277000</v>
      </c>
      <c r="D69" s="13">
        <v>43556</v>
      </c>
      <c r="E69" s="16">
        <f t="shared" si="40"/>
        <v>266582.01029159524</v>
      </c>
      <c r="F69" s="16">
        <f t="shared" si="41"/>
        <v>30088651.766827181</v>
      </c>
      <c r="G69" s="14">
        <f t="shared" si="42"/>
        <v>112.8682754470766</v>
      </c>
      <c r="H69" s="46">
        <f t="shared" si="24"/>
        <v>0</v>
      </c>
      <c r="I69" s="74">
        <f t="shared" si="43"/>
        <v>0</v>
      </c>
      <c r="J69" s="22">
        <f>VLOOKUP(D69,Data!$A$5:$V$197,8,FALSE)*5.83</f>
        <v>92.219245272171108</v>
      </c>
      <c r="K69" s="74">
        <f>VLOOKUP(D69,Data!$A$5:$V$197,15,FALSE)</f>
        <v>0</v>
      </c>
      <c r="L69" s="74">
        <f t="shared" si="44"/>
        <v>0</v>
      </c>
      <c r="M69" s="14">
        <f t="shared" si="45"/>
        <v>0</v>
      </c>
      <c r="N69" s="46">
        <f t="shared" si="46"/>
        <v>266582.01029159524</v>
      </c>
      <c r="O69" s="46">
        <f t="shared" si="47"/>
        <v>30088651.766827181</v>
      </c>
      <c r="P69" s="22">
        <f t="shared" si="48"/>
        <v>112.8682754470766</v>
      </c>
      <c r="Q69" s="55">
        <f t="shared" si="49"/>
        <v>268598.51642696926</v>
      </c>
      <c r="R69" s="55">
        <f t="shared" si="50"/>
        <v>30316251.336755298</v>
      </c>
      <c r="S69" s="32">
        <f t="shared" si="51"/>
        <v>112.86827544707661</v>
      </c>
      <c r="T69" s="55">
        <f t="shared" si="52"/>
        <v>271018.01029159524</v>
      </c>
      <c r="U69" s="45">
        <v>6004</v>
      </c>
      <c r="V69" s="37">
        <f t="shared" si="53"/>
        <v>65.435558096690187</v>
      </c>
    </row>
    <row r="70" spans="1:22">
      <c r="A70" s="47">
        <v>4436</v>
      </c>
      <c r="B70" s="47">
        <v>10000</v>
      </c>
      <c r="C70" s="47">
        <v>277000</v>
      </c>
      <c r="D70" s="13">
        <v>43586</v>
      </c>
      <c r="E70" s="16">
        <f t="shared" si="40"/>
        <v>266582.01029159524</v>
      </c>
      <c r="F70" s="16">
        <f t="shared" si="41"/>
        <v>30088651.766827181</v>
      </c>
      <c r="G70" s="14">
        <f t="shared" si="42"/>
        <v>112.8682754470766</v>
      </c>
      <c r="H70" s="46">
        <f t="shared" si="24"/>
        <v>0</v>
      </c>
      <c r="I70" s="74">
        <f t="shared" si="43"/>
        <v>0</v>
      </c>
      <c r="J70" s="22">
        <f>VLOOKUP(D70,Data!$A$5:$V$197,8,FALSE)*5.83</f>
        <v>91.297288495978975</v>
      </c>
      <c r="K70" s="74">
        <f>VLOOKUP(D70,Data!$A$5:$V$197,15,FALSE)</f>
        <v>0</v>
      </c>
      <c r="L70" s="74">
        <f t="shared" si="44"/>
        <v>0</v>
      </c>
      <c r="M70" s="14">
        <f t="shared" si="45"/>
        <v>0</v>
      </c>
      <c r="N70" s="46">
        <f t="shared" si="46"/>
        <v>266582.01029159524</v>
      </c>
      <c r="O70" s="46">
        <f t="shared" si="47"/>
        <v>30088651.766827181</v>
      </c>
      <c r="P70" s="22">
        <f t="shared" si="48"/>
        <v>112.8682754470766</v>
      </c>
      <c r="Q70" s="55">
        <f t="shared" si="49"/>
        <v>268391.02203456924</v>
      </c>
      <c r="R70" s="55">
        <f t="shared" si="50"/>
        <v>30292831.80252016</v>
      </c>
      <c r="S70" s="32">
        <f t="shared" si="51"/>
        <v>112.86827544707658</v>
      </c>
      <c r="T70" s="55">
        <f t="shared" si="52"/>
        <v>271018.01029159524</v>
      </c>
      <c r="U70" s="45">
        <v>6005</v>
      </c>
      <c r="V70" s="37">
        <f t="shared" si="53"/>
        <v>65.435311183109931</v>
      </c>
    </row>
    <row r="71" spans="1:22">
      <c r="A71" s="47">
        <v>4436</v>
      </c>
      <c r="B71" s="47">
        <v>10000</v>
      </c>
      <c r="C71" s="47">
        <v>277000</v>
      </c>
      <c r="D71" s="13">
        <v>43617</v>
      </c>
      <c r="E71" s="16">
        <f t="shared" si="40"/>
        <v>266582.01029159524</v>
      </c>
      <c r="F71" s="16">
        <f t="shared" si="41"/>
        <v>30088651.766827181</v>
      </c>
      <c r="G71" s="14">
        <f t="shared" si="42"/>
        <v>112.8682754470766</v>
      </c>
      <c r="H71" s="46">
        <f t="shared" si="24"/>
        <v>0</v>
      </c>
      <c r="I71" s="74">
        <f t="shared" si="43"/>
        <v>0</v>
      </c>
      <c r="J71" s="22">
        <f>VLOOKUP(D71,Data!$A$5:$V$197,8,FALSE)*5.83</f>
        <v>92.048148646942678</v>
      </c>
      <c r="K71" s="74">
        <f>VLOOKUP(D71,Data!$A$5:$V$197,15,FALSE)</f>
        <v>0</v>
      </c>
      <c r="L71" s="74">
        <f t="shared" si="44"/>
        <v>0</v>
      </c>
      <c r="M71" s="14">
        <f t="shared" si="45"/>
        <v>0</v>
      </c>
      <c r="N71" s="46">
        <f t="shared" si="46"/>
        <v>266582.01029159524</v>
      </c>
      <c r="O71" s="46">
        <f t="shared" si="47"/>
        <v>30088651.766827181</v>
      </c>
      <c r="P71" s="22">
        <f t="shared" si="48"/>
        <v>112.8682754470766</v>
      </c>
      <c r="Q71" s="55">
        <f t="shared" si="49"/>
        <v>268183.52764216909</v>
      </c>
      <c r="R71" s="55">
        <f t="shared" si="50"/>
        <v>30269412.268285029</v>
      </c>
      <c r="S71" s="32">
        <f t="shared" si="51"/>
        <v>112.86827544707663</v>
      </c>
      <c r="T71" s="55">
        <f t="shared" si="52"/>
        <v>271018.01029159524</v>
      </c>
      <c r="U71" s="45">
        <v>6006</v>
      </c>
      <c r="V71" s="37">
        <f t="shared" si="53"/>
        <v>65.43506426952969</v>
      </c>
    </row>
    <row r="72" spans="1:22">
      <c r="A72" s="47">
        <v>4436</v>
      </c>
      <c r="B72" s="47">
        <v>10000</v>
      </c>
      <c r="C72" s="47">
        <v>277000</v>
      </c>
      <c r="D72" s="13">
        <v>43647</v>
      </c>
      <c r="E72" s="16">
        <f t="shared" si="40"/>
        <v>266582.01029159524</v>
      </c>
      <c r="F72" s="16">
        <f t="shared" si="41"/>
        <v>30088651.766827181</v>
      </c>
      <c r="G72" s="14">
        <f t="shared" si="42"/>
        <v>112.8682754470766</v>
      </c>
      <c r="H72" s="46">
        <f t="shared" si="24"/>
        <v>0</v>
      </c>
      <c r="I72" s="74">
        <f t="shared" si="43"/>
        <v>0</v>
      </c>
      <c r="J72" s="22">
        <f>VLOOKUP(D72,Data!$A$5:$V$197,8,FALSE)*5.83</f>
        <v>93.402980770097884</v>
      </c>
      <c r="K72" s="74">
        <f>VLOOKUP(D72,Data!$A$5:$V$197,15,FALSE)</f>
        <v>8.2332761578044593</v>
      </c>
      <c r="L72" s="74">
        <f t="shared" si="44"/>
        <v>929.27568121092224</v>
      </c>
      <c r="M72" s="14">
        <f t="shared" si="45"/>
        <v>112.8682754470766</v>
      </c>
      <c r="N72" s="46">
        <f t="shared" si="46"/>
        <v>266573.77701543743</v>
      </c>
      <c r="O72" s="46">
        <f t="shared" si="47"/>
        <v>30087722.491145968</v>
      </c>
      <c r="P72" s="22">
        <f t="shared" si="48"/>
        <v>112.8682754470766</v>
      </c>
      <c r="Q72" s="55">
        <f t="shared" si="49"/>
        <v>267975.39992083388</v>
      </c>
      <c r="R72" s="55">
        <f t="shared" si="50"/>
        <v>30245921.251305185</v>
      </c>
      <c r="S72" s="32">
        <f t="shared" si="51"/>
        <v>112.8682754470766</v>
      </c>
      <c r="T72" s="55">
        <f t="shared" si="52"/>
        <v>271009.77701543743</v>
      </c>
      <c r="U72" s="45">
        <v>6007</v>
      </c>
      <c r="V72" s="37">
        <f t="shared" si="53"/>
        <v>65.432784448256157</v>
      </c>
    </row>
    <row r="73" spans="1:22">
      <c r="A73" s="47">
        <v>4436</v>
      </c>
      <c r="B73" s="47">
        <v>10000</v>
      </c>
      <c r="C73" s="47">
        <v>277000</v>
      </c>
      <c r="D73" s="13">
        <v>43678</v>
      </c>
      <c r="E73" s="16">
        <f t="shared" si="40"/>
        <v>266573.77701543743</v>
      </c>
      <c r="F73" s="16">
        <f t="shared" si="41"/>
        <v>30087722.491145968</v>
      </c>
      <c r="G73" s="14">
        <f t="shared" si="42"/>
        <v>112.8682754470766</v>
      </c>
      <c r="H73" s="46">
        <f t="shared" si="24"/>
        <v>0</v>
      </c>
      <c r="I73" s="74">
        <f t="shared" si="43"/>
        <v>0</v>
      </c>
      <c r="J73" s="22">
        <f>VLOOKUP(D73,Data!$A$5:$V$197,8,FALSE)*5.83</f>
        <v>92.508241899884936</v>
      </c>
      <c r="K73" s="74">
        <f>VLOOKUP(D73,Data!$A$5:$V$197,15,FALSE)</f>
        <v>0</v>
      </c>
      <c r="L73" s="74">
        <f t="shared" si="44"/>
        <v>0</v>
      </c>
      <c r="M73" s="14">
        <f t="shared" si="45"/>
        <v>0</v>
      </c>
      <c r="N73" s="46">
        <f t="shared" si="46"/>
        <v>266573.77701543743</v>
      </c>
      <c r="O73" s="46">
        <f t="shared" si="47"/>
        <v>30087722.491145968</v>
      </c>
      <c r="P73" s="22">
        <f t="shared" si="48"/>
        <v>112.8682754470766</v>
      </c>
      <c r="Q73" s="55">
        <f t="shared" si="49"/>
        <v>267767.27219949861</v>
      </c>
      <c r="R73" s="55">
        <f t="shared" si="50"/>
        <v>30222430.234325346</v>
      </c>
      <c r="S73" s="32">
        <f t="shared" si="51"/>
        <v>112.8682754470766</v>
      </c>
      <c r="T73" s="55">
        <f t="shared" si="52"/>
        <v>271009.77701543743</v>
      </c>
      <c r="U73" s="45">
        <v>6008</v>
      </c>
      <c r="V73" s="37">
        <f t="shared" si="53"/>
        <v>65.432537534675902</v>
      </c>
    </row>
    <row r="74" spans="1:22">
      <c r="A74" s="47">
        <v>4436</v>
      </c>
      <c r="B74" s="47">
        <v>10000</v>
      </c>
      <c r="C74" s="47">
        <v>277000</v>
      </c>
      <c r="D74" s="13">
        <v>43709</v>
      </c>
      <c r="E74" s="16">
        <f t="shared" si="40"/>
        <v>266573.77701543743</v>
      </c>
      <c r="F74" s="16">
        <f t="shared" si="41"/>
        <v>30087722.491145968</v>
      </c>
      <c r="G74" s="14">
        <f t="shared" si="42"/>
        <v>112.8682754470766</v>
      </c>
      <c r="H74" s="46">
        <f t="shared" si="24"/>
        <v>0</v>
      </c>
      <c r="I74" s="74">
        <f t="shared" si="43"/>
        <v>0</v>
      </c>
      <c r="J74" s="22">
        <f>VLOOKUP(D74,Data!$A$5:$V$197,8,FALSE)*5.83</f>
        <v>92.085501350432793</v>
      </c>
      <c r="K74" s="74">
        <f>VLOOKUP(D74,Data!$A$5:$V$197,15,FALSE)</f>
        <v>1387.1355060034307</v>
      </c>
      <c r="L74" s="74">
        <f t="shared" si="44"/>
        <v>156563.59237401519</v>
      </c>
      <c r="M74" s="14">
        <f t="shared" si="45"/>
        <v>112.8682754470766</v>
      </c>
      <c r="N74" s="46">
        <f t="shared" si="46"/>
        <v>265186.64150943398</v>
      </c>
      <c r="O74" s="46">
        <f t="shared" si="47"/>
        <v>29931158.898771953</v>
      </c>
      <c r="P74" s="22">
        <f t="shared" si="48"/>
        <v>112.86827544707661</v>
      </c>
      <c r="Q74" s="55">
        <f t="shared" si="49"/>
        <v>267452.44174693234</v>
      </c>
      <c r="R74" s="55">
        <f t="shared" si="50"/>
        <v>30186895.864085965</v>
      </c>
      <c r="S74" s="32">
        <f t="shared" si="51"/>
        <v>112.86827544707658</v>
      </c>
      <c r="T74" s="55">
        <f t="shared" si="52"/>
        <v>269622.64150943398</v>
      </c>
      <c r="U74" s="45">
        <v>6009</v>
      </c>
      <c r="V74" s="37">
        <f t="shared" si="53"/>
        <v>65.089788027020731</v>
      </c>
    </row>
    <row r="75" spans="1:22">
      <c r="A75" s="47">
        <v>4436</v>
      </c>
      <c r="B75" s="47">
        <v>10000</v>
      </c>
      <c r="C75" s="47">
        <v>277000</v>
      </c>
      <c r="D75" s="13">
        <v>43739</v>
      </c>
      <c r="E75" s="16">
        <f t="shared" si="40"/>
        <v>265186.64150943398</v>
      </c>
      <c r="F75" s="16">
        <f t="shared" si="41"/>
        <v>29931158.898771953</v>
      </c>
      <c r="G75" s="14">
        <f t="shared" si="42"/>
        <v>112.86827544707661</v>
      </c>
      <c r="H75" s="46">
        <f t="shared" si="24"/>
        <v>0</v>
      </c>
      <c r="I75" s="74">
        <f t="shared" si="43"/>
        <v>0</v>
      </c>
      <c r="J75" s="22">
        <f>VLOOKUP(D75,Data!$A$5:$V$197,8,FALSE)*5.83</f>
        <v>90.953590515760666</v>
      </c>
      <c r="K75" s="74">
        <f>VLOOKUP(D75,Data!$A$5:$V$197,15,FALSE)</f>
        <v>1652.1440823327616</v>
      </c>
      <c r="L75" s="74">
        <f t="shared" si="44"/>
        <v>186474.65336299175</v>
      </c>
      <c r="M75" s="14">
        <f t="shared" si="45"/>
        <v>112.86827544707661</v>
      </c>
      <c r="N75" s="46">
        <f t="shared" si="46"/>
        <v>263534.49742710119</v>
      </c>
      <c r="O75" s="46">
        <f t="shared" si="47"/>
        <v>29744684.24540896</v>
      </c>
      <c r="P75" s="22">
        <f t="shared" si="48"/>
        <v>112.86827544707661</v>
      </c>
      <c r="Q75" s="55">
        <f t="shared" si="49"/>
        <v>267010.52328803274</v>
      </c>
      <c r="R75" s="55">
        <f t="shared" si="50"/>
        <v>30137017.289741736</v>
      </c>
      <c r="S75" s="32">
        <f t="shared" si="51"/>
        <v>112.86827544707658</v>
      </c>
      <c r="T75" s="55">
        <f t="shared" si="52"/>
        <v>267970.49742710119</v>
      </c>
      <c r="U75" s="45">
        <v>6010</v>
      </c>
      <c r="V75" s="37">
        <f t="shared" si="53"/>
        <v>64.681604302987949</v>
      </c>
    </row>
    <row r="76" spans="1:22">
      <c r="A76" s="47">
        <v>4436</v>
      </c>
      <c r="B76" s="47">
        <v>10000</v>
      </c>
      <c r="C76" s="47">
        <v>277000</v>
      </c>
      <c r="D76" s="13">
        <v>43770</v>
      </c>
      <c r="E76" s="16">
        <f t="shared" si="40"/>
        <v>263534.49742710119</v>
      </c>
      <c r="F76" s="16">
        <f t="shared" si="41"/>
        <v>29744684.24540896</v>
      </c>
      <c r="G76" s="14">
        <f t="shared" si="42"/>
        <v>112.86827544707661</v>
      </c>
      <c r="H76" s="46">
        <f t="shared" si="24"/>
        <v>0</v>
      </c>
      <c r="I76" s="74">
        <f t="shared" si="43"/>
        <v>0</v>
      </c>
      <c r="J76" s="22">
        <f>VLOOKUP(D76,Data!$A$5:$V$197,8,FALSE)*5.83</f>
        <v>90.564440845395012</v>
      </c>
      <c r="K76" s="74">
        <f>VLOOKUP(D76,Data!$A$5:$V$197,15,FALSE)</f>
        <v>0</v>
      </c>
      <c r="L76" s="74">
        <f t="shared" si="44"/>
        <v>0</v>
      </c>
      <c r="M76" s="14">
        <f t="shared" si="45"/>
        <v>0</v>
      </c>
      <c r="N76" s="46">
        <f t="shared" si="46"/>
        <v>263534.49742710119</v>
      </c>
      <c r="O76" s="46">
        <f t="shared" si="47"/>
        <v>29744684.24540896</v>
      </c>
      <c r="P76" s="22">
        <f t="shared" si="48"/>
        <v>112.86827544707661</v>
      </c>
      <c r="Q76" s="55">
        <f t="shared" si="49"/>
        <v>266568.6048291332</v>
      </c>
      <c r="R76" s="55">
        <f t="shared" si="50"/>
        <v>30087138.715397511</v>
      </c>
      <c r="S76" s="32">
        <f t="shared" si="51"/>
        <v>112.86827544707657</v>
      </c>
      <c r="T76" s="55">
        <f t="shared" si="52"/>
        <v>267970.49742710119</v>
      </c>
      <c r="U76" s="45">
        <v>6011</v>
      </c>
      <c r="V76" s="37">
        <f t="shared" si="53"/>
        <v>64.681357389407694</v>
      </c>
    </row>
    <row r="77" spans="1:22">
      <c r="A77" s="47">
        <v>4436</v>
      </c>
      <c r="B77" s="47">
        <v>10000</v>
      </c>
      <c r="C77" s="47">
        <v>277000</v>
      </c>
      <c r="D77" s="13">
        <v>43800</v>
      </c>
      <c r="E77" s="16">
        <f t="shared" si="40"/>
        <v>263534.49742710119</v>
      </c>
      <c r="F77" s="16">
        <f t="shared" si="41"/>
        <v>29744684.24540896</v>
      </c>
      <c r="G77" s="14">
        <f t="shared" si="42"/>
        <v>112.86827544707661</v>
      </c>
      <c r="H77" s="46">
        <f t="shared" si="24"/>
        <v>0</v>
      </c>
      <c r="I77" s="74">
        <f t="shared" si="43"/>
        <v>0</v>
      </c>
      <c r="J77" s="22">
        <f>VLOOKUP(D77,Data!$A$5:$V$197,8,FALSE)*5.83</f>
        <v>87.699479636351342</v>
      </c>
      <c r="K77" s="74">
        <f>VLOOKUP(D77,Data!$A$5:$V$197,15,FALSE)</f>
        <v>0</v>
      </c>
      <c r="L77" s="74">
        <f t="shared" si="44"/>
        <v>0</v>
      </c>
      <c r="M77" s="14">
        <f t="shared" si="45"/>
        <v>0</v>
      </c>
      <c r="N77" s="46">
        <f t="shared" si="46"/>
        <v>263534.49742710119</v>
      </c>
      <c r="O77" s="46">
        <f t="shared" si="47"/>
        <v>29744684.24540896</v>
      </c>
      <c r="P77" s="22">
        <f t="shared" si="48"/>
        <v>112.86827544707661</v>
      </c>
      <c r="Q77" s="55">
        <f t="shared" si="49"/>
        <v>266126.6863702336</v>
      </c>
      <c r="R77" s="55">
        <f t="shared" si="50"/>
        <v>30037260.141053285</v>
      </c>
      <c r="S77" s="32">
        <f t="shared" si="51"/>
        <v>112.86827544707657</v>
      </c>
      <c r="T77" s="55">
        <f t="shared" si="52"/>
        <v>267970.49742710119</v>
      </c>
      <c r="U77" s="45">
        <v>6012</v>
      </c>
      <c r="V77" s="37">
        <f t="shared" si="53"/>
        <v>64.681110475827452</v>
      </c>
    </row>
    <row r="78" spans="1:22">
      <c r="A78" s="47">
        <v>4436</v>
      </c>
      <c r="B78" s="47">
        <v>10000</v>
      </c>
      <c r="C78" s="47">
        <v>277000</v>
      </c>
      <c r="D78" s="13">
        <v>43831</v>
      </c>
      <c r="E78" s="16">
        <f t="shared" si="40"/>
        <v>263534.49742710119</v>
      </c>
      <c r="F78" s="16">
        <f t="shared" si="41"/>
        <v>29744684.24540896</v>
      </c>
      <c r="G78" s="14">
        <f t="shared" si="42"/>
        <v>112.86827544707661</v>
      </c>
      <c r="H78" s="46">
        <f t="shared" si="24"/>
        <v>11262.77873070327</v>
      </c>
      <c r="I78" s="74">
        <f t="shared" si="43"/>
        <v>976424.66678867198</v>
      </c>
      <c r="J78" s="22">
        <f>VLOOKUP(D78,Data!$A$5:$V$197,8,FALSE)*5.83</f>
        <v>86.694828171209409</v>
      </c>
      <c r="K78" s="74">
        <f>VLOOKUP(D78,Data!$A$5:$V$197,15,FALSE)</f>
        <v>2233.2761578044597</v>
      </c>
      <c r="L78" s="74">
        <f t="shared" si="44"/>
        <v>249670.30617700148</v>
      </c>
      <c r="M78" s="14">
        <f t="shared" si="45"/>
        <v>111.79553648325027</v>
      </c>
      <c r="N78" s="46">
        <f t="shared" si="46"/>
        <v>272564</v>
      </c>
      <c r="O78" s="46">
        <f t="shared" si="47"/>
        <v>30471438.606020629</v>
      </c>
      <c r="P78" s="22">
        <f t="shared" si="48"/>
        <v>111.79553648325027</v>
      </c>
      <c r="Q78" s="55">
        <f t="shared" si="49"/>
        <v>266379.34503232624</v>
      </c>
      <c r="R78" s="55">
        <f t="shared" si="50"/>
        <v>30043285.748294573</v>
      </c>
      <c r="S78" s="32">
        <f t="shared" si="51"/>
        <v>112.78384119702936</v>
      </c>
      <c r="T78" s="55">
        <f t="shared" si="52"/>
        <v>277000</v>
      </c>
      <c r="U78" s="45">
        <v>6013</v>
      </c>
      <c r="V78" s="37">
        <f t="shared" si="53"/>
        <v>66.910370370370373</v>
      </c>
    </row>
    <row r="79" spans="1:22">
      <c r="A79" s="47">
        <v>4436</v>
      </c>
      <c r="B79" s="47">
        <v>10000</v>
      </c>
      <c r="C79" s="47">
        <v>277000</v>
      </c>
      <c r="D79" s="13">
        <v>43862</v>
      </c>
      <c r="E79" s="16">
        <f t="shared" si="40"/>
        <v>272564</v>
      </c>
      <c r="F79" s="16">
        <f t="shared" si="41"/>
        <v>30471438.606020629</v>
      </c>
      <c r="G79" s="14">
        <f t="shared" si="42"/>
        <v>111.79553648325027</v>
      </c>
      <c r="H79" s="46">
        <f t="shared" si="24"/>
        <v>0</v>
      </c>
      <c r="I79" s="74">
        <f t="shared" si="43"/>
        <v>0</v>
      </c>
      <c r="J79" s="22">
        <f>VLOOKUP(D79,Data!$A$5:$V$197,8,FALSE)*5.83</f>
        <v>89.40389939053739</v>
      </c>
      <c r="K79" s="74">
        <f>VLOOKUP(D79,Data!$A$5:$V$197,15,FALSE)</f>
        <v>0</v>
      </c>
      <c r="L79" s="74">
        <f t="shared" si="44"/>
        <v>0</v>
      </c>
      <c r="M79" s="14">
        <f t="shared" si="45"/>
        <v>0</v>
      </c>
      <c r="N79" s="46">
        <f t="shared" si="46"/>
        <v>272564</v>
      </c>
      <c r="O79" s="46">
        <f t="shared" si="47"/>
        <v>30471438.606020629</v>
      </c>
      <c r="P79" s="22">
        <f t="shared" si="48"/>
        <v>111.79553648325027</v>
      </c>
      <c r="Q79" s="55">
        <f t="shared" si="49"/>
        <v>266690.44148304529</v>
      </c>
      <c r="R79" s="55">
        <f t="shared" si="50"/>
        <v>30055907.127959069</v>
      </c>
      <c r="S79" s="32">
        <f t="shared" si="51"/>
        <v>112.69960393338603</v>
      </c>
      <c r="T79" s="55">
        <f t="shared" si="52"/>
        <v>277000</v>
      </c>
      <c r="U79" s="45">
        <v>6014</v>
      </c>
      <c r="V79" s="37">
        <f t="shared" si="53"/>
        <v>66.910123456790117</v>
      </c>
    </row>
    <row r="80" spans="1:22">
      <c r="A80" s="47">
        <v>4436</v>
      </c>
      <c r="B80" s="47">
        <v>10000</v>
      </c>
      <c r="C80" s="47">
        <v>277000</v>
      </c>
      <c r="D80" s="13">
        <v>43891</v>
      </c>
      <c r="E80" s="16">
        <f t="shared" si="40"/>
        <v>272564</v>
      </c>
      <c r="F80" s="16">
        <f t="shared" si="41"/>
        <v>30471438.606020629</v>
      </c>
      <c r="G80" s="14">
        <f t="shared" si="42"/>
        <v>111.79553648325027</v>
      </c>
      <c r="H80" s="46">
        <f t="shared" si="24"/>
        <v>0</v>
      </c>
      <c r="I80" s="74">
        <f t="shared" si="43"/>
        <v>0</v>
      </c>
      <c r="J80" s="22">
        <f>VLOOKUP(D80,Data!$A$5:$V$197,8,FALSE)*5.83</f>
        <v>93.64474687042437</v>
      </c>
      <c r="K80" s="74">
        <f>VLOOKUP(D80,Data!$A$5:$V$197,15,FALSE)</f>
        <v>0</v>
      </c>
      <c r="L80" s="74">
        <f t="shared" si="44"/>
        <v>0</v>
      </c>
      <c r="M80" s="14">
        <f t="shared" si="45"/>
        <v>0</v>
      </c>
      <c r="N80" s="46">
        <f t="shared" si="46"/>
        <v>272564</v>
      </c>
      <c r="O80" s="46">
        <f t="shared" si="47"/>
        <v>30471438.606020629</v>
      </c>
      <c r="P80" s="22">
        <f t="shared" si="48"/>
        <v>111.79553648325027</v>
      </c>
      <c r="Q80" s="55">
        <f t="shared" si="49"/>
        <v>267150.59453753795</v>
      </c>
      <c r="R80" s="55">
        <f t="shared" si="50"/>
        <v>30085352.269435488</v>
      </c>
      <c r="S80" s="32">
        <f t="shared" si="51"/>
        <v>112.61570396845261</v>
      </c>
      <c r="T80" s="55">
        <f t="shared" si="52"/>
        <v>277000</v>
      </c>
      <c r="U80" s="45">
        <v>6015</v>
      </c>
      <c r="V80" s="37">
        <f t="shared" si="53"/>
        <v>66.909876543209876</v>
      </c>
    </row>
    <row r="81" spans="1:22">
      <c r="A81" s="47">
        <v>4436</v>
      </c>
      <c r="B81" s="47">
        <v>10000</v>
      </c>
      <c r="C81" s="47">
        <v>277000</v>
      </c>
      <c r="D81" s="13">
        <v>43922</v>
      </c>
      <c r="E81" s="16">
        <f t="shared" si="40"/>
        <v>272564</v>
      </c>
      <c r="F81" s="16">
        <f t="shared" si="41"/>
        <v>30471438.606020629</v>
      </c>
      <c r="G81" s="14">
        <f t="shared" si="42"/>
        <v>111.79553648325027</v>
      </c>
      <c r="H81" s="46">
        <f t="shared" si="24"/>
        <v>0</v>
      </c>
      <c r="I81" s="74">
        <f t="shared" si="43"/>
        <v>0</v>
      </c>
      <c r="J81" s="22">
        <f>VLOOKUP(D81,Data!$A$5:$V$197,8,FALSE)*5.83</f>
        <v>96.087609582721697</v>
      </c>
      <c r="K81" s="74">
        <f>VLOOKUP(D81,Data!$A$5:$V$197,15,FALSE)</f>
        <v>0</v>
      </c>
      <c r="L81" s="74">
        <f t="shared" si="44"/>
        <v>0</v>
      </c>
      <c r="M81" s="14">
        <f t="shared" si="45"/>
        <v>0</v>
      </c>
      <c r="N81" s="46">
        <f t="shared" si="46"/>
        <v>272564</v>
      </c>
      <c r="O81" s="46">
        <f t="shared" si="47"/>
        <v>30471438.606020629</v>
      </c>
      <c r="P81" s="22">
        <f t="shared" si="48"/>
        <v>111.79553648325027</v>
      </c>
      <c r="Q81" s="55">
        <f t="shared" si="49"/>
        <v>267610.74759203062</v>
      </c>
      <c r="R81" s="55">
        <f t="shared" si="50"/>
        <v>30114797.41091191</v>
      </c>
      <c r="S81" s="32">
        <f t="shared" si="51"/>
        <v>112.53209253322501</v>
      </c>
      <c r="T81" s="55">
        <f t="shared" si="52"/>
        <v>277000</v>
      </c>
      <c r="U81" s="45">
        <v>6016</v>
      </c>
      <c r="V81" s="37">
        <f t="shared" si="53"/>
        <v>66.909629629629634</v>
      </c>
    </row>
    <row r="82" spans="1:22">
      <c r="A82" s="47">
        <v>4436</v>
      </c>
      <c r="B82" s="47">
        <v>10000</v>
      </c>
      <c r="C82" s="47">
        <v>277000</v>
      </c>
      <c r="D82" s="13">
        <v>43952</v>
      </c>
      <c r="E82" s="16">
        <f t="shared" si="40"/>
        <v>272564</v>
      </c>
      <c r="F82" s="16">
        <f t="shared" si="41"/>
        <v>30471438.606020629</v>
      </c>
      <c r="G82" s="14">
        <f t="shared" si="42"/>
        <v>111.79553648325027</v>
      </c>
      <c r="H82" s="46">
        <f t="shared" si="24"/>
        <v>0</v>
      </c>
      <c r="I82" s="74">
        <f t="shared" si="43"/>
        <v>0</v>
      </c>
      <c r="J82" s="22">
        <f>VLOOKUP(D82,Data!$A$5:$V$197,8,FALSE)*5.83</f>
        <v>95.122308343650815</v>
      </c>
      <c r="K82" s="74">
        <f>VLOOKUP(D82,Data!$A$5:$V$197,15,FALSE)</f>
        <v>1383.5334476843909</v>
      </c>
      <c r="L82" s="74">
        <f t="shared" si="44"/>
        <v>154672.86402639735</v>
      </c>
      <c r="M82" s="14">
        <f t="shared" si="45"/>
        <v>111.79553648325027</v>
      </c>
      <c r="N82" s="46">
        <f t="shared" si="46"/>
        <v>271180.46655231563</v>
      </c>
      <c r="O82" s="46">
        <f t="shared" si="47"/>
        <v>30316765.741994232</v>
      </c>
      <c r="P82" s="22">
        <f t="shared" si="48"/>
        <v>111.79553648325027</v>
      </c>
      <c r="Q82" s="55">
        <f t="shared" si="49"/>
        <v>267964.47499670141</v>
      </c>
      <c r="R82" s="55">
        <f t="shared" si="50"/>
        <v>30132344.63977091</v>
      </c>
      <c r="S82" s="32">
        <f t="shared" si="51"/>
        <v>112.44902758151741</v>
      </c>
      <c r="T82" s="55">
        <f t="shared" si="52"/>
        <v>275616.46655231563</v>
      </c>
      <c r="U82" s="45">
        <v>6017</v>
      </c>
      <c r="V82" s="37">
        <f t="shared" si="53"/>
        <v>66.567769519090277</v>
      </c>
    </row>
    <row r="83" spans="1:22">
      <c r="A83" s="47">
        <v>4436</v>
      </c>
      <c r="B83" s="47">
        <v>10000</v>
      </c>
      <c r="C83" s="47">
        <v>277000</v>
      </c>
      <c r="D83" s="13">
        <v>43983</v>
      </c>
      <c r="E83" s="16">
        <f t="shared" si="40"/>
        <v>271180.46655231563</v>
      </c>
      <c r="F83" s="16">
        <f t="shared" si="41"/>
        <v>30316765.741994232</v>
      </c>
      <c r="G83" s="14">
        <f t="shared" si="42"/>
        <v>111.79553648325027</v>
      </c>
      <c r="H83" s="46">
        <f t="shared" si="24"/>
        <v>0</v>
      </c>
      <c r="I83" s="74">
        <f t="shared" si="43"/>
        <v>0</v>
      </c>
      <c r="J83" s="22">
        <f>VLOOKUP(D83,Data!$A$5:$V$197,8,FALSE)*5.83</f>
        <v>95.908469097398736</v>
      </c>
      <c r="K83" s="74">
        <f>VLOOKUP(D83,Data!$A$5:$V$197,15,FALSE)</f>
        <v>0</v>
      </c>
      <c r="L83" s="74">
        <f t="shared" si="44"/>
        <v>0</v>
      </c>
      <c r="M83" s="14">
        <f t="shared" si="45"/>
        <v>0</v>
      </c>
      <c r="N83" s="46">
        <f t="shared" si="46"/>
        <v>271180.46655231563</v>
      </c>
      <c r="O83" s="46">
        <f t="shared" si="47"/>
        <v>30316765.741994232</v>
      </c>
      <c r="P83" s="22">
        <f t="shared" si="48"/>
        <v>111.79553648325027</v>
      </c>
      <c r="Q83" s="55">
        <f t="shared" si="49"/>
        <v>268318.20240137225</v>
      </c>
      <c r="R83" s="55">
        <f t="shared" si="50"/>
        <v>30149891.868629925</v>
      </c>
      <c r="S83" s="32">
        <f t="shared" si="51"/>
        <v>112.36618164103999</v>
      </c>
      <c r="T83" s="55">
        <f t="shared" si="52"/>
        <v>275616.46655231563</v>
      </c>
      <c r="U83" s="45">
        <v>6018</v>
      </c>
      <c r="V83" s="37">
        <f t="shared" si="53"/>
        <v>66.567522605510035</v>
      </c>
    </row>
    <row r="84" spans="1:22">
      <c r="A84" s="47">
        <v>4436</v>
      </c>
      <c r="B84" s="47">
        <v>10000</v>
      </c>
      <c r="C84" s="47">
        <v>277000</v>
      </c>
      <c r="D84" s="13">
        <v>44013</v>
      </c>
      <c r="E84" s="16">
        <f t="shared" si="40"/>
        <v>271180.46655231563</v>
      </c>
      <c r="F84" s="16">
        <f t="shared" si="41"/>
        <v>30316765.741994232</v>
      </c>
      <c r="G84" s="14">
        <f t="shared" si="42"/>
        <v>111.79553648325027</v>
      </c>
      <c r="H84" s="46">
        <f t="shared" si="24"/>
        <v>0</v>
      </c>
      <c r="I84" s="74">
        <f t="shared" si="43"/>
        <v>0</v>
      </c>
      <c r="J84" s="22">
        <f>VLOOKUP(D84,Data!$A$5:$V$197,8,FALSE)*5.83</f>
        <v>97.326996691085213</v>
      </c>
      <c r="K84" s="74">
        <f>VLOOKUP(D84,Data!$A$5:$V$197,15,FALSE)</f>
        <v>0</v>
      </c>
      <c r="L84" s="74">
        <f t="shared" si="44"/>
        <v>0</v>
      </c>
      <c r="M84" s="14">
        <f t="shared" si="45"/>
        <v>0</v>
      </c>
      <c r="N84" s="46">
        <f t="shared" si="46"/>
        <v>271180.46655231563</v>
      </c>
      <c r="O84" s="46">
        <f t="shared" si="47"/>
        <v>30316765.741994232</v>
      </c>
      <c r="P84" s="22">
        <f t="shared" si="48"/>
        <v>111.79553648325027</v>
      </c>
      <c r="Q84" s="55">
        <f t="shared" si="49"/>
        <v>268671.92980604304</v>
      </c>
      <c r="R84" s="55">
        <f t="shared" si="50"/>
        <v>30167439.097488925</v>
      </c>
      <c r="S84" s="32">
        <f t="shared" si="51"/>
        <v>112.2835538467569</v>
      </c>
      <c r="T84" s="55">
        <f t="shared" si="52"/>
        <v>275616.46655231563</v>
      </c>
      <c r="U84" s="45">
        <v>6019</v>
      </c>
      <c r="V84" s="37">
        <f t="shared" si="53"/>
        <v>66.56727569192978</v>
      </c>
    </row>
    <row r="85" spans="1:22">
      <c r="A85" s="47">
        <v>4436</v>
      </c>
      <c r="B85" s="47">
        <v>10000</v>
      </c>
      <c r="C85" s="47">
        <v>277000</v>
      </c>
      <c r="D85" s="13">
        <v>44044</v>
      </c>
      <c r="E85" s="16">
        <f t="shared" si="40"/>
        <v>271180.46655231563</v>
      </c>
      <c r="F85" s="16">
        <f t="shared" si="41"/>
        <v>30316765.741994232</v>
      </c>
      <c r="G85" s="14">
        <f t="shared" si="42"/>
        <v>111.79553648325027</v>
      </c>
      <c r="H85" s="46">
        <f t="shared" si="24"/>
        <v>0</v>
      </c>
      <c r="I85" s="74">
        <f t="shared" si="43"/>
        <v>0</v>
      </c>
      <c r="J85" s="22">
        <f>VLOOKUP(D85,Data!$A$5:$V$197,8,FALSE)*5.83</f>
        <v>96.390192968432771</v>
      </c>
      <c r="K85" s="74">
        <f>VLOOKUP(D85,Data!$A$5:$V$197,15,FALSE)</f>
        <v>0</v>
      </c>
      <c r="L85" s="74">
        <f t="shared" si="44"/>
        <v>0</v>
      </c>
      <c r="M85" s="14">
        <f t="shared" si="45"/>
        <v>0</v>
      </c>
      <c r="N85" s="46">
        <f t="shared" si="46"/>
        <v>271180.46655231563</v>
      </c>
      <c r="O85" s="46">
        <f t="shared" si="47"/>
        <v>30316765.741994232</v>
      </c>
      <c r="P85" s="22">
        <f t="shared" si="48"/>
        <v>111.79553648325027</v>
      </c>
      <c r="Q85" s="55">
        <f t="shared" si="49"/>
        <v>269026.29053964908</v>
      </c>
      <c r="R85" s="55">
        <f t="shared" si="50"/>
        <v>30185057.809092641</v>
      </c>
      <c r="S85" s="32">
        <f t="shared" si="51"/>
        <v>112.20114490871281</v>
      </c>
      <c r="T85" s="55">
        <f t="shared" si="52"/>
        <v>275616.46655231563</v>
      </c>
      <c r="U85" s="45">
        <v>6020</v>
      </c>
      <c r="V85" s="37">
        <f t="shared" si="53"/>
        <v>66.567028778349538</v>
      </c>
    </row>
    <row r="86" spans="1:22">
      <c r="A86" s="47">
        <v>4436</v>
      </c>
      <c r="B86" s="47">
        <v>10000</v>
      </c>
      <c r="C86" s="47">
        <v>277000</v>
      </c>
      <c r="D86" s="13">
        <v>44075</v>
      </c>
      <c r="E86" s="16">
        <f t="shared" si="40"/>
        <v>271180.46655231563</v>
      </c>
      <c r="F86" s="16">
        <f t="shared" si="41"/>
        <v>30316765.741994232</v>
      </c>
      <c r="G86" s="14">
        <f t="shared" si="42"/>
        <v>111.79553648325027</v>
      </c>
      <c r="H86" s="46">
        <f t="shared" si="24"/>
        <v>0</v>
      </c>
      <c r="I86" s="74">
        <f t="shared" si="43"/>
        <v>0</v>
      </c>
      <c r="J86" s="22">
        <f>VLOOKUP(D86,Data!$A$5:$V$197,8,FALSE)*5.83</f>
        <v>95.947577884158335</v>
      </c>
      <c r="K86" s="74">
        <f>VLOOKUP(D86,Data!$A$5:$V$197,15,FALSE)</f>
        <v>0</v>
      </c>
      <c r="L86" s="74">
        <f t="shared" si="44"/>
        <v>0</v>
      </c>
      <c r="M86" s="14">
        <f t="shared" si="45"/>
        <v>0</v>
      </c>
      <c r="N86" s="46">
        <f t="shared" si="46"/>
        <v>271180.46655231563</v>
      </c>
      <c r="O86" s="46">
        <f t="shared" si="47"/>
        <v>30316765.741994232</v>
      </c>
      <c r="P86" s="22">
        <f t="shared" si="48"/>
        <v>111.79553648325027</v>
      </c>
      <c r="Q86" s="55">
        <f t="shared" si="49"/>
        <v>269380.65127325512</v>
      </c>
      <c r="R86" s="55">
        <f t="shared" si="50"/>
        <v>30202676.520696357</v>
      </c>
      <c r="S86" s="32">
        <f t="shared" si="51"/>
        <v>112.1189527827642</v>
      </c>
      <c r="T86" s="55">
        <f t="shared" si="52"/>
        <v>275616.46655231563</v>
      </c>
      <c r="U86" s="45">
        <v>6021</v>
      </c>
      <c r="V86" s="37">
        <f t="shared" si="53"/>
        <v>66.566781864769297</v>
      </c>
    </row>
    <row r="87" spans="1:22">
      <c r="A87" s="47">
        <v>4436</v>
      </c>
      <c r="B87" s="47">
        <v>10000</v>
      </c>
      <c r="C87" s="47">
        <v>277000</v>
      </c>
      <c r="D87" s="13">
        <v>44105</v>
      </c>
      <c r="E87" s="16">
        <f t="shared" si="40"/>
        <v>271180.46655231563</v>
      </c>
      <c r="F87" s="16">
        <f t="shared" si="41"/>
        <v>30316765.741994232</v>
      </c>
      <c r="G87" s="14">
        <f t="shared" si="42"/>
        <v>111.79553648325027</v>
      </c>
      <c r="H87" s="46">
        <f t="shared" si="24"/>
        <v>0</v>
      </c>
      <c r="I87" s="74">
        <f t="shared" si="43"/>
        <v>0</v>
      </c>
      <c r="J87" s="22">
        <f>VLOOKUP(D87,Data!$A$5:$V$197,8,FALSE)*5.83</f>
        <v>94.762451900552492</v>
      </c>
      <c r="K87" s="74">
        <f>VLOOKUP(D87,Data!$A$5:$V$197,15,FALSE)</f>
        <v>0</v>
      </c>
      <c r="L87" s="74">
        <f t="shared" si="44"/>
        <v>0</v>
      </c>
      <c r="M87" s="14">
        <f t="shared" si="45"/>
        <v>0</v>
      </c>
      <c r="N87" s="46">
        <f t="shared" si="46"/>
        <v>271180.46655231563</v>
      </c>
      <c r="O87" s="46">
        <f t="shared" si="47"/>
        <v>30316765.741994232</v>
      </c>
      <c r="P87" s="22">
        <f t="shared" si="48"/>
        <v>111.79553648325027</v>
      </c>
      <c r="Q87" s="55">
        <f t="shared" si="49"/>
        <v>269841.71473809215</v>
      </c>
      <c r="R87" s="55">
        <f t="shared" si="50"/>
        <v>30232338.585559607</v>
      </c>
      <c r="S87" s="32">
        <f t="shared" si="51"/>
        <v>112.03730533250967</v>
      </c>
      <c r="T87" s="55">
        <f t="shared" si="52"/>
        <v>275616.46655231563</v>
      </c>
      <c r="U87" s="45">
        <v>6022</v>
      </c>
      <c r="V87" s="37">
        <f t="shared" si="53"/>
        <v>66.566534951189041</v>
      </c>
    </row>
    <row r="88" spans="1:22">
      <c r="A88" s="47">
        <v>4436</v>
      </c>
      <c r="B88" s="47">
        <v>10000</v>
      </c>
      <c r="C88" s="47">
        <v>277000</v>
      </c>
      <c r="D88" s="13">
        <v>44136</v>
      </c>
      <c r="E88" s="16">
        <f t="shared" si="40"/>
        <v>271180.46655231563</v>
      </c>
      <c r="F88" s="16">
        <f t="shared" si="41"/>
        <v>30316765.741994232</v>
      </c>
      <c r="G88" s="14">
        <f t="shared" si="42"/>
        <v>111.79553648325027</v>
      </c>
      <c r="H88" s="46">
        <f t="shared" si="24"/>
        <v>0</v>
      </c>
      <c r="I88" s="74">
        <f t="shared" si="43"/>
        <v>0</v>
      </c>
      <c r="J88" s="22">
        <f>VLOOKUP(D88,Data!$A$5:$V$197,8,FALSE)*5.83</f>
        <v>94.355006921906664</v>
      </c>
      <c r="K88" s="74">
        <f>VLOOKUP(D88,Data!$A$5:$V$197,15,FALSE)</f>
        <v>0</v>
      </c>
      <c r="L88" s="74">
        <f t="shared" si="44"/>
        <v>0</v>
      </c>
      <c r="M88" s="14">
        <f t="shared" si="45"/>
        <v>0</v>
      </c>
      <c r="N88" s="46">
        <f t="shared" si="46"/>
        <v>271180.46655231563</v>
      </c>
      <c r="O88" s="46">
        <f t="shared" si="47"/>
        <v>30316765.741994232</v>
      </c>
      <c r="P88" s="22">
        <f t="shared" si="48"/>
        <v>111.79553648325027</v>
      </c>
      <c r="Q88" s="55">
        <f t="shared" si="49"/>
        <v>270429.86620926252</v>
      </c>
      <c r="R88" s="55">
        <f t="shared" si="50"/>
        <v>30276344.854527704</v>
      </c>
      <c r="S88" s="32">
        <f t="shared" si="51"/>
        <v>111.95636517121757</v>
      </c>
      <c r="T88" s="55">
        <f t="shared" si="52"/>
        <v>275616.46655231563</v>
      </c>
      <c r="U88" s="45">
        <v>6023</v>
      </c>
      <c r="V88" s="37">
        <f t="shared" si="53"/>
        <v>66.5662880376088</v>
      </c>
    </row>
    <row r="89" spans="1:22">
      <c r="A89" s="47">
        <v>4436</v>
      </c>
      <c r="B89" s="47">
        <v>10000</v>
      </c>
      <c r="C89" s="47">
        <v>277000</v>
      </c>
      <c r="D89" s="13">
        <v>44166</v>
      </c>
      <c r="E89" s="16">
        <f t="shared" si="40"/>
        <v>271180.46655231563</v>
      </c>
      <c r="F89" s="16">
        <f t="shared" si="41"/>
        <v>30316765.741994232</v>
      </c>
      <c r="G89" s="14">
        <f t="shared" si="42"/>
        <v>111.79553648325027</v>
      </c>
      <c r="H89" s="46">
        <f t="shared" ref="H89" si="54">IF(E89+A89-K89&lt;C89-B89,C89-E89+K89-A89,0)</f>
        <v>0</v>
      </c>
      <c r="I89" s="74">
        <f t="shared" si="43"/>
        <v>0</v>
      </c>
      <c r="J89" s="22">
        <f>VLOOKUP(D89,Data!$A$5:$V$197,8,FALSE)*5.83</f>
        <v>91.355353709960923</v>
      </c>
      <c r="K89" s="74">
        <f>VLOOKUP(D89,Data!$A$5:$V$197,15,FALSE)</f>
        <v>0</v>
      </c>
      <c r="L89" s="74">
        <f t="shared" si="44"/>
        <v>0</v>
      </c>
      <c r="M89" s="14">
        <f t="shared" si="45"/>
        <v>0</v>
      </c>
      <c r="N89" s="46">
        <f t="shared" si="46"/>
        <v>271180.46655231563</v>
      </c>
      <c r="O89" s="46">
        <f t="shared" si="47"/>
        <v>30316765.741994232</v>
      </c>
      <c r="P89" s="22">
        <f t="shared" si="48"/>
        <v>111.79553648325027</v>
      </c>
      <c r="Q89" s="55">
        <f t="shared" si="49"/>
        <v>271018.01768043288</v>
      </c>
      <c r="R89" s="55">
        <f t="shared" si="50"/>
        <v>30320351.123495799</v>
      </c>
      <c r="S89" s="32">
        <f t="shared" si="51"/>
        <v>111.87577631553492</v>
      </c>
      <c r="T89" s="55">
        <f t="shared" si="52"/>
        <v>275616.46655231563</v>
      </c>
      <c r="U89" s="45">
        <v>6024</v>
      </c>
      <c r="V89" s="37">
        <f t="shared" si="53"/>
        <v>66.566041124028544</v>
      </c>
    </row>
  </sheetData>
  <mergeCells count="8">
    <mergeCell ref="Q6:S17"/>
    <mergeCell ref="T4:V4"/>
    <mergeCell ref="T6:V17"/>
    <mergeCell ref="E4:G4"/>
    <mergeCell ref="H4:J4"/>
    <mergeCell ref="K4:M4"/>
    <mergeCell ref="N4:P4"/>
    <mergeCell ref="Q4:S4"/>
  </mergeCells>
  <conditionalFormatting sqref="H30:H89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 tint="0.59999389629810485"/>
  </sheetPr>
  <dimension ref="A1:V89"/>
  <sheetViews>
    <sheetView workbookViewId="0">
      <selection activeCell="A2" sqref="A2"/>
    </sheetView>
  </sheetViews>
  <sheetFormatPr defaultColWidth="9.109375" defaultRowHeight="10.199999999999999"/>
  <cols>
    <col min="1" max="1" width="6.33203125" style="1" bestFit="1" customWidth="1"/>
    <col min="2" max="2" width="5.6640625" style="1" bestFit="1" customWidth="1"/>
    <col min="3" max="4" width="6.109375" style="1" bestFit="1" customWidth="1"/>
    <col min="5" max="5" width="5.6640625" style="1" bestFit="1" customWidth="1"/>
    <col min="6" max="6" width="7.88671875" style="1" bestFit="1" customWidth="1"/>
    <col min="7" max="7" width="5.6640625" style="1" bestFit="1" customWidth="1"/>
    <col min="8" max="8" width="6.88671875" style="1" bestFit="1" customWidth="1"/>
    <col min="9" max="9" width="9" style="1" bestFit="1" customWidth="1"/>
    <col min="10" max="10" width="6.33203125" style="1" bestFit="1" customWidth="1"/>
    <col min="11" max="11" width="5.44140625" style="1" bestFit="1" customWidth="1"/>
    <col min="12" max="12" width="7.109375" style="1" bestFit="1" customWidth="1"/>
    <col min="13" max="13" width="5.6640625" style="1" bestFit="1" customWidth="1"/>
    <col min="14" max="14" width="6.33203125" style="1" bestFit="1" customWidth="1"/>
    <col min="15" max="15" width="10.5546875" style="1" bestFit="1" customWidth="1"/>
    <col min="16" max="17" width="6.33203125" style="1" bestFit="1" customWidth="1"/>
    <col min="18" max="18" width="8.44140625" style="1" bestFit="1" customWidth="1"/>
    <col min="19" max="19" width="6.33203125" style="1" bestFit="1" customWidth="1"/>
    <col min="20" max="20" width="12.6640625" style="1" bestFit="1" customWidth="1"/>
    <col min="21" max="21" width="10.33203125" style="1" bestFit="1" customWidth="1"/>
    <col min="22" max="22" width="8.88671875" style="1" bestFit="1" customWidth="1"/>
    <col min="23" max="16384" width="9.109375" style="1"/>
  </cols>
  <sheetData>
    <row r="1" spans="1:22" s="120" customFormat="1">
      <c r="A1" s="120" t="s">
        <v>67</v>
      </c>
    </row>
    <row r="2" spans="1:22" s="120" customFormat="1">
      <c r="A2" s="120" t="s">
        <v>59</v>
      </c>
    </row>
    <row r="4" spans="1:22">
      <c r="B4" s="17"/>
      <c r="C4" s="18"/>
      <c r="D4" s="19"/>
      <c r="E4" s="106" t="s">
        <v>0</v>
      </c>
      <c r="F4" s="106"/>
      <c r="G4" s="106"/>
      <c r="H4" s="106" t="s">
        <v>1</v>
      </c>
      <c r="I4" s="106"/>
      <c r="J4" s="106"/>
      <c r="K4" s="106" t="s">
        <v>40</v>
      </c>
      <c r="L4" s="106"/>
      <c r="M4" s="106"/>
      <c r="N4" s="106" t="s">
        <v>2</v>
      </c>
      <c r="O4" s="106"/>
      <c r="P4" s="106"/>
      <c r="Q4" s="106" t="s">
        <v>29</v>
      </c>
      <c r="R4" s="106"/>
      <c r="S4" s="106"/>
      <c r="T4" s="106" t="s">
        <v>39</v>
      </c>
      <c r="U4" s="106"/>
      <c r="V4" s="106"/>
    </row>
    <row r="5" spans="1:22">
      <c r="A5" s="20" t="s">
        <v>49</v>
      </c>
      <c r="B5" s="20" t="s">
        <v>20</v>
      </c>
      <c r="C5" s="12" t="s">
        <v>12</v>
      </c>
      <c r="D5" s="9" t="s">
        <v>26</v>
      </c>
      <c r="E5" s="11" t="s">
        <v>3</v>
      </c>
      <c r="F5" s="11" t="s">
        <v>27</v>
      </c>
      <c r="G5" s="11" t="s">
        <v>28</v>
      </c>
      <c r="H5" s="11" t="s">
        <v>3</v>
      </c>
      <c r="I5" s="11" t="s">
        <v>27</v>
      </c>
      <c r="J5" s="11" t="s">
        <v>28</v>
      </c>
      <c r="K5" s="11" t="s">
        <v>3</v>
      </c>
      <c r="L5" s="11" t="s">
        <v>27</v>
      </c>
      <c r="M5" s="11" t="s">
        <v>28</v>
      </c>
      <c r="N5" s="11" t="s">
        <v>3</v>
      </c>
      <c r="O5" s="11" t="s">
        <v>27</v>
      </c>
      <c r="P5" s="11" t="s">
        <v>28</v>
      </c>
      <c r="Q5" s="67" t="s">
        <v>3</v>
      </c>
      <c r="R5" s="67" t="s">
        <v>27</v>
      </c>
      <c r="S5" s="67" t="s">
        <v>28</v>
      </c>
      <c r="T5" s="68" t="s">
        <v>37</v>
      </c>
      <c r="U5" s="66" t="s">
        <v>38</v>
      </c>
      <c r="V5" s="66" t="s">
        <v>50</v>
      </c>
    </row>
    <row r="6" spans="1:22">
      <c r="A6" s="47">
        <v>7398</v>
      </c>
      <c r="B6" s="21">
        <v>5000</v>
      </c>
      <c r="C6" s="21">
        <v>86000</v>
      </c>
      <c r="D6" s="49">
        <v>41640</v>
      </c>
      <c r="E6" s="50">
        <v>69217</v>
      </c>
      <c r="F6" s="50">
        <v>7479632.9600000018</v>
      </c>
      <c r="G6" s="53">
        <f>F6/E6</f>
        <v>108.0606348151466</v>
      </c>
      <c r="H6" s="51">
        <v>0</v>
      </c>
      <c r="I6" s="54">
        <v>0</v>
      </c>
      <c r="J6" s="52">
        <f t="shared" ref="J6:J8" si="0">IF(H6=0,0,I6/H6)</f>
        <v>0</v>
      </c>
      <c r="K6" s="54">
        <v>644</v>
      </c>
      <c r="L6" s="54">
        <v>69591.039999999994</v>
      </c>
      <c r="M6" s="53">
        <f t="shared" ref="M6:M46" si="1">IF(K6=0,0,L6/K6)</f>
        <v>108.06062111801241</v>
      </c>
      <c r="N6" s="51">
        <f t="shared" ref="N6:O53" si="2">+E6+H6-K6</f>
        <v>68573</v>
      </c>
      <c r="O6" s="51">
        <f t="shared" si="2"/>
        <v>7410041.9200000018</v>
      </c>
      <c r="P6" s="52">
        <f t="shared" ref="P6:P53" si="3">IF(N6=0,0,O6/N6)</f>
        <v>108.06063494378256</v>
      </c>
      <c r="Q6" s="107"/>
      <c r="R6" s="107"/>
      <c r="S6" s="107"/>
      <c r="T6" s="107"/>
      <c r="U6" s="107"/>
      <c r="V6" s="107"/>
    </row>
    <row r="7" spans="1:22">
      <c r="A7" s="21">
        <v>7398</v>
      </c>
      <c r="B7" s="21">
        <v>5000</v>
      </c>
      <c r="C7" s="21">
        <v>86000</v>
      </c>
      <c r="D7" s="49">
        <v>41671</v>
      </c>
      <c r="E7" s="50">
        <f t="shared" ref="E7:G47" si="4">N6</f>
        <v>68573</v>
      </c>
      <c r="F7" s="50">
        <f t="shared" si="4"/>
        <v>7410041.9200000018</v>
      </c>
      <c r="G7" s="53">
        <f t="shared" si="4"/>
        <v>108.06063494378256</v>
      </c>
      <c r="H7" s="51">
        <v>0</v>
      </c>
      <c r="I7" s="54">
        <v>0</v>
      </c>
      <c r="J7" s="52">
        <f t="shared" si="0"/>
        <v>0</v>
      </c>
      <c r="K7" s="54">
        <v>1031</v>
      </c>
      <c r="L7" s="54">
        <v>111410.52</v>
      </c>
      <c r="M7" s="53">
        <f t="shared" si="1"/>
        <v>108.06064015518913</v>
      </c>
      <c r="N7" s="51">
        <f t="shared" si="2"/>
        <v>67542</v>
      </c>
      <c r="O7" s="51">
        <f t="shared" si="2"/>
        <v>7298631.4000000022</v>
      </c>
      <c r="P7" s="52">
        <f t="shared" si="3"/>
        <v>108.06063486423265</v>
      </c>
      <c r="Q7" s="107"/>
      <c r="R7" s="107"/>
      <c r="S7" s="107"/>
      <c r="T7" s="107"/>
      <c r="U7" s="107"/>
      <c r="V7" s="107"/>
    </row>
    <row r="8" spans="1:22">
      <c r="A8" s="21">
        <v>7398</v>
      </c>
      <c r="B8" s="21">
        <v>5000</v>
      </c>
      <c r="C8" s="21">
        <v>86000</v>
      </c>
      <c r="D8" s="49">
        <v>41699</v>
      </c>
      <c r="E8" s="50">
        <f t="shared" si="4"/>
        <v>67542</v>
      </c>
      <c r="F8" s="50">
        <f t="shared" si="4"/>
        <v>7298631.4000000022</v>
      </c>
      <c r="G8" s="53">
        <f t="shared" si="4"/>
        <v>108.06063486423265</v>
      </c>
      <c r="H8" s="51">
        <v>-3075</v>
      </c>
      <c r="I8" s="54">
        <v>-332286.45</v>
      </c>
      <c r="J8" s="52">
        <f t="shared" si="0"/>
        <v>108.06063414634147</v>
      </c>
      <c r="K8" s="54">
        <v>536</v>
      </c>
      <c r="L8" s="54">
        <v>57920.51</v>
      </c>
      <c r="M8" s="53">
        <f t="shared" si="1"/>
        <v>108.06065298507463</v>
      </c>
      <c r="N8" s="51">
        <f t="shared" si="2"/>
        <v>63931</v>
      </c>
      <c r="O8" s="51">
        <f t="shared" si="2"/>
        <v>6908424.4400000023</v>
      </c>
      <c r="P8" s="52">
        <f t="shared" si="3"/>
        <v>108.06063474683647</v>
      </c>
      <c r="Q8" s="107"/>
      <c r="R8" s="107"/>
      <c r="S8" s="107"/>
      <c r="T8" s="107"/>
      <c r="U8" s="107"/>
      <c r="V8" s="107"/>
    </row>
    <row r="9" spans="1:22">
      <c r="A9" s="47">
        <v>7398</v>
      </c>
      <c r="B9" s="21">
        <v>5000</v>
      </c>
      <c r="C9" s="21">
        <v>86000</v>
      </c>
      <c r="D9" s="49">
        <v>41730</v>
      </c>
      <c r="E9" s="50">
        <f t="shared" si="4"/>
        <v>63931</v>
      </c>
      <c r="F9" s="50">
        <f t="shared" si="4"/>
        <v>6908424.4400000023</v>
      </c>
      <c r="G9" s="53">
        <f t="shared" si="4"/>
        <v>108.06063474683647</v>
      </c>
      <c r="H9" s="51">
        <v>0</v>
      </c>
      <c r="I9" s="54">
        <v>0</v>
      </c>
      <c r="J9" s="52">
        <f t="shared" ref="J9" si="5">IF(H9=0,0,I9/H9)</f>
        <v>0</v>
      </c>
      <c r="K9" s="54">
        <v>735</v>
      </c>
      <c r="L9" s="54">
        <v>79424.570000000007</v>
      </c>
      <c r="M9" s="53">
        <f t="shared" si="1"/>
        <v>108.06063945578232</v>
      </c>
      <c r="N9" s="51">
        <f t="shared" si="2"/>
        <v>63196</v>
      </c>
      <c r="O9" s="51">
        <f t="shared" si="2"/>
        <v>6828999.870000002</v>
      </c>
      <c r="P9" s="52">
        <f t="shared" si="3"/>
        <v>108.06063469206914</v>
      </c>
      <c r="Q9" s="107"/>
      <c r="R9" s="107"/>
      <c r="S9" s="107"/>
      <c r="T9" s="107"/>
      <c r="U9" s="107"/>
      <c r="V9" s="107"/>
    </row>
    <row r="10" spans="1:22">
      <c r="A10" s="47">
        <v>7398</v>
      </c>
      <c r="B10" s="21">
        <v>5000</v>
      </c>
      <c r="C10" s="21">
        <v>86000</v>
      </c>
      <c r="D10" s="49">
        <v>41760</v>
      </c>
      <c r="E10" s="50">
        <f t="shared" si="4"/>
        <v>63196</v>
      </c>
      <c r="F10" s="50">
        <f t="shared" si="4"/>
        <v>6828999.870000002</v>
      </c>
      <c r="G10" s="53">
        <f t="shared" si="4"/>
        <v>108.06063469206914</v>
      </c>
      <c r="H10" s="51">
        <v>0</v>
      </c>
      <c r="I10" s="54">
        <v>0</v>
      </c>
      <c r="J10" s="52">
        <f t="shared" ref="J10:J14" si="6">IF(H10=0,0,I10/H10)</f>
        <v>0</v>
      </c>
      <c r="K10" s="54">
        <v>1364</v>
      </c>
      <c r="L10" s="54">
        <f t="shared" ref="L10" si="7">IF(E10+I10&gt;0,((F10+I10)/(E10+H10)*K10),0)</f>
        <v>147394.7057199823</v>
      </c>
      <c r="M10" s="53">
        <f t="shared" si="1"/>
        <v>108.06063469206914</v>
      </c>
      <c r="N10" s="51">
        <f t="shared" si="2"/>
        <v>61832</v>
      </c>
      <c r="O10" s="51">
        <f t="shared" si="2"/>
        <v>6681605.1642800197</v>
      </c>
      <c r="P10" s="52">
        <f t="shared" si="3"/>
        <v>108.06063469206914</v>
      </c>
      <c r="Q10" s="107"/>
      <c r="R10" s="107"/>
      <c r="S10" s="107"/>
      <c r="T10" s="107"/>
      <c r="U10" s="107"/>
      <c r="V10" s="107"/>
    </row>
    <row r="11" spans="1:22">
      <c r="A11" s="47">
        <v>7398</v>
      </c>
      <c r="B11" s="21">
        <v>5000</v>
      </c>
      <c r="C11" s="21">
        <v>86000</v>
      </c>
      <c r="D11" s="49">
        <v>41791</v>
      </c>
      <c r="E11" s="50">
        <f t="shared" si="4"/>
        <v>61832</v>
      </c>
      <c r="F11" s="50">
        <f t="shared" si="4"/>
        <v>6681605.1642800197</v>
      </c>
      <c r="G11" s="53">
        <f t="shared" si="4"/>
        <v>108.06063469206914</v>
      </c>
      <c r="H11" s="51">
        <v>-22809</v>
      </c>
      <c r="I11" s="54">
        <v>-2464755.02</v>
      </c>
      <c r="J11" s="52">
        <f t="shared" si="6"/>
        <v>108.06063483712569</v>
      </c>
      <c r="K11" s="54">
        <v>1000</v>
      </c>
      <c r="L11" s="54">
        <v>108060.64</v>
      </c>
      <c r="M11" s="53">
        <f t="shared" si="1"/>
        <v>108.06064000000001</v>
      </c>
      <c r="N11" s="51">
        <f t="shared" si="2"/>
        <v>38023</v>
      </c>
      <c r="O11" s="51">
        <f t="shared" si="2"/>
        <v>4108789.50428002</v>
      </c>
      <c r="P11" s="52">
        <f t="shared" si="3"/>
        <v>108.06063446545565</v>
      </c>
      <c r="Q11" s="107"/>
      <c r="R11" s="107"/>
      <c r="S11" s="107"/>
      <c r="T11" s="107"/>
      <c r="U11" s="107"/>
      <c r="V11" s="107"/>
    </row>
    <row r="12" spans="1:22">
      <c r="A12" s="47">
        <v>7398</v>
      </c>
      <c r="B12" s="21">
        <v>5000</v>
      </c>
      <c r="C12" s="21">
        <v>86000</v>
      </c>
      <c r="D12" s="49">
        <v>41821</v>
      </c>
      <c r="E12" s="50">
        <f t="shared" si="4"/>
        <v>38023</v>
      </c>
      <c r="F12" s="50">
        <f t="shared" si="4"/>
        <v>4108789.50428002</v>
      </c>
      <c r="G12" s="53">
        <f t="shared" si="4"/>
        <v>108.06063446545565</v>
      </c>
      <c r="H12" s="51">
        <v>2929</v>
      </c>
      <c r="I12" s="54">
        <v>123290.91</v>
      </c>
      <c r="J12" s="52">
        <f t="shared" si="6"/>
        <v>42.093175145100716</v>
      </c>
      <c r="K12" s="54">
        <v>1367</v>
      </c>
      <c r="L12" s="54">
        <v>141269.14000000001</v>
      </c>
      <c r="M12" s="53">
        <f t="shared" si="1"/>
        <v>103.34245793708853</v>
      </c>
      <c r="N12" s="51">
        <f t="shared" si="2"/>
        <v>39585</v>
      </c>
      <c r="O12" s="51">
        <f t="shared" si="2"/>
        <v>4090811.2742800196</v>
      </c>
      <c r="P12" s="52">
        <f t="shared" si="3"/>
        <v>103.34245987823721</v>
      </c>
      <c r="Q12" s="107"/>
      <c r="R12" s="107"/>
      <c r="S12" s="107"/>
      <c r="T12" s="107"/>
      <c r="U12" s="107"/>
      <c r="V12" s="107"/>
    </row>
    <row r="13" spans="1:22">
      <c r="A13" s="47">
        <v>7398</v>
      </c>
      <c r="B13" s="21">
        <v>5000</v>
      </c>
      <c r="C13" s="21">
        <v>86000</v>
      </c>
      <c r="D13" s="49">
        <v>41852</v>
      </c>
      <c r="E13" s="50">
        <f t="shared" si="4"/>
        <v>39585</v>
      </c>
      <c r="F13" s="50">
        <f t="shared" si="4"/>
        <v>4090811.2742800196</v>
      </c>
      <c r="G13" s="53">
        <f t="shared" si="4"/>
        <v>103.34245987823721</v>
      </c>
      <c r="H13" s="51">
        <v>16432</v>
      </c>
      <c r="I13" s="54">
        <v>2282922.64</v>
      </c>
      <c r="J13" s="52">
        <f t="shared" si="6"/>
        <v>138.93151411879262</v>
      </c>
      <c r="K13" s="54">
        <v>998</v>
      </c>
      <c r="L13" s="54">
        <v>113554.57</v>
      </c>
      <c r="M13" s="53">
        <f t="shared" si="1"/>
        <v>113.78213426853708</v>
      </c>
      <c r="N13" s="51">
        <f t="shared" si="2"/>
        <v>55019</v>
      </c>
      <c r="O13" s="51">
        <f t="shared" si="2"/>
        <v>6260179.3442800194</v>
      </c>
      <c r="P13" s="52">
        <f t="shared" si="3"/>
        <v>113.78213606717715</v>
      </c>
      <c r="Q13" s="107"/>
      <c r="R13" s="107"/>
      <c r="S13" s="107"/>
      <c r="T13" s="107"/>
      <c r="U13" s="107"/>
      <c r="V13" s="107"/>
    </row>
    <row r="14" spans="1:22">
      <c r="A14" s="21">
        <v>7398</v>
      </c>
      <c r="B14" s="21">
        <v>5000</v>
      </c>
      <c r="C14" s="21">
        <v>86000</v>
      </c>
      <c r="D14" s="49">
        <v>41883</v>
      </c>
      <c r="E14" s="50">
        <f t="shared" si="4"/>
        <v>55019</v>
      </c>
      <c r="F14" s="50">
        <f t="shared" si="4"/>
        <v>6260179.3442800194</v>
      </c>
      <c r="G14" s="53">
        <f t="shared" si="4"/>
        <v>113.78213606717715</v>
      </c>
      <c r="H14" s="51">
        <v>25102</v>
      </c>
      <c r="I14" s="54">
        <v>3323161.02</v>
      </c>
      <c r="J14" s="52">
        <f t="shared" si="6"/>
        <v>132.38630467691817</v>
      </c>
      <c r="K14" s="54">
        <v>765</v>
      </c>
      <c r="L14" s="54">
        <v>91502.29</v>
      </c>
      <c r="M14" s="53">
        <f t="shared" si="1"/>
        <v>119.61083660130718</v>
      </c>
      <c r="N14" s="51">
        <f t="shared" si="2"/>
        <v>79356</v>
      </c>
      <c r="O14" s="51">
        <f t="shared" si="2"/>
        <v>9491838.0742800198</v>
      </c>
      <c r="P14" s="52">
        <f t="shared" si="3"/>
        <v>119.61084321639221</v>
      </c>
      <c r="Q14" s="107"/>
      <c r="R14" s="107"/>
      <c r="S14" s="107"/>
      <c r="T14" s="107"/>
      <c r="U14" s="107"/>
      <c r="V14" s="107"/>
    </row>
    <row r="15" spans="1:22">
      <c r="A15" s="21">
        <v>7398</v>
      </c>
      <c r="B15" s="21">
        <v>5000</v>
      </c>
      <c r="C15" s="21">
        <v>86000</v>
      </c>
      <c r="D15" s="49">
        <v>41913</v>
      </c>
      <c r="E15" s="50">
        <f t="shared" si="4"/>
        <v>79356</v>
      </c>
      <c r="F15" s="50">
        <f t="shared" si="4"/>
        <v>9491838.0742800198</v>
      </c>
      <c r="G15" s="53">
        <f t="shared" si="4"/>
        <v>119.61084321639221</v>
      </c>
      <c r="H15" s="51">
        <v>0</v>
      </c>
      <c r="I15" s="54">
        <v>119140.92</v>
      </c>
      <c r="J15" s="52">
        <f t="shared" ref="J15:J29" si="8">IF(H15=0,0,I15/H15)</f>
        <v>0</v>
      </c>
      <c r="K15" s="54">
        <v>644</v>
      </c>
      <c r="L15" s="54">
        <v>77996.240000000005</v>
      </c>
      <c r="M15" s="53">
        <f t="shared" si="1"/>
        <v>121.11217391304349</v>
      </c>
      <c r="N15" s="51">
        <f t="shared" si="2"/>
        <v>78712</v>
      </c>
      <c r="O15" s="51">
        <f t="shared" si="2"/>
        <v>9532982.7542800196</v>
      </c>
      <c r="P15" s="52">
        <f t="shared" si="3"/>
        <v>121.11219069875013</v>
      </c>
      <c r="Q15" s="107"/>
      <c r="R15" s="107"/>
      <c r="S15" s="107"/>
      <c r="T15" s="107"/>
      <c r="U15" s="107"/>
      <c r="V15" s="107"/>
    </row>
    <row r="16" spans="1:22">
      <c r="A16" s="21">
        <v>7398</v>
      </c>
      <c r="B16" s="21">
        <v>5000</v>
      </c>
      <c r="C16" s="21">
        <v>86000</v>
      </c>
      <c r="D16" s="49">
        <v>41944</v>
      </c>
      <c r="E16" s="50">
        <f t="shared" si="4"/>
        <v>78712</v>
      </c>
      <c r="F16" s="50">
        <f t="shared" si="4"/>
        <v>9532982.7542800196</v>
      </c>
      <c r="G16" s="53">
        <f t="shared" si="4"/>
        <v>121.11219069875013</v>
      </c>
      <c r="H16" s="51">
        <v>0</v>
      </c>
      <c r="I16" s="54">
        <v>19323.68</v>
      </c>
      <c r="J16" s="52">
        <f t="shared" si="8"/>
        <v>0</v>
      </c>
      <c r="K16" s="54">
        <v>42</v>
      </c>
      <c r="L16" s="54">
        <v>5097.0200000000004</v>
      </c>
      <c r="M16" s="53">
        <f t="shared" si="1"/>
        <v>121.35761904761905</v>
      </c>
      <c r="N16" s="51">
        <f t="shared" si="2"/>
        <v>78670</v>
      </c>
      <c r="O16" s="51">
        <f t="shared" si="2"/>
        <v>9547209.4142800197</v>
      </c>
      <c r="P16" s="52">
        <f t="shared" si="3"/>
        <v>121.35768926248913</v>
      </c>
      <c r="Q16" s="107"/>
      <c r="R16" s="107"/>
      <c r="S16" s="107"/>
      <c r="T16" s="107"/>
      <c r="U16" s="107"/>
      <c r="V16" s="107"/>
    </row>
    <row r="17" spans="1:22">
      <c r="A17" s="21">
        <v>7398</v>
      </c>
      <c r="B17" s="21">
        <v>5000</v>
      </c>
      <c r="C17" s="21">
        <v>86000</v>
      </c>
      <c r="D17" s="49">
        <v>41974</v>
      </c>
      <c r="E17" s="50">
        <f t="shared" si="4"/>
        <v>78670</v>
      </c>
      <c r="F17" s="50">
        <f t="shared" si="4"/>
        <v>9547209.4142800197</v>
      </c>
      <c r="G17" s="53">
        <f t="shared" si="4"/>
        <v>121.35768926248913</v>
      </c>
      <c r="H17" s="51">
        <v>0</v>
      </c>
      <c r="I17" s="54">
        <v>1320</v>
      </c>
      <c r="J17" s="52">
        <f t="shared" si="8"/>
        <v>0</v>
      </c>
      <c r="K17" s="54">
        <v>574</v>
      </c>
      <c r="L17" s="54">
        <v>69668.95</v>
      </c>
      <c r="M17" s="53">
        <f t="shared" si="1"/>
        <v>121.37447735191637</v>
      </c>
      <c r="N17" s="51">
        <f t="shared" si="2"/>
        <v>78096</v>
      </c>
      <c r="O17" s="51">
        <f t="shared" si="2"/>
        <v>9478860.4642800204</v>
      </c>
      <c r="P17" s="52">
        <f t="shared" si="3"/>
        <v>121.37446814535981</v>
      </c>
      <c r="Q17" s="107"/>
      <c r="R17" s="107"/>
      <c r="S17" s="107"/>
      <c r="T17" s="107"/>
      <c r="U17" s="107"/>
      <c r="V17" s="107"/>
    </row>
    <row r="18" spans="1:22">
      <c r="A18" s="21">
        <v>7398</v>
      </c>
      <c r="B18" s="21">
        <v>5000</v>
      </c>
      <c r="C18" s="21">
        <v>86000</v>
      </c>
      <c r="D18" s="49">
        <v>42005</v>
      </c>
      <c r="E18" s="50">
        <f t="shared" si="4"/>
        <v>78096</v>
      </c>
      <c r="F18" s="50">
        <f t="shared" si="4"/>
        <v>9478860.4642800204</v>
      </c>
      <c r="G18" s="53">
        <f t="shared" si="4"/>
        <v>121.37446814535981</v>
      </c>
      <c r="H18" s="51">
        <v>0</v>
      </c>
      <c r="I18" s="54">
        <v>8480.4</v>
      </c>
      <c r="J18" s="52">
        <f t="shared" si="8"/>
        <v>0</v>
      </c>
      <c r="K18" s="54">
        <v>92</v>
      </c>
      <c r="L18" s="54">
        <v>11176.44</v>
      </c>
      <c r="M18" s="53">
        <f t="shared" si="1"/>
        <v>121.48304347826088</v>
      </c>
      <c r="N18" s="51">
        <f t="shared" si="2"/>
        <v>78004</v>
      </c>
      <c r="O18" s="51">
        <f t="shared" si="2"/>
        <v>9476164.4242800213</v>
      </c>
      <c r="P18" s="52">
        <f t="shared" si="3"/>
        <v>121.48305759038026</v>
      </c>
      <c r="Q18" s="54">
        <f t="shared" ref="Q18:R29" si="9">AVERAGE(N6:N18)</f>
        <v>65426.076923076922</v>
      </c>
      <c r="R18" s="54">
        <f t="shared" si="9"/>
        <v>7470349.0806553997</v>
      </c>
      <c r="S18" s="56">
        <f t="shared" ref="S18:S29" si="10">IF(Q18=0,0,R18/Q18)</f>
        <v>114.17999415490671</v>
      </c>
      <c r="T18" s="54">
        <f t="shared" ref="T18:T29" si="11">N18+A18</f>
        <v>85402</v>
      </c>
      <c r="U18" s="58">
        <v>7398</v>
      </c>
      <c r="V18" s="75">
        <f t="shared" ref="V18:V29" si="12">(T18-U18)/1200</f>
        <v>65.00333333333333</v>
      </c>
    </row>
    <row r="19" spans="1:22">
      <c r="A19" s="21">
        <v>7398</v>
      </c>
      <c r="B19" s="21">
        <v>5000</v>
      </c>
      <c r="C19" s="21">
        <v>86000</v>
      </c>
      <c r="D19" s="49">
        <v>42036</v>
      </c>
      <c r="E19" s="50">
        <f t="shared" si="4"/>
        <v>78004</v>
      </c>
      <c r="F19" s="50">
        <f t="shared" si="4"/>
        <v>9476164.4242800213</v>
      </c>
      <c r="G19" s="53">
        <f t="shared" si="4"/>
        <v>121.48305759038026</v>
      </c>
      <c r="H19" s="51">
        <v>0</v>
      </c>
      <c r="I19" s="54">
        <v>0</v>
      </c>
      <c r="J19" s="52">
        <f t="shared" si="8"/>
        <v>0</v>
      </c>
      <c r="K19" s="54">
        <v>290</v>
      </c>
      <c r="L19" s="54">
        <v>35230.089999999997</v>
      </c>
      <c r="M19" s="53">
        <f t="shared" si="1"/>
        <v>121.48306896551723</v>
      </c>
      <c r="N19" s="51">
        <f t="shared" si="2"/>
        <v>77714</v>
      </c>
      <c r="O19" s="51">
        <f t="shared" si="2"/>
        <v>9440934.3342800215</v>
      </c>
      <c r="P19" s="52">
        <f t="shared" si="3"/>
        <v>121.48305754793243</v>
      </c>
      <c r="Q19" s="54">
        <f t="shared" si="9"/>
        <v>66129.230769230766</v>
      </c>
      <c r="R19" s="54">
        <f t="shared" si="9"/>
        <v>7626571.5740615539</v>
      </c>
      <c r="S19" s="56">
        <f t="shared" si="10"/>
        <v>115.32829711381002</v>
      </c>
      <c r="T19" s="54">
        <f t="shared" si="11"/>
        <v>85112</v>
      </c>
      <c r="U19" s="58">
        <v>7398</v>
      </c>
      <c r="V19" s="75">
        <f t="shared" si="12"/>
        <v>64.76166666666667</v>
      </c>
    </row>
    <row r="20" spans="1:22">
      <c r="A20" s="21">
        <v>7398</v>
      </c>
      <c r="B20" s="21">
        <v>5000</v>
      </c>
      <c r="C20" s="21">
        <v>86000</v>
      </c>
      <c r="D20" s="49">
        <v>42064</v>
      </c>
      <c r="E20" s="50">
        <f t="shared" si="4"/>
        <v>77714</v>
      </c>
      <c r="F20" s="50">
        <f t="shared" si="4"/>
        <v>9440934.3342800215</v>
      </c>
      <c r="G20" s="53">
        <f t="shared" si="4"/>
        <v>121.48305754793243</v>
      </c>
      <c r="H20" s="51">
        <v>0</v>
      </c>
      <c r="I20" s="54">
        <v>0</v>
      </c>
      <c r="J20" s="52">
        <f t="shared" si="8"/>
        <v>0</v>
      </c>
      <c r="K20" s="54">
        <v>804</v>
      </c>
      <c r="L20" s="54">
        <v>97672.37</v>
      </c>
      <c r="M20" s="53">
        <f t="shared" si="1"/>
        <v>121.48304726368158</v>
      </c>
      <c r="N20" s="51">
        <f t="shared" si="2"/>
        <v>76910</v>
      </c>
      <c r="O20" s="51">
        <f t="shared" si="2"/>
        <v>9343261.9642800223</v>
      </c>
      <c r="P20" s="52">
        <f t="shared" si="3"/>
        <v>121.48305765544171</v>
      </c>
      <c r="Q20" s="54">
        <f t="shared" si="9"/>
        <v>66849.846153846156</v>
      </c>
      <c r="R20" s="54">
        <f t="shared" si="9"/>
        <v>7783850.8482369399</v>
      </c>
      <c r="S20" s="56">
        <f t="shared" si="10"/>
        <v>116.43782740088029</v>
      </c>
      <c r="T20" s="54">
        <f t="shared" si="11"/>
        <v>84308</v>
      </c>
      <c r="U20" s="58">
        <v>7398</v>
      </c>
      <c r="V20" s="75">
        <f t="shared" si="12"/>
        <v>64.091666666666669</v>
      </c>
    </row>
    <row r="21" spans="1:22">
      <c r="A21" s="21">
        <v>7398</v>
      </c>
      <c r="B21" s="21">
        <v>5000</v>
      </c>
      <c r="C21" s="21">
        <v>86000</v>
      </c>
      <c r="D21" s="49">
        <v>42095</v>
      </c>
      <c r="E21" s="50">
        <f t="shared" si="4"/>
        <v>76910</v>
      </c>
      <c r="F21" s="50">
        <f t="shared" si="4"/>
        <v>9343261.9642800223</v>
      </c>
      <c r="G21" s="53">
        <f t="shared" si="4"/>
        <v>121.48305765544171</v>
      </c>
      <c r="H21" s="51">
        <v>0</v>
      </c>
      <c r="I21" s="54">
        <v>0</v>
      </c>
      <c r="J21" s="52">
        <f t="shared" si="8"/>
        <v>0</v>
      </c>
      <c r="K21" s="54">
        <v>812</v>
      </c>
      <c r="L21" s="54">
        <v>98644.25</v>
      </c>
      <c r="M21" s="53">
        <f t="shared" si="1"/>
        <v>121.48306650246306</v>
      </c>
      <c r="N21" s="51">
        <f t="shared" si="2"/>
        <v>76098</v>
      </c>
      <c r="O21" s="51">
        <f t="shared" si="2"/>
        <v>9244617.7142800223</v>
      </c>
      <c r="P21" s="52">
        <f t="shared" si="3"/>
        <v>121.48305756104</v>
      </c>
      <c r="Q21" s="54">
        <f t="shared" si="9"/>
        <v>67785.769230769234</v>
      </c>
      <c r="R21" s="54">
        <f t="shared" si="9"/>
        <v>7963558.0231815577</v>
      </c>
      <c r="S21" s="56">
        <f t="shared" si="10"/>
        <v>117.48126654830007</v>
      </c>
      <c r="T21" s="54">
        <f t="shared" si="11"/>
        <v>83496</v>
      </c>
      <c r="U21" s="58">
        <v>7398</v>
      </c>
      <c r="V21" s="75">
        <f t="shared" si="12"/>
        <v>63.414999999999999</v>
      </c>
    </row>
    <row r="22" spans="1:22">
      <c r="A22" s="21">
        <v>7398</v>
      </c>
      <c r="B22" s="21">
        <v>5000</v>
      </c>
      <c r="C22" s="21">
        <v>86000</v>
      </c>
      <c r="D22" s="49">
        <v>42125</v>
      </c>
      <c r="E22" s="50">
        <f t="shared" si="4"/>
        <v>76098</v>
      </c>
      <c r="F22" s="50">
        <f t="shared" si="4"/>
        <v>9244617.7142800223</v>
      </c>
      <c r="G22" s="53">
        <f t="shared" si="4"/>
        <v>121.48305756104</v>
      </c>
      <c r="H22" s="51">
        <v>0</v>
      </c>
      <c r="I22" s="54">
        <v>0</v>
      </c>
      <c r="J22" s="52">
        <f t="shared" si="8"/>
        <v>0</v>
      </c>
      <c r="K22" s="54">
        <v>625</v>
      </c>
      <c r="L22" s="54">
        <v>75926.91</v>
      </c>
      <c r="M22" s="53">
        <f t="shared" si="1"/>
        <v>121.483056</v>
      </c>
      <c r="N22" s="51">
        <f t="shared" si="2"/>
        <v>75473</v>
      </c>
      <c r="O22" s="51">
        <f t="shared" si="2"/>
        <v>9168690.8042800222</v>
      </c>
      <c r="P22" s="52">
        <f t="shared" si="3"/>
        <v>121.48305757396714</v>
      </c>
      <c r="Q22" s="54">
        <f t="shared" si="9"/>
        <v>68730.153846153844</v>
      </c>
      <c r="R22" s="54">
        <f t="shared" si="9"/>
        <v>8143534.2488954058</v>
      </c>
      <c r="S22" s="56">
        <f t="shared" si="10"/>
        <v>118.48561065531676</v>
      </c>
      <c r="T22" s="54">
        <f t="shared" si="11"/>
        <v>82871</v>
      </c>
      <c r="U22" s="58">
        <v>7398</v>
      </c>
      <c r="V22" s="75">
        <f t="shared" si="12"/>
        <v>62.894166666666663</v>
      </c>
    </row>
    <row r="23" spans="1:22">
      <c r="A23" s="21">
        <v>7398</v>
      </c>
      <c r="B23" s="21">
        <v>5000</v>
      </c>
      <c r="C23" s="21">
        <v>86000</v>
      </c>
      <c r="D23" s="49">
        <v>42156</v>
      </c>
      <c r="E23" s="50">
        <f t="shared" si="4"/>
        <v>75473</v>
      </c>
      <c r="F23" s="50">
        <f t="shared" si="4"/>
        <v>9168690.8042800222</v>
      </c>
      <c r="G23" s="53">
        <f t="shared" si="4"/>
        <v>121.48305757396714</v>
      </c>
      <c r="H23" s="51">
        <v>0</v>
      </c>
      <c r="I23" s="54">
        <v>1820.64</v>
      </c>
      <c r="J23" s="52">
        <f t="shared" si="8"/>
        <v>0</v>
      </c>
      <c r="K23" s="54">
        <v>1111</v>
      </c>
      <c r="L23" s="54">
        <v>134994.48000000001</v>
      </c>
      <c r="M23" s="53">
        <f t="shared" si="1"/>
        <v>121.50718271827184</v>
      </c>
      <c r="N23" s="51">
        <f t="shared" si="2"/>
        <v>74362</v>
      </c>
      <c r="O23" s="51">
        <f t="shared" si="2"/>
        <v>9035516.9642800223</v>
      </c>
      <c r="P23" s="52">
        <f t="shared" si="3"/>
        <v>121.50718060676182</v>
      </c>
      <c r="Q23" s="54">
        <f t="shared" si="9"/>
        <v>69694</v>
      </c>
      <c r="R23" s="54">
        <f t="shared" si="9"/>
        <v>8324604.3873569435</v>
      </c>
      <c r="S23" s="56">
        <f t="shared" si="10"/>
        <v>119.44506539095106</v>
      </c>
      <c r="T23" s="54">
        <f t="shared" si="11"/>
        <v>81760</v>
      </c>
      <c r="U23" s="58">
        <v>7398</v>
      </c>
      <c r="V23" s="75">
        <f t="shared" si="12"/>
        <v>61.968333333333334</v>
      </c>
    </row>
    <row r="24" spans="1:22">
      <c r="A24" s="21">
        <v>7398</v>
      </c>
      <c r="B24" s="21">
        <v>5000</v>
      </c>
      <c r="C24" s="21">
        <v>86000</v>
      </c>
      <c r="D24" s="49">
        <v>42186</v>
      </c>
      <c r="E24" s="50">
        <f t="shared" si="4"/>
        <v>74362</v>
      </c>
      <c r="F24" s="50">
        <f t="shared" si="4"/>
        <v>9035516.9642800223</v>
      </c>
      <c r="G24" s="53">
        <f t="shared" si="4"/>
        <v>121.50718060676182</v>
      </c>
      <c r="H24" s="51">
        <v>0</v>
      </c>
      <c r="I24" s="54">
        <v>14661.44</v>
      </c>
      <c r="J24" s="52">
        <f t="shared" si="8"/>
        <v>0</v>
      </c>
      <c r="K24" s="54">
        <v>564</v>
      </c>
      <c r="L24" s="54">
        <v>68641.25</v>
      </c>
      <c r="M24" s="53">
        <f t="shared" si="1"/>
        <v>121.7043439716312</v>
      </c>
      <c r="N24" s="51">
        <f t="shared" si="2"/>
        <v>73798</v>
      </c>
      <c r="O24" s="51">
        <f t="shared" si="2"/>
        <v>8981537.1542800218</v>
      </c>
      <c r="P24" s="52">
        <f t="shared" si="3"/>
        <v>121.70434367164451</v>
      </c>
      <c r="Q24" s="54">
        <f t="shared" si="9"/>
        <v>72445.923076923078</v>
      </c>
      <c r="R24" s="54">
        <f t="shared" si="9"/>
        <v>8699431.1296646371</v>
      </c>
      <c r="S24" s="56">
        <f t="shared" si="10"/>
        <v>120.08172109875088</v>
      </c>
      <c r="T24" s="54">
        <f t="shared" si="11"/>
        <v>81196</v>
      </c>
      <c r="U24" s="58">
        <v>7398</v>
      </c>
      <c r="V24" s="75">
        <f t="shared" si="12"/>
        <v>61.498333333333335</v>
      </c>
    </row>
    <row r="25" spans="1:22">
      <c r="A25" s="21">
        <v>7398</v>
      </c>
      <c r="B25" s="21">
        <v>10000</v>
      </c>
      <c r="C25" s="21">
        <v>86000</v>
      </c>
      <c r="D25" s="49">
        <v>42217</v>
      </c>
      <c r="E25" s="50">
        <f t="shared" si="4"/>
        <v>73798</v>
      </c>
      <c r="F25" s="50">
        <f t="shared" si="4"/>
        <v>8981537.1542800218</v>
      </c>
      <c r="G25" s="53">
        <f t="shared" si="4"/>
        <v>121.70434367164451</v>
      </c>
      <c r="H25" s="51">
        <v>0</v>
      </c>
      <c r="I25" s="54">
        <v>0</v>
      </c>
      <c r="J25" s="52">
        <f t="shared" si="8"/>
        <v>0</v>
      </c>
      <c r="K25" s="54">
        <v>556</v>
      </c>
      <c r="L25" s="54">
        <v>67667.61</v>
      </c>
      <c r="M25" s="53">
        <f t="shared" si="1"/>
        <v>121.70433453237411</v>
      </c>
      <c r="N25" s="51">
        <f t="shared" si="2"/>
        <v>73242</v>
      </c>
      <c r="O25" s="51">
        <f t="shared" si="2"/>
        <v>8913869.5442800224</v>
      </c>
      <c r="P25" s="52">
        <f t="shared" si="3"/>
        <v>121.70434374102322</v>
      </c>
      <c r="Q25" s="54">
        <f t="shared" si="9"/>
        <v>75034.923076923078</v>
      </c>
      <c r="R25" s="54">
        <f t="shared" si="9"/>
        <v>9070435.6119723283</v>
      </c>
      <c r="S25" s="56">
        <f t="shared" si="10"/>
        <v>120.88285347708889</v>
      </c>
      <c r="T25" s="54">
        <f t="shared" si="11"/>
        <v>80640</v>
      </c>
      <c r="U25" s="58">
        <v>7398</v>
      </c>
      <c r="V25" s="75">
        <f t="shared" si="12"/>
        <v>61.034999999999997</v>
      </c>
    </row>
    <row r="26" spans="1:22">
      <c r="A26" s="21">
        <v>7398</v>
      </c>
      <c r="B26" s="47">
        <v>10000</v>
      </c>
      <c r="C26" s="21">
        <v>86000</v>
      </c>
      <c r="D26" s="49">
        <v>42248</v>
      </c>
      <c r="E26" s="50">
        <f t="shared" si="4"/>
        <v>73242</v>
      </c>
      <c r="F26" s="50">
        <f t="shared" si="4"/>
        <v>8913869.5442800224</v>
      </c>
      <c r="G26" s="53">
        <f t="shared" si="4"/>
        <v>121.70434374102322</v>
      </c>
      <c r="H26" s="51">
        <v>0</v>
      </c>
      <c r="I26" s="54">
        <v>0</v>
      </c>
      <c r="J26" s="52">
        <f t="shared" si="8"/>
        <v>0</v>
      </c>
      <c r="K26" s="54">
        <v>72</v>
      </c>
      <c r="L26" s="54">
        <v>8762.7099999999991</v>
      </c>
      <c r="M26" s="53">
        <f t="shared" si="1"/>
        <v>121.70430555555555</v>
      </c>
      <c r="N26" s="51">
        <f t="shared" si="2"/>
        <v>73170</v>
      </c>
      <c r="O26" s="51">
        <f t="shared" si="2"/>
        <v>8905106.8342800215</v>
      </c>
      <c r="P26" s="52">
        <f t="shared" si="3"/>
        <v>121.70434377859807</v>
      </c>
      <c r="Q26" s="54">
        <f t="shared" si="9"/>
        <v>76431.153846153844</v>
      </c>
      <c r="R26" s="54">
        <f t="shared" si="9"/>
        <v>9273891.5727415588</v>
      </c>
      <c r="S26" s="56">
        <f t="shared" si="10"/>
        <v>121.33653760361538</v>
      </c>
      <c r="T26" s="54">
        <f t="shared" si="11"/>
        <v>80568</v>
      </c>
      <c r="U26" s="58">
        <v>7398</v>
      </c>
      <c r="V26" s="75">
        <f t="shared" si="12"/>
        <v>60.975000000000001</v>
      </c>
    </row>
    <row r="27" spans="1:22">
      <c r="A27" s="21">
        <v>7398</v>
      </c>
      <c r="B27" s="47">
        <v>10000</v>
      </c>
      <c r="C27" s="21">
        <v>86000</v>
      </c>
      <c r="D27" s="49">
        <v>42278</v>
      </c>
      <c r="E27" s="50">
        <f t="shared" si="4"/>
        <v>73170</v>
      </c>
      <c r="F27" s="50">
        <f t="shared" si="4"/>
        <v>8905106.8342800215</v>
      </c>
      <c r="G27" s="53">
        <f t="shared" si="4"/>
        <v>121.70434377859807</v>
      </c>
      <c r="H27" s="51">
        <v>0</v>
      </c>
      <c r="I27" s="54">
        <v>0</v>
      </c>
      <c r="J27" s="52">
        <f t="shared" si="8"/>
        <v>0</v>
      </c>
      <c r="K27" s="54">
        <v>141</v>
      </c>
      <c r="L27" s="54">
        <v>17160.32</v>
      </c>
      <c r="M27" s="53">
        <f t="shared" si="1"/>
        <v>121.70439716312056</v>
      </c>
      <c r="N27" s="51">
        <f t="shared" si="2"/>
        <v>73029</v>
      </c>
      <c r="O27" s="51">
        <f t="shared" si="2"/>
        <v>8887946.5142800212</v>
      </c>
      <c r="P27" s="52">
        <f t="shared" si="3"/>
        <v>121.70434367552645</v>
      </c>
      <c r="Q27" s="54">
        <f t="shared" si="9"/>
        <v>75944.461538461532</v>
      </c>
      <c r="R27" s="54">
        <f t="shared" si="9"/>
        <v>9227438.3758184835</v>
      </c>
      <c r="S27" s="56">
        <f t="shared" si="10"/>
        <v>121.5024530939009</v>
      </c>
      <c r="T27" s="54">
        <f t="shared" si="11"/>
        <v>80427</v>
      </c>
      <c r="U27" s="58">
        <v>7398</v>
      </c>
      <c r="V27" s="75">
        <f t="shared" si="12"/>
        <v>60.857500000000002</v>
      </c>
    </row>
    <row r="28" spans="1:22">
      <c r="A28" s="21">
        <v>7398</v>
      </c>
      <c r="B28" s="47">
        <v>10000</v>
      </c>
      <c r="C28" s="21">
        <v>86000</v>
      </c>
      <c r="D28" s="49">
        <v>42309</v>
      </c>
      <c r="E28" s="50">
        <f t="shared" si="4"/>
        <v>73029</v>
      </c>
      <c r="F28" s="50">
        <f t="shared" si="4"/>
        <v>8887946.5142800212</v>
      </c>
      <c r="G28" s="53">
        <f t="shared" si="4"/>
        <v>121.70434367552645</v>
      </c>
      <c r="H28" s="51">
        <v>0</v>
      </c>
      <c r="I28" s="54">
        <v>0</v>
      </c>
      <c r="J28" s="52">
        <f t="shared" si="8"/>
        <v>0</v>
      </c>
      <c r="K28" s="54">
        <v>148</v>
      </c>
      <c r="L28" s="54">
        <v>18012.25</v>
      </c>
      <c r="M28" s="53">
        <f t="shared" si="1"/>
        <v>121.70439189189189</v>
      </c>
      <c r="N28" s="51">
        <f t="shared" si="2"/>
        <v>72881</v>
      </c>
      <c r="O28" s="51">
        <f t="shared" si="2"/>
        <v>8869934.2642800212</v>
      </c>
      <c r="P28" s="52">
        <f t="shared" si="3"/>
        <v>121.70434357761312</v>
      </c>
      <c r="Q28" s="54">
        <f t="shared" si="9"/>
        <v>75495.923076923078</v>
      </c>
      <c r="R28" s="54">
        <f t="shared" si="9"/>
        <v>9176434.6458184831</v>
      </c>
      <c r="S28" s="56">
        <f t="shared" si="10"/>
        <v>121.54874424766724</v>
      </c>
      <c r="T28" s="54">
        <f t="shared" si="11"/>
        <v>80279</v>
      </c>
      <c r="U28" s="58">
        <v>7398</v>
      </c>
      <c r="V28" s="75">
        <f t="shared" si="12"/>
        <v>60.734166666666667</v>
      </c>
    </row>
    <row r="29" spans="1:22">
      <c r="A29" s="21">
        <v>7398</v>
      </c>
      <c r="B29" s="47">
        <v>10000</v>
      </c>
      <c r="C29" s="21">
        <v>86000</v>
      </c>
      <c r="D29" s="49">
        <v>42339</v>
      </c>
      <c r="E29" s="50">
        <f t="shared" si="4"/>
        <v>72881</v>
      </c>
      <c r="F29" s="50">
        <f t="shared" si="4"/>
        <v>8869934.2642800212</v>
      </c>
      <c r="G29" s="53">
        <f t="shared" si="4"/>
        <v>121.70434357761312</v>
      </c>
      <c r="H29" s="51">
        <v>0</v>
      </c>
      <c r="I29" s="54">
        <v>0</v>
      </c>
      <c r="J29" s="52">
        <f t="shared" si="8"/>
        <v>0</v>
      </c>
      <c r="K29" s="54">
        <v>240</v>
      </c>
      <c r="L29" s="54">
        <v>29209.040000000001</v>
      </c>
      <c r="M29" s="53">
        <f t="shared" si="1"/>
        <v>121.70433333333334</v>
      </c>
      <c r="N29" s="51">
        <f t="shared" si="2"/>
        <v>72641</v>
      </c>
      <c r="O29" s="51">
        <f t="shared" si="2"/>
        <v>8840725.2242800221</v>
      </c>
      <c r="P29" s="52">
        <f t="shared" si="3"/>
        <v>121.70434361145939</v>
      </c>
      <c r="Q29" s="54">
        <f t="shared" si="9"/>
        <v>75032.153846153844</v>
      </c>
      <c r="R29" s="54">
        <f t="shared" si="9"/>
        <v>9122089.7081261761</v>
      </c>
      <c r="S29" s="56">
        <f t="shared" si="10"/>
        <v>121.57574107268914</v>
      </c>
      <c r="T29" s="54">
        <f t="shared" si="11"/>
        <v>80039</v>
      </c>
      <c r="U29" s="58">
        <v>7398</v>
      </c>
      <c r="V29" s="75">
        <f t="shared" si="12"/>
        <v>60.534166666666664</v>
      </c>
    </row>
    <row r="30" spans="1:22">
      <c r="A30" s="21">
        <v>7398</v>
      </c>
      <c r="B30" s="47">
        <v>10000</v>
      </c>
      <c r="C30" s="21">
        <v>86000</v>
      </c>
      <c r="D30" s="13">
        <v>42370</v>
      </c>
      <c r="E30" s="16">
        <f t="shared" si="4"/>
        <v>72641</v>
      </c>
      <c r="F30" s="16">
        <f t="shared" si="4"/>
        <v>8840725.2242800221</v>
      </c>
      <c r="G30" s="14">
        <f t="shared" si="4"/>
        <v>121.70434361145939</v>
      </c>
      <c r="H30" s="46">
        <f t="shared" ref="H30:H88" si="13">IF(E30+A30-K30&lt;C30-B30,C30-E30+K30-A30,0)</f>
        <v>0</v>
      </c>
      <c r="I30" s="23">
        <f t="shared" ref="I30:I88" si="14">H30*J30</f>
        <v>0</v>
      </c>
      <c r="J30" s="22">
        <f>VLOOKUP(D30,Data!$A$5:$V$197,8,FALSE)*5.83</f>
        <v>56.166746915999994</v>
      </c>
      <c r="K30" s="71">
        <f>VLOOKUP(D30,Data!$A$5:$V$197,16,FALSE)</f>
        <v>0</v>
      </c>
      <c r="L30" s="48">
        <f t="shared" ref="L30:L65" si="15">IF(E30+H30&gt;0,((F30+I30)/(E30+H30)*K30),0)</f>
        <v>0</v>
      </c>
      <c r="M30" s="14">
        <f t="shared" si="1"/>
        <v>0</v>
      </c>
      <c r="N30" s="15">
        <f t="shared" si="2"/>
        <v>72641</v>
      </c>
      <c r="O30" s="15">
        <f t="shared" si="2"/>
        <v>8840725.2242800221</v>
      </c>
      <c r="P30" s="22">
        <f t="shared" si="3"/>
        <v>121.70434361145939</v>
      </c>
      <c r="Q30" s="31">
        <f t="shared" ref="Q30:R31" si="16">AVERAGE(N18:N30)</f>
        <v>74612.538461538468</v>
      </c>
      <c r="R30" s="31">
        <f t="shared" si="16"/>
        <v>9073002.3819723316</v>
      </c>
      <c r="S30" s="32">
        <f t="shared" ref="S30:S53" si="17">IF(Q30=0,0,R30/Q30)</f>
        <v>121.60157755052543</v>
      </c>
      <c r="T30" s="31">
        <f t="shared" ref="T30:T65" si="18">N30+A30</f>
        <v>80039</v>
      </c>
      <c r="U30" s="7">
        <v>7398</v>
      </c>
      <c r="V30" s="37">
        <f t="shared" ref="V30:V65" si="19">(T30-U30)/1200</f>
        <v>60.534166666666664</v>
      </c>
    </row>
    <row r="31" spans="1:22">
      <c r="A31" s="21">
        <v>7398</v>
      </c>
      <c r="B31" s="47">
        <v>10000</v>
      </c>
      <c r="C31" s="21">
        <v>86000</v>
      </c>
      <c r="D31" s="13">
        <v>42401</v>
      </c>
      <c r="E31" s="16">
        <f t="shared" si="4"/>
        <v>72641</v>
      </c>
      <c r="F31" s="16">
        <f t="shared" si="4"/>
        <v>8840725.2242800221</v>
      </c>
      <c r="G31" s="14">
        <f t="shared" si="4"/>
        <v>121.70434361145939</v>
      </c>
      <c r="H31" s="46">
        <f t="shared" si="13"/>
        <v>0</v>
      </c>
      <c r="I31" s="91">
        <f t="shared" si="14"/>
        <v>0</v>
      </c>
      <c r="J31" s="22">
        <f>VLOOKUP(D31,Data!$A$5:$V$197,8,FALSE)*5.83</f>
        <v>57.246146916000001</v>
      </c>
      <c r="K31" s="91">
        <f>VLOOKUP(D31,Data!$A$5:$V$197,16,FALSE)</f>
        <v>0</v>
      </c>
      <c r="L31" s="48">
        <f t="shared" si="15"/>
        <v>0</v>
      </c>
      <c r="M31" s="14">
        <f t="shared" si="1"/>
        <v>0</v>
      </c>
      <c r="N31" s="15">
        <f t="shared" si="2"/>
        <v>72641</v>
      </c>
      <c r="O31" s="15">
        <f t="shared" si="2"/>
        <v>8840725.2242800221</v>
      </c>
      <c r="P31" s="22">
        <f t="shared" si="3"/>
        <v>121.70434361145939</v>
      </c>
      <c r="Q31" s="31">
        <f t="shared" si="16"/>
        <v>74200</v>
      </c>
      <c r="R31" s="31">
        <f t="shared" si="16"/>
        <v>9024122.4435107931</v>
      </c>
      <c r="S31" s="32">
        <f t="shared" si="17"/>
        <v>121.61890085594061</v>
      </c>
      <c r="T31" s="31">
        <f t="shared" si="18"/>
        <v>80039</v>
      </c>
      <c r="U31" s="7">
        <v>7398</v>
      </c>
      <c r="V31" s="37">
        <f t="shared" si="19"/>
        <v>60.534166666666664</v>
      </c>
    </row>
    <row r="32" spans="1:22">
      <c r="A32" s="21">
        <v>7398</v>
      </c>
      <c r="B32" s="47">
        <v>10000</v>
      </c>
      <c r="C32" s="21">
        <v>86000</v>
      </c>
      <c r="D32" s="13">
        <v>42430</v>
      </c>
      <c r="E32" s="16">
        <f t="shared" si="4"/>
        <v>72641</v>
      </c>
      <c r="F32" s="16">
        <f t="shared" si="4"/>
        <v>8840725.2242800221</v>
      </c>
      <c r="G32" s="14">
        <f t="shared" si="4"/>
        <v>121.70434361145939</v>
      </c>
      <c r="H32" s="46">
        <f t="shared" si="13"/>
        <v>0</v>
      </c>
      <c r="I32" s="91">
        <f t="shared" si="14"/>
        <v>0</v>
      </c>
      <c r="J32" s="22">
        <f>VLOOKUP(D32,Data!$A$5:$V$197,8,FALSE)*5.83</f>
        <v>58.195346915999984</v>
      </c>
      <c r="K32" s="91">
        <f>VLOOKUP(D32,Data!$A$5:$V$197,16,FALSE)</f>
        <v>0</v>
      </c>
      <c r="L32" s="48">
        <f t="shared" si="15"/>
        <v>0</v>
      </c>
      <c r="M32" s="14">
        <f t="shared" si="1"/>
        <v>0</v>
      </c>
      <c r="N32" s="15">
        <f t="shared" si="2"/>
        <v>72641</v>
      </c>
      <c r="O32" s="15">
        <f t="shared" si="2"/>
        <v>8840725.2242800221</v>
      </c>
      <c r="P32" s="22">
        <f t="shared" si="3"/>
        <v>121.70434361145939</v>
      </c>
      <c r="Q32" s="31">
        <f t="shared" ref="Q32:R47" si="20">AVERAGE(N20:N32)</f>
        <v>73809.769230769234</v>
      </c>
      <c r="R32" s="31">
        <f t="shared" si="20"/>
        <v>8977952.5119723305</v>
      </c>
      <c r="S32" s="32">
        <f t="shared" si="17"/>
        <v>121.6363715201764</v>
      </c>
      <c r="T32" s="31">
        <f t="shared" si="18"/>
        <v>80039</v>
      </c>
      <c r="U32" s="7">
        <v>7398</v>
      </c>
      <c r="V32" s="37">
        <f t="shared" si="19"/>
        <v>60.534166666666664</v>
      </c>
    </row>
    <row r="33" spans="1:22">
      <c r="A33" s="21">
        <v>7398</v>
      </c>
      <c r="B33" s="47">
        <v>10000</v>
      </c>
      <c r="C33" s="21">
        <v>86000</v>
      </c>
      <c r="D33" s="13">
        <v>42461</v>
      </c>
      <c r="E33" s="16">
        <f t="shared" si="4"/>
        <v>72641</v>
      </c>
      <c r="F33" s="16">
        <f t="shared" si="4"/>
        <v>8840725.2242800221</v>
      </c>
      <c r="G33" s="14">
        <f t="shared" si="4"/>
        <v>121.70434361145939</v>
      </c>
      <c r="H33" s="46">
        <f t="shared" si="13"/>
        <v>0</v>
      </c>
      <c r="I33" s="91">
        <f t="shared" si="14"/>
        <v>0</v>
      </c>
      <c r="J33" s="22">
        <f>VLOOKUP(D33,Data!$A$5:$V$197,8,FALSE)*5.83</f>
        <v>58.842146916000004</v>
      </c>
      <c r="K33" s="91">
        <f>VLOOKUP(D33,Data!$A$5:$V$197,16,FALSE)</f>
        <v>0</v>
      </c>
      <c r="L33" s="48">
        <f t="shared" si="15"/>
        <v>0</v>
      </c>
      <c r="M33" s="14">
        <f t="shared" si="1"/>
        <v>0</v>
      </c>
      <c r="N33" s="15">
        <f t="shared" si="2"/>
        <v>72641</v>
      </c>
      <c r="O33" s="15">
        <f t="shared" si="2"/>
        <v>8840725.2242800221</v>
      </c>
      <c r="P33" s="22">
        <f t="shared" si="3"/>
        <v>121.70434361145939</v>
      </c>
      <c r="Q33" s="31">
        <f t="shared" si="20"/>
        <v>73481.38461538461</v>
      </c>
      <c r="R33" s="31">
        <f t="shared" si="20"/>
        <v>8939295.8396646399</v>
      </c>
      <c r="S33" s="32">
        <f t="shared" si="17"/>
        <v>121.65388399326709</v>
      </c>
      <c r="T33" s="31">
        <f t="shared" si="18"/>
        <v>80039</v>
      </c>
      <c r="U33" s="7">
        <v>7398</v>
      </c>
      <c r="V33" s="37">
        <f t="shared" si="19"/>
        <v>60.534166666666664</v>
      </c>
    </row>
    <row r="34" spans="1:22">
      <c r="A34" s="21">
        <v>7398</v>
      </c>
      <c r="B34" s="47">
        <v>10000</v>
      </c>
      <c r="C34" s="21">
        <v>86000</v>
      </c>
      <c r="D34" s="13">
        <v>42491</v>
      </c>
      <c r="E34" s="16">
        <f t="shared" si="4"/>
        <v>72641</v>
      </c>
      <c r="F34" s="16">
        <f t="shared" si="4"/>
        <v>8840725.2242800221</v>
      </c>
      <c r="G34" s="14">
        <f t="shared" si="4"/>
        <v>121.70434361145939</v>
      </c>
      <c r="H34" s="46">
        <f t="shared" si="13"/>
        <v>0</v>
      </c>
      <c r="I34" s="91">
        <f t="shared" si="14"/>
        <v>0</v>
      </c>
      <c r="J34" s="22">
        <f>VLOOKUP(D34,Data!$A$5:$V$197,8,FALSE)*5.83</f>
        <v>59.698946915999983</v>
      </c>
      <c r="K34" s="91">
        <f>VLOOKUP(D34,Data!$A$5:$V$197,16,FALSE)</f>
        <v>0</v>
      </c>
      <c r="L34" s="48">
        <f t="shared" si="15"/>
        <v>0</v>
      </c>
      <c r="M34" s="14">
        <f t="shared" si="1"/>
        <v>0</v>
      </c>
      <c r="N34" s="15">
        <f t="shared" si="2"/>
        <v>72641</v>
      </c>
      <c r="O34" s="15">
        <f t="shared" si="2"/>
        <v>8840725.2242800221</v>
      </c>
      <c r="P34" s="22">
        <f t="shared" si="3"/>
        <v>121.70434361145939</v>
      </c>
      <c r="Q34" s="31">
        <f t="shared" si="20"/>
        <v>73215.461538461532</v>
      </c>
      <c r="R34" s="31">
        <f t="shared" si="20"/>
        <v>8908227.1865877174</v>
      </c>
      <c r="S34" s="32">
        <f t="shared" si="17"/>
        <v>121.67139289162371</v>
      </c>
      <c r="T34" s="31">
        <f t="shared" si="18"/>
        <v>80039</v>
      </c>
      <c r="U34" s="7">
        <v>7398</v>
      </c>
      <c r="V34" s="37">
        <f t="shared" si="19"/>
        <v>60.534166666666664</v>
      </c>
    </row>
    <row r="35" spans="1:22">
      <c r="A35" s="21">
        <v>7398</v>
      </c>
      <c r="B35" s="47">
        <v>10000</v>
      </c>
      <c r="C35" s="21">
        <v>86000</v>
      </c>
      <c r="D35" s="13">
        <v>42522</v>
      </c>
      <c r="E35" s="16">
        <f t="shared" si="4"/>
        <v>72641</v>
      </c>
      <c r="F35" s="16">
        <f t="shared" si="4"/>
        <v>8840725.2242800221</v>
      </c>
      <c r="G35" s="14">
        <f t="shared" si="4"/>
        <v>121.70434361145939</v>
      </c>
      <c r="H35" s="46">
        <f t="shared" si="13"/>
        <v>0</v>
      </c>
      <c r="I35" s="91">
        <f t="shared" si="14"/>
        <v>0</v>
      </c>
      <c r="J35" s="22">
        <f>VLOOKUP(D35,Data!$A$5:$V$197,8,FALSE)*5.83</f>
        <v>60.769946915999988</v>
      </c>
      <c r="K35" s="91">
        <f>VLOOKUP(D35,Data!$A$5:$V$197,16,FALSE)</f>
        <v>0</v>
      </c>
      <c r="L35" s="48">
        <f t="shared" si="15"/>
        <v>0</v>
      </c>
      <c r="M35" s="14">
        <f t="shared" si="1"/>
        <v>0</v>
      </c>
      <c r="N35" s="15">
        <f t="shared" si="2"/>
        <v>72641</v>
      </c>
      <c r="O35" s="15">
        <f t="shared" si="2"/>
        <v>8840725.2242800221</v>
      </c>
      <c r="P35" s="22">
        <f t="shared" si="3"/>
        <v>121.70434361145939</v>
      </c>
      <c r="Q35" s="31">
        <f t="shared" si="20"/>
        <v>72997.61538461539</v>
      </c>
      <c r="R35" s="31">
        <f t="shared" si="20"/>
        <v>8882999.0650492571</v>
      </c>
      <c r="S35" s="32">
        <f t="shared" si="17"/>
        <v>121.68889378434947</v>
      </c>
      <c r="T35" s="31">
        <f t="shared" si="18"/>
        <v>80039</v>
      </c>
      <c r="U35" s="7">
        <v>7398</v>
      </c>
      <c r="V35" s="37">
        <f t="shared" si="19"/>
        <v>60.534166666666664</v>
      </c>
    </row>
    <row r="36" spans="1:22">
      <c r="A36" s="21">
        <v>7398</v>
      </c>
      <c r="B36" s="47">
        <v>10000</v>
      </c>
      <c r="C36" s="21">
        <v>86000</v>
      </c>
      <c r="D36" s="13">
        <v>42552</v>
      </c>
      <c r="E36" s="16">
        <f t="shared" si="4"/>
        <v>72641</v>
      </c>
      <c r="F36" s="16">
        <f t="shared" si="4"/>
        <v>8840725.2242800221</v>
      </c>
      <c r="G36" s="14">
        <f t="shared" si="4"/>
        <v>121.70434361145939</v>
      </c>
      <c r="H36" s="46">
        <f t="shared" si="13"/>
        <v>0</v>
      </c>
      <c r="I36" s="91">
        <f t="shared" si="14"/>
        <v>0</v>
      </c>
      <c r="J36" s="22">
        <f>VLOOKUP(D36,Data!$A$5:$V$197,8,FALSE)*5.83</f>
        <v>61.874546915999986</v>
      </c>
      <c r="K36" s="91">
        <f>VLOOKUP(D36,Data!$A$5:$V$197,16,FALSE)</f>
        <v>0</v>
      </c>
      <c r="L36" s="48">
        <f t="shared" si="15"/>
        <v>0</v>
      </c>
      <c r="M36" s="14">
        <f t="shared" si="1"/>
        <v>0</v>
      </c>
      <c r="N36" s="15">
        <f t="shared" si="2"/>
        <v>72641</v>
      </c>
      <c r="O36" s="15">
        <f t="shared" si="2"/>
        <v>8840725.2242800221</v>
      </c>
      <c r="P36" s="22">
        <f t="shared" si="3"/>
        <v>121.70434361145939</v>
      </c>
      <c r="Q36" s="31">
        <f t="shared" si="20"/>
        <v>72865.230769230766</v>
      </c>
      <c r="R36" s="31">
        <f t="shared" si="20"/>
        <v>8868015.0850492548</v>
      </c>
      <c r="S36" s="32">
        <f t="shared" si="17"/>
        <v>121.70434364141209</v>
      </c>
      <c r="T36" s="31">
        <f t="shared" si="18"/>
        <v>80039</v>
      </c>
      <c r="U36" s="7">
        <v>7398</v>
      </c>
      <c r="V36" s="37">
        <f t="shared" si="19"/>
        <v>60.534166666666664</v>
      </c>
    </row>
    <row r="37" spans="1:22">
      <c r="A37" s="21">
        <v>7398</v>
      </c>
      <c r="B37" s="47">
        <v>10000</v>
      </c>
      <c r="C37" s="21">
        <v>86000</v>
      </c>
      <c r="D37" s="13">
        <v>42583</v>
      </c>
      <c r="E37" s="16">
        <f t="shared" si="4"/>
        <v>72641</v>
      </c>
      <c r="F37" s="16">
        <f t="shared" si="4"/>
        <v>8840725.2242800221</v>
      </c>
      <c r="G37" s="14">
        <f t="shared" si="4"/>
        <v>121.70434361145939</v>
      </c>
      <c r="H37" s="46">
        <f t="shared" si="13"/>
        <v>0</v>
      </c>
      <c r="I37" s="91">
        <f t="shared" si="14"/>
        <v>0</v>
      </c>
      <c r="J37" s="22">
        <f>VLOOKUP(D37,Data!$A$5:$V$197,8,FALSE)*5.83</f>
        <v>62.874146915999994</v>
      </c>
      <c r="K37" s="91">
        <f>VLOOKUP(D37,Data!$A$5:$V$197,16,FALSE)</f>
        <v>0</v>
      </c>
      <c r="L37" s="48">
        <f t="shared" si="15"/>
        <v>0</v>
      </c>
      <c r="M37" s="14">
        <f t="shared" si="1"/>
        <v>0</v>
      </c>
      <c r="N37" s="15">
        <f t="shared" si="2"/>
        <v>72641</v>
      </c>
      <c r="O37" s="15">
        <f t="shared" si="2"/>
        <v>8840725.2242800221</v>
      </c>
      <c r="P37" s="22">
        <f t="shared" si="3"/>
        <v>121.70434361145939</v>
      </c>
      <c r="Q37" s="31">
        <f t="shared" si="20"/>
        <v>72776.230769230766</v>
      </c>
      <c r="R37" s="31">
        <f t="shared" si="20"/>
        <v>8857183.3981261775</v>
      </c>
      <c r="S37" s="32">
        <f t="shared" si="17"/>
        <v>121.70434363675409</v>
      </c>
      <c r="T37" s="31">
        <f t="shared" si="18"/>
        <v>80039</v>
      </c>
      <c r="U37" s="7">
        <v>7398</v>
      </c>
      <c r="V37" s="37">
        <f t="shared" si="19"/>
        <v>60.534166666666664</v>
      </c>
    </row>
    <row r="38" spans="1:22">
      <c r="A38" s="21">
        <v>7398</v>
      </c>
      <c r="B38" s="47">
        <v>10000</v>
      </c>
      <c r="C38" s="21">
        <v>86000</v>
      </c>
      <c r="D38" s="13">
        <v>42614</v>
      </c>
      <c r="E38" s="16">
        <f t="shared" si="4"/>
        <v>72641</v>
      </c>
      <c r="F38" s="16">
        <f t="shared" si="4"/>
        <v>8840725.2242800221</v>
      </c>
      <c r="G38" s="14">
        <f t="shared" si="4"/>
        <v>121.70434361145939</v>
      </c>
      <c r="H38" s="46">
        <f t="shared" si="13"/>
        <v>0</v>
      </c>
      <c r="I38" s="91">
        <f t="shared" si="14"/>
        <v>0</v>
      </c>
      <c r="J38" s="22">
        <f>VLOOKUP(D38,Data!$A$5:$V$197,8,FALSE)*5.83</f>
        <v>63.810746915999978</v>
      </c>
      <c r="K38" s="91">
        <f>VLOOKUP(D38,Data!$A$5:$V$197,16,FALSE)</f>
        <v>0</v>
      </c>
      <c r="L38" s="48">
        <f t="shared" si="15"/>
        <v>0</v>
      </c>
      <c r="M38" s="14">
        <f t="shared" si="1"/>
        <v>0</v>
      </c>
      <c r="N38" s="15">
        <f t="shared" si="2"/>
        <v>72641</v>
      </c>
      <c r="O38" s="15">
        <f t="shared" si="2"/>
        <v>8840725.2242800221</v>
      </c>
      <c r="P38" s="22">
        <f t="shared" si="3"/>
        <v>121.70434361145939</v>
      </c>
      <c r="Q38" s="31">
        <f t="shared" si="20"/>
        <v>72730</v>
      </c>
      <c r="R38" s="31">
        <f t="shared" si="20"/>
        <v>8851556.9119723327</v>
      </c>
      <c r="S38" s="32">
        <f t="shared" si="17"/>
        <v>121.70434362673357</v>
      </c>
      <c r="T38" s="31">
        <f t="shared" si="18"/>
        <v>80039</v>
      </c>
      <c r="U38" s="7">
        <v>7398</v>
      </c>
      <c r="V38" s="37">
        <f t="shared" si="19"/>
        <v>60.534166666666664</v>
      </c>
    </row>
    <row r="39" spans="1:22">
      <c r="A39" s="21">
        <v>7398</v>
      </c>
      <c r="B39" s="47">
        <v>10000</v>
      </c>
      <c r="C39" s="21">
        <v>86000</v>
      </c>
      <c r="D39" s="13">
        <v>42644</v>
      </c>
      <c r="E39" s="16">
        <f t="shared" si="4"/>
        <v>72641</v>
      </c>
      <c r="F39" s="16">
        <f t="shared" si="4"/>
        <v>8840725.2242800221</v>
      </c>
      <c r="G39" s="14">
        <f t="shared" si="4"/>
        <v>121.70434361145939</v>
      </c>
      <c r="H39" s="46">
        <f t="shared" si="13"/>
        <v>0</v>
      </c>
      <c r="I39" s="91">
        <f t="shared" si="14"/>
        <v>0</v>
      </c>
      <c r="J39" s="22">
        <f>VLOOKUP(D39,Data!$A$5:$V$197,8,FALSE)*5.83</f>
        <v>64.785146915999988</v>
      </c>
      <c r="K39" s="91">
        <f>VLOOKUP(D39,Data!$A$5:$V$197,16,FALSE)</f>
        <v>0</v>
      </c>
      <c r="L39" s="48">
        <f t="shared" si="15"/>
        <v>0</v>
      </c>
      <c r="M39" s="14">
        <f t="shared" si="1"/>
        <v>0</v>
      </c>
      <c r="N39" s="15">
        <f t="shared" si="2"/>
        <v>72641</v>
      </c>
      <c r="O39" s="15">
        <f t="shared" si="2"/>
        <v>8840725.2242800221</v>
      </c>
      <c r="P39" s="22">
        <f t="shared" si="3"/>
        <v>121.70434361145939</v>
      </c>
      <c r="Q39" s="31">
        <f t="shared" si="20"/>
        <v>72689.307692307688</v>
      </c>
      <c r="R39" s="31">
        <f t="shared" si="20"/>
        <v>8846604.4804338701</v>
      </c>
      <c r="S39" s="32">
        <f t="shared" si="17"/>
        <v>121.70434361380028</v>
      </c>
      <c r="T39" s="31">
        <f t="shared" si="18"/>
        <v>80039</v>
      </c>
      <c r="U39" s="7">
        <v>7398</v>
      </c>
      <c r="V39" s="37">
        <f t="shared" si="19"/>
        <v>60.534166666666664</v>
      </c>
    </row>
    <row r="40" spans="1:22">
      <c r="A40" s="21">
        <v>7398</v>
      </c>
      <c r="B40" s="47">
        <v>10000</v>
      </c>
      <c r="C40" s="21">
        <v>86000</v>
      </c>
      <c r="D40" s="13">
        <v>42675</v>
      </c>
      <c r="E40" s="16">
        <f t="shared" si="4"/>
        <v>72641</v>
      </c>
      <c r="F40" s="16">
        <f t="shared" si="4"/>
        <v>8840725.2242800221</v>
      </c>
      <c r="G40" s="14">
        <f t="shared" si="4"/>
        <v>121.70434361145939</v>
      </c>
      <c r="H40" s="46">
        <f t="shared" si="13"/>
        <v>0</v>
      </c>
      <c r="I40" s="91">
        <f t="shared" si="14"/>
        <v>0</v>
      </c>
      <c r="J40" s="22">
        <f>VLOOKUP(D40,Data!$A$5:$V$197,8,FALSE)*5.83</f>
        <v>65.662946915999996</v>
      </c>
      <c r="K40" s="91">
        <f>VLOOKUP(D40,Data!$A$5:$V$197,16,FALSE)</f>
        <v>0</v>
      </c>
      <c r="L40" s="48">
        <f t="shared" si="15"/>
        <v>0</v>
      </c>
      <c r="M40" s="14">
        <f t="shared" si="1"/>
        <v>0</v>
      </c>
      <c r="N40" s="15">
        <f t="shared" si="2"/>
        <v>72641</v>
      </c>
      <c r="O40" s="15">
        <f t="shared" si="2"/>
        <v>8840725.2242800221</v>
      </c>
      <c r="P40" s="22">
        <f t="shared" si="3"/>
        <v>121.70434361145939</v>
      </c>
      <c r="Q40" s="31">
        <f t="shared" si="20"/>
        <v>72659.461538461532</v>
      </c>
      <c r="R40" s="31">
        <f t="shared" si="20"/>
        <v>8842972.073510794</v>
      </c>
      <c r="S40" s="32">
        <f t="shared" si="17"/>
        <v>121.70434360884795</v>
      </c>
      <c r="T40" s="31">
        <f t="shared" si="18"/>
        <v>80039</v>
      </c>
      <c r="U40" s="7">
        <v>7398</v>
      </c>
      <c r="V40" s="37">
        <f t="shared" si="19"/>
        <v>60.534166666666664</v>
      </c>
    </row>
    <row r="41" spans="1:22">
      <c r="A41" s="21">
        <v>7398</v>
      </c>
      <c r="B41" s="47">
        <v>10000</v>
      </c>
      <c r="C41" s="21">
        <v>86000</v>
      </c>
      <c r="D41" s="13">
        <v>42705</v>
      </c>
      <c r="E41" s="16">
        <f t="shared" si="4"/>
        <v>72641</v>
      </c>
      <c r="F41" s="16">
        <f t="shared" si="4"/>
        <v>8840725.2242800221</v>
      </c>
      <c r="G41" s="14">
        <f t="shared" si="4"/>
        <v>121.70434361145939</v>
      </c>
      <c r="H41" s="46">
        <f t="shared" si="13"/>
        <v>0</v>
      </c>
      <c r="I41" s="91">
        <f t="shared" si="14"/>
        <v>0</v>
      </c>
      <c r="J41" s="22">
        <f>VLOOKUP(D41,Data!$A$5:$V$197,8,FALSE)*5.83</f>
        <v>66.486146915999981</v>
      </c>
      <c r="K41" s="91">
        <f>VLOOKUP(D41,Data!$A$5:$V$197,16,FALSE)</f>
        <v>0</v>
      </c>
      <c r="L41" s="48">
        <f t="shared" si="15"/>
        <v>0</v>
      </c>
      <c r="M41" s="14">
        <f t="shared" si="1"/>
        <v>0</v>
      </c>
      <c r="N41" s="15">
        <f t="shared" si="2"/>
        <v>72641</v>
      </c>
      <c r="O41" s="15">
        <f t="shared" si="2"/>
        <v>8840725.2242800221</v>
      </c>
      <c r="P41" s="22">
        <f t="shared" si="3"/>
        <v>121.70434361145939</v>
      </c>
      <c r="Q41" s="31">
        <f t="shared" si="20"/>
        <v>72641</v>
      </c>
      <c r="R41" s="31">
        <f t="shared" si="20"/>
        <v>8840725.2242800258</v>
      </c>
      <c r="S41" s="32">
        <f t="shared" si="17"/>
        <v>121.70434361145945</v>
      </c>
      <c r="T41" s="31">
        <f t="shared" si="18"/>
        <v>80039</v>
      </c>
      <c r="U41" s="7">
        <v>7398</v>
      </c>
      <c r="V41" s="37">
        <f t="shared" si="19"/>
        <v>60.534166666666664</v>
      </c>
    </row>
    <row r="42" spans="1:22">
      <c r="A42" s="21">
        <v>7398</v>
      </c>
      <c r="B42" s="47">
        <v>10000</v>
      </c>
      <c r="C42" s="21">
        <v>86000</v>
      </c>
      <c r="D42" s="13">
        <v>42736</v>
      </c>
      <c r="E42" s="16">
        <f t="shared" si="4"/>
        <v>72641</v>
      </c>
      <c r="F42" s="16">
        <f t="shared" si="4"/>
        <v>8840725.2242800221</v>
      </c>
      <c r="G42" s="14">
        <f t="shared" si="4"/>
        <v>121.70434361145939</v>
      </c>
      <c r="H42" s="46">
        <f t="shared" si="13"/>
        <v>0</v>
      </c>
      <c r="I42" s="91">
        <f t="shared" si="14"/>
        <v>0</v>
      </c>
      <c r="J42" s="22">
        <f>VLOOKUP(D42,Data!$A$5:$V$197,8,FALSE)*5.83</f>
        <v>67.317746916000004</v>
      </c>
      <c r="K42" s="91">
        <f>VLOOKUP(D42,Data!$A$5:$V$197,16,FALSE)</f>
        <v>0</v>
      </c>
      <c r="L42" s="48">
        <f t="shared" si="15"/>
        <v>0</v>
      </c>
      <c r="M42" s="14">
        <f t="shared" si="1"/>
        <v>0</v>
      </c>
      <c r="N42" s="15">
        <f t="shared" si="2"/>
        <v>72641</v>
      </c>
      <c r="O42" s="15">
        <f t="shared" si="2"/>
        <v>8840725.2242800221</v>
      </c>
      <c r="P42" s="22">
        <f t="shared" si="3"/>
        <v>121.70434361145939</v>
      </c>
      <c r="Q42" s="31">
        <f t="shared" si="20"/>
        <v>72641</v>
      </c>
      <c r="R42" s="31">
        <f t="shared" si="20"/>
        <v>8840725.2242800258</v>
      </c>
      <c r="S42" s="32">
        <f t="shared" si="17"/>
        <v>121.70434361145945</v>
      </c>
      <c r="T42" s="31">
        <f t="shared" si="18"/>
        <v>80039</v>
      </c>
      <c r="U42" s="7">
        <v>7398</v>
      </c>
      <c r="V42" s="37">
        <f t="shared" si="19"/>
        <v>60.534166666666664</v>
      </c>
    </row>
    <row r="43" spans="1:22">
      <c r="A43" s="21">
        <v>7398</v>
      </c>
      <c r="B43" s="47">
        <v>10000</v>
      </c>
      <c r="C43" s="21">
        <v>86000</v>
      </c>
      <c r="D43" s="13">
        <v>42767</v>
      </c>
      <c r="E43" s="16">
        <f t="shared" si="4"/>
        <v>72641</v>
      </c>
      <c r="F43" s="16">
        <f t="shared" si="4"/>
        <v>8840725.2242800221</v>
      </c>
      <c r="G43" s="14">
        <f t="shared" si="4"/>
        <v>121.70434361145939</v>
      </c>
      <c r="H43" s="46">
        <f t="shared" si="13"/>
        <v>0</v>
      </c>
      <c r="I43" s="91">
        <f t="shared" si="14"/>
        <v>0</v>
      </c>
      <c r="J43" s="22">
        <f>VLOOKUP(D43,Data!$A$5:$V$197,8,FALSE)*5.83</f>
        <v>67.989746916000001</v>
      </c>
      <c r="K43" s="91">
        <f>VLOOKUP(D43,Data!$A$5:$V$197,16,FALSE)</f>
        <v>0</v>
      </c>
      <c r="L43" s="48">
        <f t="shared" si="15"/>
        <v>0</v>
      </c>
      <c r="M43" s="14">
        <f t="shared" si="1"/>
        <v>0</v>
      </c>
      <c r="N43" s="15">
        <f t="shared" si="2"/>
        <v>72641</v>
      </c>
      <c r="O43" s="15">
        <f t="shared" si="2"/>
        <v>8840725.2242800221</v>
      </c>
      <c r="P43" s="22">
        <f t="shared" si="3"/>
        <v>121.70434361145939</v>
      </c>
      <c r="Q43" s="31">
        <f t="shared" si="20"/>
        <v>72641</v>
      </c>
      <c r="R43" s="31">
        <f t="shared" si="20"/>
        <v>8840725.2242800258</v>
      </c>
      <c r="S43" s="32">
        <f t="shared" si="17"/>
        <v>121.70434361145945</v>
      </c>
      <c r="T43" s="31">
        <f t="shared" si="18"/>
        <v>80039</v>
      </c>
      <c r="U43" s="7">
        <v>7398</v>
      </c>
      <c r="V43" s="37">
        <f t="shared" si="19"/>
        <v>60.534166666666664</v>
      </c>
    </row>
    <row r="44" spans="1:22">
      <c r="A44" s="21">
        <v>7398</v>
      </c>
      <c r="B44" s="47">
        <v>10000</v>
      </c>
      <c r="C44" s="21">
        <v>86000</v>
      </c>
      <c r="D44" s="13">
        <v>42795</v>
      </c>
      <c r="E44" s="16">
        <f t="shared" si="4"/>
        <v>72641</v>
      </c>
      <c r="F44" s="16">
        <f t="shared" si="4"/>
        <v>8840725.2242800221</v>
      </c>
      <c r="G44" s="14">
        <f t="shared" si="4"/>
        <v>121.70434361145939</v>
      </c>
      <c r="H44" s="46">
        <f t="shared" si="13"/>
        <v>0</v>
      </c>
      <c r="I44" s="91">
        <f t="shared" si="14"/>
        <v>0</v>
      </c>
      <c r="J44" s="22">
        <f>VLOOKUP(D44,Data!$A$5:$V$197,8,FALSE)*5.83</f>
        <v>68.388746915999988</v>
      </c>
      <c r="K44" s="91">
        <f>VLOOKUP(D44,Data!$A$5:$V$197,16,FALSE)</f>
        <v>0</v>
      </c>
      <c r="L44" s="48">
        <f t="shared" si="15"/>
        <v>0</v>
      </c>
      <c r="M44" s="14">
        <f t="shared" si="1"/>
        <v>0</v>
      </c>
      <c r="N44" s="15">
        <f t="shared" si="2"/>
        <v>72641</v>
      </c>
      <c r="O44" s="15">
        <f t="shared" si="2"/>
        <v>8840725.2242800221</v>
      </c>
      <c r="P44" s="22">
        <f t="shared" si="3"/>
        <v>121.70434361145939</v>
      </c>
      <c r="Q44" s="31">
        <f t="shared" si="20"/>
        <v>72641</v>
      </c>
      <c r="R44" s="31">
        <f t="shared" si="20"/>
        <v>8840725.2242800258</v>
      </c>
      <c r="S44" s="32">
        <f t="shared" si="17"/>
        <v>121.70434361145945</v>
      </c>
      <c r="T44" s="31">
        <f t="shared" si="18"/>
        <v>80039</v>
      </c>
      <c r="U44" s="7">
        <v>7398</v>
      </c>
      <c r="V44" s="37">
        <f t="shared" si="19"/>
        <v>60.534166666666664</v>
      </c>
    </row>
    <row r="45" spans="1:22">
      <c r="A45" s="21">
        <v>7398</v>
      </c>
      <c r="B45" s="47">
        <v>10000</v>
      </c>
      <c r="C45" s="21">
        <v>86000</v>
      </c>
      <c r="D45" s="13">
        <v>42826</v>
      </c>
      <c r="E45" s="16">
        <f t="shared" si="4"/>
        <v>72641</v>
      </c>
      <c r="F45" s="16">
        <f t="shared" si="4"/>
        <v>8840725.2242800221</v>
      </c>
      <c r="G45" s="14">
        <f t="shared" si="4"/>
        <v>121.70434361145939</v>
      </c>
      <c r="H45" s="46">
        <f t="shared" si="13"/>
        <v>0</v>
      </c>
      <c r="I45" s="91">
        <f t="shared" si="14"/>
        <v>0</v>
      </c>
      <c r="J45" s="22">
        <f>VLOOKUP(D45,Data!$A$5:$V$197,8,FALSE)*5.83</f>
        <v>68.422346915999995</v>
      </c>
      <c r="K45" s="91">
        <f>VLOOKUP(D45,Data!$A$5:$V$197,16,FALSE)</f>
        <v>0</v>
      </c>
      <c r="L45" s="48">
        <f t="shared" si="15"/>
        <v>0</v>
      </c>
      <c r="M45" s="14">
        <f t="shared" si="1"/>
        <v>0</v>
      </c>
      <c r="N45" s="15">
        <f t="shared" si="2"/>
        <v>72641</v>
      </c>
      <c r="O45" s="15">
        <f t="shared" si="2"/>
        <v>8840725.2242800221</v>
      </c>
      <c r="P45" s="22">
        <f t="shared" si="3"/>
        <v>121.70434361145939</v>
      </c>
      <c r="Q45" s="31">
        <f t="shared" si="20"/>
        <v>72641</v>
      </c>
      <c r="R45" s="31">
        <f t="shared" si="20"/>
        <v>8840725.2242800258</v>
      </c>
      <c r="S45" s="32">
        <f t="shared" si="17"/>
        <v>121.70434361145945</v>
      </c>
      <c r="T45" s="31">
        <f t="shared" si="18"/>
        <v>80039</v>
      </c>
      <c r="U45" s="7">
        <v>7398</v>
      </c>
      <c r="V45" s="37">
        <f t="shared" si="19"/>
        <v>60.534166666666664</v>
      </c>
    </row>
    <row r="46" spans="1:22">
      <c r="A46" s="21">
        <v>7398</v>
      </c>
      <c r="B46" s="47">
        <v>10000</v>
      </c>
      <c r="C46" s="21">
        <v>86000</v>
      </c>
      <c r="D46" s="13">
        <v>42856</v>
      </c>
      <c r="E46" s="16">
        <f t="shared" si="4"/>
        <v>72641</v>
      </c>
      <c r="F46" s="16">
        <f t="shared" si="4"/>
        <v>8840725.2242800221</v>
      </c>
      <c r="G46" s="14">
        <f t="shared" si="4"/>
        <v>121.70434361145939</v>
      </c>
      <c r="H46" s="46">
        <f t="shared" si="13"/>
        <v>0</v>
      </c>
      <c r="I46" s="91">
        <f t="shared" si="14"/>
        <v>0</v>
      </c>
      <c r="J46" s="22">
        <f>VLOOKUP(D46,Data!$A$5:$V$197,8,FALSE)*5.83</f>
        <v>68.804546915999993</v>
      </c>
      <c r="K46" s="91">
        <f>VLOOKUP(D46,Data!$A$5:$V$197,16,FALSE)</f>
        <v>0</v>
      </c>
      <c r="L46" s="48">
        <f t="shared" si="15"/>
        <v>0</v>
      </c>
      <c r="M46" s="14">
        <f t="shared" si="1"/>
        <v>0</v>
      </c>
      <c r="N46" s="15">
        <f t="shared" si="2"/>
        <v>72641</v>
      </c>
      <c r="O46" s="15">
        <f t="shared" si="2"/>
        <v>8840725.2242800221</v>
      </c>
      <c r="P46" s="22">
        <f t="shared" si="3"/>
        <v>121.70434361145939</v>
      </c>
      <c r="Q46" s="31">
        <f t="shared" si="20"/>
        <v>72641</v>
      </c>
      <c r="R46" s="31">
        <f t="shared" si="20"/>
        <v>8840725.2242800258</v>
      </c>
      <c r="S46" s="32">
        <f t="shared" si="17"/>
        <v>121.70434361145945</v>
      </c>
      <c r="T46" s="31">
        <f t="shared" si="18"/>
        <v>80039</v>
      </c>
      <c r="U46" s="7">
        <v>7398</v>
      </c>
      <c r="V46" s="37">
        <f t="shared" si="19"/>
        <v>60.534166666666664</v>
      </c>
    </row>
    <row r="47" spans="1:22">
      <c r="A47" s="21">
        <v>7398</v>
      </c>
      <c r="B47" s="47">
        <v>10000</v>
      </c>
      <c r="C47" s="21">
        <v>86000</v>
      </c>
      <c r="D47" s="13">
        <v>42887</v>
      </c>
      <c r="E47" s="16">
        <f t="shared" si="4"/>
        <v>72641</v>
      </c>
      <c r="F47" s="16">
        <f t="shared" si="4"/>
        <v>8840725.2242800221</v>
      </c>
      <c r="G47" s="14">
        <f t="shared" si="4"/>
        <v>121.70434361145939</v>
      </c>
      <c r="H47" s="46">
        <f t="shared" si="13"/>
        <v>0</v>
      </c>
      <c r="I47" s="91">
        <f t="shared" si="14"/>
        <v>0</v>
      </c>
      <c r="J47" s="22">
        <f>VLOOKUP(D47,Data!$A$5:$V$197,8,FALSE)*5.83</f>
        <v>69.316946915999992</v>
      </c>
      <c r="K47" s="91">
        <f>VLOOKUP(D47,Data!$A$5:$V$197,16,FALSE)</f>
        <v>0</v>
      </c>
      <c r="L47" s="48">
        <f t="shared" si="15"/>
        <v>0</v>
      </c>
      <c r="M47" s="14">
        <f t="shared" ref="M47:M53" si="21">IF(K47=0,0,L47/K47)</f>
        <v>0</v>
      </c>
      <c r="N47" s="15">
        <f t="shared" si="2"/>
        <v>72641</v>
      </c>
      <c r="O47" s="15">
        <f t="shared" si="2"/>
        <v>8840725.2242800221</v>
      </c>
      <c r="P47" s="22">
        <f t="shared" si="3"/>
        <v>121.70434361145939</v>
      </c>
      <c r="Q47" s="31">
        <f t="shared" si="20"/>
        <v>72641</v>
      </c>
      <c r="R47" s="31">
        <f t="shared" si="20"/>
        <v>8840725.2242800258</v>
      </c>
      <c r="S47" s="32">
        <f t="shared" si="17"/>
        <v>121.70434361145945</v>
      </c>
      <c r="T47" s="31">
        <f t="shared" si="18"/>
        <v>80039</v>
      </c>
      <c r="U47" s="7">
        <v>7398</v>
      </c>
      <c r="V47" s="37">
        <f t="shared" si="19"/>
        <v>60.534166666666664</v>
      </c>
    </row>
    <row r="48" spans="1:22">
      <c r="A48" s="21">
        <v>7398</v>
      </c>
      <c r="B48" s="47">
        <v>10000</v>
      </c>
      <c r="C48" s="21">
        <v>86000</v>
      </c>
      <c r="D48" s="13">
        <v>42917</v>
      </c>
      <c r="E48" s="16">
        <f t="shared" ref="E48:G53" si="22">N47</f>
        <v>72641</v>
      </c>
      <c r="F48" s="16">
        <f t="shared" si="22"/>
        <v>8840725.2242800221</v>
      </c>
      <c r="G48" s="14">
        <f t="shared" si="22"/>
        <v>121.70434361145939</v>
      </c>
      <c r="H48" s="46">
        <f t="shared" si="13"/>
        <v>0</v>
      </c>
      <c r="I48" s="91">
        <f t="shared" si="14"/>
        <v>0</v>
      </c>
      <c r="J48" s="22">
        <f>VLOOKUP(D48,Data!$A$5:$V$197,8,FALSE)*5.83</f>
        <v>69.993146916000001</v>
      </c>
      <c r="K48" s="91">
        <f>VLOOKUP(D48,Data!$A$5:$V$197,16,FALSE)</f>
        <v>0</v>
      </c>
      <c r="L48" s="48">
        <f t="shared" si="15"/>
        <v>0</v>
      </c>
      <c r="M48" s="14">
        <f t="shared" si="21"/>
        <v>0</v>
      </c>
      <c r="N48" s="15">
        <f t="shared" si="2"/>
        <v>72641</v>
      </c>
      <c r="O48" s="15">
        <f t="shared" si="2"/>
        <v>8840725.2242800221</v>
      </c>
      <c r="P48" s="22">
        <f t="shared" si="3"/>
        <v>121.70434361145939</v>
      </c>
      <c r="Q48" s="31">
        <f t="shared" ref="Q48:R53" si="23">AVERAGE(N36:N48)</f>
        <v>72641</v>
      </c>
      <c r="R48" s="31">
        <f t="shared" si="23"/>
        <v>8840725.2242800258</v>
      </c>
      <c r="S48" s="32">
        <f t="shared" si="17"/>
        <v>121.70434361145945</v>
      </c>
      <c r="T48" s="31">
        <f t="shared" si="18"/>
        <v>80039</v>
      </c>
      <c r="U48" s="7">
        <v>7398</v>
      </c>
      <c r="V48" s="37">
        <f t="shared" si="19"/>
        <v>60.534166666666664</v>
      </c>
    </row>
    <row r="49" spans="1:22">
      <c r="A49" s="21">
        <v>7398</v>
      </c>
      <c r="B49" s="47">
        <v>10000</v>
      </c>
      <c r="C49" s="21">
        <v>86000</v>
      </c>
      <c r="D49" s="13">
        <v>42948</v>
      </c>
      <c r="E49" s="16">
        <f t="shared" si="22"/>
        <v>72641</v>
      </c>
      <c r="F49" s="16">
        <f t="shared" si="22"/>
        <v>8840725.2242800221</v>
      </c>
      <c r="G49" s="14">
        <f t="shared" si="22"/>
        <v>121.70434361145939</v>
      </c>
      <c r="H49" s="46">
        <f t="shared" si="13"/>
        <v>0</v>
      </c>
      <c r="I49" s="91">
        <f t="shared" si="14"/>
        <v>0</v>
      </c>
      <c r="J49" s="22">
        <f>VLOOKUP(D49,Data!$A$5:$V$197,8,FALSE)*5.83</f>
        <v>70.681946916000001</v>
      </c>
      <c r="K49" s="91">
        <f>VLOOKUP(D49,Data!$A$5:$V$197,16,FALSE)</f>
        <v>0</v>
      </c>
      <c r="L49" s="48">
        <f t="shared" si="15"/>
        <v>0</v>
      </c>
      <c r="M49" s="14">
        <f t="shared" si="21"/>
        <v>0</v>
      </c>
      <c r="N49" s="15">
        <f t="shared" si="2"/>
        <v>72641</v>
      </c>
      <c r="O49" s="15">
        <f t="shared" si="2"/>
        <v>8840725.2242800221</v>
      </c>
      <c r="P49" s="22">
        <f t="shared" si="3"/>
        <v>121.70434361145939</v>
      </c>
      <c r="Q49" s="31">
        <f t="shared" si="23"/>
        <v>72641</v>
      </c>
      <c r="R49" s="31">
        <f t="shared" si="23"/>
        <v>8840725.2242800258</v>
      </c>
      <c r="S49" s="32">
        <f t="shared" si="17"/>
        <v>121.70434361145945</v>
      </c>
      <c r="T49" s="31">
        <f t="shared" si="18"/>
        <v>80039</v>
      </c>
      <c r="U49" s="7">
        <v>7398</v>
      </c>
      <c r="V49" s="37">
        <f t="shared" si="19"/>
        <v>60.534166666666664</v>
      </c>
    </row>
    <row r="50" spans="1:22">
      <c r="A50" s="21">
        <v>7398</v>
      </c>
      <c r="B50" s="47">
        <v>10000</v>
      </c>
      <c r="C50" s="21">
        <v>86000</v>
      </c>
      <c r="D50" s="13">
        <v>42979</v>
      </c>
      <c r="E50" s="16">
        <f t="shared" si="22"/>
        <v>72641</v>
      </c>
      <c r="F50" s="16">
        <f t="shared" si="22"/>
        <v>8840725.2242800221</v>
      </c>
      <c r="G50" s="14">
        <f t="shared" si="22"/>
        <v>121.70434361145939</v>
      </c>
      <c r="H50" s="46">
        <f t="shared" si="13"/>
        <v>0</v>
      </c>
      <c r="I50" s="91">
        <f t="shared" si="14"/>
        <v>0</v>
      </c>
      <c r="J50" s="22">
        <f>VLOOKUP(D50,Data!$A$5:$V$197,8,FALSE)*5.83</f>
        <v>71.395946916</v>
      </c>
      <c r="K50" s="91">
        <f>VLOOKUP(D50,Data!$A$5:$V$197,16,FALSE)</f>
        <v>0</v>
      </c>
      <c r="L50" s="48">
        <f t="shared" si="15"/>
        <v>0</v>
      </c>
      <c r="M50" s="14">
        <f t="shared" si="21"/>
        <v>0</v>
      </c>
      <c r="N50" s="15">
        <f t="shared" si="2"/>
        <v>72641</v>
      </c>
      <c r="O50" s="15">
        <f t="shared" si="2"/>
        <v>8840725.2242800221</v>
      </c>
      <c r="P50" s="22">
        <f t="shared" si="3"/>
        <v>121.70434361145939</v>
      </c>
      <c r="Q50" s="31">
        <f t="shared" si="23"/>
        <v>72641</v>
      </c>
      <c r="R50" s="31">
        <f t="shared" si="23"/>
        <v>8840725.2242800258</v>
      </c>
      <c r="S50" s="32">
        <f t="shared" si="17"/>
        <v>121.70434361145945</v>
      </c>
      <c r="T50" s="31">
        <f t="shared" si="18"/>
        <v>80039</v>
      </c>
      <c r="U50" s="7">
        <v>7398</v>
      </c>
      <c r="V50" s="37">
        <f t="shared" si="19"/>
        <v>60.534166666666664</v>
      </c>
    </row>
    <row r="51" spans="1:22">
      <c r="A51" s="21">
        <v>7398</v>
      </c>
      <c r="B51" s="47">
        <v>10000</v>
      </c>
      <c r="C51" s="21">
        <v>86000</v>
      </c>
      <c r="D51" s="13">
        <v>43009</v>
      </c>
      <c r="E51" s="16">
        <f t="shared" si="22"/>
        <v>72641</v>
      </c>
      <c r="F51" s="16">
        <f t="shared" si="22"/>
        <v>8840725.2242800221</v>
      </c>
      <c r="G51" s="14">
        <f t="shared" si="22"/>
        <v>121.70434361145939</v>
      </c>
      <c r="H51" s="46">
        <f t="shared" si="13"/>
        <v>0</v>
      </c>
      <c r="I51" s="91">
        <f t="shared" si="14"/>
        <v>0</v>
      </c>
      <c r="J51" s="22">
        <f>VLOOKUP(D51,Data!$A$5:$V$197,8,FALSE)*5.83</f>
        <v>72.109946915999984</v>
      </c>
      <c r="K51" s="91">
        <f>VLOOKUP(D51,Data!$A$5:$V$197,16,FALSE)</f>
        <v>0</v>
      </c>
      <c r="L51" s="48">
        <f t="shared" si="15"/>
        <v>0</v>
      </c>
      <c r="M51" s="14">
        <f t="shared" si="21"/>
        <v>0</v>
      </c>
      <c r="N51" s="15">
        <f t="shared" si="2"/>
        <v>72641</v>
      </c>
      <c r="O51" s="15">
        <f t="shared" si="2"/>
        <v>8840725.2242800221</v>
      </c>
      <c r="P51" s="22">
        <f t="shared" si="3"/>
        <v>121.70434361145939</v>
      </c>
      <c r="Q51" s="31">
        <f t="shared" si="23"/>
        <v>72641</v>
      </c>
      <c r="R51" s="31">
        <f t="shared" si="23"/>
        <v>8840725.2242800258</v>
      </c>
      <c r="S51" s="32">
        <f t="shared" si="17"/>
        <v>121.70434361145945</v>
      </c>
      <c r="T51" s="31">
        <f t="shared" si="18"/>
        <v>80039</v>
      </c>
      <c r="U51" s="7">
        <v>7398</v>
      </c>
      <c r="V51" s="37">
        <f t="shared" si="19"/>
        <v>60.534166666666664</v>
      </c>
    </row>
    <row r="52" spans="1:22">
      <c r="A52" s="21">
        <v>7398</v>
      </c>
      <c r="B52" s="47">
        <v>10000</v>
      </c>
      <c r="C52" s="21">
        <v>86000</v>
      </c>
      <c r="D52" s="13">
        <v>43040</v>
      </c>
      <c r="E52" s="16">
        <f t="shared" si="22"/>
        <v>72641</v>
      </c>
      <c r="F52" s="16">
        <f t="shared" si="22"/>
        <v>8840725.2242800221</v>
      </c>
      <c r="G52" s="14">
        <f t="shared" si="22"/>
        <v>121.70434361145939</v>
      </c>
      <c r="H52" s="46">
        <f t="shared" si="13"/>
        <v>0</v>
      </c>
      <c r="I52" s="91">
        <f t="shared" si="14"/>
        <v>0</v>
      </c>
      <c r="J52" s="22">
        <f>VLOOKUP(D52,Data!$A$5:$V$197,8,FALSE)*5.83</f>
        <v>72.697946915999992</v>
      </c>
      <c r="K52" s="91">
        <f>VLOOKUP(D52,Data!$A$5:$V$197,16,FALSE)</f>
        <v>0</v>
      </c>
      <c r="L52" s="48">
        <f t="shared" si="15"/>
        <v>0</v>
      </c>
      <c r="M52" s="14">
        <f t="shared" si="21"/>
        <v>0</v>
      </c>
      <c r="N52" s="15">
        <f t="shared" si="2"/>
        <v>72641</v>
      </c>
      <c r="O52" s="15">
        <f t="shared" si="2"/>
        <v>8840725.2242800221</v>
      </c>
      <c r="P52" s="22">
        <f t="shared" si="3"/>
        <v>121.70434361145939</v>
      </c>
      <c r="Q52" s="31">
        <f t="shared" si="23"/>
        <v>72641</v>
      </c>
      <c r="R52" s="31">
        <f t="shared" si="23"/>
        <v>8840725.2242800258</v>
      </c>
      <c r="S52" s="32">
        <f t="shared" si="17"/>
        <v>121.70434361145945</v>
      </c>
      <c r="T52" s="31">
        <f t="shared" si="18"/>
        <v>80039</v>
      </c>
      <c r="U52" s="7">
        <v>7398</v>
      </c>
      <c r="V52" s="37">
        <f t="shared" si="19"/>
        <v>60.534166666666664</v>
      </c>
    </row>
    <row r="53" spans="1:22">
      <c r="A53" s="21">
        <v>7398</v>
      </c>
      <c r="B53" s="47">
        <v>10000</v>
      </c>
      <c r="C53" s="21">
        <v>86000</v>
      </c>
      <c r="D53" s="13">
        <v>43070</v>
      </c>
      <c r="E53" s="16">
        <f t="shared" si="22"/>
        <v>72641</v>
      </c>
      <c r="F53" s="16">
        <f t="shared" si="22"/>
        <v>8840725.2242800221</v>
      </c>
      <c r="G53" s="14">
        <f t="shared" si="22"/>
        <v>121.70434361145939</v>
      </c>
      <c r="H53" s="46">
        <f t="shared" si="13"/>
        <v>0</v>
      </c>
      <c r="I53" s="91">
        <f t="shared" si="14"/>
        <v>0</v>
      </c>
      <c r="J53" s="22">
        <f>VLOOKUP(D53,Data!$A$5:$V$197,8,FALSE)*5.83</f>
        <v>73.201946915999983</v>
      </c>
      <c r="K53" s="91">
        <f>VLOOKUP(D53,Data!$A$5:$V$197,16,FALSE)</f>
        <v>0</v>
      </c>
      <c r="L53" s="48">
        <f t="shared" si="15"/>
        <v>0</v>
      </c>
      <c r="M53" s="14">
        <f t="shared" si="21"/>
        <v>0</v>
      </c>
      <c r="N53" s="15">
        <f t="shared" si="2"/>
        <v>72641</v>
      </c>
      <c r="O53" s="15">
        <f t="shared" si="2"/>
        <v>8840725.2242800221</v>
      </c>
      <c r="P53" s="22">
        <f t="shared" si="3"/>
        <v>121.70434361145939</v>
      </c>
      <c r="Q53" s="31">
        <f t="shared" si="23"/>
        <v>72641</v>
      </c>
      <c r="R53" s="31">
        <f t="shared" si="23"/>
        <v>8840725.2242800258</v>
      </c>
      <c r="S53" s="32">
        <f t="shared" si="17"/>
        <v>121.70434361145945</v>
      </c>
      <c r="T53" s="31">
        <f t="shared" si="18"/>
        <v>80039</v>
      </c>
      <c r="U53" s="7">
        <v>7398</v>
      </c>
      <c r="V53" s="37">
        <f t="shared" si="19"/>
        <v>60.534166666666664</v>
      </c>
    </row>
    <row r="54" spans="1:22">
      <c r="A54" s="21">
        <v>7398</v>
      </c>
      <c r="B54" s="47">
        <v>10000</v>
      </c>
      <c r="C54" s="21">
        <v>86000</v>
      </c>
      <c r="D54" s="13">
        <v>43101</v>
      </c>
      <c r="E54" s="16">
        <f t="shared" ref="E54:E65" si="24">N53</f>
        <v>72641</v>
      </c>
      <c r="F54" s="16">
        <f t="shared" ref="F54:F65" si="25">O53</f>
        <v>8840725.2242800221</v>
      </c>
      <c r="G54" s="14">
        <f t="shared" ref="G54:G65" si="26">P53</f>
        <v>121.70434361145939</v>
      </c>
      <c r="H54" s="46">
        <f t="shared" si="13"/>
        <v>0</v>
      </c>
      <c r="I54" s="91">
        <f t="shared" si="14"/>
        <v>0</v>
      </c>
      <c r="J54" s="22">
        <f>VLOOKUP(D54,Data!$A$5:$V$197,8,FALSE)*5.83</f>
        <v>73.726946916000003</v>
      </c>
      <c r="K54" s="91">
        <f>VLOOKUP(D54,Data!$A$5:$V$197,16,FALSE)</f>
        <v>0</v>
      </c>
      <c r="L54" s="48">
        <f t="shared" si="15"/>
        <v>0</v>
      </c>
      <c r="M54" s="14">
        <f t="shared" ref="M54:M65" si="27">IF(K54=0,0,L54/K54)</f>
        <v>0</v>
      </c>
      <c r="N54" s="15">
        <f t="shared" ref="N54:N65" si="28">+E54+H54-K54</f>
        <v>72641</v>
      </c>
      <c r="O54" s="15">
        <f t="shared" ref="O54:O65" si="29">+F54+I54-L54</f>
        <v>8840725.2242800221</v>
      </c>
      <c r="P54" s="22">
        <f t="shared" ref="P54:P65" si="30">IF(N54=0,0,O54/N54)</f>
        <v>121.70434361145939</v>
      </c>
      <c r="Q54" s="31">
        <f t="shared" ref="Q54:Q65" si="31">AVERAGE(N42:N54)</f>
        <v>72641</v>
      </c>
      <c r="R54" s="31">
        <f t="shared" ref="R54:R65" si="32">AVERAGE(O42:O54)</f>
        <v>8840725.2242800258</v>
      </c>
      <c r="S54" s="32">
        <f t="shared" ref="S54:S65" si="33">IF(Q54=0,0,R54/Q54)</f>
        <v>121.70434361145945</v>
      </c>
      <c r="T54" s="31">
        <f t="shared" si="18"/>
        <v>80039</v>
      </c>
      <c r="U54" s="7">
        <v>7398</v>
      </c>
      <c r="V54" s="37">
        <f t="shared" si="19"/>
        <v>60.534166666666664</v>
      </c>
    </row>
    <row r="55" spans="1:22">
      <c r="A55" s="21">
        <v>7398</v>
      </c>
      <c r="B55" s="47">
        <v>10000</v>
      </c>
      <c r="C55" s="21">
        <v>86000</v>
      </c>
      <c r="D55" s="13">
        <v>43132</v>
      </c>
      <c r="E55" s="16">
        <f t="shared" si="24"/>
        <v>72641</v>
      </c>
      <c r="F55" s="16">
        <f t="shared" si="25"/>
        <v>8840725.2242800221</v>
      </c>
      <c r="G55" s="14">
        <f t="shared" si="26"/>
        <v>121.70434361145939</v>
      </c>
      <c r="H55" s="46">
        <f t="shared" si="13"/>
        <v>0</v>
      </c>
      <c r="I55" s="91">
        <f t="shared" si="14"/>
        <v>0</v>
      </c>
      <c r="J55" s="22">
        <f>VLOOKUP(D55,Data!$A$5:$V$197,8,FALSE)*5.83</f>
        <v>73.999946915999985</v>
      </c>
      <c r="K55" s="91">
        <f>VLOOKUP(D55,Data!$A$5:$V$197,16,FALSE)</f>
        <v>0</v>
      </c>
      <c r="L55" s="48">
        <f t="shared" si="15"/>
        <v>0</v>
      </c>
      <c r="M55" s="14">
        <f t="shared" si="27"/>
        <v>0</v>
      </c>
      <c r="N55" s="15">
        <f t="shared" si="28"/>
        <v>72641</v>
      </c>
      <c r="O55" s="15">
        <f t="shared" si="29"/>
        <v>8840725.2242800221</v>
      </c>
      <c r="P55" s="22">
        <f t="shared" si="30"/>
        <v>121.70434361145939</v>
      </c>
      <c r="Q55" s="31">
        <f t="shared" si="31"/>
        <v>72641</v>
      </c>
      <c r="R55" s="31">
        <f t="shared" si="32"/>
        <v>8840725.2242800258</v>
      </c>
      <c r="S55" s="32">
        <f t="shared" si="33"/>
        <v>121.70434361145945</v>
      </c>
      <c r="T55" s="31">
        <f t="shared" si="18"/>
        <v>80039</v>
      </c>
      <c r="U55" s="7">
        <v>7398</v>
      </c>
      <c r="V55" s="37">
        <f t="shared" si="19"/>
        <v>60.534166666666664</v>
      </c>
    </row>
    <row r="56" spans="1:22">
      <c r="A56" s="21">
        <v>7398</v>
      </c>
      <c r="B56" s="47">
        <v>10000</v>
      </c>
      <c r="C56" s="21">
        <v>86000</v>
      </c>
      <c r="D56" s="13">
        <v>43160</v>
      </c>
      <c r="E56" s="16">
        <f t="shared" si="24"/>
        <v>72641</v>
      </c>
      <c r="F56" s="16">
        <f t="shared" si="25"/>
        <v>8840725.2242800221</v>
      </c>
      <c r="G56" s="14">
        <f t="shared" si="26"/>
        <v>121.70434361145939</v>
      </c>
      <c r="H56" s="46">
        <f t="shared" si="13"/>
        <v>0</v>
      </c>
      <c r="I56" s="91">
        <f t="shared" si="14"/>
        <v>0</v>
      </c>
      <c r="J56" s="22">
        <f>VLOOKUP(D56,Data!$A$5:$V$197,8,FALSE)*5.83</f>
        <v>73.978946915999984</v>
      </c>
      <c r="K56" s="91">
        <f>VLOOKUP(D56,Data!$A$5:$V$197,16,FALSE)</f>
        <v>0</v>
      </c>
      <c r="L56" s="48">
        <f t="shared" si="15"/>
        <v>0</v>
      </c>
      <c r="M56" s="14">
        <f t="shared" si="27"/>
        <v>0</v>
      </c>
      <c r="N56" s="15">
        <f t="shared" si="28"/>
        <v>72641</v>
      </c>
      <c r="O56" s="15">
        <f t="shared" si="29"/>
        <v>8840725.2242800221</v>
      </c>
      <c r="P56" s="22">
        <f t="shared" si="30"/>
        <v>121.70434361145939</v>
      </c>
      <c r="Q56" s="31">
        <f t="shared" si="31"/>
        <v>72641</v>
      </c>
      <c r="R56" s="31">
        <f t="shared" si="32"/>
        <v>8840725.2242800258</v>
      </c>
      <c r="S56" s="32">
        <f t="shared" si="33"/>
        <v>121.70434361145945</v>
      </c>
      <c r="T56" s="31">
        <f t="shared" si="18"/>
        <v>80039</v>
      </c>
      <c r="U56" s="7">
        <v>7398</v>
      </c>
      <c r="V56" s="37">
        <f t="shared" si="19"/>
        <v>60.534166666666664</v>
      </c>
    </row>
    <row r="57" spans="1:22">
      <c r="A57" s="21">
        <v>7398</v>
      </c>
      <c r="B57" s="47">
        <v>10000</v>
      </c>
      <c r="C57" s="21">
        <v>86000</v>
      </c>
      <c r="D57" s="13">
        <v>43191</v>
      </c>
      <c r="E57" s="16">
        <f t="shared" si="24"/>
        <v>72641</v>
      </c>
      <c r="F57" s="16">
        <f t="shared" si="25"/>
        <v>8840725.2242800221</v>
      </c>
      <c r="G57" s="14">
        <f t="shared" si="26"/>
        <v>121.70434361145939</v>
      </c>
      <c r="H57" s="46">
        <f t="shared" si="13"/>
        <v>0</v>
      </c>
      <c r="I57" s="91">
        <f t="shared" si="14"/>
        <v>0</v>
      </c>
      <c r="J57" s="22">
        <f>VLOOKUP(D57,Data!$A$5:$V$197,8,FALSE)*5.83</f>
        <v>73.810946915999992</v>
      </c>
      <c r="K57" s="91">
        <f>VLOOKUP(D57,Data!$A$5:$V$197,16,FALSE)</f>
        <v>0</v>
      </c>
      <c r="L57" s="48">
        <f t="shared" si="15"/>
        <v>0</v>
      </c>
      <c r="M57" s="14">
        <f t="shared" si="27"/>
        <v>0</v>
      </c>
      <c r="N57" s="15">
        <f t="shared" si="28"/>
        <v>72641</v>
      </c>
      <c r="O57" s="15">
        <f t="shared" si="29"/>
        <v>8840725.2242800221</v>
      </c>
      <c r="P57" s="22">
        <f t="shared" si="30"/>
        <v>121.70434361145939</v>
      </c>
      <c r="Q57" s="31">
        <f t="shared" si="31"/>
        <v>72641</v>
      </c>
      <c r="R57" s="31">
        <f t="shared" si="32"/>
        <v>8840725.2242800258</v>
      </c>
      <c r="S57" s="32">
        <f t="shared" si="33"/>
        <v>121.70434361145945</v>
      </c>
      <c r="T57" s="31">
        <f t="shared" si="18"/>
        <v>80039</v>
      </c>
      <c r="U57" s="7">
        <v>7398</v>
      </c>
      <c r="V57" s="37">
        <f t="shared" si="19"/>
        <v>60.534166666666664</v>
      </c>
    </row>
    <row r="58" spans="1:22">
      <c r="A58" s="21">
        <v>7398</v>
      </c>
      <c r="B58" s="47">
        <v>10000</v>
      </c>
      <c r="C58" s="21">
        <v>86000</v>
      </c>
      <c r="D58" s="13">
        <v>43221</v>
      </c>
      <c r="E58" s="16">
        <f t="shared" si="24"/>
        <v>72641</v>
      </c>
      <c r="F58" s="16">
        <f t="shared" si="25"/>
        <v>8840725.2242800221</v>
      </c>
      <c r="G58" s="14">
        <f t="shared" si="26"/>
        <v>121.70434361145939</v>
      </c>
      <c r="H58" s="46">
        <f t="shared" si="13"/>
        <v>0</v>
      </c>
      <c r="I58" s="91">
        <f t="shared" si="14"/>
        <v>0</v>
      </c>
      <c r="J58" s="22">
        <f>VLOOKUP(D58,Data!$A$5:$V$197,8,FALSE)*5.83</f>
        <v>74.188946915999992</v>
      </c>
      <c r="K58" s="91">
        <f>VLOOKUP(D58,Data!$A$5:$V$197,16,FALSE)</f>
        <v>0</v>
      </c>
      <c r="L58" s="48">
        <f t="shared" si="15"/>
        <v>0</v>
      </c>
      <c r="M58" s="14">
        <f t="shared" si="27"/>
        <v>0</v>
      </c>
      <c r="N58" s="15">
        <f t="shared" si="28"/>
        <v>72641</v>
      </c>
      <c r="O58" s="15">
        <f t="shared" si="29"/>
        <v>8840725.2242800221</v>
      </c>
      <c r="P58" s="22">
        <f t="shared" si="30"/>
        <v>121.70434361145939</v>
      </c>
      <c r="Q58" s="31">
        <f t="shared" si="31"/>
        <v>72641</v>
      </c>
      <c r="R58" s="31">
        <f t="shared" si="32"/>
        <v>8840725.2242800258</v>
      </c>
      <c r="S58" s="32">
        <f t="shared" si="33"/>
        <v>121.70434361145945</v>
      </c>
      <c r="T58" s="31">
        <f t="shared" si="18"/>
        <v>80039</v>
      </c>
      <c r="U58" s="7">
        <v>7398</v>
      </c>
      <c r="V58" s="37">
        <f t="shared" si="19"/>
        <v>60.534166666666664</v>
      </c>
    </row>
    <row r="59" spans="1:22">
      <c r="A59" s="21">
        <v>7398</v>
      </c>
      <c r="B59" s="47">
        <v>10000</v>
      </c>
      <c r="C59" s="21">
        <v>86000</v>
      </c>
      <c r="D59" s="13">
        <v>43252</v>
      </c>
      <c r="E59" s="16">
        <f t="shared" si="24"/>
        <v>72641</v>
      </c>
      <c r="F59" s="16">
        <f t="shared" si="25"/>
        <v>8840725.2242800221</v>
      </c>
      <c r="G59" s="14">
        <f t="shared" si="26"/>
        <v>121.70434361145939</v>
      </c>
      <c r="H59" s="46">
        <f t="shared" si="13"/>
        <v>0</v>
      </c>
      <c r="I59" s="91">
        <f t="shared" si="14"/>
        <v>0</v>
      </c>
      <c r="J59" s="22">
        <f>VLOOKUP(D59,Data!$A$5:$V$197,8,FALSE)*5.83</f>
        <v>74.629946915999994</v>
      </c>
      <c r="K59" s="91">
        <f>VLOOKUP(D59,Data!$A$5:$V$197,16,FALSE)</f>
        <v>0</v>
      </c>
      <c r="L59" s="48">
        <f t="shared" si="15"/>
        <v>0</v>
      </c>
      <c r="M59" s="14">
        <f t="shared" si="27"/>
        <v>0</v>
      </c>
      <c r="N59" s="15">
        <f t="shared" si="28"/>
        <v>72641</v>
      </c>
      <c r="O59" s="15">
        <f t="shared" si="29"/>
        <v>8840725.2242800221</v>
      </c>
      <c r="P59" s="22">
        <f t="shared" si="30"/>
        <v>121.70434361145939</v>
      </c>
      <c r="Q59" s="31">
        <f t="shared" si="31"/>
        <v>72641</v>
      </c>
      <c r="R59" s="31">
        <f t="shared" si="32"/>
        <v>8840725.2242800258</v>
      </c>
      <c r="S59" s="32">
        <f t="shared" si="33"/>
        <v>121.70434361145945</v>
      </c>
      <c r="T59" s="31">
        <f t="shared" si="18"/>
        <v>80039</v>
      </c>
      <c r="U59" s="7">
        <v>7398</v>
      </c>
      <c r="V59" s="37">
        <f t="shared" si="19"/>
        <v>60.534166666666664</v>
      </c>
    </row>
    <row r="60" spans="1:22">
      <c r="A60" s="21">
        <v>7398</v>
      </c>
      <c r="B60" s="47">
        <v>10000</v>
      </c>
      <c r="C60" s="21">
        <v>86000</v>
      </c>
      <c r="D60" s="13">
        <v>43282</v>
      </c>
      <c r="E60" s="16">
        <f t="shared" si="24"/>
        <v>72641</v>
      </c>
      <c r="F60" s="16">
        <f t="shared" si="25"/>
        <v>8840725.2242800221</v>
      </c>
      <c r="G60" s="14">
        <f t="shared" si="26"/>
        <v>121.70434361145939</v>
      </c>
      <c r="H60" s="46">
        <f t="shared" si="13"/>
        <v>0</v>
      </c>
      <c r="I60" s="91">
        <f t="shared" si="14"/>
        <v>0</v>
      </c>
      <c r="J60" s="22">
        <f>VLOOKUP(D60,Data!$A$5:$V$197,8,FALSE)*5.83</f>
        <v>75.175946915999987</v>
      </c>
      <c r="K60" s="91">
        <f>VLOOKUP(D60,Data!$A$5:$V$197,16,FALSE)</f>
        <v>0</v>
      </c>
      <c r="L60" s="48">
        <f t="shared" si="15"/>
        <v>0</v>
      </c>
      <c r="M60" s="14">
        <f t="shared" si="27"/>
        <v>0</v>
      </c>
      <c r="N60" s="15">
        <f t="shared" si="28"/>
        <v>72641</v>
      </c>
      <c r="O60" s="15">
        <f t="shared" si="29"/>
        <v>8840725.2242800221</v>
      </c>
      <c r="P60" s="22">
        <f t="shared" si="30"/>
        <v>121.70434361145939</v>
      </c>
      <c r="Q60" s="31">
        <f t="shared" si="31"/>
        <v>72641</v>
      </c>
      <c r="R60" s="31">
        <f t="shared" si="32"/>
        <v>8840725.2242800258</v>
      </c>
      <c r="S60" s="32">
        <f t="shared" si="33"/>
        <v>121.70434361145945</v>
      </c>
      <c r="T60" s="31">
        <f t="shared" si="18"/>
        <v>80039</v>
      </c>
      <c r="U60" s="7">
        <v>7398</v>
      </c>
      <c r="V60" s="37">
        <f t="shared" si="19"/>
        <v>60.534166666666664</v>
      </c>
    </row>
    <row r="61" spans="1:22">
      <c r="A61" s="21">
        <v>7398</v>
      </c>
      <c r="B61" s="47">
        <v>10000</v>
      </c>
      <c r="C61" s="21">
        <v>86000</v>
      </c>
      <c r="D61" s="13">
        <v>43313</v>
      </c>
      <c r="E61" s="16">
        <f t="shared" si="24"/>
        <v>72641</v>
      </c>
      <c r="F61" s="16">
        <f t="shared" si="25"/>
        <v>8840725.2242800221</v>
      </c>
      <c r="G61" s="14">
        <f t="shared" si="26"/>
        <v>121.70434361145939</v>
      </c>
      <c r="H61" s="46">
        <f t="shared" si="13"/>
        <v>0</v>
      </c>
      <c r="I61" s="91">
        <f t="shared" si="14"/>
        <v>0</v>
      </c>
      <c r="J61" s="22">
        <f>VLOOKUP(D61,Data!$A$5:$V$197,8,FALSE)*5.83</f>
        <v>75.700946915999978</v>
      </c>
      <c r="K61" s="91">
        <f>VLOOKUP(D61,Data!$A$5:$V$197,16,FALSE)</f>
        <v>0</v>
      </c>
      <c r="L61" s="48">
        <f t="shared" si="15"/>
        <v>0</v>
      </c>
      <c r="M61" s="14">
        <f t="shared" si="27"/>
        <v>0</v>
      </c>
      <c r="N61" s="15">
        <f t="shared" si="28"/>
        <v>72641</v>
      </c>
      <c r="O61" s="15">
        <f t="shared" si="29"/>
        <v>8840725.2242800221</v>
      </c>
      <c r="P61" s="22">
        <f t="shared" si="30"/>
        <v>121.70434361145939</v>
      </c>
      <c r="Q61" s="31">
        <f t="shared" si="31"/>
        <v>72641</v>
      </c>
      <c r="R61" s="31">
        <f t="shared" si="32"/>
        <v>8840725.2242800258</v>
      </c>
      <c r="S61" s="32">
        <f t="shared" si="33"/>
        <v>121.70434361145945</v>
      </c>
      <c r="T61" s="31">
        <f t="shared" si="18"/>
        <v>80039</v>
      </c>
      <c r="U61" s="7">
        <v>7398</v>
      </c>
      <c r="V61" s="37">
        <f t="shared" si="19"/>
        <v>60.534166666666664</v>
      </c>
    </row>
    <row r="62" spans="1:22">
      <c r="A62" s="21">
        <v>7398</v>
      </c>
      <c r="B62" s="47">
        <v>10000</v>
      </c>
      <c r="C62" s="21">
        <v>86000</v>
      </c>
      <c r="D62" s="13">
        <v>43344</v>
      </c>
      <c r="E62" s="16">
        <f t="shared" si="24"/>
        <v>72641</v>
      </c>
      <c r="F62" s="16">
        <f t="shared" si="25"/>
        <v>8840725.2242800221</v>
      </c>
      <c r="G62" s="14">
        <f t="shared" si="26"/>
        <v>121.70434361145939</v>
      </c>
      <c r="H62" s="46">
        <f t="shared" si="13"/>
        <v>0</v>
      </c>
      <c r="I62" s="91">
        <f t="shared" si="14"/>
        <v>0</v>
      </c>
      <c r="J62" s="22">
        <f>VLOOKUP(D62,Data!$A$5:$V$197,8,FALSE)*5.83</f>
        <v>76.246946915999985</v>
      </c>
      <c r="K62" s="91">
        <f>VLOOKUP(D62,Data!$A$5:$V$197,16,FALSE)</f>
        <v>0</v>
      </c>
      <c r="L62" s="48">
        <f t="shared" si="15"/>
        <v>0</v>
      </c>
      <c r="M62" s="14">
        <f t="shared" si="27"/>
        <v>0</v>
      </c>
      <c r="N62" s="15">
        <f t="shared" si="28"/>
        <v>72641</v>
      </c>
      <c r="O62" s="15">
        <f t="shared" si="29"/>
        <v>8840725.2242800221</v>
      </c>
      <c r="P62" s="22">
        <f t="shared" si="30"/>
        <v>121.70434361145939</v>
      </c>
      <c r="Q62" s="31">
        <f t="shared" si="31"/>
        <v>72641</v>
      </c>
      <c r="R62" s="31">
        <f t="shared" si="32"/>
        <v>8840725.2242800258</v>
      </c>
      <c r="S62" s="32">
        <f t="shared" si="33"/>
        <v>121.70434361145945</v>
      </c>
      <c r="T62" s="31">
        <f t="shared" si="18"/>
        <v>80039</v>
      </c>
      <c r="U62" s="7">
        <v>7398</v>
      </c>
      <c r="V62" s="37">
        <f t="shared" si="19"/>
        <v>60.534166666666664</v>
      </c>
    </row>
    <row r="63" spans="1:22">
      <c r="A63" s="21">
        <v>7398</v>
      </c>
      <c r="B63" s="47">
        <v>10000</v>
      </c>
      <c r="C63" s="21">
        <v>86000</v>
      </c>
      <c r="D63" s="13">
        <v>43374</v>
      </c>
      <c r="E63" s="16">
        <f t="shared" si="24"/>
        <v>72641</v>
      </c>
      <c r="F63" s="16">
        <f t="shared" si="25"/>
        <v>8840725.2242800221</v>
      </c>
      <c r="G63" s="14">
        <f t="shared" si="26"/>
        <v>121.70434361145939</v>
      </c>
      <c r="H63" s="46">
        <f t="shared" si="13"/>
        <v>0</v>
      </c>
      <c r="I63" s="91">
        <f t="shared" si="14"/>
        <v>0</v>
      </c>
      <c r="J63" s="22">
        <f>VLOOKUP(D63,Data!$A$5:$V$197,8,FALSE)*5.83</f>
        <v>76.771946915999976</v>
      </c>
      <c r="K63" s="91">
        <f>VLOOKUP(D63,Data!$A$5:$V$197,16,FALSE)</f>
        <v>0</v>
      </c>
      <c r="L63" s="48">
        <f t="shared" si="15"/>
        <v>0</v>
      </c>
      <c r="M63" s="14">
        <f t="shared" si="27"/>
        <v>0</v>
      </c>
      <c r="N63" s="15">
        <f t="shared" si="28"/>
        <v>72641</v>
      </c>
      <c r="O63" s="15">
        <f t="shared" si="29"/>
        <v>8840725.2242800221</v>
      </c>
      <c r="P63" s="22">
        <f t="shared" si="30"/>
        <v>121.70434361145939</v>
      </c>
      <c r="Q63" s="31">
        <f t="shared" si="31"/>
        <v>72641</v>
      </c>
      <c r="R63" s="31">
        <f t="shared" si="32"/>
        <v>8840725.2242800258</v>
      </c>
      <c r="S63" s="32">
        <f t="shared" si="33"/>
        <v>121.70434361145945</v>
      </c>
      <c r="T63" s="31">
        <f t="shared" si="18"/>
        <v>80039</v>
      </c>
      <c r="U63" s="7">
        <v>7398</v>
      </c>
      <c r="V63" s="37">
        <f t="shared" si="19"/>
        <v>60.534166666666664</v>
      </c>
    </row>
    <row r="64" spans="1:22">
      <c r="A64" s="21">
        <v>7398</v>
      </c>
      <c r="B64" s="47">
        <v>10000</v>
      </c>
      <c r="C64" s="21">
        <v>86000</v>
      </c>
      <c r="D64" s="13">
        <v>43405</v>
      </c>
      <c r="E64" s="16">
        <f t="shared" si="24"/>
        <v>72641</v>
      </c>
      <c r="F64" s="16">
        <f t="shared" si="25"/>
        <v>8840725.2242800221</v>
      </c>
      <c r="G64" s="14">
        <f t="shared" si="26"/>
        <v>121.70434361145939</v>
      </c>
      <c r="H64" s="46">
        <f t="shared" si="13"/>
        <v>0</v>
      </c>
      <c r="I64" s="91">
        <f t="shared" si="14"/>
        <v>0</v>
      </c>
      <c r="J64" s="22">
        <f>VLOOKUP(D64,Data!$A$5:$V$197,8,FALSE)*5.83</f>
        <v>77.170946916000005</v>
      </c>
      <c r="K64" s="91">
        <f>VLOOKUP(D64,Data!$A$5:$V$197,16,FALSE)</f>
        <v>0</v>
      </c>
      <c r="L64" s="48">
        <f t="shared" si="15"/>
        <v>0</v>
      </c>
      <c r="M64" s="14">
        <f t="shared" si="27"/>
        <v>0</v>
      </c>
      <c r="N64" s="15">
        <f t="shared" si="28"/>
        <v>72641</v>
      </c>
      <c r="O64" s="15">
        <f t="shared" si="29"/>
        <v>8840725.2242800221</v>
      </c>
      <c r="P64" s="22">
        <f t="shared" si="30"/>
        <v>121.70434361145939</v>
      </c>
      <c r="Q64" s="31">
        <f t="shared" si="31"/>
        <v>72641</v>
      </c>
      <c r="R64" s="31">
        <f t="shared" si="32"/>
        <v>8840725.2242800258</v>
      </c>
      <c r="S64" s="32">
        <f t="shared" si="33"/>
        <v>121.70434361145945</v>
      </c>
      <c r="T64" s="31">
        <f t="shared" si="18"/>
        <v>80039</v>
      </c>
      <c r="U64" s="7">
        <v>7398</v>
      </c>
      <c r="V64" s="37">
        <f t="shared" si="19"/>
        <v>60.534166666666664</v>
      </c>
    </row>
    <row r="65" spans="1:22">
      <c r="A65" s="21">
        <v>7398</v>
      </c>
      <c r="B65" s="47">
        <v>10000</v>
      </c>
      <c r="C65" s="21">
        <v>86000</v>
      </c>
      <c r="D65" s="13">
        <v>43435</v>
      </c>
      <c r="E65" s="16">
        <f t="shared" si="24"/>
        <v>72641</v>
      </c>
      <c r="F65" s="16">
        <f t="shared" si="25"/>
        <v>8840725.2242800221</v>
      </c>
      <c r="G65" s="14">
        <f t="shared" si="26"/>
        <v>121.70434361145939</v>
      </c>
      <c r="H65" s="46">
        <f t="shared" si="13"/>
        <v>0</v>
      </c>
      <c r="I65" s="91">
        <f t="shared" si="14"/>
        <v>0</v>
      </c>
      <c r="J65" s="22">
        <f>VLOOKUP(D65,Data!$A$5:$V$197,8,FALSE)*5.83</f>
        <v>77.50694691599999</v>
      </c>
      <c r="K65" s="91">
        <f>VLOOKUP(D65,Data!$A$5:$V$197,16,FALSE)</f>
        <v>0</v>
      </c>
      <c r="L65" s="48">
        <f t="shared" si="15"/>
        <v>0</v>
      </c>
      <c r="M65" s="14">
        <f t="shared" si="27"/>
        <v>0</v>
      </c>
      <c r="N65" s="15">
        <f t="shared" si="28"/>
        <v>72641</v>
      </c>
      <c r="O65" s="15">
        <f t="shared" si="29"/>
        <v>8840725.2242800221</v>
      </c>
      <c r="P65" s="22">
        <f t="shared" si="30"/>
        <v>121.70434361145939</v>
      </c>
      <c r="Q65" s="31">
        <f t="shared" si="31"/>
        <v>72641</v>
      </c>
      <c r="R65" s="31">
        <f t="shared" si="32"/>
        <v>8840725.2242800258</v>
      </c>
      <c r="S65" s="32">
        <f t="shared" si="33"/>
        <v>121.70434361145945</v>
      </c>
      <c r="T65" s="31">
        <f t="shared" si="18"/>
        <v>80039</v>
      </c>
      <c r="U65" s="7">
        <v>7398</v>
      </c>
      <c r="V65" s="37">
        <f t="shared" si="19"/>
        <v>60.534166666666664</v>
      </c>
    </row>
    <row r="66" spans="1:22">
      <c r="A66" s="47">
        <v>7398</v>
      </c>
      <c r="B66" s="47">
        <v>10000</v>
      </c>
      <c r="C66" s="47">
        <v>86000</v>
      </c>
      <c r="D66" s="13">
        <v>43466</v>
      </c>
      <c r="E66" s="16">
        <f t="shared" ref="E66:E89" si="34">N65</f>
        <v>72641</v>
      </c>
      <c r="F66" s="16">
        <f t="shared" ref="F66:F89" si="35">O65</f>
        <v>8840725.2242800221</v>
      </c>
      <c r="G66" s="14">
        <f t="shared" ref="G66:G89" si="36">P65</f>
        <v>121.70434361145939</v>
      </c>
      <c r="H66" s="46">
        <f t="shared" si="13"/>
        <v>0</v>
      </c>
      <c r="I66" s="91">
        <f t="shared" si="14"/>
        <v>0</v>
      </c>
      <c r="J66" s="22">
        <f>VLOOKUP(D66,Data!$A$5:$V$197,8,FALSE)*5.83</f>
        <v>83.248223461435202</v>
      </c>
      <c r="K66" s="91">
        <f>VLOOKUP(D66,Data!$A$5:$V$197,16,FALSE)</f>
        <v>0</v>
      </c>
      <c r="L66" s="74">
        <f t="shared" ref="L66:L89" si="37">IF(E66+H66&gt;0,((F66+I66)/(E66+H66)*K66),0)</f>
        <v>0</v>
      </c>
      <c r="M66" s="14">
        <f t="shared" ref="M66:M89" si="38">IF(K66=0,0,L66/K66)</f>
        <v>0</v>
      </c>
      <c r="N66" s="46">
        <f t="shared" ref="N66:N89" si="39">+E66+H66-K66</f>
        <v>72641</v>
      </c>
      <c r="O66" s="46">
        <f t="shared" ref="O66:O89" si="40">+F66+I66-L66</f>
        <v>8840725.2242800221</v>
      </c>
      <c r="P66" s="22">
        <f t="shared" ref="P66:P89" si="41">IF(N66=0,0,O66/N66)</f>
        <v>121.70434361145939</v>
      </c>
      <c r="Q66" s="55">
        <f t="shared" ref="Q66:Q89" si="42">AVERAGE(N54:N66)</f>
        <v>72641</v>
      </c>
      <c r="R66" s="55">
        <f t="shared" ref="R66:R89" si="43">AVERAGE(O54:O66)</f>
        <v>8840725.2242800258</v>
      </c>
      <c r="S66" s="32">
        <f t="shared" ref="S66:S89" si="44">IF(Q66=0,0,R66/Q66)</f>
        <v>121.70434361145945</v>
      </c>
      <c r="T66" s="55">
        <f t="shared" ref="T66:T89" si="45">N66+A66</f>
        <v>80039</v>
      </c>
      <c r="U66" s="45">
        <v>7399</v>
      </c>
      <c r="V66" s="37">
        <f t="shared" ref="V66:V89" si="46">(T66-U66)/1200</f>
        <v>60.533333333333331</v>
      </c>
    </row>
    <row r="67" spans="1:22">
      <c r="A67" s="47">
        <v>7398</v>
      </c>
      <c r="B67" s="47">
        <v>10000</v>
      </c>
      <c r="C67" s="47">
        <v>86000</v>
      </c>
      <c r="D67" s="13">
        <v>43497</v>
      </c>
      <c r="E67" s="16">
        <f t="shared" si="34"/>
        <v>72641</v>
      </c>
      <c r="F67" s="16">
        <f t="shared" si="35"/>
        <v>8840725.2242800221</v>
      </c>
      <c r="G67" s="14">
        <f t="shared" si="36"/>
        <v>121.70434361145939</v>
      </c>
      <c r="H67" s="46">
        <f t="shared" si="13"/>
        <v>0</v>
      </c>
      <c r="I67" s="91">
        <f t="shared" si="14"/>
        <v>0</v>
      </c>
      <c r="J67" s="22">
        <f>VLOOKUP(D67,Data!$A$5:$V$197,8,FALSE)*5.83</f>
        <v>85.835650543006707</v>
      </c>
      <c r="K67" s="91">
        <f>VLOOKUP(D67,Data!$A$5:$V$197,16,FALSE)</f>
        <v>0</v>
      </c>
      <c r="L67" s="74">
        <f t="shared" si="37"/>
        <v>0</v>
      </c>
      <c r="M67" s="14">
        <f t="shared" si="38"/>
        <v>0</v>
      </c>
      <c r="N67" s="46">
        <f t="shared" si="39"/>
        <v>72641</v>
      </c>
      <c r="O67" s="46">
        <f t="shared" si="40"/>
        <v>8840725.2242800221</v>
      </c>
      <c r="P67" s="22">
        <f t="shared" si="41"/>
        <v>121.70434361145939</v>
      </c>
      <c r="Q67" s="55">
        <f t="shared" si="42"/>
        <v>72641</v>
      </c>
      <c r="R67" s="55">
        <f t="shared" si="43"/>
        <v>8840725.2242800258</v>
      </c>
      <c r="S67" s="32">
        <f t="shared" si="44"/>
        <v>121.70434361145945</v>
      </c>
      <c r="T67" s="55">
        <f t="shared" si="45"/>
        <v>80039</v>
      </c>
      <c r="U67" s="45">
        <v>7400</v>
      </c>
      <c r="V67" s="37">
        <f t="shared" si="46"/>
        <v>60.532499999999999</v>
      </c>
    </row>
    <row r="68" spans="1:22">
      <c r="A68" s="47">
        <v>7398</v>
      </c>
      <c r="B68" s="47">
        <v>10000</v>
      </c>
      <c r="C68" s="47">
        <v>86000</v>
      </c>
      <c r="D68" s="13">
        <v>43525</v>
      </c>
      <c r="E68" s="16">
        <f t="shared" si="34"/>
        <v>72641</v>
      </c>
      <c r="F68" s="16">
        <f t="shared" si="35"/>
        <v>8840725.2242800221</v>
      </c>
      <c r="G68" s="14">
        <f t="shared" si="36"/>
        <v>121.70434361145939</v>
      </c>
      <c r="H68" s="46">
        <f t="shared" si="13"/>
        <v>0</v>
      </c>
      <c r="I68" s="91">
        <f t="shared" si="14"/>
        <v>0</v>
      </c>
      <c r="J68" s="22">
        <f>VLOOKUP(D68,Data!$A$5:$V$197,8,FALSE)*5.83</f>
        <v>89.886073263527052</v>
      </c>
      <c r="K68" s="91">
        <f>VLOOKUP(D68,Data!$A$5:$V$197,16,FALSE)</f>
        <v>0</v>
      </c>
      <c r="L68" s="74">
        <f t="shared" si="37"/>
        <v>0</v>
      </c>
      <c r="M68" s="14">
        <f t="shared" si="38"/>
        <v>0</v>
      </c>
      <c r="N68" s="46">
        <f t="shared" si="39"/>
        <v>72641</v>
      </c>
      <c r="O68" s="46">
        <f t="shared" si="40"/>
        <v>8840725.2242800221</v>
      </c>
      <c r="P68" s="22">
        <f t="shared" si="41"/>
        <v>121.70434361145939</v>
      </c>
      <c r="Q68" s="55">
        <f t="shared" si="42"/>
        <v>72641</v>
      </c>
      <c r="R68" s="55">
        <f t="shared" si="43"/>
        <v>8840725.2242800258</v>
      </c>
      <c r="S68" s="32">
        <f t="shared" si="44"/>
        <v>121.70434361145945</v>
      </c>
      <c r="T68" s="55">
        <f t="shared" si="45"/>
        <v>80039</v>
      </c>
      <c r="U68" s="45">
        <v>7401</v>
      </c>
      <c r="V68" s="37">
        <f t="shared" si="46"/>
        <v>60.531666666666666</v>
      </c>
    </row>
    <row r="69" spans="1:22">
      <c r="A69" s="47">
        <v>7398</v>
      </c>
      <c r="B69" s="47">
        <v>10000</v>
      </c>
      <c r="C69" s="47">
        <v>86000</v>
      </c>
      <c r="D69" s="13">
        <v>43556</v>
      </c>
      <c r="E69" s="16">
        <f t="shared" si="34"/>
        <v>72641</v>
      </c>
      <c r="F69" s="16">
        <f t="shared" si="35"/>
        <v>8840725.2242800221</v>
      </c>
      <c r="G69" s="14">
        <f t="shared" si="36"/>
        <v>121.70434361145939</v>
      </c>
      <c r="H69" s="46">
        <f t="shared" si="13"/>
        <v>0</v>
      </c>
      <c r="I69" s="91">
        <f t="shared" si="14"/>
        <v>0</v>
      </c>
      <c r="J69" s="22">
        <f>VLOOKUP(D69,Data!$A$5:$V$197,8,FALSE)*5.83</f>
        <v>92.219245272171108</v>
      </c>
      <c r="K69" s="91">
        <f>VLOOKUP(D69,Data!$A$5:$V$197,16,FALSE)</f>
        <v>0</v>
      </c>
      <c r="L69" s="74">
        <f t="shared" si="37"/>
        <v>0</v>
      </c>
      <c r="M69" s="14">
        <f t="shared" si="38"/>
        <v>0</v>
      </c>
      <c r="N69" s="46">
        <f t="shared" si="39"/>
        <v>72641</v>
      </c>
      <c r="O69" s="46">
        <f t="shared" si="40"/>
        <v>8840725.2242800221</v>
      </c>
      <c r="P69" s="22">
        <f t="shared" si="41"/>
        <v>121.70434361145939</v>
      </c>
      <c r="Q69" s="55">
        <f t="shared" si="42"/>
        <v>72641</v>
      </c>
      <c r="R69" s="55">
        <f t="shared" si="43"/>
        <v>8840725.2242800258</v>
      </c>
      <c r="S69" s="32">
        <f t="shared" si="44"/>
        <v>121.70434361145945</v>
      </c>
      <c r="T69" s="55">
        <f t="shared" si="45"/>
        <v>80039</v>
      </c>
      <c r="U69" s="45">
        <v>7402</v>
      </c>
      <c r="V69" s="37">
        <f t="shared" si="46"/>
        <v>60.530833333333334</v>
      </c>
    </row>
    <row r="70" spans="1:22">
      <c r="A70" s="47">
        <v>7398</v>
      </c>
      <c r="B70" s="47">
        <v>10000</v>
      </c>
      <c r="C70" s="47">
        <v>86000</v>
      </c>
      <c r="D70" s="13">
        <v>43586</v>
      </c>
      <c r="E70" s="16">
        <f t="shared" si="34"/>
        <v>72641</v>
      </c>
      <c r="F70" s="16">
        <f t="shared" si="35"/>
        <v>8840725.2242800221</v>
      </c>
      <c r="G70" s="14">
        <f t="shared" si="36"/>
        <v>121.70434361145939</v>
      </c>
      <c r="H70" s="46">
        <f t="shared" si="13"/>
        <v>0</v>
      </c>
      <c r="I70" s="91">
        <f t="shared" si="14"/>
        <v>0</v>
      </c>
      <c r="J70" s="22">
        <f>VLOOKUP(D70,Data!$A$5:$V$197,8,FALSE)*5.83</f>
        <v>91.297288495978975</v>
      </c>
      <c r="K70" s="91">
        <f>VLOOKUP(D70,Data!$A$5:$V$197,16,FALSE)</f>
        <v>0</v>
      </c>
      <c r="L70" s="74">
        <f t="shared" si="37"/>
        <v>0</v>
      </c>
      <c r="M70" s="14">
        <f t="shared" si="38"/>
        <v>0</v>
      </c>
      <c r="N70" s="46">
        <f t="shared" si="39"/>
        <v>72641</v>
      </c>
      <c r="O70" s="46">
        <f t="shared" si="40"/>
        <v>8840725.2242800221</v>
      </c>
      <c r="P70" s="22">
        <f t="shared" si="41"/>
        <v>121.70434361145939</v>
      </c>
      <c r="Q70" s="55">
        <f t="shared" si="42"/>
        <v>72641</v>
      </c>
      <c r="R70" s="55">
        <f t="shared" si="43"/>
        <v>8840725.2242800258</v>
      </c>
      <c r="S70" s="32">
        <f t="shared" si="44"/>
        <v>121.70434361145945</v>
      </c>
      <c r="T70" s="55">
        <f t="shared" si="45"/>
        <v>80039</v>
      </c>
      <c r="U70" s="45">
        <v>7403</v>
      </c>
      <c r="V70" s="37">
        <f t="shared" si="46"/>
        <v>60.53</v>
      </c>
    </row>
    <row r="71" spans="1:22">
      <c r="A71" s="47">
        <v>7398</v>
      </c>
      <c r="B71" s="47">
        <v>10000</v>
      </c>
      <c r="C71" s="47">
        <v>86000</v>
      </c>
      <c r="D71" s="13">
        <v>43617</v>
      </c>
      <c r="E71" s="16">
        <f t="shared" si="34"/>
        <v>72641</v>
      </c>
      <c r="F71" s="16">
        <f t="shared" si="35"/>
        <v>8840725.2242800221</v>
      </c>
      <c r="G71" s="14">
        <f t="shared" si="36"/>
        <v>121.70434361145939</v>
      </c>
      <c r="H71" s="46">
        <f t="shared" si="13"/>
        <v>0</v>
      </c>
      <c r="I71" s="91">
        <f t="shared" si="14"/>
        <v>0</v>
      </c>
      <c r="J71" s="22">
        <f>VLOOKUP(D71,Data!$A$5:$V$197,8,FALSE)*5.83</f>
        <v>92.048148646942678</v>
      </c>
      <c r="K71" s="91">
        <f>VLOOKUP(D71,Data!$A$5:$V$197,16,FALSE)</f>
        <v>0</v>
      </c>
      <c r="L71" s="74">
        <f t="shared" si="37"/>
        <v>0</v>
      </c>
      <c r="M71" s="14">
        <f t="shared" si="38"/>
        <v>0</v>
      </c>
      <c r="N71" s="46">
        <f t="shared" si="39"/>
        <v>72641</v>
      </c>
      <c r="O71" s="46">
        <f t="shared" si="40"/>
        <v>8840725.2242800221</v>
      </c>
      <c r="P71" s="22">
        <f t="shared" si="41"/>
        <v>121.70434361145939</v>
      </c>
      <c r="Q71" s="55">
        <f t="shared" si="42"/>
        <v>72641</v>
      </c>
      <c r="R71" s="55">
        <f t="shared" si="43"/>
        <v>8840725.2242800258</v>
      </c>
      <c r="S71" s="32">
        <f t="shared" si="44"/>
        <v>121.70434361145945</v>
      </c>
      <c r="T71" s="55">
        <f t="shared" si="45"/>
        <v>80039</v>
      </c>
      <c r="U71" s="45">
        <v>7404</v>
      </c>
      <c r="V71" s="37">
        <f t="shared" si="46"/>
        <v>60.529166666666669</v>
      </c>
    </row>
    <row r="72" spans="1:22">
      <c r="A72" s="47">
        <v>7398</v>
      </c>
      <c r="B72" s="47">
        <v>10000</v>
      </c>
      <c r="C72" s="47">
        <v>86000</v>
      </c>
      <c r="D72" s="13">
        <v>43647</v>
      </c>
      <c r="E72" s="16">
        <f t="shared" si="34"/>
        <v>72641</v>
      </c>
      <c r="F72" s="16">
        <f t="shared" si="35"/>
        <v>8840725.2242800221</v>
      </c>
      <c r="G72" s="14">
        <f t="shared" si="36"/>
        <v>121.70434361145939</v>
      </c>
      <c r="H72" s="46">
        <f t="shared" si="13"/>
        <v>0</v>
      </c>
      <c r="I72" s="91">
        <f t="shared" si="14"/>
        <v>0</v>
      </c>
      <c r="J72" s="22">
        <f>VLOOKUP(D72,Data!$A$5:$V$197,8,FALSE)*5.83</f>
        <v>93.402980770097884</v>
      </c>
      <c r="K72" s="91">
        <f>VLOOKUP(D72,Data!$A$5:$V$197,16,FALSE)</f>
        <v>0</v>
      </c>
      <c r="L72" s="74">
        <f t="shared" si="37"/>
        <v>0</v>
      </c>
      <c r="M72" s="14">
        <f t="shared" si="38"/>
        <v>0</v>
      </c>
      <c r="N72" s="46">
        <f t="shared" si="39"/>
        <v>72641</v>
      </c>
      <c r="O72" s="46">
        <f t="shared" si="40"/>
        <v>8840725.2242800221</v>
      </c>
      <c r="P72" s="22">
        <f t="shared" si="41"/>
        <v>121.70434361145939</v>
      </c>
      <c r="Q72" s="55">
        <f t="shared" si="42"/>
        <v>72641</v>
      </c>
      <c r="R72" s="55">
        <f t="shared" si="43"/>
        <v>8840725.2242800258</v>
      </c>
      <c r="S72" s="32">
        <f t="shared" si="44"/>
        <v>121.70434361145945</v>
      </c>
      <c r="T72" s="55">
        <f t="shared" si="45"/>
        <v>80039</v>
      </c>
      <c r="U72" s="45">
        <v>7405</v>
      </c>
      <c r="V72" s="37">
        <f t="shared" si="46"/>
        <v>60.528333333333336</v>
      </c>
    </row>
    <row r="73" spans="1:22">
      <c r="A73" s="47">
        <v>7398</v>
      </c>
      <c r="B73" s="47">
        <v>10000</v>
      </c>
      <c r="C73" s="47">
        <v>86000</v>
      </c>
      <c r="D73" s="13">
        <v>43678</v>
      </c>
      <c r="E73" s="16">
        <f t="shared" si="34"/>
        <v>72641</v>
      </c>
      <c r="F73" s="16">
        <f t="shared" si="35"/>
        <v>8840725.2242800221</v>
      </c>
      <c r="G73" s="14">
        <f t="shared" si="36"/>
        <v>121.70434361145939</v>
      </c>
      <c r="H73" s="46">
        <f t="shared" si="13"/>
        <v>0</v>
      </c>
      <c r="I73" s="91">
        <f t="shared" si="14"/>
        <v>0</v>
      </c>
      <c r="J73" s="22">
        <f>VLOOKUP(D73,Data!$A$5:$V$197,8,FALSE)*5.83</f>
        <v>92.508241899884936</v>
      </c>
      <c r="K73" s="91">
        <f>VLOOKUP(D73,Data!$A$5:$V$197,16,FALSE)</f>
        <v>0</v>
      </c>
      <c r="L73" s="74">
        <f t="shared" si="37"/>
        <v>0</v>
      </c>
      <c r="M73" s="14">
        <f t="shared" si="38"/>
        <v>0</v>
      </c>
      <c r="N73" s="46">
        <f t="shared" si="39"/>
        <v>72641</v>
      </c>
      <c r="O73" s="46">
        <f t="shared" si="40"/>
        <v>8840725.2242800221</v>
      </c>
      <c r="P73" s="22">
        <f t="shared" si="41"/>
        <v>121.70434361145939</v>
      </c>
      <c r="Q73" s="55">
        <f t="shared" si="42"/>
        <v>72641</v>
      </c>
      <c r="R73" s="55">
        <f t="shared" si="43"/>
        <v>8840725.2242800258</v>
      </c>
      <c r="S73" s="32">
        <f t="shared" si="44"/>
        <v>121.70434361145945</v>
      </c>
      <c r="T73" s="55">
        <f t="shared" si="45"/>
        <v>80039</v>
      </c>
      <c r="U73" s="45">
        <v>7406</v>
      </c>
      <c r="V73" s="37">
        <f t="shared" si="46"/>
        <v>60.527500000000003</v>
      </c>
    </row>
    <row r="74" spans="1:22">
      <c r="A74" s="47">
        <v>7398</v>
      </c>
      <c r="B74" s="47">
        <v>10000</v>
      </c>
      <c r="C74" s="47">
        <v>86000</v>
      </c>
      <c r="D74" s="13">
        <v>43709</v>
      </c>
      <c r="E74" s="16">
        <f t="shared" si="34"/>
        <v>72641</v>
      </c>
      <c r="F74" s="16">
        <f t="shared" si="35"/>
        <v>8840725.2242800221</v>
      </c>
      <c r="G74" s="14">
        <f t="shared" si="36"/>
        <v>121.70434361145939</v>
      </c>
      <c r="H74" s="46">
        <f t="shared" si="13"/>
        <v>0</v>
      </c>
      <c r="I74" s="91">
        <f t="shared" si="14"/>
        <v>0</v>
      </c>
      <c r="J74" s="22">
        <f>VLOOKUP(D74,Data!$A$5:$V$197,8,FALSE)*5.83</f>
        <v>92.085501350432793</v>
      </c>
      <c r="K74" s="91">
        <f>VLOOKUP(D74,Data!$A$5:$V$197,16,FALSE)</f>
        <v>0</v>
      </c>
      <c r="L74" s="74">
        <f t="shared" si="37"/>
        <v>0</v>
      </c>
      <c r="M74" s="14">
        <f t="shared" si="38"/>
        <v>0</v>
      </c>
      <c r="N74" s="46">
        <f t="shared" si="39"/>
        <v>72641</v>
      </c>
      <c r="O74" s="46">
        <f t="shared" si="40"/>
        <v>8840725.2242800221</v>
      </c>
      <c r="P74" s="22">
        <f t="shared" si="41"/>
        <v>121.70434361145939</v>
      </c>
      <c r="Q74" s="55">
        <f t="shared" si="42"/>
        <v>72641</v>
      </c>
      <c r="R74" s="55">
        <f t="shared" si="43"/>
        <v>8840725.2242800258</v>
      </c>
      <c r="S74" s="32">
        <f t="shared" si="44"/>
        <v>121.70434361145945</v>
      </c>
      <c r="T74" s="55">
        <f t="shared" si="45"/>
        <v>80039</v>
      </c>
      <c r="U74" s="45">
        <v>7407</v>
      </c>
      <c r="V74" s="37">
        <f t="shared" si="46"/>
        <v>60.526666666666664</v>
      </c>
    </row>
    <row r="75" spans="1:22">
      <c r="A75" s="47">
        <v>7398</v>
      </c>
      <c r="B75" s="47">
        <v>10000</v>
      </c>
      <c r="C75" s="47">
        <v>86000</v>
      </c>
      <c r="D75" s="13">
        <v>43739</v>
      </c>
      <c r="E75" s="16">
        <f t="shared" si="34"/>
        <v>72641</v>
      </c>
      <c r="F75" s="16">
        <f t="shared" si="35"/>
        <v>8840725.2242800221</v>
      </c>
      <c r="G75" s="14">
        <f t="shared" si="36"/>
        <v>121.70434361145939</v>
      </c>
      <c r="H75" s="46">
        <f t="shared" si="13"/>
        <v>0</v>
      </c>
      <c r="I75" s="91">
        <f t="shared" si="14"/>
        <v>0</v>
      </c>
      <c r="J75" s="22">
        <f>VLOOKUP(D75,Data!$A$5:$V$197,8,FALSE)*5.83</f>
        <v>90.953590515760666</v>
      </c>
      <c r="K75" s="91">
        <f>VLOOKUP(D75,Data!$A$5:$V$197,16,FALSE)</f>
        <v>0</v>
      </c>
      <c r="L75" s="74">
        <f t="shared" si="37"/>
        <v>0</v>
      </c>
      <c r="M75" s="14">
        <f t="shared" si="38"/>
        <v>0</v>
      </c>
      <c r="N75" s="46">
        <f t="shared" si="39"/>
        <v>72641</v>
      </c>
      <c r="O75" s="46">
        <f t="shared" si="40"/>
        <v>8840725.2242800221</v>
      </c>
      <c r="P75" s="22">
        <f t="shared" si="41"/>
        <v>121.70434361145939</v>
      </c>
      <c r="Q75" s="55">
        <f t="shared" si="42"/>
        <v>72641</v>
      </c>
      <c r="R75" s="55">
        <f t="shared" si="43"/>
        <v>8840725.2242800258</v>
      </c>
      <c r="S75" s="32">
        <f t="shared" si="44"/>
        <v>121.70434361145945</v>
      </c>
      <c r="T75" s="55">
        <f t="shared" si="45"/>
        <v>80039</v>
      </c>
      <c r="U75" s="45">
        <v>7408</v>
      </c>
      <c r="V75" s="37">
        <f t="shared" si="46"/>
        <v>60.525833333333331</v>
      </c>
    </row>
    <row r="76" spans="1:22">
      <c r="A76" s="47">
        <v>7398</v>
      </c>
      <c r="B76" s="47">
        <v>10000</v>
      </c>
      <c r="C76" s="47">
        <v>86000</v>
      </c>
      <c r="D76" s="13">
        <v>43770</v>
      </c>
      <c r="E76" s="16">
        <f t="shared" si="34"/>
        <v>72641</v>
      </c>
      <c r="F76" s="16">
        <f t="shared" si="35"/>
        <v>8840725.2242800221</v>
      </c>
      <c r="G76" s="14">
        <f t="shared" si="36"/>
        <v>121.70434361145939</v>
      </c>
      <c r="H76" s="46">
        <f t="shared" si="13"/>
        <v>0</v>
      </c>
      <c r="I76" s="91">
        <f t="shared" si="14"/>
        <v>0</v>
      </c>
      <c r="J76" s="22">
        <f>VLOOKUP(D76,Data!$A$5:$V$197,8,FALSE)*5.83</f>
        <v>90.564440845395012</v>
      </c>
      <c r="K76" s="91">
        <f>VLOOKUP(D76,Data!$A$5:$V$197,16,FALSE)</f>
        <v>0</v>
      </c>
      <c r="L76" s="74">
        <f t="shared" si="37"/>
        <v>0</v>
      </c>
      <c r="M76" s="14">
        <f t="shared" si="38"/>
        <v>0</v>
      </c>
      <c r="N76" s="46">
        <f t="shared" si="39"/>
        <v>72641</v>
      </c>
      <c r="O76" s="46">
        <f t="shared" si="40"/>
        <v>8840725.2242800221</v>
      </c>
      <c r="P76" s="22">
        <f t="shared" si="41"/>
        <v>121.70434361145939</v>
      </c>
      <c r="Q76" s="55">
        <f t="shared" si="42"/>
        <v>72641</v>
      </c>
      <c r="R76" s="55">
        <f t="shared" si="43"/>
        <v>8840725.2242800258</v>
      </c>
      <c r="S76" s="32">
        <f t="shared" si="44"/>
        <v>121.70434361145945</v>
      </c>
      <c r="T76" s="55">
        <f t="shared" si="45"/>
        <v>80039</v>
      </c>
      <c r="U76" s="45">
        <v>7409</v>
      </c>
      <c r="V76" s="37">
        <f t="shared" si="46"/>
        <v>60.524999999999999</v>
      </c>
    </row>
    <row r="77" spans="1:22">
      <c r="A77" s="47">
        <v>7398</v>
      </c>
      <c r="B77" s="47">
        <v>10000</v>
      </c>
      <c r="C77" s="47">
        <v>86000</v>
      </c>
      <c r="D77" s="13">
        <v>43800</v>
      </c>
      <c r="E77" s="16">
        <f t="shared" si="34"/>
        <v>72641</v>
      </c>
      <c r="F77" s="16">
        <f t="shared" si="35"/>
        <v>8840725.2242800221</v>
      </c>
      <c r="G77" s="14">
        <f t="shared" si="36"/>
        <v>121.70434361145939</v>
      </c>
      <c r="H77" s="46">
        <f t="shared" si="13"/>
        <v>0</v>
      </c>
      <c r="I77" s="91">
        <f t="shared" si="14"/>
        <v>0</v>
      </c>
      <c r="J77" s="22">
        <f>VLOOKUP(D77,Data!$A$5:$V$197,8,FALSE)*5.83</f>
        <v>87.699479636351342</v>
      </c>
      <c r="K77" s="91">
        <f>VLOOKUP(D77,Data!$A$5:$V$197,16,FALSE)</f>
        <v>0</v>
      </c>
      <c r="L77" s="74">
        <f t="shared" si="37"/>
        <v>0</v>
      </c>
      <c r="M77" s="14">
        <f t="shared" si="38"/>
        <v>0</v>
      </c>
      <c r="N77" s="46">
        <f t="shared" si="39"/>
        <v>72641</v>
      </c>
      <c r="O77" s="46">
        <f t="shared" si="40"/>
        <v>8840725.2242800221</v>
      </c>
      <c r="P77" s="22">
        <f t="shared" si="41"/>
        <v>121.70434361145939</v>
      </c>
      <c r="Q77" s="55">
        <f t="shared" si="42"/>
        <v>72641</v>
      </c>
      <c r="R77" s="55">
        <f t="shared" si="43"/>
        <v>8840725.2242800258</v>
      </c>
      <c r="S77" s="32">
        <f t="shared" si="44"/>
        <v>121.70434361145945</v>
      </c>
      <c r="T77" s="55">
        <f t="shared" si="45"/>
        <v>80039</v>
      </c>
      <c r="U77" s="45">
        <v>7410</v>
      </c>
      <c r="V77" s="37">
        <f t="shared" si="46"/>
        <v>60.524166666666666</v>
      </c>
    </row>
    <row r="78" spans="1:22">
      <c r="A78" s="47">
        <v>7398</v>
      </c>
      <c r="B78" s="47">
        <v>10000</v>
      </c>
      <c r="C78" s="47">
        <v>86000</v>
      </c>
      <c r="D78" s="13">
        <v>43831</v>
      </c>
      <c r="E78" s="16">
        <f t="shared" si="34"/>
        <v>72641</v>
      </c>
      <c r="F78" s="16">
        <f t="shared" si="35"/>
        <v>8840725.2242800221</v>
      </c>
      <c r="G78" s="14">
        <f t="shared" si="36"/>
        <v>121.70434361145939</v>
      </c>
      <c r="H78" s="46">
        <f t="shared" si="13"/>
        <v>0</v>
      </c>
      <c r="I78" s="91">
        <f t="shared" si="14"/>
        <v>0</v>
      </c>
      <c r="J78" s="22">
        <f>VLOOKUP(D78,Data!$A$5:$V$197,8,FALSE)*5.83</f>
        <v>86.694828171209409</v>
      </c>
      <c r="K78" s="91">
        <f>VLOOKUP(D78,Data!$A$5:$V$197,16,FALSE)</f>
        <v>0</v>
      </c>
      <c r="L78" s="74">
        <f t="shared" si="37"/>
        <v>0</v>
      </c>
      <c r="M78" s="14">
        <f t="shared" si="38"/>
        <v>0</v>
      </c>
      <c r="N78" s="46">
        <f t="shared" si="39"/>
        <v>72641</v>
      </c>
      <c r="O78" s="46">
        <f t="shared" si="40"/>
        <v>8840725.2242800221</v>
      </c>
      <c r="P78" s="22">
        <f t="shared" si="41"/>
        <v>121.70434361145939</v>
      </c>
      <c r="Q78" s="55">
        <f t="shared" si="42"/>
        <v>72641</v>
      </c>
      <c r="R78" s="55">
        <f t="shared" si="43"/>
        <v>8840725.2242800258</v>
      </c>
      <c r="S78" s="32">
        <f t="shared" si="44"/>
        <v>121.70434361145945</v>
      </c>
      <c r="T78" s="55">
        <f t="shared" si="45"/>
        <v>80039</v>
      </c>
      <c r="U78" s="45">
        <v>7411</v>
      </c>
      <c r="V78" s="37">
        <f t="shared" si="46"/>
        <v>60.523333333333333</v>
      </c>
    </row>
    <row r="79" spans="1:22">
      <c r="A79" s="47">
        <v>7398</v>
      </c>
      <c r="B79" s="47">
        <v>10000</v>
      </c>
      <c r="C79" s="47">
        <v>86000</v>
      </c>
      <c r="D79" s="13">
        <v>43862</v>
      </c>
      <c r="E79" s="16">
        <f t="shared" si="34"/>
        <v>72641</v>
      </c>
      <c r="F79" s="16">
        <f t="shared" si="35"/>
        <v>8840725.2242800221</v>
      </c>
      <c r="G79" s="14">
        <f t="shared" si="36"/>
        <v>121.70434361145939</v>
      </c>
      <c r="H79" s="46">
        <f t="shared" si="13"/>
        <v>0</v>
      </c>
      <c r="I79" s="91">
        <f t="shared" si="14"/>
        <v>0</v>
      </c>
      <c r="J79" s="22">
        <f>VLOOKUP(D79,Data!$A$5:$V$197,8,FALSE)*5.83</f>
        <v>89.40389939053739</v>
      </c>
      <c r="K79" s="91">
        <f>VLOOKUP(D79,Data!$A$5:$V$197,16,FALSE)</f>
        <v>0</v>
      </c>
      <c r="L79" s="74">
        <f t="shared" si="37"/>
        <v>0</v>
      </c>
      <c r="M79" s="14">
        <f t="shared" si="38"/>
        <v>0</v>
      </c>
      <c r="N79" s="46">
        <f t="shared" si="39"/>
        <v>72641</v>
      </c>
      <c r="O79" s="46">
        <f t="shared" si="40"/>
        <v>8840725.2242800221</v>
      </c>
      <c r="P79" s="22">
        <f t="shared" si="41"/>
        <v>121.70434361145939</v>
      </c>
      <c r="Q79" s="55">
        <f t="shared" si="42"/>
        <v>72641</v>
      </c>
      <c r="R79" s="55">
        <f t="shared" si="43"/>
        <v>8840725.2242800258</v>
      </c>
      <c r="S79" s="32">
        <f t="shared" si="44"/>
        <v>121.70434361145945</v>
      </c>
      <c r="T79" s="55">
        <f t="shared" si="45"/>
        <v>80039</v>
      </c>
      <c r="U79" s="45">
        <v>7412</v>
      </c>
      <c r="V79" s="37">
        <f t="shared" si="46"/>
        <v>60.522500000000001</v>
      </c>
    </row>
    <row r="80" spans="1:22">
      <c r="A80" s="47">
        <v>7398</v>
      </c>
      <c r="B80" s="47">
        <v>10000</v>
      </c>
      <c r="C80" s="47">
        <v>86000</v>
      </c>
      <c r="D80" s="13">
        <v>43891</v>
      </c>
      <c r="E80" s="16">
        <f t="shared" si="34"/>
        <v>72641</v>
      </c>
      <c r="F80" s="16">
        <f t="shared" si="35"/>
        <v>8840725.2242800221</v>
      </c>
      <c r="G80" s="14">
        <f t="shared" si="36"/>
        <v>121.70434361145939</v>
      </c>
      <c r="H80" s="46">
        <f t="shared" si="13"/>
        <v>0</v>
      </c>
      <c r="I80" s="91">
        <f t="shared" si="14"/>
        <v>0</v>
      </c>
      <c r="J80" s="22">
        <f>VLOOKUP(D80,Data!$A$5:$V$197,8,FALSE)*5.83</f>
        <v>93.64474687042437</v>
      </c>
      <c r="K80" s="91">
        <f>VLOOKUP(D80,Data!$A$5:$V$197,16,FALSE)</f>
        <v>0</v>
      </c>
      <c r="L80" s="74">
        <f t="shared" si="37"/>
        <v>0</v>
      </c>
      <c r="M80" s="14">
        <f t="shared" si="38"/>
        <v>0</v>
      </c>
      <c r="N80" s="46">
        <f t="shared" si="39"/>
        <v>72641</v>
      </c>
      <c r="O80" s="46">
        <f t="shared" si="40"/>
        <v>8840725.2242800221</v>
      </c>
      <c r="P80" s="22">
        <f t="shared" si="41"/>
        <v>121.70434361145939</v>
      </c>
      <c r="Q80" s="55">
        <f t="shared" si="42"/>
        <v>72641</v>
      </c>
      <c r="R80" s="55">
        <f t="shared" si="43"/>
        <v>8840725.2242800258</v>
      </c>
      <c r="S80" s="32">
        <f t="shared" si="44"/>
        <v>121.70434361145945</v>
      </c>
      <c r="T80" s="55">
        <f t="shared" si="45"/>
        <v>80039</v>
      </c>
      <c r="U80" s="45">
        <v>7413</v>
      </c>
      <c r="V80" s="37">
        <f t="shared" si="46"/>
        <v>60.521666666666668</v>
      </c>
    </row>
    <row r="81" spans="1:22">
      <c r="A81" s="47">
        <v>7398</v>
      </c>
      <c r="B81" s="47">
        <v>10000</v>
      </c>
      <c r="C81" s="47">
        <v>86000</v>
      </c>
      <c r="D81" s="13">
        <v>43922</v>
      </c>
      <c r="E81" s="16">
        <f t="shared" si="34"/>
        <v>72641</v>
      </c>
      <c r="F81" s="16">
        <f t="shared" si="35"/>
        <v>8840725.2242800221</v>
      </c>
      <c r="G81" s="14">
        <f t="shared" si="36"/>
        <v>121.70434361145939</v>
      </c>
      <c r="H81" s="46">
        <f t="shared" si="13"/>
        <v>0</v>
      </c>
      <c r="I81" s="91">
        <f t="shared" si="14"/>
        <v>0</v>
      </c>
      <c r="J81" s="22">
        <f>VLOOKUP(D81,Data!$A$5:$V$197,8,FALSE)*5.83</f>
        <v>96.087609582721697</v>
      </c>
      <c r="K81" s="91">
        <f>VLOOKUP(D81,Data!$A$5:$V$197,16,FALSE)</f>
        <v>0</v>
      </c>
      <c r="L81" s="74">
        <f t="shared" si="37"/>
        <v>0</v>
      </c>
      <c r="M81" s="14">
        <f t="shared" si="38"/>
        <v>0</v>
      </c>
      <c r="N81" s="46">
        <f t="shared" si="39"/>
        <v>72641</v>
      </c>
      <c r="O81" s="46">
        <f t="shared" si="40"/>
        <v>8840725.2242800221</v>
      </c>
      <c r="P81" s="22">
        <f t="shared" si="41"/>
        <v>121.70434361145939</v>
      </c>
      <c r="Q81" s="55">
        <f t="shared" si="42"/>
        <v>72641</v>
      </c>
      <c r="R81" s="55">
        <f t="shared" si="43"/>
        <v>8840725.2242800258</v>
      </c>
      <c r="S81" s="32">
        <f t="shared" si="44"/>
        <v>121.70434361145945</v>
      </c>
      <c r="T81" s="55">
        <f t="shared" si="45"/>
        <v>80039</v>
      </c>
      <c r="U81" s="45">
        <v>7414</v>
      </c>
      <c r="V81" s="37">
        <f t="shared" si="46"/>
        <v>60.520833333333336</v>
      </c>
    </row>
    <row r="82" spans="1:22">
      <c r="A82" s="47">
        <v>7398</v>
      </c>
      <c r="B82" s="47">
        <v>10000</v>
      </c>
      <c r="C82" s="47">
        <v>86000</v>
      </c>
      <c r="D82" s="13">
        <v>43952</v>
      </c>
      <c r="E82" s="16">
        <f t="shared" si="34"/>
        <v>72641</v>
      </c>
      <c r="F82" s="16">
        <f t="shared" si="35"/>
        <v>8840725.2242800221</v>
      </c>
      <c r="G82" s="14">
        <f t="shared" si="36"/>
        <v>121.70434361145939</v>
      </c>
      <c r="H82" s="46">
        <f t="shared" si="13"/>
        <v>0</v>
      </c>
      <c r="I82" s="91">
        <f t="shared" si="14"/>
        <v>0</v>
      </c>
      <c r="J82" s="22">
        <f>VLOOKUP(D82,Data!$A$5:$V$197,8,FALSE)*5.83</f>
        <v>95.122308343650815</v>
      </c>
      <c r="K82" s="91">
        <f>VLOOKUP(D82,Data!$A$5:$V$197,16,FALSE)</f>
        <v>0</v>
      </c>
      <c r="L82" s="74">
        <f t="shared" si="37"/>
        <v>0</v>
      </c>
      <c r="M82" s="14">
        <f t="shared" si="38"/>
        <v>0</v>
      </c>
      <c r="N82" s="46">
        <f t="shared" si="39"/>
        <v>72641</v>
      </c>
      <c r="O82" s="46">
        <f t="shared" si="40"/>
        <v>8840725.2242800221</v>
      </c>
      <c r="P82" s="22">
        <f t="shared" si="41"/>
        <v>121.70434361145939</v>
      </c>
      <c r="Q82" s="55">
        <f t="shared" si="42"/>
        <v>72641</v>
      </c>
      <c r="R82" s="55">
        <f t="shared" si="43"/>
        <v>8840725.2242800258</v>
      </c>
      <c r="S82" s="32">
        <f t="shared" si="44"/>
        <v>121.70434361145945</v>
      </c>
      <c r="T82" s="55">
        <f t="shared" si="45"/>
        <v>80039</v>
      </c>
      <c r="U82" s="45">
        <v>7415</v>
      </c>
      <c r="V82" s="37">
        <f t="shared" si="46"/>
        <v>60.52</v>
      </c>
    </row>
    <row r="83" spans="1:22">
      <c r="A83" s="47">
        <v>7398</v>
      </c>
      <c r="B83" s="47">
        <v>10000</v>
      </c>
      <c r="C83" s="47">
        <v>86000</v>
      </c>
      <c r="D83" s="13">
        <v>43983</v>
      </c>
      <c r="E83" s="16">
        <f t="shared" si="34"/>
        <v>72641</v>
      </c>
      <c r="F83" s="16">
        <f t="shared" si="35"/>
        <v>8840725.2242800221</v>
      </c>
      <c r="G83" s="14">
        <f t="shared" si="36"/>
        <v>121.70434361145939</v>
      </c>
      <c r="H83" s="46">
        <f t="shared" si="13"/>
        <v>0</v>
      </c>
      <c r="I83" s="91">
        <f t="shared" si="14"/>
        <v>0</v>
      </c>
      <c r="J83" s="22">
        <f>VLOOKUP(D83,Data!$A$5:$V$197,8,FALSE)*5.83</f>
        <v>95.908469097398736</v>
      </c>
      <c r="K83" s="91">
        <f>VLOOKUP(D83,Data!$A$5:$V$197,16,FALSE)</f>
        <v>0</v>
      </c>
      <c r="L83" s="74">
        <f t="shared" si="37"/>
        <v>0</v>
      </c>
      <c r="M83" s="14">
        <f t="shared" si="38"/>
        <v>0</v>
      </c>
      <c r="N83" s="46">
        <f t="shared" si="39"/>
        <v>72641</v>
      </c>
      <c r="O83" s="46">
        <f t="shared" si="40"/>
        <v>8840725.2242800221</v>
      </c>
      <c r="P83" s="22">
        <f t="shared" si="41"/>
        <v>121.70434361145939</v>
      </c>
      <c r="Q83" s="55">
        <f t="shared" si="42"/>
        <v>72641</v>
      </c>
      <c r="R83" s="55">
        <f t="shared" si="43"/>
        <v>8840725.2242800258</v>
      </c>
      <c r="S83" s="32">
        <f t="shared" si="44"/>
        <v>121.70434361145945</v>
      </c>
      <c r="T83" s="55">
        <f t="shared" si="45"/>
        <v>80039</v>
      </c>
      <c r="U83" s="45">
        <v>7416</v>
      </c>
      <c r="V83" s="37">
        <f t="shared" si="46"/>
        <v>60.519166666666663</v>
      </c>
    </row>
    <row r="84" spans="1:22">
      <c r="A84" s="47">
        <v>7398</v>
      </c>
      <c r="B84" s="47">
        <v>10000</v>
      </c>
      <c r="C84" s="47">
        <v>86000</v>
      </c>
      <c r="D84" s="13">
        <v>44013</v>
      </c>
      <c r="E84" s="16">
        <f t="shared" si="34"/>
        <v>72641</v>
      </c>
      <c r="F84" s="16">
        <f t="shared" si="35"/>
        <v>8840725.2242800221</v>
      </c>
      <c r="G84" s="14">
        <f t="shared" si="36"/>
        <v>121.70434361145939</v>
      </c>
      <c r="H84" s="46">
        <f t="shared" si="13"/>
        <v>0</v>
      </c>
      <c r="I84" s="91">
        <f t="shared" si="14"/>
        <v>0</v>
      </c>
      <c r="J84" s="22">
        <f>VLOOKUP(D84,Data!$A$5:$V$197,8,FALSE)*5.83</f>
        <v>97.326996691085213</v>
      </c>
      <c r="K84" s="91">
        <f>VLOOKUP(D84,Data!$A$5:$V$197,16,FALSE)</f>
        <v>0</v>
      </c>
      <c r="L84" s="74">
        <f t="shared" si="37"/>
        <v>0</v>
      </c>
      <c r="M84" s="14">
        <f t="shared" si="38"/>
        <v>0</v>
      </c>
      <c r="N84" s="46">
        <f t="shared" si="39"/>
        <v>72641</v>
      </c>
      <c r="O84" s="46">
        <f t="shared" si="40"/>
        <v>8840725.2242800221</v>
      </c>
      <c r="P84" s="22">
        <f t="shared" si="41"/>
        <v>121.70434361145939</v>
      </c>
      <c r="Q84" s="55">
        <f t="shared" si="42"/>
        <v>72641</v>
      </c>
      <c r="R84" s="55">
        <f t="shared" si="43"/>
        <v>8840725.2242800258</v>
      </c>
      <c r="S84" s="32">
        <f t="shared" si="44"/>
        <v>121.70434361145945</v>
      </c>
      <c r="T84" s="55">
        <f t="shared" si="45"/>
        <v>80039</v>
      </c>
      <c r="U84" s="45">
        <v>7417</v>
      </c>
      <c r="V84" s="37">
        <f t="shared" si="46"/>
        <v>60.518333333333331</v>
      </c>
    </row>
    <row r="85" spans="1:22">
      <c r="A85" s="47">
        <v>7398</v>
      </c>
      <c r="B85" s="47">
        <v>10000</v>
      </c>
      <c r="C85" s="47">
        <v>86000</v>
      </c>
      <c r="D85" s="13">
        <v>44044</v>
      </c>
      <c r="E85" s="16">
        <f t="shared" si="34"/>
        <v>72641</v>
      </c>
      <c r="F85" s="16">
        <f t="shared" si="35"/>
        <v>8840725.2242800221</v>
      </c>
      <c r="G85" s="14">
        <f t="shared" si="36"/>
        <v>121.70434361145939</v>
      </c>
      <c r="H85" s="46">
        <f t="shared" si="13"/>
        <v>0</v>
      </c>
      <c r="I85" s="91">
        <f t="shared" si="14"/>
        <v>0</v>
      </c>
      <c r="J85" s="22">
        <f>VLOOKUP(D85,Data!$A$5:$V$197,8,FALSE)*5.83</f>
        <v>96.390192968432771</v>
      </c>
      <c r="K85" s="91">
        <f>VLOOKUP(D85,Data!$A$5:$V$197,16,FALSE)</f>
        <v>0</v>
      </c>
      <c r="L85" s="74">
        <f t="shared" si="37"/>
        <v>0</v>
      </c>
      <c r="M85" s="14">
        <f t="shared" si="38"/>
        <v>0</v>
      </c>
      <c r="N85" s="46">
        <f t="shared" si="39"/>
        <v>72641</v>
      </c>
      <c r="O85" s="46">
        <f t="shared" si="40"/>
        <v>8840725.2242800221</v>
      </c>
      <c r="P85" s="22">
        <f t="shared" si="41"/>
        <v>121.70434361145939</v>
      </c>
      <c r="Q85" s="55">
        <f t="shared" si="42"/>
        <v>72641</v>
      </c>
      <c r="R85" s="55">
        <f t="shared" si="43"/>
        <v>8840725.2242800258</v>
      </c>
      <c r="S85" s="32">
        <f t="shared" si="44"/>
        <v>121.70434361145945</v>
      </c>
      <c r="T85" s="55">
        <f t="shared" si="45"/>
        <v>80039</v>
      </c>
      <c r="U85" s="45">
        <v>7418</v>
      </c>
      <c r="V85" s="37">
        <f t="shared" si="46"/>
        <v>60.517499999999998</v>
      </c>
    </row>
    <row r="86" spans="1:22">
      <c r="A86" s="47">
        <v>7398</v>
      </c>
      <c r="B86" s="47">
        <v>10000</v>
      </c>
      <c r="C86" s="47">
        <v>86000</v>
      </c>
      <c r="D86" s="13">
        <v>44075</v>
      </c>
      <c r="E86" s="16">
        <f t="shared" si="34"/>
        <v>72641</v>
      </c>
      <c r="F86" s="16">
        <f t="shared" si="35"/>
        <v>8840725.2242800221</v>
      </c>
      <c r="G86" s="14">
        <f t="shared" si="36"/>
        <v>121.70434361145939</v>
      </c>
      <c r="H86" s="46">
        <f t="shared" si="13"/>
        <v>0</v>
      </c>
      <c r="I86" s="91">
        <f t="shared" si="14"/>
        <v>0</v>
      </c>
      <c r="J86" s="22">
        <f>VLOOKUP(D86,Data!$A$5:$V$197,8,FALSE)*5.83</f>
        <v>95.947577884158335</v>
      </c>
      <c r="K86" s="91">
        <f>VLOOKUP(D86,Data!$A$5:$V$197,16,FALSE)</f>
        <v>0</v>
      </c>
      <c r="L86" s="74">
        <f t="shared" si="37"/>
        <v>0</v>
      </c>
      <c r="M86" s="14">
        <f t="shared" si="38"/>
        <v>0</v>
      </c>
      <c r="N86" s="46">
        <f t="shared" si="39"/>
        <v>72641</v>
      </c>
      <c r="O86" s="46">
        <f t="shared" si="40"/>
        <v>8840725.2242800221</v>
      </c>
      <c r="P86" s="22">
        <f t="shared" si="41"/>
        <v>121.70434361145939</v>
      </c>
      <c r="Q86" s="55">
        <f t="shared" si="42"/>
        <v>72641</v>
      </c>
      <c r="R86" s="55">
        <f t="shared" si="43"/>
        <v>8840725.2242800258</v>
      </c>
      <c r="S86" s="32">
        <f t="shared" si="44"/>
        <v>121.70434361145945</v>
      </c>
      <c r="T86" s="55">
        <f t="shared" si="45"/>
        <v>80039</v>
      </c>
      <c r="U86" s="45">
        <v>7419</v>
      </c>
      <c r="V86" s="37">
        <f t="shared" si="46"/>
        <v>60.516666666666666</v>
      </c>
    </row>
    <row r="87" spans="1:22">
      <c r="A87" s="47">
        <v>7398</v>
      </c>
      <c r="B87" s="47">
        <v>10000</v>
      </c>
      <c r="C87" s="47">
        <v>86000</v>
      </c>
      <c r="D87" s="13">
        <v>44105</v>
      </c>
      <c r="E87" s="16">
        <f t="shared" si="34"/>
        <v>72641</v>
      </c>
      <c r="F87" s="16">
        <f t="shared" si="35"/>
        <v>8840725.2242800221</v>
      </c>
      <c r="G87" s="14">
        <f t="shared" si="36"/>
        <v>121.70434361145939</v>
      </c>
      <c r="H87" s="46">
        <f t="shared" si="13"/>
        <v>0</v>
      </c>
      <c r="I87" s="91">
        <f t="shared" si="14"/>
        <v>0</v>
      </c>
      <c r="J87" s="22">
        <f>VLOOKUP(D87,Data!$A$5:$V$197,8,FALSE)*5.83</f>
        <v>94.762451900552492</v>
      </c>
      <c r="K87" s="91">
        <f>VLOOKUP(D87,Data!$A$5:$V$197,16,FALSE)</f>
        <v>0</v>
      </c>
      <c r="L87" s="74">
        <f t="shared" si="37"/>
        <v>0</v>
      </c>
      <c r="M87" s="14">
        <f t="shared" si="38"/>
        <v>0</v>
      </c>
      <c r="N87" s="46">
        <f t="shared" si="39"/>
        <v>72641</v>
      </c>
      <c r="O87" s="46">
        <f t="shared" si="40"/>
        <v>8840725.2242800221</v>
      </c>
      <c r="P87" s="22">
        <f t="shared" si="41"/>
        <v>121.70434361145939</v>
      </c>
      <c r="Q87" s="55">
        <f t="shared" si="42"/>
        <v>72641</v>
      </c>
      <c r="R87" s="55">
        <f t="shared" si="43"/>
        <v>8840725.2242800258</v>
      </c>
      <c r="S87" s="32">
        <f t="shared" si="44"/>
        <v>121.70434361145945</v>
      </c>
      <c r="T87" s="55">
        <f t="shared" si="45"/>
        <v>80039</v>
      </c>
      <c r="U87" s="45">
        <v>7420</v>
      </c>
      <c r="V87" s="37">
        <f t="shared" si="46"/>
        <v>60.515833333333333</v>
      </c>
    </row>
    <row r="88" spans="1:22">
      <c r="A88" s="47">
        <v>7398</v>
      </c>
      <c r="B88" s="47">
        <v>10000</v>
      </c>
      <c r="C88" s="47">
        <v>86000</v>
      </c>
      <c r="D88" s="13">
        <v>44136</v>
      </c>
      <c r="E88" s="16">
        <f t="shared" si="34"/>
        <v>72641</v>
      </c>
      <c r="F88" s="16">
        <f t="shared" si="35"/>
        <v>8840725.2242800221</v>
      </c>
      <c r="G88" s="14">
        <f t="shared" si="36"/>
        <v>121.70434361145939</v>
      </c>
      <c r="H88" s="46">
        <f t="shared" si="13"/>
        <v>0</v>
      </c>
      <c r="I88" s="91">
        <f t="shared" si="14"/>
        <v>0</v>
      </c>
      <c r="J88" s="22">
        <f>VLOOKUP(D88,Data!$A$5:$V$197,8,FALSE)*5.83</f>
        <v>94.355006921906664</v>
      </c>
      <c r="K88" s="91">
        <f>VLOOKUP(D88,Data!$A$5:$V$197,16,FALSE)</f>
        <v>0</v>
      </c>
      <c r="L88" s="74">
        <f t="shared" si="37"/>
        <v>0</v>
      </c>
      <c r="M88" s="14">
        <f t="shared" si="38"/>
        <v>0</v>
      </c>
      <c r="N88" s="46">
        <f t="shared" si="39"/>
        <v>72641</v>
      </c>
      <c r="O88" s="46">
        <f t="shared" si="40"/>
        <v>8840725.2242800221</v>
      </c>
      <c r="P88" s="22">
        <f t="shared" si="41"/>
        <v>121.70434361145939</v>
      </c>
      <c r="Q88" s="55">
        <f t="shared" si="42"/>
        <v>72641</v>
      </c>
      <c r="R88" s="55">
        <f t="shared" si="43"/>
        <v>8840725.2242800258</v>
      </c>
      <c r="S88" s="32">
        <f t="shared" si="44"/>
        <v>121.70434361145945</v>
      </c>
      <c r="T88" s="55">
        <f t="shared" si="45"/>
        <v>80039</v>
      </c>
      <c r="U88" s="45">
        <v>7421</v>
      </c>
      <c r="V88" s="37">
        <f t="shared" si="46"/>
        <v>60.515000000000001</v>
      </c>
    </row>
    <row r="89" spans="1:22">
      <c r="A89" s="47">
        <v>7398</v>
      </c>
      <c r="B89" s="47">
        <v>10000</v>
      </c>
      <c r="C89" s="47">
        <v>86000</v>
      </c>
      <c r="D89" s="13">
        <v>44166</v>
      </c>
      <c r="E89" s="16">
        <f t="shared" si="34"/>
        <v>72641</v>
      </c>
      <c r="F89" s="16">
        <f t="shared" si="35"/>
        <v>8840725.2242800221</v>
      </c>
      <c r="G89" s="14">
        <f t="shared" si="36"/>
        <v>121.70434361145939</v>
      </c>
      <c r="H89" s="46">
        <f t="shared" ref="H89" si="47">IF(E89+A89-K89&lt;C89-B89,C89-E89+K89-A89,0)</f>
        <v>0</v>
      </c>
      <c r="I89" s="91">
        <f t="shared" ref="I89" si="48">H89*J89</f>
        <v>0</v>
      </c>
      <c r="J89" s="22">
        <f>VLOOKUP(D89,Data!$A$5:$V$197,8,FALSE)*5.83</f>
        <v>91.355353709960923</v>
      </c>
      <c r="K89" s="91">
        <f>VLOOKUP(D89,Data!$A$5:$V$197,16,FALSE)</f>
        <v>0</v>
      </c>
      <c r="L89" s="74">
        <f t="shared" si="37"/>
        <v>0</v>
      </c>
      <c r="M89" s="14">
        <f t="shared" si="38"/>
        <v>0</v>
      </c>
      <c r="N89" s="46">
        <f t="shared" si="39"/>
        <v>72641</v>
      </c>
      <c r="O89" s="46">
        <f t="shared" si="40"/>
        <v>8840725.2242800221</v>
      </c>
      <c r="P89" s="22">
        <f t="shared" si="41"/>
        <v>121.70434361145939</v>
      </c>
      <c r="Q89" s="55">
        <f t="shared" si="42"/>
        <v>72641</v>
      </c>
      <c r="R89" s="55">
        <f t="shared" si="43"/>
        <v>8840725.2242800258</v>
      </c>
      <c r="S89" s="32">
        <f t="shared" si="44"/>
        <v>121.70434361145945</v>
      </c>
      <c r="T89" s="55">
        <f t="shared" si="45"/>
        <v>80039</v>
      </c>
      <c r="U89" s="45">
        <v>7422</v>
      </c>
      <c r="V89" s="37">
        <f t="shared" si="46"/>
        <v>60.514166666666668</v>
      </c>
    </row>
  </sheetData>
  <mergeCells count="8">
    <mergeCell ref="T4:V4"/>
    <mergeCell ref="Q6:S17"/>
    <mergeCell ref="T6:V17"/>
    <mergeCell ref="E4:G4"/>
    <mergeCell ref="H4:J4"/>
    <mergeCell ref="K4:M4"/>
    <mergeCell ref="N4:P4"/>
    <mergeCell ref="Q4:S4"/>
  </mergeCells>
  <conditionalFormatting sqref="H30:H89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BFF2EF-7C08-4D73-9794-A4355CC7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DB56D5-06E6-4753-8C80-685FADA0717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DD327BBC-1791-4223-A54C-C04E92F607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Data</vt:lpstr>
      <vt:lpstr>Manatee Heavy Oil</vt:lpstr>
      <vt:lpstr>Martin Heavy Oil</vt:lpstr>
      <vt:lpstr>Turkey Point Heavy Oil</vt:lpstr>
      <vt:lpstr>Heavy Oil Summary</vt:lpstr>
      <vt:lpstr>Putnam Light Oil</vt:lpstr>
      <vt:lpstr>Turkey Point Light Oil</vt:lpstr>
      <vt:lpstr>West County Light Oil</vt:lpstr>
      <vt:lpstr>Martin Light Oil</vt:lpstr>
      <vt:lpstr>Fort Myers Light Oil</vt:lpstr>
      <vt:lpstr>Port GT's Jet Fuel</vt:lpstr>
      <vt:lpstr>Lauderdale Jet Fuel</vt:lpstr>
      <vt:lpstr>Cape Canaveral Light Oil</vt:lpstr>
      <vt:lpstr>Riviera Light Oil</vt:lpstr>
      <vt:lpstr>PEEC Light Oil</vt:lpstr>
      <vt:lpstr>Cedar Bay Light Oil</vt:lpstr>
      <vt:lpstr>Light Oil Summary</vt:lpstr>
      <vt:lpstr>Scherer Coal</vt:lpstr>
      <vt:lpstr>SJRPP Coal</vt:lpstr>
      <vt:lpstr>Cedar Bay Coal</vt:lpstr>
      <vt:lpstr>Natural Gas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2016-04-11T15:28:13Z</dcterms:created>
  <dcterms:modified xsi:type="dcterms:W3CDTF">2016-04-14T14:15:13Z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