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4764" windowWidth="19416" windowHeight="4812" tabRatio="794"/>
  </bookViews>
  <sheets>
    <sheet name="2015 Transmission Load Forecast" sheetId="94" r:id="rId1"/>
    <sheet name="2016 Transmission Load Forecast" sheetId="89" r:id="rId2"/>
    <sheet name="2017 Transmission Load Forecast" sheetId="90" r:id="rId3"/>
    <sheet name="2018 Transmission Load Forecast" sheetId="91" r:id="rId4"/>
    <sheet name="Revenue_Variance." sheetId="75" r:id="rId5"/>
    <sheet name="Transmission_Revenues" sheetId="48" r:id="rId6"/>
    <sheet name="st_nf" sheetId="12" r:id="rId7"/>
    <sheet name="Radial Facilities" sheetId="53" r:id="rId8"/>
    <sheet name="Dynamic_Scheduling" sheetId="60" r:id="rId9"/>
    <sheet name="Georgia Trans Network" sheetId="87" r:id="rId10"/>
    <sheet name="Lake Worth Network Transmission" sheetId="86" r:id="rId11"/>
    <sheet name="Lake Worth Forecast" sheetId="83" r:id="rId12"/>
    <sheet name="Homestead Network Transmission" sheetId="95" r:id="rId13"/>
    <sheet name="Homestead Forecast" sheetId="96" r:id="rId14"/>
    <sheet name="New Smyrna Network" sheetId="85" r:id="rId15"/>
    <sheet name="Blountstown Network" sheetId="79" r:id="rId16"/>
    <sheet name="Blountstown Forecast" sheetId="78" r:id="rId17"/>
    <sheet name="Winter Park Network" sheetId="82" r:id="rId18"/>
    <sheet name="Winter Park Forecast" sheetId="81" r:id="rId19"/>
    <sheet name="Quincy Transmission" sheetId="97" r:id="rId20"/>
    <sheet name="Quincy Forecast" sheetId="98" r:id="rId21"/>
    <sheet name="LCEC Network" sheetId="49" r:id="rId22"/>
    <sheet name="LCEC Forecast" sheetId="68" r:id="rId23"/>
    <sheet name="FKEC Network" sheetId="70" r:id="rId24"/>
    <sheet name="FKEC Forecast" sheetId="71" r:id="rId25"/>
    <sheet name="Wauchula Network" sheetId="73" r:id="rId26"/>
    <sheet name="Wauchula Forecast" sheetId="72" r:id="rId27"/>
    <sheet name="New Smyrna Beach" sheetId="20" r:id="rId28"/>
    <sheet name="Vero Beach Network" sheetId="61" r:id="rId29"/>
    <sheet name="FMPA Network" sheetId="14" r:id="rId30"/>
    <sheet name="FMPA Network Forecast" sheetId="63" r:id="rId31"/>
    <sheet name="SECI_Network_Forecast" sheetId="47" r:id="rId32"/>
    <sheet name="SECI_Regulation_Imbalance" sheetId="24" r:id="rId33"/>
    <sheet name="SECI Network" sheetId="18" r:id="rId34"/>
    <sheet name="SECI-Credit Settlement" sheetId="69" r:id="rId35"/>
    <sheet name="charges (1 &amp; 2)" sheetId="11" r:id="rId36"/>
    <sheet name="Transmission Formula Rate (7)" sheetId="67" r:id="rId37"/>
    <sheet name="TSAS Demand Revenues (7)" sheetId="4" r:id="rId38"/>
    <sheet name="TSAS Scheduling Revenue (1)" sheetId="64" r:id="rId39"/>
    <sheet name="TSAS Reactive Revenues (2)" sheetId="16" r:id="rId40"/>
    <sheet name="2019 Transmission Load Forecast" sheetId="92" r:id="rId41"/>
    <sheet name="2020 Transmission Load Forecast" sheetId="93" r:id="rId42"/>
    <sheet name="Lake Worth Network" sheetId="84" r:id="rId43"/>
  </sheets>
  <externalReferences>
    <externalReference r:id="rId44"/>
    <externalReference r:id="rId45"/>
    <externalReference r:id="rId46"/>
    <externalReference r:id="rId47"/>
    <externalReference r:id="rId48"/>
  </externalReferences>
  <definedNames>
    <definedName name="_APB94" localSheetId="35">[1]ABPRSA!#REF!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'[2]TXSCHD Download'!#REF!</definedName>
    <definedName name="_Fill" localSheetId="1" hidden="1">'[2]TXSCHD Download'!#REF!</definedName>
    <definedName name="_Fill" localSheetId="2" hidden="1">'[2]TXSCHD Download'!#REF!</definedName>
    <definedName name="_Fill" localSheetId="3" hidden="1">'[2]TXSCHD Download'!#REF!</definedName>
    <definedName name="_Fill" localSheetId="40" hidden="1">'[2]TXSCHD Download'!#REF!</definedName>
    <definedName name="_Fill" localSheetId="41" hidden="1">'[2]TXSCHD Download'!#REF!</definedName>
    <definedName name="_Fill" localSheetId="16" hidden="1">'[2]TXSCHD Download'!#REF!</definedName>
    <definedName name="_Fill" localSheetId="15" hidden="1">'[2]TXSCHD Download'!#REF!</definedName>
    <definedName name="_Fill" localSheetId="9" hidden="1">'[2]TXSCHD Download'!#REF!</definedName>
    <definedName name="_Fill" localSheetId="13" hidden="1">'[2]TXSCHD Download'!#REF!</definedName>
    <definedName name="_Fill" localSheetId="12" hidden="1">'[2]TXSCHD Download'!#REF!</definedName>
    <definedName name="_Fill" localSheetId="11" hidden="1">'[2]TXSCHD Download'!#REF!</definedName>
    <definedName name="_Fill" localSheetId="42" hidden="1">'[2]TXSCHD Download'!#REF!</definedName>
    <definedName name="_Fill" localSheetId="10" hidden="1">'[2]TXSCHD Download'!#REF!</definedName>
    <definedName name="_Fill" localSheetId="14" hidden="1">'[2]TXSCHD Download'!#REF!</definedName>
    <definedName name="_Fill" localSheetId="20" hidden="1">'[2]TXSCHD Download'!#REF!</definedName>
    <definedName name="_Fill" localSheetId="19" hidden="1">'[2]TXSCHD Download'!#REF!</definedName>
    <definedName name="_Fill" localSheetId="18" hidden="1">'[2]TXSCHD Download'!#REF!</definedName>
    <definedName name="_Fill" localSheetId="17" hidden="1">'[2]TXSCHD Download'!#REF!</definedName>
    <definedName name="_Fill" hidden="1">'[2]TXSCHD Download'!#REF!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0" hidden="1">#REF!</definedName>
    <definedName name="_Key1" localSheetId="41" hidden="1">#REF!</definedName>
    <definedName name="_Key1" localSheetId="16" hidden="1">#REF!</definedName>
    <definedName name="_Key1" localSheetId="15" hidden="1">#REF!</definedName>
    <definedName name="_Key1" localSheetId="9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42" hidden="1">#REF!</definedName>
    <definedName name="_Key1" localSheetId="10" hidden="1">#REF!</definedName>
    <definedName name="_Key1" localSheetId="14" hidden="1">#REF!</definedName>
    <definedName name="_Key1" localSheetId="2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0" hidden="1">#REF!</definedName>
    <definedName name="_Key2" localSheetId="41" hidden="1">#REF!</definedName>
    <definedName name="_Key2" localSheetId="16" hidden="1">#REF!</definedName>
    <definedName name="_Key2" localSheetId="15" hidden="1">#REF!</definedName>
    <definedName name="_Key2" localSheetId="9" hidden="1">#REF!</definedName>
    <definedName name="_Key2" localSheetId="13" hidden="1">#REF!</definedName>
    <definedName name="_Key2" localSheetId="12" hidden="1">#REF!</definedName>
    <definedName name="_Key2" localSheetId="11" hidden="1">#REF!</definedName>
    <definedName name="_Key2" localSheetId="42" hidden="1">#REF!</definedName>
    <definedName name="_Key2" localSheetId="10" hidden="1">#REF!</definedName>
    <definedName name="_Key2" localSheetId="14" hidden="1">#REF!</definedName>
    <definedName name="_Key2" localSheetId="20" hidden="1">#REF!</definedName>
    <definedName name="_Key2" localSheetId="19" hidden="1">#REF!</definedName>
    <definedName name="_Key2" localSheetId="18" hidden="1">#REF!</definedName>
    <definedName name="_Key2" localSheetId="17" hidden="1">#REF!</definedName>
    <definedName name="_Key2" hidden="1">#REF!</definedName>
    <definedName name="_LTC9394" localSheetId="35">[1]L.T.Contracts!#REF!</definedName>
    <definedName name="_LTC9394" localSheetId="5">[3]L.T.Contracts!#REF!</definedName>
    <definedName name="_LTC95" localSheetId="5">[3]L.T.Contracts!#REF!</definedName>
    <definedName name="_Order1" hidden="1">255</definedName>
    <definedName name="_Order2" hidden="1">255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0" hidden="1">#REF!</definedName>
    <definedName name="_Parse_Out" localSheetId="41" hidden="1">#REF!</definedName>
    <definedName name="_Parse_Out" localSheetId="16" hidden="1">#REF!</definedName>
    <definedName name="_Parse_Out" localSheetId="15" hidden="1">#REF!</definedName>
    <definedName name="_Parse_Out" localSheetId="9" hidden="1">#REF!</definedName>
    <definedName name="_Parse_Out" localSheetId="13" hidden="1">#REF!</definedName>
    <definedName name="_Parse_Out" localSheetId="12" hidden="1">#REF!</definedName>
    <definedName name="_Parse_Out" localSheetId="11" hidden="1">#REF!</definedName>
    <definedName name="_Parse_Out" localSheetId="42" hidden="1">#REF!</definedName>
    <definedName name="_Parse_Out" localSheetId="10" hidden="1">#REF!</definedName>
    <definedName name="_Parse_Out" localSheetId="14" hidden="1">#REF!</definedName>
    <definedName name="_Parse_Out" localSheetId="20" hidden="1">#REF!</definedName>
    <definedName name="_Parse_Out" localSheetId="19" hidden="1">#REF!</definedName>
    <definedName name="_Parse_Out" localSheetId="18" hidden="1">#REF!</definedName>
    <definedName name="_Parse_Out" localSheetId="17" hidden="1">#REF!</definedName>
    <definedName name="_Parse_Out" hidden="1">#REF!</definedName>
    <definedName name="_PR9394" localSheetId="35">'[1]Partial Requirements'!#REF!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0" hidden="1">#REF!</definedName>
    <definedName name="_Regression_Out" localSheetId="41" hidden="1">#REF!</definedName>
    <definedName name="_Regression_Out" localSheetId="16" hidden="1">#REF!</definedName>
    <definedName name="_Regression_Out" localSheetId="15" hidden="1">#REF!</definedName>
    <definedName name="_Regression_Out" localSheetId="9" hidden="1">#REF!</definedName>
    <definedName name="_Regression_Out" localSheetId="13" hidden="1">#REF!</definedName>
    <definedName name="_Regression_Out" localSheetId="12" hidden="1">#REF!</definedName>
    <definedName name="_Regression_Out" localSheetId="11" hidden="1">#REF!</definedName>
    <definedName name="_Regression_Out" localSheetId="42" hidden="1">#REF!</definedName>
    <definedName name="_Regression_Out" localSheetId="10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localSheetId="18" hidden="1">#REF!</definedName>
    <definedName name="_Regression_Out" localSheetId="17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0" hidden="1">#REF!</definedName>
    <definedName name="_Regression_X" localSheetId="41" hidden="1">#REF!</definedName>
    <definedName name="_Regression_X" localSheetId="16" hidden="1">#REF!</definedName>
    <definedName name="_Regression_X" localSheetId="15" hidden="1">#REF!</definedName>
    <definedName name="_Regression_X" localSheetId="9" hidden="1">#REF!</definedName>
    <definedName name="_Regression_X" localSheetId="13" hidden="1">#REF!</definedName>
    <definedName name="_Regression_X" localSheetId="12" hidden="1">#REF!</definedName>
    <definedName name="_Regression_X" localSheetId="11" hidden="1">#REF!</definedName>
    <definedName name="_Regression_X" localSheetId="42" hidden="1">#REF!</definedName>
    <definedName name="_Regression_X" localSheetId="10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localSheetId="18" hidden="1">#REF!</definedName>
    <definedName name="_Regression_X" localSheetId="17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0" hidden="1">#REF!</definedName>
    <definedName name="_Regression_Y" localSheetId="41" hidden="1">#REF!</definedName>
    <definedName name="_Regression_Y" localSheetId="16" hidden="1">#REF!</definedName>
    <definedName name="_Regression_Y" localSheetId="15" hidden="1">#REF!</definedName>
    <definedName name="_Regression_Y" localSheetId="9" hidden="1">#REF!</definedName>
    <definedName name="_Regression_Y" localSheetId="13" hidden="1">#REF!</definedName>
    <definedName name="_Regression_Y" localSheetId="12" hidden="1">#REF!</definedName>
    <definedName name="_Regression_Y" localSheetId="11" hidden="1">#REF!</definedName>
    <definedName name="_Regression_Y" localSheetId="42" hidden="1">#REF!</definedName>
    <definedName name="_Regression_Y" localSheetId="10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localSheetId="18" hidden="1">#REF!</definedName>
    <definedName name="_Regression_Y" localSheetId="17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0" hidden="1">#REF!</definedName>
    <definedName name="_Sort" localSheetId="41" hidden="1">#REF!</definedName>
    <definedName name="_Sort" localSheetId="16" hidden="1">#REF!</definedName>
    <definedName name="_Sort" localSheetId="15" hidden="1">#REF!</definedName>
    <definedName name="_Sort" localSheetId="9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42" hidden="1">#REF!</definedName>
    <definedName name="_Sort" localSheetId="10" hidden="1">#REF!</definedName>
    <definedName name="_Sort" localSheetId="14" hidden="1">#REF!</definedName>
    <definedName name="_Sort" localSheetId="20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hidden="1">#REF!</definedName>
    <definedName name="ACwvu.DATABASE." localSheetId="0" hidden="1">[4]DATABASE!#REF!</definedName>
    <definedName name="ACwvu.DATABASE." localSheetId="1" hidden="1">[4]DATABASE!#REF!</definedName>
    <definedName name="ACwvu.DATABASE." localSheetId="2" hidden="1">[4]DATABASE!#REF!</definedName>
    <definedName name="ACwvu.DATABASE." localSheetId="3" hidden="1">[4]DATABASE!#REF!</definedName>
    <definedName name="ACwvu.DATABASE." localSheetId="40" hidden="1">[4]DATABASE!#REF!</definedName>
    <definedName name="ACwvu.DATABASE." localSheetId="41" hidden="1">[4]DATABASE!#REF!</definedName>
    <definedName name="ACwvu.DATABASE." localSheetId="16" hidden="1">[4]DATABASE!#REF!</definedName>
    <definedName name="ACwvu.DATABASE." localSheetId="15" hidden="1">[4]DATABASE!#REF!</definedName>
    <definedName name="ACwvu.DATABASE." localSheetId="9" hidden="1">[4]DATABASE!#REF!</definedName>
    <definedName name="ACwvu.DATABASE." localSheetId="13" hidden="1">[4]DATABASE!#REF!</definedName>
    <definedName name="ACwvu.DATABASE." localSheetId="12" hidden="1">[4]DATABASE!#REF!</definedName>
    <definedName name="ACwvu.DATABASE." localSheetId="11" hidden="1">[4]DATABASE!#REF!</definedName>
    <definedName name="ACwvu.DATABASE." localSheetId="42" hidden="1">[4]DATABASE!#REF!</definedName>
    <definedName name="ACwvu.DATABASE." localSheetId="10" hidden="1">[4]DATABASE!#REF!</definedName>
    <definedName name="ACwvu.DATABASE." localSheetId="14" hidden="1">[4]DATABASE!#REF!</definedName>
    <definedName name="ACwvu.DATABASE." localSheetId="20" hidden="1">[4]DATABASE!#REF!</definedName>
    <definedName name="ACwvu.DATABASE." localSheetId="19" hidden="1">[4]DATABASE!#REF!</definedName>
    <definedName name="ACwvu.DATABASE." localSheetId="18" hidden="1">[4]DATABASE!#REF!</definedName>
    <definedName name="ACwvu.DATABASE." localSheetId="17" hidden="1">[4]DATABASE!#REF!</definedName>
    <definedName name="ACwvu.DATABASE." hidden="1">[4]DATABASE!#REF!</definedName>
    <definedName name="ACwvu.OP." localSheetId="0" hidden="1">#REF!</definedName>
    <definedName name="ACwvu.OP." localSheetId="1" hidden="1">#REF!</definedName>
    <definedName name="ACwvu.OP." localSheetId="2" hidden="1">#REF!</definedName>
    <definedName name="ACwvu.OP." localSheetId="3" hidden="1">#REF!</definedName>
    <definedName name="ACwvu.OP." localSheetId="40" hidden="1">#REF!</definedName>
    <definedName name="ACwvu.OP." localSheetId="41" hidden="1">#REF!</definedName>
    <definedName name="ACwvu.OP." localSheetId="16" hidden="1">#REF!</definedName>
    <definedName name="ACwvu.OP." localSheetId="15" hidden="1">#REF!</definedName>
    <definedName name="ACwvu.OP." localSheetId="9" hidden="1">#REF!</definedName>
    <definedName name="ACwvu.OP." localSheetId="13" hidden="1">#REF!</definedName>
    <definedName name="ACwvu.OP." localSheetId="12" hidden="1">#REF!</definedName>
    <definedName name="ACwvu.OP." localSheetId="11" hidden="1">#REF!</definedName>
    <definedName name="ACwvu.OP." localSheetId="42" hidden="1">#REF!</definedName>
    <definedName name="ACwvu.OP." localSheetId="10" hidden="1">#REF!</definedName>
    <definedName name="ACwvu.OP." localSheetId="14" hidden="1">#REF!</definedName>
    <definedName name="ACwvu.OP." localSheetId="20" hidden="1">#REF!</definedName>
    <definedName name="ACwvu.OP." localSheetId="19" hidden="1">#REF!</definedName>
    <definedName name="ACwvu.OP." localSheetId="18" hidden="1">#REF!</definedName>
    <definedName name="ACwvu.OP." localSheetId="17" hidden="1">#REF!</definedName>
    <definedName name="ACwvu.OP." hidden="1">#REF!</definedName>
    <definedName name="AS2DocOpenMode" hidden="1">"AS2DocumentEdit"</definedName>
    <definedName name="BLPH2" localSheetId="0" hidden="1">'[5]Commercial Paper'!#REF!</definedName>
    <definedName name="BLPH2" localSheetId="1" hidden="1">'[5]Commercial Paper'!#REF!</definedName>
    <definedName name="BLPH2" localSheetId="2" hidden="1">'[5]Commercial Paper'!#REF!</definedName>
    <definedName name="BLPH2" localSheetId="3" hidden="1">'[5]Commercial Paper'!#REF!</definedName>
    <definedName name="BLPH2" localSheetId="40" hidden="1">'[5]Commercial Paper'!#REF!</definedName>
    <definedName name="BLPH2" localSheetId="41" hidden="1">'[5]Commercial Paper'!#REF!</definedName>
    <definedName name="BLPH2" localSheetId="16" hidden="1">'[5]Commercial Paper'!#REF!</definedName>
    <definedName name="BLPH2" localSheetId="15" hidden="1">'[5]Commercial Paper'!#REF!</definedName>
    <definedName name="BLPH2" localSheetId="9" hidden="1">'[5]Commercial Paper'!#REF!</definedName>
    <definedName name="BLPH2" localSheetId="13" hidden="1">'[5]Commercial Paper'!#REF!</definedName>
    <definedName name="BLPH2" localSheetId="12" hidden="1">'[5]Commercial Paper'!#REF!</definedName>
    <definedName name="BLPH2" localSheetId="11" hidden="1">'[5]Commercial Paper'!#REF!</definedName>
    <definedName name="BLPH2" localSheetId="42" hidden="1">'[5]Commercial Paper'!#REF!</definedName>
    <definedName name="BLPH2" localSheetId="10" hidden="1">'[5]Commercial Paper'!#REF!</definedName>
    <definedName name="BLPH2" localSheetId="14" hidden="1">'[5]Commercial Paper'!#REF!</definedName>
    <definedName name="BLPH2" localSheetId="20" hidden="1">'[5]Commercial Paper'!#REF!</definedName>
    <definedName name="BLPH2" localSheetId="19" hidden="1">'[5]Commercial Paper'!#REF!</definedName>
    <definedName name="BLPH2" localSheetId="18" hidden="1">'[5]Commercial Paper'!#REF!</definedName>
    <definedName name="BLPH2" localSheetId="17" hidden="1">'[5]Commercial Paper'!#REF!</definedName>
    <definedName name="BLPH2" hidden="1">'[5]Commercial Paper'!#REF!</definedName>
    <definedName name="BLPH3" localSheetId="0" hidden="1">'[5]Commercial Paper'!#REF!</definedName>
    <definedName name="BLPH3" localSheetId="1" hidden="1">'[5]Commercial Paper'!#REF!</definedName>
    <definedName name="BLPH3" localSheetId="2" hidden="1">'[5]Commercial Paper'!#REF!</definedName>
    <definedName name="BLPH3" localSheetId="3" hidden="1">'[5]Commercial Paper'!#REF!</definedName>
    <definedName name="BLPH3" localSheetId="40" hidden="1">'[5]Commercial Paper'!#REF!</definedName>
    <definedName name="BLPH3" localSheetId="41" hidden="1">'[5]Commercial Paper'!#REF!</definedName>
    <definedName name="BLPH3" localSheetId="16" hidden="1">'[5]Commercial Paper'!#REF!</definedName>
    <definedName name="BLPH3" localSheetId="15" hidden="1">'[5]Commercial Paper'!#REF!</definedName>
    <definedName name="BLPH3" localSheetId="9" hidden="1">'[5]Commercial Paper'!#REF!</definedName>
    <definedName name="BLPH3" localSheetId="13" hidden="1">'[5]Commercial Paper'!#REF!</definedName>
    <definedName name="BLPH3" localSheetId="12" hidden="1">'[5]Commercial Paper'!#REF!</definedName>
    <definedName name="BLPH3" localSheetId="11" hidden="1">'[5]Commercial Paper'!#REF!</definedName>
    <definedName name="BLPH3" localSheetId="42" hidden="1">'[5]Commercial Paper'!#REF!</definedName>
    <definedName name="BLPH3" localSheetId="10" hidden="1">'[5]Commercial Paper'!#REF!</definedName>
    <definedName name="BLPH3" localSheetId="14" hidden="1">'[5]Commercial Paper'!#REF!</definedName>
    <definedName name="BLPH3" localSheetId="20" hidden="1">'[5]Commercial Paper'!#REF!</definedName>
    <definedName name="BLPH3" localSheetId="19" hidden="1">'[5]Commercial Paper'!#REF!</definedName>
    <definedName name="BLPH3" localSheetId="18" hidden="1">'[5]Commercial Paper'!#REF!</definedName>
    <definedName name="BLPH3" localSheetId="17" hidden="1">'[5]Commercial Paper'!#REF!</definedName>
    <definedName name="BLPH3" hidden="1">'[5]Commercial Paper'!#REF!</definedName>
    <definedName name="BLPH4" localSheetId="0" hidden="1">'[5]Commercial Paper'!#REF!</definedName>
    <definedName name="BLPH4" localSheetId="1" hidden="1">'[5]Commercial Paper'!#REF!</definedName>
    <definedName name="BLPH4" localSheetId="2" hidden="1">'[5]Commercial Paper'!#REF!</definedName>
    <definedName name="BLPH4" localSheetId="3" hidden="1">'[5]Commercial Paper'!#REF!</definedName>
    <definedName name="BLPH4" localSheetId="40" hidden="1">'[5]Commercial Paper'!#REF!</definedName>
    <definedName name="BLPH4" localSheetId="41" hidden="1">'[5]Commercial Paper'!#REF!</definedName>
    <definedName name="BLPH4" localSheetId="16" hidden="1">'[5]Commercial Paper'!#REF!</definedName>
    <definedName name="BLPH4" localSheetId="15" hidden="1">'[5]Commercial Paper'!#REF!</definedName>
    <definedName name="BLPH4" localSheetId="9" hidden="1">'[5]Commercial Paper'!#REF!</definedName>
    <definedName name="BLPH4" localSheetId="13" hidden="1">'[5]Commercial Paper'!#REF!</definedName>
    <definedName name="BLPH4" localSheetId="12" hidden="1">'[5]Commercial Paper'!#REF!</definedName>
    <definedName name="BLPH4" localSheetId="11" hidden="1">'[5]Commercial Paper'!#REF!</definedName>
    <definedName name="BLPH4" localSheetId="42" hidden="1">'[5]Commercial Paper'!#REF!</definedName>
    <definedName name="BLPH4" localSheetId="10" hidden="1">'[5]Commercial Paper'!#REF!</definedName>
    <definedName name="BLPH4" localSheetId="14" hidden="1">'[5]Commercial Paper'!#REF!</definedName>
    <definedName name="BLPH4" localSheetId="20" hidden="1">'[5]Commercial Paper'!#REF!</definedName>
    <definedName name="BLPH4" localSheetId="19" hidden="1">'[5]Commercial Paper'!#REF!</definedName>
    <definedName name="BLPH4" localSheetId="18" hidden="1">'[5]Commercial Paper'!#REF!</definedName>
    <definedName name="BLPH4" localSheetId="17" hidden="1">'[5]Commercial Paper'!#REF!</definedName>
    <definedName name="BLPH4" hidden="1">'[5]Commercial Paper'!#REF!</definedName>
    <definedName name="BLPH5" localSheetId="0" hidden="1">'[5]Commercial Paper'!#REF!</definedName>
    <definedName name="BLPH5" localSheetId="1" hidden="1">'[5]Commercial Paper'!#REF!</definedName>
    <definedName name="BLPH5" localSheetId="2" hidden="1">'[5]Commercial Paper'!#REF!</definedName>
    <definedName name="BLPH5" localSheetId="3" hidden="1">'[5]Commercial Paper'!#REF!</definedName>
    <definedName name="BLPH5" localSheetId="40" hidden="1">'[5]Commercial Paper'!#REF!</definedName>
    <definedName name="BLPH5" localSheetId="41" hidden="1">'[5]Commercial Paper'!#REF!</definedName>
    <definedName name="BLPH5" localSheetId="16" hidden="1">'[5]Commercial Paper'!#REF!</definedName>
    <definedName name="BLPH5" localSheetId="15" hidden="1">'[5]Commercial Paper'!#REF!</definedName>
    <definedName name="BLPH5" localSheetId="9" hidden="1">'[5]Commercial Paper'!#REF!</definedName>
    <definedName name="BLPH5" localSheetId="13" hidden="1">'[5]Commercial Paper'!#REF!</definedName>
    <definedName name="BLPH5" localSheetId="12" hidden="1">'[5]Commercial Paper'!#REF!</definedName>
    <definedName name="BLPH5" localSheetId="11" hidden="1">'[5]Commercial Paper'!#REF!</definedName>
    <definedName name="BLPH5" localSheetId="42" hidden="1">'[5]Commercial Paper'!#REF!</definedName>
    <definedName name="BLPH5" localSheetId="10" hidden="1">'[5]Commercial Paper'!#REF!</definedName>
    <definedName name="BLPH5" localSheetId="14" hidden="1">'[5]Commercial Paper'!#REF!</definedName>
    <definedName name="BLPH5" localSheetId="20" hidden="1">'[5]Commercial Paper'!#REF!</definedName>
    <definedName name="BLPH5" localSheetId="19" hidden="1">'[5]Commercial Paper'!#REF!</definedName>
    <definedName name="BLPH5" localSheetId="18" hidden="1">'[5]Commercial Paper'!#REF!</definedName>
    <definedName name="BLPH5" localSheetId="17" hidden="1">'[5]Commercial Paper'!#REF!</definedName>
    <definedName name="BLPH5" hidden="1">'[5]Commercial Paper'!#REF!</definedName>
    <definedName name="BLPH6" localSheetId="0" hidden="1">'[5]Commercial Paper'!#REF!</definedName>
    <definedName name="BLPH6" localSheetId="1" hidden="1">'[5]Commercial Paper'!#REF!</definedName>
    <definedName name="BLPH6" localSheetId="2" hidden="1">'[5]Commercial Paper'!#REF!</definedName>
    <definedName name="BLPH6" localSheetId="3" hidden="1">'[5]Commercial Paper'!#REF!</definedName>
    <definedName name="BLPH6" localSheetId="40" hidden="1">'[5]Commercial Paper'!#REF!</definedName>
    <definedName name="BLPH6" localSheetId="41" hidden="1">'[5]Commercial Paper'!#REF!</definedName>
    <definedName name="BLPH6" localSheetId="16" hidden="1">'[5]Commercial Paper'!#REF!</definedName>
    <definedName name="BLPH6" localSheetId="15" hidden="1">'[5]Commercial Paper'!#REF!</definedName>
    <definedName name="BLPH6" localSheetId="9" hidden="1">'[5]Commercial Paper'!#REF!</definedName>
    <definedName name="BLPH6" localSheetId="13" hidden="1">'[5]Commercial Paper'!#REF!</definedName>
    <definedName name="BLPH6" localSheetId="12" hidden="1">'[5]Commercial Paper'!#REF!</definedName>
    <definedName name="BLPH6" localSheetId="11" hidden="1">'[5]Commercial Paper'!#REF!</definedName>
    <definedName name="BLPH6" localSheetId="42" hidden="1">'[5]Commercial Paper'!#REF!</definedName>
    <definedName name="BLPH6" localSheetId="10" hidden="1">'[5]Commercial Paper'!#REF!</definedName>
    <definedName name="BLPH6" localSheetId="14" hidden="1">'[5]Commercial Paper'!#REF!</definedName>
    <definedName name="BLPH6" localSheetId="20" hidden="1">'[5]Commercial Paper'!#REF!</definedName>
    <definedName name="BLPH6" localSheetId="19" hidden="1">'[5]Commercial Paper'!#REF!</definedName>
    <definedName name="BLPH6" localSheetId="18" hidden="1">'[5]Commercial Paper'!#REF!</definedName>
    <definedName name="BLPH6" localSheetId="17" hidden="1">'[5]Commercial Paper'!#REF!</definedName>
    <definedName name="BLPH6" hidden="1">'[5]Commercial Paper'!#REF!</definedName>
    <definedName name="delete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4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4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sfds" localSheetId="0" hidden="1">#REF!</definedName>
    <definedName name="dsfds" localSheetId="1" hidden="1">#REF!</definedName>
    <definedName name="dsfds" localSheetId="2" hidden="1">#REF!</definedName>
    <definedName name="dsfds" localSheetId="3" hidden="1">#REF!</definedName>
    <definedName name="dsfds" localSheetId="40" hidden="1">#REF!</definedName>
    <definedName name="dsfds" localSheetId="41" hidden="1">#REF!</definedName>
    <definedName name="dsfds" localSheetId="16" hidden="1">#REF!</definedName>
    <definedName name="dsfds" localSheetId="15" hidden="1">#REF!</definedName>
    <definedName name="dsfds" localSheetId="9" hidden="1">#REF!</definedName>
    <definedName name="dsfds" localSheetId="13" hidden="1">#REF!</definedName>
    <definedName name="dsfds" localSheetId="12" hidden="1">#REF!</definedName>
    <definedName name="dsfds" localSheetId="11" hidden="1">#REF!</definedName>
    <definedName name="dsfds" localSheetId="42" hidden="1">#REF!</definedName>
    <definedName name="dsfds" localSheetId="10" hidden="1">#REF!</definedName>
    <definedName name="dsfds" localSheetId="14" hidden="1">#REF!</definedName>
    <definedName name="dsfds" localSheetId="20" hidden="1">#REF!</definedName>
    <definedName name="dsfds" localSheetId="19" hidden="1">#REF!</definedName>
    <definedName name="dsfds" localSheetId="18" hidden="1">#REF!</definedName>
    <definedName name="dsfds" localSheetId="17" hidden="1">#REF!</definedName>
    <definedName name="dsfds" hidden="1">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4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4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FR9394_" localSheetId="35">'[1]Full Requirements'!#REF!</definedName>
    <definedName name="jpg" localSheetId="0" hidden="1">{"detail305",#N/A,FALSE,"BI-305"}</definedName>
    <definedName name="jpg" localSheetId="1" hidden="1">{"detail305",#N/A,FALSE,"BI-305"}</definedName>
    <definedName name="jpg" localSheetId="2" hidden="1">{"detail305",#N/A,FALSE,"BI-305"}</definedName>
    <definedName name="jpg" localSheetId="3" hidden="1">{"detail305",#N/A,FALSE,"BI-305"}</definedName>
    <definedName name="jpg" localSheetId="40" hidden="1">{"detail305",#N/A,FALSE,"BI-305"}</definedName>
    <definedName name="jpg" localSheetId="41" hidden="1">{"detail305",#N/A,FALSE,"BI-305"}</definedName>
    <definedName name="jpg" hidden="1">{"detail305",#N/A,FALSE,"BI-305"}</definedName>
    <definedName name="MIKE" localSheetId="0" hidden="1">{"detail305",#N/A,FALSE,"BI-305"}</definedName>
    <definedName name="MIKE" localSheetId="1" hidden="1">{"detail305",#N/A,FALSE,"BI-305"}</definedName>
    <definedName name="MIKE" localSheetId="2" hidden="1">{"detail305",#N/A,FALSE,"BI-305"}</definedName>
    <definedName name="MIKE" localSheetId="3" hidden="1">{"detail305",#N/A,FALSE,"BI-305"}</definedName>
    <definedName name="MIKE" localSheetId="40" hidden="1">{"detail305",#N/A,FALSE,"BI-305"}</definedName>
    <definedName name="MIKE" localSheetId="41" hidden="1">{"detail305",#N/A,FALSE,"BI-305"}</definedName>
    <definedName name="MIKE" hidden="1">{"detail305",#N/A,FALSE,"BI-305"}</definedName>
    <definedName name="Pal_Workbook_GUID" hidden="1">"55M98ACSJ98FTSKW6UFXFD98"</definedName>
    <definedName name="PGD" localSheetId="0" hidden="1">{"detail305",#N/A,FALSE,"BI-305"}</definedName>
    <definedName name="PGD" localSheetId="1" hidden="1">{"detail305",#N/A,FALSE,"BI-305"}</definedName>
    <definedName name="PGD" localSheetId="2" hidden="1">{"detail305",#N/A,FALSE,"BI-305"}</definedName>
    <definedName name="PGD" localSheetId="3" hidden="1">{"detail305",#N/A,FALSE,"BI-305"}</definedName>
    <definedName name="PGD" localSheetId="40" hidden="1">{"detail305",#N/A,FALSE,"BI-305"}</definedName>
    <definedName name="PGD" localSheetId="41" hidden="1">{"detail305",#N/A,FALSE,"BI-305"}</definedName>
    <definedName name="PGD" hidden="1">{"detail305",#N/A,FALSE,"BI-305"}</definedName>
    <definedName name="pmm" localSheetId="0" hidden="1">{"summary",#N/A,FALSE,"PCR DIRECTORY"}</definedName>
    <definedName name="pmm" localSheetId="1" hidden="1">{"summary",#N/A,FALSE,"PCR DIRECTORY"}</definedName>
    <definedName name="pmm" localSheetId="2" hidden="1">{"summary",#N/A,FALSE,"PCR DIRECTORY"}</definedName>
    <definedName name="pmm" localSheetId="3" hidden="1">{"summary",#N/A,FALSE,"PCR DIRECTORY"}</definedName>
    <definedName name="pmm" localSheetId="40" hidden="1">{"summary",#N/A,FALSE,"PCR DIRECTORY"}</definedName>
    <definedName name="pmm" localSheetId="41" hidden="1">{"summary",#N/A,FALSE,"PCR DIRECTORY"}</definedName>
    <definedName name="pmm" hidden="1">{"summary",#N/A,FALSE,"PCR DIRECTORY"}</definedName>
    <definedName name="PMT" localSheetId="0" hidden="1">{"detail305",#N/A,FALSE,"BI-305"}</definedName>
    <definedName name="PMT" localSheetId="1" hidden="1">{"detail305",#N/A,FALSE,"BI-305"}</definedName>
    <definedName name="PMT" localSheetId="2" hidden="1">{"detail305",#N/A,FALSE,"BI-305"}</definedName>
    <definedName name="PMT" localSheetId="3" hidden="1">{"detail305",#N/A,FALSE,"BI-305"}</definedName>
    <definedName name="PMT" localSheetId="40" hidden="1">{"detail305",#N/A,FALSE,"BI-305"}</definedName>
    <definedName name="PMT" localSheetId="41" hidden="1">{"detail305",#N/A,FALSE,"BI-305"}</definedName>
    <definedName name="PMT" hidden="1">{"detail305",#N/A,FALSE,"BI-305"}</definedName>
    <definedName name="PMX" localSheetId="0" hidden="1">{"detail305",#N/A,FALSE,"BI-305"}</definedName>
    <definedName name="PMX" localSheetId="1" hidden="1">{"detail305",#N/A,FALSE,"BI-305"}</definedName>
    <definedName name="PMX" localSheetId="2" hidden="1">{"detail305",#N/A,FALSE,"BI-305"}</definedName>
    <definedName name="PMX" localSheetId="3" hidden="1">{"detail305",#N/A,FALSE,"BI-305"}</definedName>
    <definedName name="PMX" localSheetId="40" hidden="1">{"detail305",#N/A,FALSE,"BI-305"}</definedName>
    <definedName name="PMX" localSheetId="41" hidden="1">{"detail305",#N/A,FALSE,"BI-305"}</definedName>
    <definedName name="PMX" hidden="1">{"detail305",#N/A,FALSE,"BI-305"}</definedName>
    <definedName name="_xlnm.Print_Area" localSheetId="15">'Blountstown Network'!$A$2:$N$92</definedName>
    <definedName name="_xlnm.Print_Area" localSheetId="35">'charges (1 &amp; 2)'!$C$8:$K$41</definedName>
    <definedName name="_xlnm.Print_Area" localSheetId="8">Dynamic_Scheduling!$A$4:$N$17</definedName>
    <definedName name="_xlnm.Print_Area" localSheetId="29">'FMPA Network'!$A$3:$N$156</definedName>
    <definedName name="_xlnm.Print_Area" localSheetId="30">'FMPA Network Forecast'!$A$4:$O$40</definedName>
    <definedName name="_xlnm.Print_Area" localSheetId="9">'Georgia Trans Network'!$A$3:$N$149</definedName>
    <definedName name="_xlnm.Print_Area" localSheetId="12">'Homestead Network Transmission'!$A$2:$N$168</definedName>
    <definedName name="_xlnm.Print_Area" localSheetId="42">'Lake Worth Network'!$A$4:$N$109</definedName>
    <definedName name="_xlnm.Print_Area" localSheetId="10">'Lake Worth Network Transmission'!$A$2:$N$168</definedName>
    <definedName name="_xlnm.Print_Area" localSheetId="21">'LCEC Network'!$A$3:$N$109</definedName>
    <definedName name="_xlnm.Print_Area" localSheetId="14">'New Smyrna Network'!$A$2:$N$164</definedName>
    <definedName name="_xlnm.Print_Area" localSheetId="19">'Quincy Transmission'!$A$2:$N$102</definedName>
    <definedName name="_xlnm.Print_Area" localSheetId="7">'Radial Facilities'!$A$3:$N$90</definedName>
    <definedName name="_xlnm.Print_Area" localSheetId="4">Revenue_Variance.!$A$1:$F$226</definedName>
    <definedName name="_xlnm.Print_Area" localSheetId="33">'SECI Network'!$A$2:$N$151</definedName>
    <definedName name="_xlnm.Print_Area" localSheetId="31">SECI_Network_Forecast!$A$4:$Q$30</definedName>
    <definedName name="_xlnm.Print_Area" localSheetId="32">SECI_Regulation_Imbalance!$A$2:$N$91</definedName>
    <definedName name="_xlnm.Print_Area" localSheetId="6">st_nf!$A$4:$P$11</definedName>
    <definedName name="_xlnm.Print_Area" localSheetId="5">Transmission_Revenues!$A$7:$O$331</definedName>
    <definedName name="_xlnm.Print_Area" localSheetId="37">'TSAS Demand Revenues (7)'!$A$2:$N$376</definedName>
    <definedName name="_xlnm.Print_Area" localSheetId="39">'TSAS Reactive Revenues (2)'!$A$5:$N$376</definedName>
    <definedName name="_xlnm.Print_Area" localSheetId="38">'TSAS Scheduling Revenue (1)'!$A$6:$N$387</definedName>
    <definedName name="_xlnm.Print_Area" localSheetId="28">'Vero Beach Network'!$B$6:$N$154</definedName>
    <definedName name="_xlnm.Print_Area" localSheetId="25">'Wauchula Network'!$A$3:$N$93</definedName>
    <definedName name="_xlnm.Print_Area" localSheetId="17">'Winter Park Network'!$A$3:$N$103</definedName>
    <definedName name="_xlnm.Print_Titles" localSheetId="35">'charges (1 &amp; 2)'!$A:$B,'charges (1 &amp; 2)'!$4:$7</definedName>
    <definedName name="_xlnm.Print_Titles" localSheetId="29">'FMPA Network'!$A:$A,'FMPA Network'!$3:$6</definedName>
    <definedName name="_xlnm.Print_Titles" localSheetId="21">'LCEC Network'!$A:$A,'LCEC Network'!$3:$6</definedName>
    <definedName name="_xlnm.Print_Titles" localSheetId="33">'SECI Network'!$A:$A,'SECI Network'!$2:$5</definedName>
    <definedName name="_xlnm.Print_Titles" localSheetId="32">SECI_Regulation_Imbalance!$A:$A,SECI_Regulation_Imbalance!$2:$5</definedName>
    <definedName name="_xlnm.Print_Titles" localSheetId="5">Transmission_Revenues!$1:$6</definedName>
    <definedName name="_xlnm.Print_Titles" localSheetId="37">'TSAS Demand Revenues (7)'!$A:$A,'TSAS Demand Revenues (7)'!$2:$5</definedName>
    <definedName name="_xlnm.Print_Titles" localSheetId="39">'TSAS Reactive Revenues (2)'!$A:$A,'TSAS Reactive Revenues (2)'!$1:$4</definedName>
    <definedName name="_xlnm.Print_Titles" localSheetId="38">'TSAS Scheduling Revenue (1)'!$A:$A,'TSAS Scheduling Revenue (1)'!$2:$5</definedName>
    <definedName name="_xlnm.Print_Titles" localSheetId="28">'Vero Beach Network'!$A:$A,'Vero Beach Network'!$2:$5</definedName>
    <definedName name="q" localSheetId="0" hidden="1">{"MATALL",#N/A,FALSE,"Sheet4";"matclass",#N/A,FALSE,"Sheet4"}</definedName>
    <definedName name="q" localSheetId="1" hidden="1">{"MATALL",#N/A,FALSE,"Sheet4";"matclass",#N/A,FALSE,"Sheet4"}</definedName>
    <definedName name="q" localSheetId="2" hidden="1">{"MATALL",#N/A,FALSE,"Sheet4";"matclass",#N/A,FALSE,"Sheet4"}</definedName>
    <definedName name="q" localSheetId="3" hidden="1">{"MATALL",#N/A,FALSE,"Sheet4";"matclass",#N/A,FALSE,"Sheet4"}</definedName>
    <definedName name="q" localSheetId="40" hidden="1">{"MATALL",#N/A,FALSE,"Sheet4";"matclass",#N/A,FALSE,"Sheet4"}</definedName>
    <definedName name="q" localSheetId="41" hidden="1">{"MATALL",#N/A,FALSE,"Sheet4";"matclass",#N/A,FALSE,"Sheet4"}</definedName>
    <definedName name="q" hidden="1">{"MATALL",#N/A,FALSE,"Sheet4";"matclass",#N/A,FALSE,"Sheet4"}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" localSheetId="0" hidden="1">{"summary",#N/A,FALSE,"PCR DIRECTORY"}</definedName>
    <definedName name="sada" localSheetId="1" hidden="1">{"summary",#N/A,FALSE,"PCR DIRECTORY"}</definedName>
    <definedName name="sada" localSheetId="2" hidden="1">{"summary",#N/A,FALSE,"PCR DIRECTORY"}</definedName>
    <definedName name="sada" localSheetId="3" hidden="1">{"summary",#N/A,FALSE,"PCR DIRECTORY"}</definedName>
    <definedName name="sada" localSheetId="40" hidden="1">{"summary",#N/A,FALSE,"PCR DIRECTORY"}</definedName>
    <definedName name="sada" localSheetId="41" hidden="1">{"summary",#N/A,FALSE,"PCR DIRECTORY"}</definedName>
    <definedName name="sada" hidden="1">{"summary",#N/A,FALSE,"PCR DIRECTORY"}</definedName>
    <definedName name="SUMREV" localSheetId="5">Transmission_Revenues!$A$5:$O$13</definedName>
    <definedName name="Swvu.DATABASE." localSheetId="0" hidden="1">[4]DATABASE!#REF!</definedName>
    <definedName name="Swvu.DATABASE." localSheetId="2" hidden="1">[4]DATABASE!#REF!</definedName>
    <definedName name="Swvu.DATABASE." localSheetId="3" hidden="1">[4]DATABASE!#REF!</definedName>
    <definedName name="Swvu.DATABASE." localSheetId="40" hidden="1">[4]DATABASE!#REF!</definedName>
    <definedName name="Swvu.DATABASE." localSheetId="41" hidden="1">[4]DATABASE!#REF!</definedName>
    <definedName name="Swvu.DATABASE." localSheetId="16" hidden="1">[4]DATABASE!#REF!</definedName>
    <definedName name="Swvu.DATABASE." localSheetId="15" hidden="1">[4]DATABASE!#REF!</definedName>
    <definedName name="Swvu.DATABASE." localSheetId="9" hidden="1">[4]DATABASE!#REF!</definedName>
    <definedName name="Swvu.DATABASE." localSheetId="13" hidden="1">[4]DATABASE!#REF!</definedName>
    <definedName name="Swvu.DATABASE." localSheetId="12" hidden="1">[4]DATABASE!#REF!</definedName>
    <definedName name="Swvu.DATABASE." localSheetId="11" hidden="1">[4]DATABASE!#REF!</definedName>
    <definedName name="Swvu.DATABASE." localSheetId="42" hidden="1">[4]DATABASE!#REF!</definedName>
    <definedName name="Swvu.DATABASE." localSheetId="10" hidden="1">[4]DATABASE!#REF!</definedName>
    <definedName name="Swvu.DATABASE." localSheetId="14" hidden="1">[4]DATABASE!#REF!</definedName>
    <definedName name="Swvu.DATABASE." localSheetId="20" hidden="1">[4]DATABASE!#REF!</definedName>
    <definedName name="Swvu.DATABASE." localSheetId="19" hidden="1">[4]DATABASE!#REF!</definedName>
    <definedName name="Swvu.DATABASE." localSheetId="18" hidden="1">[4]DATABASE!#REF!</definedName>
    <definedName name="Swvu.DATABASE." localSheetId="17" hidden="1">[4]DATABASE!#REF!</definedName>
    <definedName name="Swvu.DATABASE." hidden="1">[4]DATABASE!#REF!</definedName>
    <definedName name="Swvu.OP." localSheetId="0" hidden="1">#REF!</definedName>
    <definedName name="Swvu.OP." localSheetId="1" hidden="1">#REF!</definedName>
    <definedName name="Swvu.OP." localSheetId="2" hidden="1">#REF!</definedName>
    <definedName name="Swvu.OP." localSheetId="3" hidden="1">#REF!</definedName>
    <definedName name="Swvu.OP." localSheetId="40" hidden="1">#REF!</definedName>
    <definedName name="Swvu.OP." localSheetId="41" hidden="1">#REF!</definedName>
    <definedName name="Swvu.OP." localSheetId="16" hidden="1">#REF!</definedName>
    <definedName name="Swvu.OP." localSheetId="15" hidden="1">#REF!</definedName>
    <definedName name="Swvu.OP." localSheetId="9" hidden="1">#REF!</definedName>
    <definedName name="Swvu.OP." localSheetId="13" hidden="1">#REF!</definedName>
    <definedName name="Swvu.OP." localSheetId="12" hidden="1">#REF!</definedName>
    <definedName name="Swvu.OP." localSheetId="11" hidden="1">#REF!</definedName>
    <definedName name="Swvu.OP." localSheetId="42" hidden="1">#REF!</definedName>
    <definedName name="Swvu.OP." localSheetId="10" hidden="1">#REF!</definedName>
    <definedName name="Swvu.OP." localSheetId="14" hidden="1">#REF!</definedName>
    <definedName name="Swvu.OP." localSheetId="20" hidden="1">#REF!</definedName>
    <definedName name="Swvu.OP." localSheetId="19" hidden="1">#REF!</definedName>
    <definedName name="Swvu.OP." localSheetId="18" hidden="1">#REF!</definedName>
    <definedName name="Swvu.OP." localSheetId="17" hidden="1">#REF!</definedName>
    <definedName name="Swvu.OP." hidden="1">#REF!</definedName>
    <definedName name="TAMI" localSheetId="0" hidden="1">{"summary",#N/A,FALSE,"PCR DIRECTORY"}</definedName>
    <definedName name="TAMI" localSheetId="1" hidden="1">{"summary",#N/A,FALSE,"PCR DIRECTORY"}</definedName>
    <definedName name="TAMI" localSheetId="2" hidden="1">{"summary",#N/A,FALSE,"PCR DIRECTORY"}</definedName>
    <definedName name="TAMI" localSheetId="3" hidden="1">{"summary",#N/A,FALSE,"PCR DIRECTORY"}</definedName>
    <definedName name="TAMI" localSheetId="40" hidden="1">{"summary",#N/A,FALSE,"PCR DIRECTORY"}</definedName>
    <definedName name="TAMI" localSheetId="41" hidden="1">{"summary",#N/A,FALSE,"PCR DIRECTORY"}</definedName>
    <definedName name="TAMI" hidden="1">{"summary",#N/A,FALSE,"PCR DIRECTORY"}</definedName>
    <definedName name="TEST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4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4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0" hidden="1">{"MATALL",#N/A,FALSE,"Sheet4";"matclass",#N/A,FALSE,"Sheet4"}</definedName>
    <definedName name="w" localSheetId="1" hidden="1">{"MATALL",#N/A,FALSE,"Sheet4";"matclass",#N/A,FALSE,"Sheet4"}</definedName>
    <definedName name="w" localSheetId="2" hidden="1">{"MATALL",#N/A,FALSE,"Sheet4";"matclass",#N/A,FALSE,"Sheet4"}</definedName>
    <definedName name="w" localSheetId="3" hidden="1">{"MATALL",#N/A,FALSE,"Sheet4";"matclass",#N/A,FALSE,"Sheet4"}</definedName>
    <definedName name="w" localSheetId="40" hidden="1">{"MATALL",#N/A,FALSE,"Sheet4";"matclass",#N/A,FALSE,"Sheet4"}</definedName>
    <definedName name="w" localSheetId="41" hidden="1">{"MATALL",#N/A,FALSE,"Sheet4";"matclass",#N/A,FALSE,"Sheet4"}</definedName>
    <definedName name="w" hidden="1">{"MATALL",#N/A,FALSE,"Sheet4";"matclass",#N/A,FALSE,"Sheet4"}</definedName>
    <definedName name="WORKCAPa" localSheetId="0" hidden="1">{"WCCWCLL",#N/A,FALSE,"Sheet3";"PP",#N/A,FALSE,"Sheet3";"MAT1",#N/A,FALSE,"Sheet3";"MAT2",#N/A,FALSE,"Sheet3"}</definedName>
    <definedName name="WORKCAPa" localSheetId="1" hidden="1">{"WCCWCLL",#N/A,FALSE,"Sheet3";"PP",#N/A,FALSE,"Sheet3";"MAT1",#N/A,FALSE,"Sheet3";"MAT2",#N/A,FALSE,"Sheet3"}</definedName>
    <definedName name="WORKCAPa" localSheetId="2" hidden="1">{"WCCWCLL",#N/A,FALSE,"Sheet3";"PP",#N/A,FALSE,"Sheet3";"MAT1",#N/A,FALSE,"Sheet3";"MAT2",#N/A,FALSE,"Sheet3"}</definedName>
    <definedName name="WORKCAPa" localSheetId="3" hidden="1">{"WCCWCLL",#N/A,FALSE,"Sheet3";"PP",#N/A,FALSE,"Sheet3";"MAT1",#N/A,FALSE,"Sheet3";"MAT2",#N/A,FALSE,"Sheet3"}</definedName>
    <definedName name="WORKCAPa" localSheetId="40" hidden="1">{"WCCWCLL",#N/A,FALSE,"Sheet3";"PP",#N/A,FALSE,"Sheet3";"MAT1",#N/A,FALSE,"Sheet3";"MAT2",#N/A,FALSE,"Sheet3"}</definedName>
    <definedName name="WORKCAPa" localSheetId="41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rn.97maint.xls." localSheetId="0" hidden="1">{#N/A,#N/A,TRUE,"TOTAL DISTRIBUTION";#N/A,#N/A,TRUE,"SOUTH";#N/A,#N/A,TRUE,"NORTHEAST";#N/A,#N/A,TRUE,"WEST"}</definedName>
    <definedName name="wrn.97maint.xls." localSheetId="1" hidden="1">{#N/A,#N/A,TRUE,"TOTAL DISTRIBUTION";#N/A,#N/A,TRUE,"SOUTH";#N/A,#N/A,TRUE,"NORTHEAST";#N/A,#N/A,TRUE,"WEST"}</definedName>
    <definedName name="wrn.97maint.xls." localSheetId="2" hidden="1">{#N/A,#N/A,TRUE,"TOTAL DISTRIBUTION";#N/A,#N/A,TRUE,"SOUTH";#N/A,#N/A,TRUE,"NORTHEAST";#N/A,#N/A,TRUE,"WEST"}</definedName>
    <definedName name="wrn.97maint.xls." localSheetId="3" hidden="1">{#N/A,#N/A,TRUE,"TOTAL DISTRIBUTION";#N/A,#N/A,TRUE,"SOUTH";#N/A,#N/A,TRUE,"NORTHEAST";#N/A,#N/A,TRUE,"WEST"}</definedName>
    <definedName name="wrn.97maint.xls." localSheetId="40" hidden="1">{#N/A,#N/A,TRUE,"TOTAL DISTRIBUTION";#N/A,#N/A,TRUE,"SOUTH";#N/A,#N/A,TRUE,"NORTHEAST";#N/A,#N/A,TRUE,"WEST"}</definedName>
    <definedName name="wrn.97maint.xls." localSheetId="41" hidden="1">{#N/A,#N/A,TRUE,"TOTAL DISTRIBUTION";#N/A,#N/A,TRUE,"SOUTH";#N/A,#N/A,TRUE,"NORTHEAST";#N/A,#N/A,TRUE,"WEST"}</definedName>
    <definedName name="wrn.97maint.xls." hidden="1">{#N/A,#N/A,TRUE,"TOTAL DISTRIBUTION";#N/A,#N/A,TRUE,"SOUTH";#N/A,#N/A,TRUE,"NORTHEAST";#N/A,#N/A,TRUE,"WEST"}</definedName>
    <definedName name="wrn.97OR.XLs." localSheetId="0" hidden="1">{#N/A,#N/A,TRUE,"TOTAL DSBN";#N/A,#N/A,TRUE,"WEST";#N/A,#N/A,TRUE,"SOUTH";#N/A,#N/A,TRUE,"NORTHEAST"}</definedName>
    <definedName name="wrn.97OR.XLs." localSheetId="1" hidden="1">{#N/A,#N/A,TRUE,"TOTAL DSBN";#N/A,#N/A,TRUE,"WEST";#N/A,#N/A,TRUE,"SOUTH";#N/A,#N/A,TRUE,"NORTHEAST"}</definedName>
    <definedName name="wrn.97OR.XLs." localSheetId="2" hidden="1">{#N/A,#N/A,TRUE,"TOTAL DSBN";#N/A,#N/A,TRUE,"WEST";#N/A,#N/A,TRUE,"SOUTH";#N/A,#N/A,TRUE,"NORTHEAST"}</definedName>
    <definedName name="wrn.97OR.XLs." localSheetId="3" hidden="1">{#N/A,#N/A,TRUE,"TOTAL DSBN";#N/A,#N/A,TRUE,"WEST";#N/A,#N/A,TRUE,"SOUTH";#N/A,#N/A,TRUE,"NORTHEAST"}</definedName>
    <definedName name="wrn.97OR.XLs." localSheetId="40" hidden="1">{#N/A,#N/A,TRUE,"TOTAL DSBN";#N/A,#N/A,TRUE,"WEST";#N/A,#N/A,TRUE,"SOUTH";#N/A,#N/A,TRUE,"NORTHEAST"}</definedName>
    <definedName name="wrn.97OR.XLs." localSheetId="41" hidden="1">{#N/A,#N/A,TRUE,"TOTAL DSBN";#N/A,#N/A,TRUE,"WEST";#N/A,#N/A,TRUE,"SOUTH";#N/A,#N/A,TRUE,"NORTHEAST"}</definedName>
    <definedName name="wrn.97OR.XLs." hidden="1">{#N/A,#N/A,TRUE,"TOTAL DSBN";#N/A,#N/A,TRUE,"WEST";#N/A,#N/A,TRUE,"SOUTH";#N/A,#N/A,TRUE,"NORTHEAST"}</definedName>
    <definedName name="wrn.AFUDC." localSheetId="0" hidden="1">{#N/A,#N/A,FALSE,"AFDC"}</definedName>
    <definedName name="wrn.AFUDC." localSheetId="1" hidden="1">{#N/A,#N/A,FALSE,"AFDC"}</definedName>
    <definedName name="wrn.AFUDC." localSheetId="2" hidden="1">{#N/A,#N/A,FALSE,"AFDC"}</definedName>
    <definedName name="wrn.AFUDC." localSheetId="3" hidden="1">{#N/A,#N/A,FALSE,"AFDC"}</definedName>
    <definedName name="wrn.AFUDC." localSheetId="40" hidden="1">{#N/A,#N/A,FALSE,"AFDC"}</definedName>
    <definedName name="wrn.AFUDC." localSheetId="41" hidden="1">{#N/A,#N/A,FALSE,"AFDC"}</definedName>
    <definedName name="wrn.AFUDC." hidden="1">{#N/A,#N/A,FALSE,"AFDC"}</definedName>
    <definedName name="wrn.cwip." localSheetId="0" hidden="1">{"CWIP2",#N/A,FALSE,"CWIP";"CWIP3",#N/A,FALSE,"CWIP"}</definedName>
    <definedName name="wrn.cwip." localSheetId="1" hidden="1">{"CWIP2",#N/A,FALSE,"CWIP";"CWIP3",#N/A,FALSE,"CWIP"}</definedName>
    <definedName name="wrn.cwip." localSheetId="2" hidden="1">{"CWIP2",#N/A,FALSE,"CWIP";"CWIP3",#N/A,FALSE,"CWIP"}</definedName>
    <definedName name="wrn.cwip." localSheetId="3" hidden="1">{"CWIP2",#N/A,FALSE,"CWIP";"CWIP3",#N/A,FALSE,"CWIP"}</definedName>
    <definedName name="wrn.cwip." localSheetId="40" hidden="1">{"CWIP2",#N/A,FALSE,"CWIP";"CWIP3",#N/A,FALSE,"CWIP"}</definedName>
    <definedName name="wrn.cwip." localSheetId="41" hidden="1">{"CWIP2",#N/A,FALSE,"CWIP";"CWIP3",#N/A,FALSE,"CWIP"}</definedName>
    <definedName name="wrn.cwip." hidden="1">{"CWIP2",#N/A,FALSE,"CWIP";"CWIP3",#N/A,FALSE,"CWIP"}</definedName>
    <definedName name="wrn.cwipa" localSheetId="0" hidden="1">{"CWIP2",#N/A,FALSE,"CWIP";"CWIP3",#N/A,FALSE,"CWIP"}</definedName>
    <definedName name="wrn.cwipa" localSheetId="1" hidden="1">{"CWIP2",#N/A,FALSE,"CWIP";"CWIP3",#N/A,FALSE,"CWIP"}</definedName>
    <definedName name="wrn.cwipa" localSheetId="2" hidden="1">{"CWIP2",#N/A,FALSE,"CWIP";"CWIP3",#N/A,FALSE,"CWIP"}</definedName>
    <definedName name="wrn.cwipa" localSheetId="3" hidden="1">{"CWIP2",#N/A,FALSE,"CWIP";"CWIP3",#N/A,FALSE,"CWIP"}</definedName>
    <definedName name="wrn.cwipa" localSheetId="40" hidden="1">{"CWIP2",#N/A,FALSE,"CWIP";"CWIP3",#N/A,FALSE,"CWIP"}</definedName>
    <definedName name="wrn.cwipa" localSheetId="41" hidden="1">{"CWIP2",#N/A,FALSE,"CWIP";"CWIP3",#N/A,FALSE,"CWIP"}</definedName>
    <definedName name="wrn.cwipa" hidden="1">{"CWIP2",#N/A,FALSE,"CWIP";"CWIP3",#N/A,FALSE,"CWIP"}</definedName>
    <definedName name="wrn.Detail._.Support._.and._.Summary." localSheetId="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1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3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4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41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arnings._.Test." localSheetId="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1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2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3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4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41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FRT." localSheetId="0" hidden="1">{"EFRT Pg 1",#N/A,FALSE,"EFRT (2)";"EFRT Pg 2",#N/A,FALSE,"EFRT (2)"}</definedName>
    <definedName name="wrn.EFRT." localSheetId="1" hidden="1">{"EFRT Pg 1",#N/A,FALSE,"EFRT (2)";"EFRT Pg 2",#N/A,FALSE,"EFRT (2)"}</definedName>
    <definedName name="wrn.EFRT." localSheetId="2" hidden="1">{"EFRT Pg 1",#N/A,FALSE,"EFRT (2)";"EFRT Pg 2",#N/A,FALSE,"EFRT (2)"}</definedName>
    <definedName name="wrn.EFRT." localSheetId="3" hidden="1">{"EFRT Pg 1",#N/A,FALSE,"EFRT (2)";"EFRT Pg 2",#N/A,FALSE,"EFRT (2)"}</definedName>
    <definedName name="wrn.EFRT." localSheetId="40" hidden="1">{"EFRT Pg 1",#N/A,FALSE,"EFRT (2)";"EFRT Pg 2",#N/A,FALSE,"EFRT (2)"}</definedName>
    <definedName name="wrn.EFRT." localSheetId="41" hidden="1">{"EFRT Pg 1",#N/A,FALSE,"EFRT (2)";"EFRT Pg 2",#N/A,FALSE,"EFRT (2)"}</definedName>
    <definedName name="wrn.EFRT." hidden="1">{"EFRT Pg 1",#N/A,FALSE,"EFRT (2)";"EFRT Pg 2",#N/A,FALSE,"EFRT (2)"}</definedName>
    <definedName name="wrn.FPL._.Cnsl._.Inc._.State._.Pg._.3A." localSheetId="0" hidden="1">{"FPL Consol Inc State Pg 3A",#N/A,FALSE,"ISFPLSUB"}</definedName>
    <definedName name="wrn.FPL._.Cnsl._.Inc._.State._.Pg._.3A." localSheetId="1" hidden="1">{"FPL Consol Inc State Pg 3A",#N/A,FALSE,"ISFPLSUB"}</definedName>
    <definedName name="wrn.FPL._.Cnsl._.Inc._.State._.Pg._.3A." localSheetId="2" hidden="1">{"FPL Consol Inc State Pg 3A",#N/A,FALSE,"ISFPLSUB"}</definedName>
    <definedName name="wrn.FPL._.Cnsl._.Inc._.State._.Pg._.3A." localSheetId="3" hidden="1">{"FPL Consol Inc State Pg 3A",#N/A,FALSE,"ISFPLSUB"}</definedName>
    <definedName name="wrn.FPL._.Cnsl._.Inc._.State._.Pg._.3A." localSheetId="40" hidden="1">{"FPL Consol Inc State Pg 3A",#N/A,FALSE,"ISFPLSUB"}</definedName>
    <definedName name="wrn.FPL._.Cnsl._.Inc._.State._.Pg._.3A." localSheetId="41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0" hidden="1">{"FPL Consol Inc State Pg 3M",#N/A,FALSE,"ISFPLSUB"}</definedName>
    <definedName name="wrn.FPL._.Cnsl._.Inc._.State._.Pg._.3M." localSheetId="1" hidden="1">{"FPL Consol Inc State Pg 3M",#N/A,FALSE,"ISFPLSUB"}</definedName>
    <definedName name="wrn.FPL._.Cnsl._.Inc._.State._.Pg._.3M." localSheetId="2" hidden="1">{"FPL Consol Inc State Pg 3M",#N/A,FALSE,"ISFPLSUB"}</definedName>
    <definedName name="wrn.FPL._.Cnsl._.Inc._.State._.Pg._.3M." localSheetId="3" hidden="1">{"FPL Consol Inc State Pg 3M",#N/A,FALSE,"ISFPLSUB"}</definedName>
    <definedName name="wrn.FPL._.Cnsl._.Inc._.State._.Pg._.3M." localSheetId="40" hidden="1">{"FPL Consol Inc State Pg 3M",#N/A,FALSE,"ISFPLSUB"}</definedName>
    <definedName name="wrn.FPL._.Cnsl._.Inc._.State._.Pg._.3M." localSheetId="41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0" hidden="1">{"FPL Consol Inc State Pg 3Y",#N/A,FALSE,"ISFPLSUB"}</definedName>
    <definedName name="wrn.FPL._.Cnsl._.Inc._.State._.Pg._.3Y." localSheetId="1" hidden="1">{"FPL Consol Inc State Pg 3Y",#N/A,FALSE,"ISFPLSUB"}</definedName>
    <definedName name="wrn.FPL._.Cnsl._.Inc._.State._.Pg._.3Y." localSheetId="2" hidden="1">{"FPL Consol Inc State Pg 3Y",#N/A,FALSE,"ISFPLSUB"}</definedName>
    <definedName name="wrn.FPL._.Cnsl._.Inc._.State._.Pg._.3Y." localSheetId="3" hidden="1">{"FPL Consol Inc State Pg 3Y",#N/A,FALSE,"ISFPLSUB"}</definedName>
    <definedName name="wrn.FPL._.Cnsl._.Inc._.State._.Pg._.3Y." localSheetId="40" hidden="1">{"FPL Consol Inc State Pg 3Y",#N/A,FALSE,"ISFPLSUB"}</definedName>
    <definedName name="wrn.FPL._.Cnsl._.Inc._.State._.Pg._.3Y." localSheetId="41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0" hidden="1">{"Fpl Consol Pg 1",#N/A,FALSE,"FPL Consolidated";"FPL Consol Pg 2",#N/A,FALSE,"FPL Consolidated"}</definedName>
    <definedName name="wrn.FPL._.Consolidated." localSheetId="1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localSheetId="3" hidden="1">{"Fpl Consol Pg 1",#N/A,FALSE,"FPL Consolidated";"FPL Consol Pg 2",#N/A,FALSE,"FPL Consolidated"}</definedName>
    <definedName name="wrn.FPL._.Consolidated." localSheetId="40" hidden="1">{"Fpl Consol Pg 1",#N/A,FALSE,"FPL Consolidated";"FPL Consol Pg 2",#N/A,FALSE,"FPL Consolidated"}</definedName>
    <definedName name="wrn.FPL._.Consolidated." localSheetId="41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print." localSheetId="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1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2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3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4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41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letter." localSheetId="0" hidden="1">{#N/A,#N/A,FALSE,"Page 1 of 4";#N/A,#N/A,FALSE,"Page 2 of 4";#N/A,#N/A,FALSE,"Page 3 of 4";#N/A,#N/A,FALSE,"Page 4 of 4"}</definedName>
    <definedName name="wrn.letter." localSheetId="1" hidden="1">{#N/A,#N/A,FALSE,"Page 1 of 4";#N/A,#N/A,FALSE,"Page 2 of 4";#N/A,#N/A,FALSE,"Page 3 of 4";#N/A,#N/A,FALSE,"Page 4 of 4"}</definedName>
    <definedName name="wrn.letter." localSheetId="2" hidden="1">{#N/A,#N/A,FALSE,"Page 1 of 4";#N/A,#N/A,FALSE,"Page 2 of 4";#N/A,#N/A,FALSE,"Page 3 of 4";#N/A,#N/A,FALSE,"Page 4 of 4"}</definedName>
    <definedName name="wrn.letter." localSheetId="3" hidden="1">{#N/A,#N/A,FALSE,"Page 1 of 4";#N/A,#N/A,FALSE,"Page 2 of 4";#N/A,#N/A,FALSE,"Page 3 of 4";#N/A,#N/A,FALSE,"Page 4 of 4"}</definedName>
    <definedName name="wrn.letter." localSheetId="40" hidden="1">{#N/A,#N/A,FALSE,"Page 1 of 4";#N/A,#N/A,FALSE,"Page 2 of 4";#N/A,#N/A,FALSE,"Page 3 of 4";#N/A,#N/A,FALSE,"Page 4 of 4"}</definedName>
    <definedName name="wrn.letter." localSheetId="41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LITIGATION." localSheetId="0" hidden="1">{"LI AFUDC DEBT 10282",#N/A,FALSE,"TXFORCST.XLS";"LIT AFUDC 10280",#N/A,FALSE,"TXFORCST.XLS";"LIT DEPR EXP 10281",#N/A,FALSE,"TXFORCST.XLS"}</definedName>
    <definedName name="wrn.LITIGATION." localSheetId="1" hidden="1">{"LI AFUDC DEBT 10282",#N/A,FALSE,"TXFORCST.XLS";"LIT AFUDC 10280",#N/A,FALSE,"TXFORCST.XLS";"LIT DEPR EXP 10281",#N/A,FALSE,"TXFORCST.XLS"}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localSheetId="3" hidden="1">{"LI AFUDC DEBT 10282",#N/A,FALSE,"TXFORCST.XLS";"LIT AFUDC 10280",#N/A,FALSE,"TXFORCST.XLS";"LIT DEPR EXP 10281",#N/A,FALSE,"TXFORCST.XLS"}</definedName>
    <definedName name="wrn.LITIGATION." localSheetId="40" hidden="1">{"LI AFUDC DEBT 10282",#N/A,FALSE,"TXFORCST.XLS";"LIT AFUDC 10280",#N/A,FALSE,"TXFORCST.XLS";"LIT DEPR EXP 10281",#N/A,FALSE,"TXFORCST.XLS"}</definedName>
    <definedName name="wrn.LITIGATION." localSheetId="41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tdtl." localSheetId="0" hidden="1">{"MATALL",#N/A,FALSE,"Sheet4";"matclass",#N/A,FALSE,"Sheet4"}</definedName>
    <definedName name="wrn.matdtl." localSheetId="1" hidden="1">{"MATALL",#N/A,FALSE,"Sheet4";"matclass",#N/A,FALSE,"Sheet4"}</definedName>
    <definedName name="wrn.matdtl." localSheetId="2" hidden="1">{"MATALL",#N/A,FALSE,"Sheet4";"matclass",#N/A,FALSE,"Sheet4"}</definedName>
    <definedName name="wrn.matdtl." localSheetId="3" hidden="1">{"MATALL",#N/A,FALSE,"Sheet4";"matclass",#N/A,FALSE,"Sheet4"}</definedName>
    <definedName name="wrn.matdtl." localSheetId="40" hidden="1">{"MATALL",#N/A,FALSE,"Sheet4";"matclass",#N/A,FALSE,"Sheet4"}</definedName>
    <definedName name="wrn.matdtl." localSheetId="41" hidden="1">{"MATALL",#N/A,FALSE,"Sheet4";"matclass",#N/A,FALSE,"Sheet4"}</definedName>
    <definedName name="wrn.matdtl." hidden="1">{"MATALL",#N/A,FALSE,"Sheet4";"matclass",#N/A,FALSE,"Sheet4"}</definedName>
    <definedName name="wrn.matdtla" localSheetId="0" hidden="1">{"MATALL",#N/A,FALSE,"Sheet4";"matclass",#N/A,FALSE,"Sheet4"}</definedName>
    <definedName name="wrn.matdtla" localSheetId="1" hidden="1">{"MATALL",#N/A,FALSE,"Sheet4";"matclass",#N/A,FALSE,"Sheet4"}</definedName>
    <definedName name="wrn.matdtla" localSheetId="2" hidden="1">{"MATALL",#N/A,FALSE,"Sheet4";"matclass",#N/A,FALSE,"Sheet4"}</definedName>
    <definedName name="wrn.matdtla" localSheetId="3" hidden="1">{"MATALL",#N/A,FALSE,"Sheet4";"matclass",#N/A,FALSE,"Sheet4"}</definedName>
    <definedName name="wrn.matdtla" localSheetId="40" hidden="1">{"MATALL",#N/A,FALSE,"Sheet4";"matclass",#N/A,FALSE,"Sheet4"}</definedName>
    <definedName name="wrn.matdtla" localSheetId="41" hidden="1">{"MATALL",#N/A,FALSE,"Sheet4";"matclass",#N/A,FALSE,"Sheet4"}</definedName>
    <definedName name="wrn.matdtla" hidden="1">{"MATALL",#N/A,FALSE,"Sheet4";"matclass",#N/A,FALSE,"Sheet4"}</definedName>
    <definedName name="wrn.OBO._.12._.MO._.ENDED." localSheetId="0" hidden="1">{"OBO 12 Month Ended",#N/A,FALSE,"OBO 12 Months"}</definedName>
    <definedName name="wrn.OBO._.12._.MO._.ENDED." localSheetId="1" hidden="1">{"OBO 12 Month Ended",#N/A,FALSE,"OBO 12 Months"}</definedName>
    <definedName name="wrn.OBO._.12._.MO._.ENDED." localSheetId="2" hidden="1">{"OBO 12 Month Ended",#N/A,FALSE,"OBO 12 Months"}</definedName>
    <definedName name="wrn.OBO._.12._.MO._.ENDED." localSheetId="3" hidden="1">{"OBO 12 Month Ended",#N/A,FALSE,"OBO 12 Months"}</definedName>
    <definedName name="wrn.OBO._.12._.MO._.ENDED." localSheetId="40" hidden="1">{"OBO 12 Month Ended",#N/A,FALSE,"OBO 12 Months"}</definedName>
    <definedName name="wrn.OBO._.12._.MO._.ENDED." localSheetId="41" hidden="1">{"OBO 12 Month Ended",#N/A,FALSE,"OBO 12 Months"}</definedName>
    <definedName name="wrn.OBO._.12._.MO._.ENDED." hidden="1">{"OBO 12 Month Ended",#N/A,FALSE,"OBO 12 Months"}</definedName>
    <definedName name="wrn.OBO._.MONTHLY." localSheetId="0" hidden="1">{"obo monthly",#N/A,FALSE,"OBO Monthly"}</definedName>
    <definedName name="wrn.OBO._.MONTHLY." localSheetId="1" hidden="1">{"obo monthly",#N/A,FALSE,"OBO Monthly"}</definedName>
    <definedName name="wrn.OBO._.MONTHLY." localSheetId="2" hidden="1">{"obo monthly",#N/A,FALSE,"OBO Monthly"}</definedName>
    <definedName name="wrn.OBO._.MONTHLY." localSheetId="3" hidden="1">{"obo monthly",#N/A,FALSE,"OBO Monthly"}</definedName>
    <definedName name="wrn.OBO._.MONTHLY." localSheetId="40" hidden="1">{"obo monthly",#N/A,FALSE,"OBO Monthly"}</definedName>
    <definedName name="wrn.OBO._.MONTHLY." localSheetId="41" hidden="1">{"obo monthly",#N/A,FALSE,"OBO Monthly"}</definedName>
    <definedName name="wrn.OBO._.MONTHLY." hidden="1">{"obo monthly",#N/A,FALSE,"OBO Monthly"}</definedName>
    <definedName name="wrn.OBO._.Summary." localSheetId="0" hidden="1">{"OBO Deferred Tax Sum",#N/A,FALSE,"OBO DEF TAX"}</definedName>
    <definedName name="wrn.OBO._.Summary." localSheetId="1" hidden="1">{"OBO Deferred Tax Sum",#N/A,FALSE,"OBO DEF TAX"}</definedName>
    <definedName name="wrn.OBO._.Summary." localSheetId="2" hidden="1">{"OBO Deferred Tax Sum",#N/A,FALSE,"OBO DEF TAX"}</definedName>
    <definedName name="wrn.OBO._.Summary." localSheetId="3" hidden="1">{"OBO Deferred Tax Sum",#N/A,FALSE,"OBO DEF TAX"}</definedName>
    <definedName name="wrn.OBO._.Summary." localSheetId="40" hidden="1">{"OBO Deferred Tax Sum",#N/A,FALSE,"OBO DEF TAX"}</definedName>
    <definedName name="wrn.OBO._.Summary." localSheetId="41" hidden="1">{"OBO Deferred Tax Sum",#N/A,FALSE,"OBO DEF TAX"}</definedName>
    <definedName name="wrn.OBO._.Summary." hidden="1">{"OBO Deferred Tax Sum",#N/A,FALSE,"OBO DEF TAX"}</definedName>
    <definedName name="wrn.Out._.of._.Period." localSheetId="0" hidden="1">{"Out of Period",#N/A,FALSE,"Out of Period"}</definedName>
    <definedName name="wrn.Out._.of._.Period." localSheetId="1" hidden="1">{"Out of Period",#N/A,FALSE,"Out of Period"}</definedName>
    <definedName name="wrn.Out._.of._.Period." localSheetId="2" hidden="1">{"Out of Period",#N/A,FALSE,"Out of Period"}</definedName>
    <definedName name="wrn.Out._.of._.Period." localSheetId="3" hidden="1">{"Out of Period",#N/A,FALSE,"Out of Period"}</definedName>
    <definedName name="wrn.Out._.of._.Period." localSheetId="40" hidden="1">{"Out of Period",#N/A,FALSE,"Out of Period"}</definedName>
    <definedName name="wrn.Out._.of._.Period." localSheetId="41" hidden="1">{"Out of Period",#N/A,FALSE,"Out of Period"}</definedName>
    <definedName name="wrn.Out._.of._.Period." hidden="1">{"Out of Period",#N/A,FALSE,"Out of Period"}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localSheetId="1" hidden="1">{"PPDEFERREDBAL",#N/A,FALSE,"PRIOR PERIOD ADJMT";#N/A,#N/A,FALSE,"PRIOR PERIOD ADJMT";"PPJOURNALENTRY",#N/A,FALSE,"PRIOR PERIOD ADJMT"}</definedName>
    <definedName name="wrn.PPJOURNAL._.ENTRY." localSheetId="2" hidden="1">{"PPDEFERREDBAL",#N/A,FALSE,"PRIOR PERIOD ADJMT";#N/A,#N/A,FALSE,"PRIOR PERIOD ADJMT";"PPJOURNALENTRY",#N/A,FALSE,"PRIOR PERIOD ADJMT"}</definedName>
    <definedName name="wrn.PPJOURNAL._.ENTRY." localSheetId="3" hidden="1">{"PPDEFERREDBAL",#N/A,FALSE,"PRIOR PERIOD ADJMT";#N/A,#N/A,FALSE,"PRIOR PERIOD ADJMT";"PPJOURNALENTRY",#N/A,FALSE,"PRIOR PERIOD ADJMT"}</definedName>
    <definedName name="wrn.PPJOURNAL._.ENTRY." localSheetId="40" hidden="1">{"PPDEFERREDBAL",#N/A,FALSE,"PRIOR PERIOD ADJMT";#N/A,#N/A,FALSE,"PRIOR PERIOD ADJMT";"PPJOURNALENTRY",#N/A,FALSE,"PRIOR PERIOD ADJMT"}</definedName>
    <definedName name="wrn.PPJOURNAL._.ENTRY." localSheetId="41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OR._.PERIOD._.ADJMT." localSheetId="0" hidden="1">{#N/A,#N/A,FALSE,"PRIOR PERIOD ADJMT"}</definedName>
    <definedName name="wrn.PRIOR._.PERIOD._.ADJMT." localSheetId="1" hidden="1">{#N/A,#N/A,FALSE,"PRIOR PERIOD ADJMT"}</definedName>
    <definedName name="wrn.PRIOR._.PERIOD._.ADJMT." localSheetId="2" hidden="1">{#N/A,#N/A,FALSE,"PRIOR PERIOD ADJMT"}</definedName>
    <definedName name="wrn.PRIOR._.PERIOD._.ADJMT." localSheetId="3" hidden="1">{#N/A,#N/A,FALSE,"PRIOR PERIOD ADJMT"}</definedName>
    <definedName name="wrn.PRIOR._.PERIOD._.ADJMT." localSheetId="40" hidden="1">{#N/A,#N/A,FALSE,"PRIOR PERIOD ADJMT"}</definedName>
    <definedName name="wrn.PRIOR._.PERIOD._.ADJMT." localSheetId="41" hidden="1">{#N/A,#N/A,FALSE,"PRIOR PERIOD ADJMT"}</definedName>
    <definedName name="wrn.PRIOR._.PERIOD._.ADJMT." hidden="1">{#N/A,#N/A,FALSE,"PRIOR PERIOD ADJMT"}</definedName>
    <definedName name="wrn.Production." localSheetId="0" hidden="1">{"Production",#N/A,FALSE,"Electric O&amp;M Functionalization"}</definedName>
    <definedName name="wrn.Production." localSheetId="1" hidden="1">{"Production",#N/A,FALSE,"Electric O&amp;M Functionalization"}</definedName>
    <definedName name="wrn.Production." localSheetId="2" hidden="1">{"Production",#N/A,FALSE,"Electric O&amp;M Functionalization"}</definedName>
    <definedName name="wrn.Production." localSheetId="3" hidden="1">{"Production",#N/A,FALSE,"Electric O&amp;M Functionalization"}</definedName>
    <definedName name="wrn.Production." localSheetId="40" hidden="1">{"Production",#N/A,FALSE,"Electric O&amp;M Functionalization"}</definedName>
    <definedName name="wrn.Production." localSheetId="41" hidden="1">{"Production",#N/A,FALSE,"Electric O&amp;M Functionalization"}</definedName>
    <definedName name="wrn.Production." hidden="1">{"Production",#N/A,FALSE,"Electric O&amp;M Functionalization"}</definedName>
    <definedName name="wrn.Reconcil._.Bk._.Depr._.to._.47G." localSheetId="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1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3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4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41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localSheetId="0" hidden="1">{"Consolidated",#N/A,FALSE,"SITRP";"FPL Pure",#N/A,FALSE,"SITRP";"FPL Subsidiaries Consol",#N/A,FALSE,"SITRP"}</definedName>
    <definedName name="wrn.Statement._.of._.Income._.Taxes." localSheetId="1" hidden="1">{"Consolidated",#N/A,FALSE,"SITRP";"FPL Pure",#N/A,FALSE,"SITRP";"FPL Subsidiaries Consol",#N/A,FALSE,"SITRP"}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localSheetId="3" hidden="1">{"Consolidated",#N/A,FALSE,"SITRP";"FPL Pure",#N/A,FALSE,"SITRP";"FPL Subsidiaries Consol",#N/A,FALSE,"SITRP"}</definedName>
    <definedName name="wrn.Statement._.of._.Income._.Taxes." localSheetId="40" hidden="1">{"Consolidated",#N/A,FALSE,"SITRP";"FPL Pure",#N/A,FALSE,"SITRP";"FPL Subsidiaries Consol",#N/A,FALSE,"SITRP"}</definedName>
    <definedName name="wrn.Statement._.of._.Income._.Taxes." localSheetId="41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Transmission." localSheetId="0" hidden="1">{"Transmission",#N/A,FALSE,"Electric O&amp;M Functionalization"}</definedName>
    <definedName name="wrn.Transmission." localSheetId="1" hidden="1">{"Transmission",#N/A,FALSE,"Electric O&amp;M Functionalization"}</definedName>
    <definedName name="wrn.Transmission." localSheetId="2" hidden="1">{"Transmission",#N/A,FALSE,"Electric O&amp;M Functionalization"}</definedName>
    <definedName name="wrn.Transmission." localSheetId="3" hidden="1">{"Transmission",#N/A,FALSE,"Electric O&amp;M Functionalization"}</definedName>
    <definedName name="wrn.Transmission." localSheetId="40" hidden="1">{"Transmission",#N/A,FALSE,"Electric O&amp;M Functionalization"}</definedName>
    <definedName name="wrn.Transmission." localSheetId="41" hidden="1">{"Transmission",#N/A,FALSE,"Electric O&amp;M Functionalization"}</definedName>
    <definedName name="wrn.Transmission." hidden="1">{"Transmission",#N/A,FALSE,"Electric O&amp;M Functionalization"}</definedName>
    <definedName name="wrn.UTIL." localSheetId="0" hidden="1">{"Twelve Mo Ended Pg 2",#N/A,TRUE,"Utility";"YTD Adj _ Pg 1",#N/A,TRUE,"Utility"}</definedName>
    <definedName name="wrn.UTIL." localSheetId="1" hidden="1">{"Twelve Mo Ended Pg 2",#N/A,TRUE,"Utility";"YTD Adj _ Pg 1",#N/A,TRUE,"Utility"}</definedName>
    <definedName name="wrn.UTIL." localSheetId="2" hidden="1">{"Twelve Mo Ended Pg 2",#N/A,TRUE,"Utility";"YTD Adj _ Pg 1",#N/A,TRUE,"Utility"}</definedName>
    <definedName name="wrn.UTIL." localSheetId="3" hidden="1">{"Twelve Mo Ended Pg 2",#N/A,TRUE,"Utility";"YTD Adj _ Pg 1",#N/A,TRUE,"Utility"}</definedName>
    <definedName name="wrn.UTIL." localSheetId="40" hidden="1">{"Twelve Mo Ended Pg 2",#N/A,TRUE,"Utility";"YTD Adj _ Pg 1",#N/A,TRUE,"Utility"}</definedName>
    <definedName name="wrn.UTIL." localSheetId="41" hidden="1">{"Twelve Mo Ended Pg 2",#N/A,TRUE,"Utility";"YTD Adj _ Pg 1",#N/A,TRUE,"Utility"}</definedName>
    <definedName name="wrn.UTIL." hidden="1">{"Twelve Mo Ended Pg 2",#N/A,TRUE,"Utility";"YTD Adj _ Pg 1",#N/A,TRUE,"Utility"}</definedName>
    <definedName name="wrn.WORKCAP." localSheetId="0" hidden="1">{"WCCWCLL",#N/A,FALSE,"Sheet3";"PP",#N/A,FALSE,"Sheet3";"MAT1",#N/A,FALSE,"Sheet3";"MAT2",#N/A,FALSE,"Sheet3"}</definedName>
    <definedName name="wrn.WORKCAP." localSheetId="1" hidden="1">{"WCCWCLL",#N/A,FALSE,"Sheet3";"PP",#N/A,FALSE,"Sheet3";"MAT1",#N/A,FALSE,"Sheet3";"MAT2",#N/A,FALSE,"Sheet3"}</definedName>
    <definedName name="wrn.WORKCAP." localSheetId="2" hidden="1">{"WCCWCLL",#N/A,FALSE,"Sheet3";"PP",#N/A,FALSE,"Sheet3";"MAT1",#N/A,FALSE,"Sheet3";"MAT2",#N/A,FALSE,"Sheet3"}</definedName>
    <definedName name="wrn.WORKCAP." localSheetId="3" hidden="1">{"WCCWCLL",#N/A,FALSE,"Sheet3";"PP",#N/A,FALSE,"Sheet3";"MAT1",#N/A,FALSE,"Sheet3";"MAT2",#N/A,FALSE,"Sheet3"}</definedName>
    <definedName name="wrn.WORKCAP." localSheetId="40" hidden="1">{"WCCWCLL",#N/A,FALSE,"Sheet3";"PP",#N/A,FALSE,"Sheet3";"MAT1",#N/A,FALSE,"Sheet3";"MAT2",#N/A,FALSE,"Sheet3"}</definedName>
    <definedName name="wrn.WORKCAP." localSheetId="41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3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4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4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3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4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4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4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4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pg" localSheetId="0" hidden="1">{"detail305",#N/A,FALSE,"BI-305"}</definedName>
    <definedName name="xpg" localSheetId="1" hidden="1">{"detail305",#N/A,FALSE,"BI-305"}</definedName>
    <definedName name="xpg" localSheetId="2" hidden="1">{"detail305",#N/A,FALSE,"BI-305"}</definedName>
    <definedName name="xpg" localSheetId="3" hidden="1">{"detail305",#N/A,FALSE,"BI-305"}</definedName>
    <definedName name="xpg" localSheetId="40" hidden="1">{"detail305",#N/A,FALSE,"BI-305"}</definedName>
    <definedName name="xpg" localSheetId="41" hidden="1">{"detail305",#N/A,FALSE,"BI-305"}</definedName>
    <definedName name="xpg" hidden="1">{"detail305",#N/A,FALSE,"BI-305"}</definedName>
    <definedName name="xxx.detail" localSheetId="0" hidden="1">{"detail305",#N/A,FALSE,"BI-305"}</definedName>
    <definedName name="xxx.detail" localSheetId="1" hidden="1">{"detail305",#N/A,FALSE,"BI-305"}</definedName>
    <definedName name="xxx.detail" localSheetId="2" hidden="1">{"detail305",#N/A,FALSE,"BI-305"}</definedName>
    <definedName name="xxx.detail" localSheetId="3" hidden="1">{"detail305",#N/A,FALSE,"BI-305"}</definedName>
    <definedName name="xxx.detail" localSheetId="40" hidden="1">{"detail305",#N/A,FALSE,"BI-305"}</definedName>
    <definedName name="xxx.detail" localSheetId="41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localSheetId="1" hidden="1">{"summary",#N/A,FALSE,"PCR DIRECTORY"}</definedName>
    <definedName name="xxx.directory" localSheetId="2" hidden="1">{"summary",#N/A,FALSE,"PCR DIRECTORY"}</definedName>
    <definedName name="xxx.directory" localSheetId="3" hidden="1">{"summary",#N/A,FALSE,"PCR DIRECTORY"}</definedName>
    <definedName name="xxx.directory" localSheetId="40" hidden="1">{"summary",#N/A,FALSE,"PCR DIRECTORY"}</definedName>
    <definedName name="xxx.directory" localSheetId="41" hidden="1">{"summary",#N/A,FALSE,"PCR DIRECTORY"}</definedName>
    <definedName name="xxx.directory" hidden="1">{"summary",#N/A,FALSE,"PCR DIRECTORY"}</definedName>
    <definedName name="xxxxx" localSheetId="0" hidden="1">{#N/A,#N/A,TRUE,"TOTAL DISTRIBUTION";#N/A,#N/A,TRUE,"SOUTH";#N/A,#N/A,TRUE,"NORTHEAST";#N/A,#N/A,TRUE,"WEST"}</definedName>
    <definedName name="xxxxx" localSheetId="1" hidden="1">{#N/A,#N/A,TRUE,"TOTAL DISTRIBUTION";#N/A,#N/A,TRUE,"SOUTH";#N/A,#N/A,TRUE,"NORTHEAST";#N/A,#N/A,TRUE,"WEST"}</definedName>
    <definedName name="xxxxx" localSheetId="2" hidden="1">{#N/A,#N/A,TRUE,"TOTAL DISTRIBUTION";#N/A,#N/A,TRUE,"SOUTH";#N/A,#N/A,TRUE,"NORTHEAST";#N/A,#N/A,TRUE,"WEST"}</definedName>
    <definedName name="xxxxx" localSheetId="3" hidden="1">{#N/A,#N/A,TRUE,"TOTAL DISTRIBUTION";#N/A,#N/A,TRUE,"SOUTH";#N/A,#N/A,TRUE,"NORTHEAST";#N/A,#N/A,TRUE,"WEST"}</definedName>
    <definedName name="xxxxx" localSheetId="40" hidden="1">{#N/A,#N/A,TRUE,"TOTAL DISTRIBUTION";#N/A,#N/A,TRUE,"SOUTH";#N/A,#N/A,TRUE,"NORTHEAST";#N/A,#N/A,TRUE,"WEST"}</definedName>
    <definedName name="xxxxx" localSheetId="41" hidden="1">{#N/A,#N/A,TRUE,"TOTAL DISTRIBUTION";#N/A,#N/A,TRUE,"SOUTH";#N/A,#N/A,TRUE,"NORTHEAST";#N/A,#N/A,TRUE,"WEST"}</definedName>
    <definedName name="xxxxx" hidden="1">{#N/A,#N/A,TRUE,"TOTAL DISTRIBUTION";#N/A,#N/A,TRUE,"SOUTH";#N/A,#N/A,TRUE,"NORTHEAST";#N/A,#N/A,TRUE,"WEST"}</definedName>
    <definedName name="xxxxxx" localSheetId="0" hidden="1">{#N/A,#N/A,TRUE,"TOTAL DSBN";#N/A,#N/A,TRUE,"WEST";#N/A,#N/A,TRUE,"SOUTH";#N/A,#N/A,TRUE,"NORTHEAST"}</definedName>
    <definedName name="xxxxxx" localSheetId="1" hidden="1">{#N/A,#N/A,TRUE,"TOTAL DSBN";#N/A,#N/A,TRUE,"WEST";#N/A,#N/A,TRUE,"SOUTH";#N/A,#N/A,TRUE,"NORTHEAST"}</definedName>
    <definedName name="xxxxxx" localSheetId="2" hidden="1">{#N/A,#N/A,TRUE,"TOTAL DSBN";#N/A,#N/A,TRUE,"WEST";#N/A,#N/A,TRUE,"SOUTH";#N/A,#N/A,TRUE,"NORTHEAST"}</definedName>
    <definedName name="xxxxxx" localSheetId="3" hidden="1">{#N/A,#N/A,TRUE,"TOTAL DSBN";#N/A,#N/A,TRUE,"WEST";#N/A,#N/A,TRUE,"SOUTH";#N/A,#N/A,TRUE,"NORTHEAST"}</definedName>
    <definedName name="xxxxxx" localSheetId="40" hidden="1">{#N/A,#N/A,TRUE,"TOTAL DSBN";#N/A,#N/A,TRUE,"WEST";#N/A,#N/A,TRUE,"SOUTH";#N/A,#N/A,TRUE,"NORTHEAST"}</definedName>
    <definedName name="xxxxxx" localSheetId="41" hidden="1">{#N/A,#N/A,TRUE,"TOTAL DSBN";#N/A,#N/A,TRUE,"WEST";#N/A,#N/A,TRUE,"SOUTH";#N/A,#N/A,TRUE,"NORTHEAST"}</definedName>
    <definedName name="xxxxxx" hidden="1">{#N/A,#N/A,TRUE,"TOTAL DSBN";#N/A,#N/A,TRUE,"WEST";#N/A,#N/A,TRUE,"SOUTH";#N/A,#N/A,TRUE,"NORTHEAST"}</definedName>
    <definedName name="zzz" localSheetId="0" hidden="1">{"detail305",#N/A,FALSE,"BI-305"}</definedName>
    <definedName name="zzz" localSheetId="1" hidden="1">{"detail305",#N/A,FALSE,"BI-305"}</definedName>
    <definedName name="zzz" localSheetId="2" hidden="1">{"detail305",#N/A,FALSE,"BI-305"}</definedName>
    <definedName name="zzz" localSheetId="3" hidden="1">{"detail305",#N/A,FALSE,"BI-305"}</definedName>
    <definedName name="zzz" localSheetId="40" hidden="1">{"detail305",#N/A,FALSE,"BI-305"}</definedName>
    <definedName name="zzz" localSheetId="4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D175" i="75" l="1"/>
  <c r="G75" i="97" l="1"/>
  <c r="H75" i="97"/>
  <c r="I75" i="97"/>
  <c r="J75" i="97"/>
  <c r="K75" i="97"/>
  <c r="L75" i="97"/>
  <c r="M75" i="97"/>
  <c r="G76" i="82"/>
  <c r="H76" i="82"/>
  <c r="I76" i="82"/>
  <c r="J76" i="82"/>
  <c r="K76" i="82"/>
  <c r="L76" i="82"/>
  <c r="M76" i="82"/>
  <c r="E114" i="75"/>
  <c r="Q13" i="81" l="1"/>
  <c r="Q14" i="81"/>
  <c r="Q15" i="81"/>
  <c r="D11" i="81"/>
  <c r="O21" i="93"/>
  <c r="B113" i="97"/>
  <c r="C113" i="97" s="1"/>
  <c r="D113" i="97" s="1"/>
  <c r="E113" i="97" s="1"/>
  <c r="F113" i="97" s="1"/>
  <c r="G113" i="97" s="1"/>
  <c r="H113" i="97" s="1"/>
  <c r="I113" i="97" s="1"/>
  <c r="J113" i="97" s="1"/>
  <c r="K113" i="97" s="1"/>
  <c r="L113" i="97" s="1"/>
  <c r="M113" i="97" s="1"/>
  <c r="C106" i="97"/>
  <c r="D106" i="97"/>
  <c r="E106" i="97"/>
  <c r="F106" i="97"/>
  <c r="G106" i="97"/>
  <c r="H106" i="97"/>
  <c r="I106" i="97"/>
  <c r="J106" i="97"/>
  <c r="K106" i="97"/>
  <c r="L106" i="97"/>
  <c r="M106" i="97"/>
  <c r="B106" i="97"/>
  <c r="C103" i="97"/>
  <c r="C22" i="93" s="1"/>
  <c r="D103" i="97"/>
  <c r="E103" i="97"/>
  <c r="E22" i="93" s="1"/>
  <c r="F103" i="97"/>
  <c r="G103" i="97"/>
  <c r="G22" i="93" s="1"/>
  <c r="H103" i="97"/>
  <c r="I103" i="97"/>
  <c r="I22" i="93" s="1"/>
  <c r="J103" i="97"/>
  <c r="K103" i="97"/>
  <c r="K22" i="93" s="1"/>
  <c r="L103" i="97"/>
  <c r="M103" i="97"/>
  <c r="M22" i="93" s="1"/>
  <c r="B103" i="97"/>
  <c r="B107" i="97" s="1"/>
  <c r="C365" i="48" s="1"/>
  <c r="G107" i="97"/>
  <c r="H365" i="48" s="1"/>
  <c r="C107" i="97"/>
  <c r="D365" i="48" s="1"/>
  <c r="K105" i="97"/>
  <c r="K104" i="97" s="1"/>
  <c r="G105" i="97"/>
  <c r="G104" i="97" s="1"/>
  <c r="C105" i="97"/>
  <c r="C104" i="97" s="1"/>
  <c r="M110" i="97"/>
  <c r="K110" i="97"/>
  <c r="I110" i="97"/>
  <c r="G110" i="97"/>
  <c r="E110" i="97"/>
  <c r="C110" i="97"/>
  <c r="B56" i="97"/>
  <c r="B58" i="97" s="1"/>
  <c r="B39" i="97"/>
  <c r="F39" i="97"/>
  <c r="J39" i="97"/>
  <c r="D56" i="97"/>
  <c r="D22" i="90" s="1"/>
  <c r="G56" i="97"/>
  <c r="H56" i="97"/>
  <c r="H63" i="97" s="1"/>
  <c r="K56" i="97"/>
  <c r="L56" i="97"/>
  <c r="L58" i="97" s="1"/>
  <c r="E72" i="97"/>
  <c r="I72" i="97"/>
  <c r="I22" i="91" s="1"/>
  <c r="M72" i="97"/>
  <c r="M22" i="91" s="1"/>
  <c r="D88" i="97"/>
  <c r="H88" i="97"/>
  <c r="L88" i="97"/>
  <c r="C56" i="97"/>
  <c r="C88" i="97"/>
  <c r="C90" i="97" s="1"/>
  <c r="C89" i="97" s="1"/>
  <c r="C39" i="97"/>
  <c r="M88" i="97"/>
  <c r="K88" i="97"/>
  <c r="K90" i="97" s="1"/>
  <c r="K89" i="97" s="1"/>
  <c r="J88" i="97"/>
  <c r="J22" i="92" s="1"/>
  <c r="I88" i="97"/>
  <c r="I95" i="97" s="1"/>
  <c r="G88" i="97"/>
  <c r="G90" i="97" s="1"/>
  <c r="G89" i="97" s="1"/>
  <c r="F88" i="97"/>
  <c r="F22" i="92" s="1"/>
  <c r="E88" i="97"/>
  <c r="E22" i="92" s="1"/>
  <c r="B88" i="97"/>
  <c r="L72" i="97"/>
  <c r="L22" i="91" s="1"/>
  <c r="K72" i="97"/>
  <c r="K22" i="91" s="1"/>
  <c r="J72" i="97"/>
  <c r="J79" i="97" s="1"/>
  <c r="J81" i="97" s="1"/>
  <c r="H72" i="97"/>
  <c r="H22" i="91" s="1"/>
  <c r="G72" i="97"/>
  <c r="G22" i="91" s="1"/>
  <c r="F72" i="97"/>
  <c r="D72" i="97"/>
  <c r="D74" i="97" s="1"/>
  <c r="D73" i="97" s="1"/>
  <c r="C72" i="97"/>
  <c r="M56" i="97"/>
  <c r="J56" i="97"/>
  <c r="J22" i="90" s="1"/>
  <c r="I56" i="97"/>
  <c r="I58" i="97" s="1"/>
  <c r="I57" i="97" s="1"/>
  <c r="F56" i="97"/>
  <c r="E56" i="97"/>
  <c r="M39" i="97"/>
  <c r="M46" i="97" s="1"/>
  <c r="L39" i="97"/>
  <c r="K39" i="97"/>
  <c r="I39" i="97"/>
  <c r="I41" i="97" s="1"/>
  <c r="H39" i="97"/>
  <c r="G39" i="97"/>
  <c r="G41" i="97" s="1"/>
  <c r="E39" i="97"/>
  <c r="D39" i="97"/>
  <c r="D22" i="89" s="1"/>
  <c r="M22" i="97"/>
  <c r="L22" i="97"/>
  <c r="K22" i="97"/>
  <c r="J22" i="97"/>
  <c r="I22" i="97"/>
  <c r="H22" i="97"/>
  <c r="G22" i="97"/>
  <c r="F22" i="97"/>
  <c r="E22" i="97"/>
  <c r="D22" i="97"/>
  <c r="C22" i="97"/>
  <c r="B22" i="97"/>
  <c r="M12" i="97"/>
  <c r="L12" i="97"/>
  <c r="L13" i="97" s="1"/>
  <c r="K12" i="97"/>
  <c r="K13" i="97" s="1"/>
  <c r="J12" i="97"/>
  <c r="J13" i="97" s="1"/>
  <c r="J14" i="97" s="1"/>
  <c r="I12" i="97"/>
  <c r="H12" i="97"/>
  <c r="H13" i="97" s="1"/>
  <c r="H14" i="97" s="1"/>
  <c r="G12" i="97"/>
  <c r="G13" i="97" s="1"/>
  <c r="F12" i="97"/>
  <c r="E12" i="97"/>
  <c r="D12" i="97"/>
  <c r="C12" i="97"/>
  <c r="C13" i="97" s="1"/>
  <c r="B12" i="97"/>
  <c r="B13" i="97" s="1"/>
  <c r="B14" i="97" s="1"/>
  <c r="D12" i="98"/>
  <c r="D13" i="98"/>
  <c r="D14" i="98" s="1"/>
  <c r="D15" i="98" s="1"/>
  <c r="D16" i="98" s="1"/>
  <c r="B98" i="97"/>
  <c r="C98" i="97" s="1"/>
  <c r="D98" i="97" s="1"/>
  <c r="E98" i="97" s="1"/>
  <c r="F98" i="97" s="1"/>
  <c r="G98" i="97" s="1"/>
  <c r="H98" i="97" s="1"/>
  <c r="I98" i="97" s="1"/>
  <c r="J98" i="97" s="1"/>
  <c r="K98" i="97" s="1"/>
  <c r="L98" i="97" s="1"/>
  <c r="M98" i="97" s="1"/>
  <c r="M91" i="97"/>
  <c r="L91" i="97"/>
  <c r="K91" i="97"/>
  <c r="J91" i="97"/>
  <c r="I91" i="97"/>
  <c r="H91" i="97"/>
  <c r="G91" i="97"/>
  <c r="F91" i="97"/>
  <c r="E91" i="97"/>
  <c r="D91" i="97"/>
  <c r="C91" i="97"/>
  <c r="B91" i="97"/>
  <c r="J90" i="97"/>
  <c r="F90" i="97"/>
  <c r="F95" i="97"/>
  <c r="F97" i="97" s="1"/>
  <c r="B82" i="97"/>
  <c r="C82" i="97" s="1"/>
  <c r="D82" i="97" s="1"/>
  <c r="E82" i="97" s="1"/>
  <c r="F82" i="97" s="1"/>
  <c r="F75" i="97"/>
  <c r="E75" i="97"/>
  <c r="D75" i="97"/>
  <c r="C75" i="97"/>
  <c r="B75" i="97"/>
  <c r="H74" i="97"/>
  <c r="H73" i="97" s="1"/>
  <c r="B66" i="97"/>
  <c r="C66" i="97" s="1"/>
  <c r="D66" i="97" s="1"/>
  <c r="E66" i="97" s="1"/>
  <c r="F66" i="97" s="1"/>
  <c r="G66" i="97" s="1"/>
  <c r="M59" i="97"/>
  <c r="L59" i="97"/>
  <c r="K59" i="97"/>
  <c r="J59" i="97"/>
  <c r="I59" i="97"/>
  <c r="H59" i="97"/>
  <c r="G59" i="97"/>
  <c r="F59" i="97"/>
  <c r="E59" i="97"/>
  <c r="D59" i="97"/>
  <c r="C59" i="97"/>
  <c r="B59" i="97"/>
  <c r="J58" i="97"/>
  <c r="B49" i="97"/>
  <c r="C49" i="97" s="1"/>
  <c r="D49" i="97" s="1"/>
  <c r="E49" i="97" s="1"/>
  <c r="F49" i="97" s="1"/>
  <c r="G49" i="97" s="1"/>
  <c r="H49" i="97" s="1"/>
  <c r="I49" i="97" s="1"/>
  <c r="J49" i="97" s="1"/>
  <c r="K49" i="97" s="1"/>
  <c r="L49" i="97" s="1"/>
  <c r="M49" i="97" s="1"/>
  <c r="M42" i="97"/>
  <c r="L42" i="97"/>
  <c r="K42" i="97"/>
  <c r="J42" i="97"/>
  <c r="I42" i="97"/>
  <c r="H42" i="97"/>
  <c r="G42" i="97"/>
  <c r="F42" i="97"/>
  <c r="E42" i="97"/>
  <c r="D42" i="97"/>
  <c r="C42" i="97"/>
  <c r="B42" i="97"/>
  <c r="L46" i="97"/>
  <c r="B32" i="97"/>
  <c r="C32" i="97" s="1"/>
  <c r="D32" i="97" s="1"/>
  <c r="E32" i="97" s="1"/>
  <c r="F32" i="97" s="1"/>
  <c r="G32" i="97" s="1"/>
  <c r="H32" i="97" s="1"/>
  <c r="I32" i="97" s="1"/>
  <c r="J32" i="97" s="1"/>
  <c r="K32" i="97" s="1"/>
  <c r="L32" i="97" s="1"/>
  <c r="M32" i="97" s="1"/>
  <c r="M25" i="97"/>
  <c r="M26" i="97" s="1"/>
  <c r="L25" i="97"/>
  <c r="K25" i="97"/>
  <c r="J25" i="97"/>
  <c r="I25" i="97"/>
  <c r="H25" i="97"/>
  <c r="G25" i="97"/>
  <c r="G26" i="97" s="1"/>
  <c r="F25" i="97"/>
  <c r="E25" i="97"/>
  <c r="E26" i="97" s="1"/>
  <c r="D25" i="97"/>
  <c r="C25" i="97"/>
  <c r="B25" i="97"/>
  <c r="H24" i="97"/>
  <c r="A20" i="97"/>
  <c r="A37" i="97" s="1"/>
  <c r="A54" i="97" s="1"/>
  <c r="A70" i="97" s="1"/>
  <c r="A86" i="97" s="1"/>
  <c r="A101" i="97" s="1"/>
  <c r="M15" i="97"/>
  <c r="L15" i="97"/>
  <c r="K15" i="97"/>
  <c r="J15" i="97"/>
  <c r="I15" i="97"/>
  <c r="H15" i="97"/>
  <c r="G15" i="97"/>
  <c r="F15" i="97"/>
  <c r="E15" i="97"/>
  <c r="D15" i="97"/>
  <c r="C15" i="97"/>
  <c r="B15" i="97"/>
  <c r="D13" i="97"/>
  <c r="D14" i="97" s="1"/>
  <c r="C5" i="97"/>
  <c r="D5" i="97" s="1"/>
  <c r="E5" i="97" s="1"/>
  <c r="F5" i="97" s="1"/>
  <c r="G5" i="97" s="1"/>
  <c r="H5" i="97" s="1"/>
  <c r="I5" i="97" s="1"/>
  <c r="J5" i="97" s="1"/>
  <c r="K5" i="97" s="1"/>
  <c r="L5" i="97" s="1"/>
  <c r="M5" i="97" s="1"/>
  <c r="B3" i="97"/>
  <c r="B2" i="97"/>
  <c r="B161" i="95"/>
  <c r="C161" i="95" s="1"/>
  <c r="D161" i="95" s="1"/>
  <c r="E161" i="95" s="1"/>
  <c r="C144" i="95"/>
  <c r="C20" i="93" s="1"/>
  <c r="D144" i="95"/>
  <c r="E144" i="95"/>
  <c r="E20" i="93" s="1"/>
  <c r="F144" i="95"/>
  <c r="F20" i="93" s="1"/>
  <c r="G144" i="95"/>
  <c r="G20" i="93" s="1"/>
  <c r="H144" i="95"/>
  <c r="I144" i="95"/>
  <c r="J144" i="95"/>
  <c r="J20" i="93" s="1"/>
  <c r="K144" i="95"/>
  <c r="K158" i="95" s="1"/>
  <c r="L144" i="95"/>
  <c r="L158" i="95" s="1"/>
  <c r="M144" i="95"/>
  <c r="M20" i="93" s="1"/>
  <c r="B144" i="95"/>
  <c r="C121" i="95"/>
  <c r="C128" i="95" s="1"/>
  <c r="D121" i="95"/>
  <c r="D20" i="92" s="1"/>
  <c r="E121" i="95"/>
  <c r="E20" i="92" s="1"/>
  <c r="F121" i="95"/>
  <c r="G121" i="95"/>
  <c r="G123" i="95" s="1"/>
  <c r="H121" i="95"/>
  <c r="I121" i="95"/>
  <c r="I135" i="95" s="1"/>
  <c r="J121" i="95"/>
  <c r="J20" i="92" s="1"/>
  <c r="K121" i="95"/>
  <c r="K128" i="95" s="1"/>
  <c r="L121" i="95"/>
  <c r="L20" i="92" s="1"/>
  <c r="M121" i="95"/>
  <c r="B75" i="95"/>
  <c r="I52" i="95"/>
  <c r="E75" i="95"/>
  <c r="E20" i="90" s="1"/>
  <c r="G75" i="95"/>
  <c r="I75" i="95"/>
  <c r="K75" i="95"/>
  <c r="K20" i="90" s="1"/>
  <c r="M75" i="95"/>
  <c r="Q15" i="96"/>
  <c r="M98" i="95"/>
  <c r="M20" i="91" s="1"/>
  <c r="L98" i="95"/>
  <c r="L20" i="91" s="1"/>
  <c r="K98" i="95"/>
  <c r="K20" i="91" s="1"/>
  <c r="J98" i="95"/>
  <c r="J100" i="95" s="1"/>
  <c r="J99" i="95" s="1"/>
  <c r="I98" i="95"/>
  <c r="I20" i="91" s="1"/>
  <c r="H98" i="95"/>
  <c r="G98" i="95"/>
  <c r="G20" i="91" s="1"/>
  <c r="F98" i="95"/>
  <c r="F20" i="91" s="1"/>
  <c r="E98" i="95"/>
  <c r="E20" i="91" s="1"/>
  <c r="D98" i="95"/>
  <c r="D20" i="91" s="1"/>
  <c r="C98" i="95"/>
  <c r="C20" i="91" s="1"/>
  <c r="B98" i="95"/>
  <c r="B20" i="91" s="1"/>
  <c r="L75" i="95"/>
  <c r="J75" i="95"/>
  <c r="J89" i="95" s="1"/>
  <c r="H75" i="95"/>
  <c r="F75" i="95"/>
  <c r="F20" i="90" s="1"/>
  <c r="D75" i="95"/>
  <c r="M52" i="95"/>
  <c r="M54" i="95" s="1"/>
  <c r="M53" i="95" s="1"/>
  <c r="L52" i="95"/>
  <c r="K52" i="95"/>
  <c r="K54" i="95" s="1"/>
  <c r="K53" i="95" s="1"/>
  <c r="J52" i="95"/>
  <c r="H52" i="95"/>
  <c r="G52" i="95"/>
  <c r="F52" i="95"/>
  <c r="F66" i="95" s="1"/>
  <c r="E52" i="95"/>
  <c r="E54" i="95" s="1"/>
  <c r="D52" i="95"/>
  <c r="D54" i="95" s="1"/>
  <c r="D53" i="95" s="1"/>
  <c r="C52" i="95"/>
  <c r="M29" i="95"/>
  <c r="L29" i="95"/>
  <c r="L30" i="95" s="1"/>
  <c r="K29" i="95"/>
  <c r="J29" i="95"/>
  <c r="J30" i="95" s="1"/>
  <c r="J31" i="95" s="1"/>
  <c r="I29" i="95"/>
  <c r="I30" i="95" s="1"/>
  <c r="H29" i="95"/>
  <c r="G29" i="95"/>
  <c r="F29" i="95"/>
  <c r="F43" i="95" s="1"/>
  <c r="E29" i="95"/>
  <c r="E30" i="95" s="1"/>
  <c r="D29" i="95"/>
  <c r="D30" i="95" s="1"/>
  <c r="C29" i="95"/>
  <c r="B29" i="95"/>
  <c r="B43" i="95" s="1"/>
  <c r="M12" i="95"/>
  <c r="M19" i="95" s="1"/>
  <c r="L12" i="95"/>
  <c r="L13" i="95" s="1"/>
  <c r="K12" i="95"/>
  <c r="K19" i="95" s="1"/>
  <c r="J12" i="95"/>
  <c r="J13" i="95" s="1"/>
  <c r="J14" i="95" s="1"/>
  <c r="I12" i="95"/>
  <c r="I19" i="95" s="1"/>
  <c r="H12" i="95"/>
  <c r="H19" i="95" s="1"/>
  <c r="H20" i="95" s="1"/>
  <c r="G12" i="95"/>
  <c r="G13" i="95" s="1"/>
  <c r="G14" i="95" s="1"/>
  <c r="F12" i="95"/>
  <c r="F13" i="95" s="1"/>
  <c r="F14" i="95" s="1"/>
  <c r="E12" i="95"/>
  <c r="E19" i="95" s="1"/>
  <c r="D12" i="95"/>
  <c r="D13" i="95" s="1"/>
  <c r="C12" i="95"/>
  <c r="C19" i="95" s="1"/>
  <c r="C20" i="95" s="1"/>
  <c r="B12" i="95"/>
  <c r="B13" i="95" s="1"/>
  <c r="B14" i="95" s="1"/>
  <c r="Q14" i="96"/>
  <c r="D13" i="96"/>
  <c r="D14" i="96" s="1"/>
  <c r="I158" i="95"/>
  <c r="E158" i="95"/>
  <c r="E160" i="95" s="1"/>
  <c r="K151" i="95"/>
  <c r="C151" i="95"/>
  <c r="B138" i="95"/>
  <c r="C138" i="95" s="1"/>
  <c r="D138" i="95" s="1"/>
  <c r="E138" i="95" s="1"/>
  <c r="F138" i="95" s="1"/>
  <c r="G138" i="95" s="1"/>
  <c r="H138" i="95" s="1"/>
  <c r="I138" i="95" s="1"/>
  <c r="J138" i="95" s="1"/>
  <c r="K138" i="95" s="1"/>
  <c r="L138" i="95" s="1"/>
  <c r="M138" i="95" s="1"/>
  <c r="K135" i="95"/>
  <c r="C135" i="95"/>
  <c r="H128" i="95"/>
  <c r="F128" i="95"/>
  <c r="B115" i="95"/>
  <c r="C115" i="95" s="1"/>
  <c r="D115" i="95" s="1"/>
  <c r="E115" i="95" s="1"/>
  <c r="F115" i="95" s="1"/>
  <c r="G115" i="95" s="1"/>
  <c r="H115" i="95" s="1"/>
  <c r="I115" i="95" s="1"/>
  <c r="J115" i="95" s="1"/>
  <c r="K115" i="95" s="1"/>
  <c r="L115" i="95" s="1"/>
  <c r="M115" i="95" s="1"/>
  <c r="M101" i="95"/>
  <c r="M124" i="95" s="1"/>
  <c r="M147" i="95" s="1"/>
  <c r="L101" i="95"/>
  <c r="L124" i="95" s="1"/>
  <c r="L147" i="95" s="1"/>
  <c r="K101" i="95"/>
  <c r="K124" i="95" s="1"/>
  <c r="K147" i="95" s="1"/>
  <c r="J101" i="95"/>
  <c r="J124" i="95" s="1"/>
  <c r="J147" i="95" s="1"/>
  <c r="I101" i="95"/>
  <c r="I124" i="95" s="1"/>
  <c r="I147" i="95" s="1"/>
  <c r="H101" i="95"/>
  <c r="H124" i="95" s="1"/>
  <c r="H147" i="95" s="1"/>
  <c r="G101" i="95"/>
  <c r="G124" i="95" s="1"/>
  <c r="G147" i="95" s="1"/>
  <c r="F101" i="95"/>
  <c r="F124" i="95" s="1"/>
  <c r="F147" i="95" s="1"/>
  <c r="E101" i="95"/>
  <c r="E124" i="95" s="1"/>
  <c r="E147" i="95" s="1"/>
  <c r="D101" i="95"/>
  <c r="D124" i="95" s="1"/>
  <c r="D147" i="95" s="1"/>
  <c r="C101" i="95"/>
  <c r="C124" i="95" s="1"/>
  <c r="C147" i="95" s="1"/>
  <c r="B101" i="95"/>
  <c r="B124" i="95" s="1"/>
  <c r="B147" i="95" s="1"/>
  <c r="J105" i="95"/>
  <c r="B92" i="95"/>
  <c r="C92" i="95" s="1"/>
  <c r="D92" i="95" s="1"/>
  <c r="E92" i="95" s="1"/>
  <c r="F92" i="95" s="1"/>
  <c r="G92" i="95" s="1"/>
  <c r="H92" i="95" s="1"/>
  <c r="I92" i="95" s="1"/>
  <c r="J92" i="95" s="1"/>
  <c r="K92" i="95" s="1"/>
  <c r="L92" i="95" s="1"/>
  <c r="M92" i="95" s="1"/>
  <c r="M78" i="95"/>
  <c r="L78" i="95"/>
  <c r="K78" i="95"/>
  <c r="J78" i="95"/>
  <c r="I78" i="95"/>
  <c r="H78" i="95"/>
  <c r="G78" i="95"/>
  <c r="F78" i="95"/>
  <c r="E78" i="95"/>
  <c r="D78" i="95"/>
  <c r="C78" i="95"/>
  <c r="B78" i="95"/>
  <c r="J82" i="95"/>
  <c r="B69" i="95"/>
  <c r="C69" i="95" s="1"/>
  <c r="D69" i="95" s="1"/>
  <c r="E69" i="95" s="1"/>
  <c r="F69" i="95" s="1"/>
  <c r="G69" i="95" s="1"/>
  <c r="H69" i="95" s="1"/>
  <c r="I69" i="95" s="1"/>
  <c r="J69" i="95" s="1"/>
  <c r="K69" i="95" s="1"/>
  <c r="L69" i="95" s="1"/>
  <c r="M69" i="95" s="1"/>
  <c r="M55" i="95"/>
  <c r="L55" i="95"/>
  <c r="K55" i="95"/>
  <c r="J55" i="95"/>
  <c r="I55" i="95"/>
  <c r="H55" i="95"/>
  <c r="G55" i="95"/>
  <c r="F55" i="95"/>
  <c r="E55" i="95"/>
  <c r="D55" i="95"/>
  <c r="C55" i="95"/>
  <c r="B55" i="95"/>
  <c r="B46" i="95"/>
  <c r="C46" i="95" s="1"/>
  <c r="D46" i="95" s="1"/>
  <c r="E46" i="95" s="1"/>
  <c r="F46" i="95" s="1"/>
  <c r="G46" i="95" s="1"/>
  <c r="H46" i="95" s="1"/>
  <c r="I46" i="95" s="1"/>
  <c r="J46" i="95" s="1"/>
  <c r="K46" i="95" s="1"/>
  <c r="L46" i="95" s="1"/>
  <c r="M46" i="95" s="1"/>
  <c r="M32" i="95"/>
  <c r="L32" i="95"/>
  <c r="K32" i="95"/>
  <c r="J32" i="95"/>
  <c r="I32" i="95"/>
  <c r="H32" i="95"/>
  <c r="G32" i="95"/>
  <c r="F32" i="95"/>
  <c r="E32" i="95"/>
  <c r="D32" i="95"/>
  <c r="C32" i="95"/>
  <c r="B32" i="95"/>
  <c r="M36" i="95"/>
  <c r="A27" i="95"/>
  <c r="A50" i="95" s="1"/>
  <c r="A73" i="95" s="1"/>
  <c r="A96" i="95" s="1"/>
  <c r="A119" i="95" s="1"/>
  <c r="M15" i="95"/>
  <c r="L15" i="95"/>
  <c r="K15" i="95"/>
  <c r="J15" i="95"/>
  <c r="I15" i="95"/>
  <c r="H15" i="95"/>
  <c r="G15" i="95"/>
  <c r="F15" i="95"/>
  <c r="E15" i="95"/>
  <c r="D15" i="95"/>
  <c r="C15" i="95"/>
  <c r="B15" i="95"/>
  <c r="I13" i="95"/>
  <c r="C5" i="95"/>
  <c r="D5" i="95" s="1"/>
  <c r="E5" i="95" s="1"/>
  <c r="F5" i="95" s="1"/>
  <c r="G5" i="95" s="1"/>
  <c r="H5" i="95" s="1"/>
  <c r="I5" i="95" s="1"/>
  <c r="J5" i="95" s="1"/>
  <c r="K5" i="95" s="1"/>
  <c r="L5" i="95" s="1"/>
  <c r="M5" i="95" s="1"/>
  <c r="B3" i="95"/>
  <c r="B2" i="95"/>
  <c r="D16" i="97" l="1"/>
  <c r="J26" i="97"/>
  <c r="F26" i="97"/>
  <c r="F19" i="95"/>
  <c r="F20" i="95" s="1"/>
  <c r="G122" i="95"/>
  <c r="E60" i="97"/>
  <c r="F216" i="48" s="1"/>
  <c r="M60" i="97"/>
  <c r="N216" i="48" s="1"/>
  <c r="L26" i="97"/>
  <c r="F70" i="95"/>
  <c r="G164" i="48" s="1"/>
  <c r="F77" i="95"/>
  <c r="F76" i="95" s="1"/>
  <c r="M20" i="89"/>
  <c r="I20" i="92"/>
  <c r="K20" i="93"/>
  <c r="B112" i="95"/>
  <c r="G128" i="95"/>
  <c r="G135" i="95"/>
  <c r="C158" i="95"/>
  <c r="C160" i="95" s="1"/>
  <c r="C159" i="95" s="1"/>
  <c r="F54" i="95"/>
  <c r="B100" i="95"/>
  <c r="B99" i="95" s="1"/>
  <c r="K123" i="95"/>
  <c r="K122" i="95" s="1"/>
  <c r="D26" i="97"/>
  <c r="E95" i="97"/>
  <c r="E92" i="97"/>
  <c r="F318" i="48" s="1"/>
  <c r="E20" i="89"/>
  <c r="G20" i="92"/>
  <c r="F59" i="95"/>
  <c r="J112" i="95"/>
  <c r="J114" i="95" s="1"/>
  <c r="J113" i="95" s="1"/>
  <c r="I125" i="95"/>
  <c r="J315" i="48" s="1"/>
  <c r="J22" i="91"/>
  <c r="G22" i="92"/>
  <c r="C13" i="95"/>
  <c r="C14" i="95" s="1"/>
  <c r="C16" i="95" s="1"/>
  <c r="G151" i="95"/>
  <c r="G158" i="95"/>
  <c r="M56" i="95"/>
  <c r="N162" i="48" s="1"/>
  <c r="M148" i="95"/>
  <c r="N362" i="48" s="1"/>
  <c r="D46" i="97"/>
  <c r="M22" i="89"/>
  <c r="H22" i="90"/>
  <c r="D22" i="91"/>
  <c r="J93" i="95"/>
  <c r="K215" i="48" s="1"/>
  <c r="J91" i="95"/>
  <c r="J90" i="95" s="1"/>
  <c r="C26" i="97"/>
  <c r="K26" i="97"/>
  <c r="E41" i="97"/>
  <c r="E46" i="97"/>
  <c r="E50" i="97" s="1"/>
  <c r="F166" i="48" s="1"/>
  <c r="E22" i="89"/>
  <c r="K46" i="97"/>
  <c r="K50" i="97" s="1"/>
  <c r="L166" i="48" s="1"/>
  <c r="K22" i="89"/>
  <c r="F63" i="97"/>
  <c r="F65" i="97" s="1"/>
  <c r="F22" i="90"/>
  <c r="C74" i="97"/>
  <c r="C73" i="97" s="1"/>
  <c r="C22" i="91"/>
  <c r="B90" i="97"/>
  <c r="B89" i="97" s="1"/>
  <c r="B22" i="92"/>
  <c r="C46" i="97"/>
  <c r="C48" i="97" s="1"/>
  <c r="C47" i="97" s="1"/>
  <c r="C22" i="89"/>
  <c r="H95" i="97"/>
  <c r="H99" i="97" s="1"/>
  <c r="I319" i="48" s="1"/>
  <c r="H22" i="92"/>
  <c r="E79" i="97"/>
  <c r="E83" i="97" s="1"/>
  <c r="F269" i="48" s="1"/>
  <c r="E22" i="91"/>
  <c r="G63" i="97"/>
  <c r="G65" i="97" s="1"/>
  <c r="G22" i="90"/>
  <c r="B46" i="97"/>
  <c r="B48" i="97" s="1"/>
  <c r="B47" i="97" s="1"/>
  <c r="B22" i="89"/>
  <c r="I22" i="92"/>
  <c r="H43" i="95"/>
  <c r="H30" i="95"/>
  <c r="H31" i="95" s="1"/>
  <c r="H33" i="95" s="1"/>
  <c r="J66" i="95"/>
  <c r="J70" i="95" s="1"/>
  <c r="K164" i="48" s="1"/>
  <c r="J20" i="89"/>
  <c r="D79" i="95"/>
  <c r="E213" i="48" s="1"/>
  <c r="D20" i="90"/>
  <c r="L79" i="95"/>
  <c r="M213" i="48" s="1"/>
  <c r="L20" i="90"/>
  <c r="I79" i="95"/>
  <c r="J213" i="48" s="1"/>
  <c r="I20" i="90"/>
  <c r="B79" i="95"/>
  <c r="C213" i="48" s="1"/>
  <c r="B20" i="90"/>
  <c r="B77" i="95"/>
  <c r="F20" i="92"/>
  <c r="F135" i="95"/>
  <c r="F139" i="95" s="1"/>
  <c r="G317" i="48" s="1"/>
  <c r="B20" i="93"/>
  <c r="B158" i="95"/>
  <c r="L22" i="93"/>
  <c r="L110" i="97"/>
  <c r="L112" i="97" s="1"/>
  <c r="L111" i="97" s="1"/>
  <c r="L105" i="97"/>
  <c r="L104" i="97" s="1"/>
  <c r="H22" i="93"/>
  <c r="H110" i="97"/>
  <c r="H112" i="97" s="1"/>
  <c r="H111" i="97" s="1"/>
  <c r="H105" i="97"/>
  <c r="H104" i="97" s="1"/>
  <c r="D22" i="93"/>
  <c r="D110" i="97"/>
  <c r="D105" i="97"/>
  <c r="D104" i="97" s="1"/>
  <c r="F16" i="95"/>
  <c r="B116" i="95"/>
  <c r="C267" i="48" s="1"/>
  <c r="B114" i="95"/>
  <c r="B113" i="95" s="1"/>
  <c r="B16" i="95"/>
  <c r="J16" i="95"/>
  <c r="C56" i="95"/>
  <c r="D162" i="48" s="1"/>
  <c r="C20" i="89"/>
  <c r="G56" i="95"/>
  <c r="H162" i="48" s="1"/>
  <c r="G20" i="89"/>
  <c r="L56" i="95"/>
  <c r="M162" i="48" s="1"/>
  <c r="L20" i="89"/>
  <c r="L66" i="95"/>
  <c r="L70" i="95" s="1"/>
  <c r="M164" i="48" s="1"/>
  <c r="H79" i="95"/>
  <c r="I213" i="48" s="1"/>
  <c r="H20" i="90"/>
  <c r="M79" i="95"/>
  <c r="N213" i="48" s="1"/>
  <c r="M20" i="90"/>
  <c r="H20" i="92"/>
  <c r="H135" i="95"/>
  <c r="H139" i="95" s="1"/>
  <c r="I317" i="48" s="1"/>
  <c r="L148" i="95"/>
  <c r="M362" i="48" s="1"/>
  <c r="L20" i="93"/>
  <c r="H148" i="95"/>
  <c r="I362" i="48" s="1"/>
  <c r="H20" i="93"/>
  <c r="D148" i="95"/>
  <c r="E362" i="48" s="1"/>
  <c r="D20" i="93"/>
  <c r="D158" i="95"/>
  <c r="J84" i="95"/>
  <c r="J83" i="95" s="1"/>
  <c r="E159" i="95"/>
  <c r="E162" i="95"/>
  <c r="F364" i="48" s="1"/>
  <c r="M13" i="95"/>
  <c r="G130" i="95"/>
  <c r="G129" i="95" s="1"/>
  <c r="M158" i="95"/>
  <c r="G16" i="95"/>
  <c r="D56" i="95"/>
  <c r="E162" i="48" s="1"/>
  <c r="D20" i="89"/>
  <c r="H56" i="95"/>
  <c r="I162" i="48" s="1"/>
  <c r="H20" i="89"/>
  <c r="J79" i="95"/>
  <c r="K213" i="48" s="1"/>
  <c r="J20" i="90"/>
  <c r="H100" i="95"/>
  <c r="H99" i="95" s="1"/>
  <c r="H20" i="91"/>
  <c r="I54" i="95"/>
  <c r="I20" i="89"/>
  <c r="K125" i="95"/>
  <c r="L315" i="48" s="1"/>
  <c r="K20" i="92"/>
  <c r="G125" i="95"/>
  <c r="H315" i="48" s="1"/>
  <c r="C20" i="92"/>
  <c r="C123" i="95"/>
  <c r="C122" i="95" s="1"/>
  <c r="H54" i="95"/>
  <c r="H53" i="95" s="1"/>
  <c r="K56" i="95"/>
  <c r="L162" i="48" s="1"/>
  <c r="J77" i="95"/>
  <c r="J76" i="95" s="1"/>
  <c r="E148" i="95"/>
  <c r="F362" i="48" s="1"/>
  <c r="F13" i="97"/>
  <c r="F14" i="97" s="1"/>
  <c r="F16" i="97" s="1"/>
  <c r="J16" i="97"/>
  <c r="B26" i="97"/>
  <c r="I46" i="97"/>
  <c r="I22" i="89"/>
  <c r="E58" i="97"/>
  <c r="E57" i="97" s="1"/>
  <c r="E22" i="90"/>
  <c r="M58" i="97"/>
  <c r="M57" i="97" s="1"/>
  <c r="M22" i="90"/>
  <c r="M22" i="92"/>
  <c r="M92" i="97"/>
  <c r="N318" i="48" s="1"/>
  <c r="M95" i="97"/>
  <c r="M97" i="97" s="1"/>
  <c r="M96" i="97" s="1"/>
  <c r="L95" i="97"/>
  <c r="L97" i="97" s="1"/>
  <c r="L96" i="97" s="1"/>
  <c r="L22" i="92"/>
  <c r="F46" i="97"/>
  <c r="F48" i="97" s="1"/>
  <c r="F22" i="89"/>
  <c r="K20" i="89"/>
  <c r="F56" i="95"/>
  <c r="G162" i="48" s="1"/>
  <c r="F20" i="89"/>
  <c r="J102" i="95"/>
  <c r="K265" i="48" s="1"/>
  <c r="J20" i="91"/>
  <c r="G79" i="95"/>
  <c r="H213" i="48" s="1"/>
  <c r="G20" i="90"/>
  <c r="M135" i="95"/>
  <c r="M139" i="95" s="1"/>
  <c r="N317" i="48" s="1"/>
  <c r="M20" i="92"/>
  <c r="I139" i="95"/>
  <c r="J317" i="48" s="1"/>
  <c r="I148" i="95"/>
  <c r="J362" i="48" s="1"/>
  <c r="I20" i="93"/>
  <c r="F100" i="95"/>
  <c r="F99" i="95" s="1"/>
  <c r="H16" i="97"/>
  <c r="H26" i="97"/>
  <c r="L41" i="97"/>
  <c r="L40" i="97" s="1"/>
  <c r="L22" i="89"/>
  <c r="I60" i="97"/>
  <c r="J216" i="48" s="1"/>
  <c r="I22" i="90"/>
  <c r="D95" i="97"/>
  <c r="D97" i="97" s="1"/>
  <c r="D96" i="97" s="1"/>
  <c r="D22" i="92"/>
  <c r="J107" i="97"/>
  <c r="K365" i="48" s="1"/>
  <c r="J22" i="93"/>
  <c r="F107" i="97"/>
  <c r="G365" i="48" s="1"/>
  <c r="F22" i="93"/>
  <c r="B22" i="90"/>
  <c r="L22" i="90"/>
  <c r="H46" i="97"/>
  <c r="H50" i="97" s="1"/>
  <c r="I166" i="48" s="1"/>
  <c r="H22" i="89"/>
  <c r="F76" i="97"/>
  <c r="G268" i="48" s="1"/>
  <c r="C63" i="97"/>
  <c r="C65" i="97" s="1"/>
  <c r="C22" i="90"/>
  <c r="K63" i="97"/>
  <c r="K22" i="90"/>
  <c r="J46" i="97"/>
  <c r="J48" i="97" s="1"/>
  <c r="J22" i="89"/>
  <c r="G22" i="89"/>
  <c r="F22" i="91"/>
  <c r="K22" i="92"/>
  <c r="C22" i="92"/>
  <c r="B22" i="93"/>
  <c r="K107" i="97"/>
  <c r="L365" i="48" s="1"/>
  <c r="C112" i="97"/>
  <c r="C111" i="97" s="1"/>
  <c r="C114" i="97"/>
  <c r="D366" i="48" s="1"/>
  <c r="G112" i="97"/>
  <c r="G111" i="97" s="1"/>
  <c r="G114" i="97"/>
  <c r="H366" i="48" s="1"/>
  <c r="K112" i="97"/>
  <c r="K111" i="97" s="1"/>
  <c r="K114" i="97"/>
  <c r="L366" i="48" s="1"/>
  <c r="D112" i="97"/>
  <c r="D111" i="97" s="1"/>
  <c r="D114" i="97"/>
  <c r="E366" i="48" s="1"/>
  <c r="L114" i="97"/>
  <c r="M366" i="48" s="1"/>
  <c r="E114" i="97"/>
  <c r="F366" i="48" s="1"/>
  <c r="E112" i="97"/>
  <c r="E111" i="97" s="1"/>
  <c r="I114" i="97"/>
  <c r="J366" i="48" s="1"/>
  <c r="I112" i="97"/>
  <c r="I111" i="97" s="1"/>
  <c r="M114" i="97"/>
  <c r="N366" i="48" s="1"/>
  <c r="M112" i="97"/>
  <c r="M111" i="97" s="1"/>
  <c r="E105" i="97"/>
  <c r="E104" i="97" s="1"/>
  <c r="I105" i="97"/>
  <c r="I104" i="97" s="1"/>
  <c r="M105" i="97"/>
  <c r="M104" i="97" s="1"/>
  <c r="D107" i="97"/>
  <c r="E365" i="48" s="1"/>
  <c r="H107" i="97"/>
  <c r="I365" i="48" s="1"/>
  <c r="L107" i="97"/>
  <c r="M365" i="48" s="1"/>
  <c r="J110" i="97"/>
  <c r="B105" i="97"/>
  <c r="B104" i="97" s="1"/>
  <c r="F105" i="97"/>
  <c r="F104" i="97" s="1"/>
  <c r="J105" i="97"/>
  <c r="J104" i="97" s="1"/>
  <c r="E107" i="97"/>
  <c r="F365" i="48" s="1"/>
  <c r="I107" i="97"/>
  <c r="J365" i="48" s="1"/>
  <c r="M107" i="97"/>
  <c r="N365" i="48" s="1"/>
  <c r="N103" i="97"/>
  <c r="N22" i="93" s="1"/>
  <c r="B110" i="97"/>
  <c r="F110" i="97"/>
  <c r="L14" i="97"/>
  <c r="L16" i="97" s="1"/>
  <c r="I92" i="97"/>
  <c r="J318" i="48" s="1"/>
  <c r="B43" i="97"/>
  <c r="C165" i="48" s="1"/>
  <c r="D63" i="97"/>
  <c r="D67" i="97" s="1"/>
  <c r="E217" i="48" s="1"/>
  <c r="D58" i="97"/>
  <c r="D57" i="97" s="1"/>
  <c r="D41" i="97"/>
  <c r="D40" i="97" s="1"/>
  <c r="F43" i="97"/>
  <c r="G165" i="48" s="1"/>
  <c r="H41" i="97"/>
  <c r="H40" i="97" s="1"/>
  <c r="D43" i="97"/>
  <c r="E165" i="48" s="1"/>
  <c r="H43" i="97"/>
  <c r="I165" i="48" s="1"/>
  <c r="L43" i="97"/>
  <c r="M165" i="48" s="1"/>
  <c r="F58" i="97"/>
  <c r="F57" i="97" s="1"/>
  <c r="F79" i="97"/>
  <c r="F81" i="97" s="1"/>
  <c r="J43" i="97"/>
  <c r="K165" i="48" s="1"/>
  <c r="G60" i="97"/>
  <c r="H216" i="48" s="1"/>
  <c r="K60" i="97"/>
  <c r="L216" i="48" s="1"/>
  <c r="J76" i="97"/>
  <c r="K268" i="48" s="1"/>
  <c r="Q14" i="98"/>
  <c r="Q15" i="98"/>
  <c r="B72" i="97"/>
  <c r="Q13" i="98"/>
  <c r="C60" i="97"/>
  <c r="D216" i="48" s="1"/>
  <c r="K65" i="97"/>
  <c r="K64" i="97" s="1"/>
  <c r="G92" i="97"/>
  <c r="H318" i="48" s="1"/>
  <c r="L63" i="97"/>
  <c r="L74" i="97"/>
  <c r="L73" i="97" s="1"/>
  <c r="C64" i="97"/>
  <c r="C92" i="97"/>
  <c r="D318" i="48" s="1"/>
  <c r="K92" i="97"/>
  <c r="L318" i="48" s="1"/>
  <c r="D76" i="97"/>
  <c r="E268" i="48" s="1"/>
  <c r="H76" i="97"/>
  <c r="I268" i="48" s="1"/>
  <c r="L76" i="97"/>
  <c r="M268" i="48" s="1"/>
  <c r="Q12" i="98"/>
  <c r="B16" i="97"/>
  <c r="G82" i="97"/>
  <c r="H82" i="97" s="1"/>
  <c r="I82" i="97" s="1"/>
  <c r="J82" i="97" s="1"/>
  <c r="C50" i="97"/>
  <c r="D166" i="48" s="1"/>
  <c r="H66" i="97"/>
  <c r="I66" i="97" s="1"/>
  <c r="J66" i="97" s="1"/>
  <c r="K66" i="97" s="1"/>
  <c r="L66" i="97" s="1"/>
  <c r="M66" i="97" s="1"/>
  <c r="G67" i="97"/>
  <c r="H217" i="48" s="1"/>
  <c r="C14" i="97"/>
  <c r="C16" i="97" s="1"/>
  <c r="G14" i="97"/>
  <c r="G16" i="97" s="1"/>
  <c r="K14" i="97"/>
  <c r="K16" i="97" s="1"/>
  <c r="D24" i="97"/>
  <c r="D23" i="97" s="1"/>
  <c r="L24" i="97"/>
  <c r="L23" i="97" s="1"/>
  <c r="B29" i="97"/>
  <c r="J29" i="97"/>
  <c r="D50" i="97"/>
  <c r="E166" i="48" s="1"/>
  <c r="D48" i="97"/>
  <c r="D47" i="97" s="1"/>
  <c r="L48" i="97"/>
  <c r="L47" i="97" s="1"/>
  <c r="L50" i="97"/>
  <c r="M166" i="48" s="1"/>
  <c r="I50" i="97"/>
  <c r="J166" i="48" s="1"/>
  <c r="J50" i="97"/>
  <c r="K166" i="48" s="1"/>
  <c r="C76" i="97"/>
  <c r="D268" i="48" s="1"/>
  <c r="C79" i="97"/>
  <c r="G76" i="97"/>
  <c r="H268" i="48" s="1"/>
  <c r="G79" i="97"/>
  <c r="K76" i="97"/>
  <c r="L268" i="48" s="1"/>
  <c r="K79" i="97"/>
  <c r="K74" i="97"/>
  <c r="K73" i="97" s="1"/>
  <c r="E97" i="97"/>
  <c r="E96" i="97" s="1"/>
  <c r="E99" i="97"/>
  <c r="F319" i="48" s="1"/>
  <c r="I97" i="97"/>
  <c r="I96" i="97" s="1"/>
  <c r="I99" i="97"/>
  <c r="J319" i="48" s="1"/>
  <c r="M99" i="97"/>
  <c r="N319" i="48" s="1"/>
  <c r="N12" i="97"/>
  <c r="E13" i="97"/>
  <c r="I13" i="97"/>
  <c r="I14" i="97" s="1"/>
  <c r="I16" i="97" s="1"/>
  <c r="M13" i="97"/>
  <c r="M14" i="97" s="1"/>
  <c r="M16" i="97" s="1"/>
  <c r="E24" i="97"/>
  <c r="E23" i="97" s="1"/>
  <c r="E29" i="97"/>
  <c r="I24" i="97"/>
  <c r="I23" i="97" s="1"/>
  <c r="I29" i="97"/>
  <c r="M24" i="97"/>
  <c r="M23" i="97" s="1"/>
  <c r="M29" i="97"/>
  <c r="H23" i="97"/>
  <c r="F24" i="97"/>
  <c r="F23" i="97" s="1"/>
  <c r="I26" i="97"/>
  <c r="D29" i="97"/>
  <c r="L29" i="97"/>
  <c r="E40" i="97"/>
  <c r="E43" i="97"/>
  <c r="F165" i="48" s="1"/>
  <c r="I40" i="97"/>
  <c r="I43" i="97"/>
  <c r="J165" i="48" s="1"/>
  <c r="M43" i="97"/>
  <c r="N165" i="48" s="1"/>
  <c r="C41" i="97"/>
  <c r="C40" i="97" s="1"/>
  <c r="M41" i="97"/>
  <c r="M40" i="97" s="1"/>
  <c r="I48" i="97"/>
  <c r="I47" i="97" s="1"/>
  <c r="K67" i="97"/>
  <c r="L217" i="48" s="1"/>
  <c r="F99" i="97"/>
  <c r="G319" i="48" s="1"/>
  <c r="F96" i="97"/>
  <c r="L99" i="97"/>
  <c r="M319" i="48" s="1"/>
  <c r="N22" i="97"/>
  <c r="F29" i="97"/>
  <c r="M50" i="97"/>
  <c r="N166" i="48" s="1"/>
  <c r="M48" i="97"/>
  <c r="M47" i="97" s="1"/>
  <c r="H65" i="97"/>
  <c r="H64" i="97" s="1"/>
  <c r="E76" i="97"/>
  <c r="F268" i="48" s="1"/>
  <c r="E74" i="97"/>
  <c r="E73" i="97" s="1"/>
  <c r="I76" i="97"/>
  <c r="J268" i="48" s="1"/>
  <c r="I74" i="97"/>
  <c r="I73" i="97" s="1"/>
  <c r="M76" i="97"/>
  <c r="N268" i="48" s="1"/>
  <c r="M74" i="97"/>
  <c r="M73" i="97" s="1"/>
  <c r="I79" i="97"/>
  <c r="C29" i="97"/>
  <c r="C24" i="97"/>
  <c r="C23" i="97" s="1"/>
  <c r="G29" i="97"/>
  <c r="G24" i="97"/>
  <c r="G23" i="97" s="1"/>
  <c r="K29" i="97"/>
  <c r="K24" i="97"/>
  <c r="K23" i="97" s="1"/>
  <c r="B24" i="97"/>
  <c r="B23" i="97" s="1"/>
  <c r="J24" i="97"/>
  <c r="J23" i="97" s="1"/>
  <c r="H29" i="97"/>
  <c r="C43" i="97"/>
  <c r="D165" i="48" s="1"/>
  <c r="G43" i="97"/>
  <c r="H165" i="48" s="1"/>
  <c r="G40" i="97"/>
  <c r="K43" i="97"/>
  <c r="L165" i="48" s="1"/>
  <c r="K41" i="97"/>
  <c r="K40" i="97" s="1"/>
  <c r="G46" i="97"/>
  <c r="J47" i="97"/>
  <c r="L65" i="97"/>
  <c r="L64" i="97" s="1"/>
  <c r="C67" i="97"/>
  <c r="D217" i="48" s="1"/>
  <c r="G74" i="97"/>
  <c r="G73" i="97" s="1"/>
  <c r="M79" i="97"/>
  <c r="D99" i="97"/>
  <c r="E319" i="48" s="1"/>
  <c r="B41" i="97"/>
  <c r="F41" i="97"/>
  <c r="F40" i="97" s="1"/>
  <c r="J41" i="97"/>
  <c r="J40" i="97" s="1"/>
  <c r="B57" i="97"/>
  <c r="B60" i="97"/>
  <c r="C216" i="48" s="1"/>
  <c r="F60" i="97"/>
  <c r="G216" i="48" s="1"/>
  <c r="J57" i="97"/>
  <c r="J60" i="97"/>
  <c r="K216" i="48" s="1"/>
  <c r="N56" i="97"/>
  <c r="N22" i="90" s="1"/>
  <c r="B63" i="97"/>
  <c r="J63" i="97"/>
  <c r="J80" i="97"/>
  <c r="D92" i="97"/>
  <c r="E318" i="48" s="1"/>
  <c r="H92" i="97"/>
  <c r="I318" i="48" s="1"/>
  <c r="L92" i="97"/>
  <c r="M318" i="48" s="1"/>
  <c r="H90" i="97"/>
  <c r="H89" i="97" s="1"/>
  <c r="N39" i="97"/>
  <c r="N22" i="89" s="1"/>
  <c r="D60" i="97"/>
  <c r="E216" i="48" s="1"/>
  <c r="H60" i="97"/>
  <c r="I216" i="48" s="1"/>
  <c r="L60" i="97"/>
  <c r="M216" i="48" s="1"/>
  <c r="L57" i="97"/>
  <c r="H58" i="97"/>
  <c r="H57" i="97" s="1"/>
  <c r="B92" i="97"/>
  <c r="C318" i="48" s="1"/>
  <c r="F92" i="97"/>
  <c r="G318" i="48" s="1"/>
  <c r="F89" i="97"/>
  <c r="J92" i="97"/>
  <c r="K318" i="48" s="1"/>
  <c r="J89" i="97"/>
  <c r="N88" i="97"/>
  <c r="N22" i="92" s="1"/>
  <c r="D90" i="97"/>
  <c r="L90" i="97"/>
  <c r="L89" i="97" s="1"/>
  <c r="B95" i="97"/>
  <c r="J95" i="97"/>
  <c r="C58" i="97"/>
  <c r="G58" i="97"/>
  <c r="G57" i="97" s="1"/>
  <c r="K58" i="97"/>
  <c r="K57" i="97" s="1"/>
  <c r="E63" i="97"/>
  <c r="I63" i="97"/>
  <c r="M63" i="97"/>
  <c r="F74" i="97"/>
  <c r="F73" i="97" s="1"/>
  <c r="J74" i="97"/>
  <c r="J73" i="97" s="1"/>
  <c r="D79" i="97"/>
  <c r="H79" i="97"/>
  <c r="L79" i="97"/>
  <c r="E90" i="97"/>
  <c r="E89" i="97" s="1"/>
  <c r="I90" i="97"/>
  <c r="I89" i="97" s="1"/>
  <c r="M90" i="97"/>
  <c r="M89" i="97" s="1"/>
  <c r="C95" i="97"/>
  <c r="G95" i="97"/>
  <c r="K95" i="97"/>
  <c r="F130" i="95"/>
  <c r="F129" i="95" s="1"/>
  <c r="K137" i="95"/>
  <c r="K136" i="95" s="1"/>
  <c r="K139" i="95"/>
  <c r="L317" i="48" s="1"/>
  <c r="C153" i="95"/>
  <c r="C152" i="95" s="1"/>
  <c r="K153" i="95"/>
  <c r="K152" i="95" s="1"/>
  <c r="D162" i="95"/>
  <c r="E364" i="48" s="1"/>
  <c r="D160" i="95"/>
  <c r="D159" i="95" s="1"/>
  <c r="E100" i="95"/>
  <c r="E99" i="95" s="1"/>
  <c r="I100" i="95"/>
  <c r="I99" i="95" s="1"/>
  <c r="M100" i="95"/>
  <c r="M99" i="95" s="1"/>
  <c r="L125" i="95"/>
  <c r="M315" i="48" s="1"/>
  <c r="L123" i="95"/>
  <c r="L122" i="95" s="1"/>
  <c r="H125" i="95"/>
  <c r="I315" i="48" s="1"/>
  <c r="H123" i="95"/>
  <c r="H122" i="95" s="1"/>
  <c r="D125" i="95"/>
  <c r="E315" i="48" s="1"/>
  <c r="D123" i="95"/>
  <c r="D122" i="95" s="1"/>
  <c r="L54" i="95"/>
  <c r="L53" i="95" s="1"/>
  <c r="I53" i="95"/>
  <c r="I56" i="95"/>
  <c r="J162" i="48" s="1"/>
  <c r="E56" i="95"/>
  <c r="F162" i="48" s="1"/>
  <c r="D77" i="95"/>
  <c r="D76" i="95" s="1"/>
  <c r="H77" i="95"/>
  <c r="H76" i="95" s="1"/>
  <c r="L77" i="95"/>
  <c r="L76" i="95" s="1"/>
  <c r="D146" i="95"/>
  <c r="D145" i="95" s="1"/>
  <c r="M102" i="95"/>
  <c r="N265" i="48" s="1"/>
  <c r="L19" i="95"/>
  <c r="L20" i="95" s="1"/>
  <c r="B30" i="95"/>
  <c r="B31" i="95" s="1"/>
  <c r="B33" i="95" s="1"/>
  <c r="L43" i="95"/>
  <c r="L44" i="95" s="1"/>
  <c r="L45" i="95" s="1"/>
  <c r="L47" i="95" s="1"/>
  <c r="L128" i="95"/>
  <c r="G139" i="95"/>
  <c r="H317" i="48" s="1"/>
  <c r="G137" i="95"/>
  <c r="G136" i="95" s="1"/>
  <c r="L135" i="95"/>
  <c r="D151" i="95"/>
  <c r="L151" i="95"/>
  <c r="K160" i="95"/>
  <c r="K159" i="95" s="1"/>
  <c r="F89" i="95"/>
  <c r="F79" i="95"/>
  <c r="G213" i="48" s="1"/>
  <c r="B105" i="95"/>
  <c r="B102" i="95"/>
  <c r="C265" i="48" s="1"/>
  <c r="F112" i="95"/>
  <c r="F102" i="95"/>
  <c r="G265" i="48" s="1"/>
  <c r="C125" i="95"/>
  <c r="D315" i="48" s="1"/>
  <c r="K146" i="95"/>
  <c r="K145" i="95" s="1"/>
  <c r="K148" i="95"/>
  <c r="L362" i="48" s="1"/>
  <c r="G146" i="95"/>
  <c r="G145" i="95" s="1"/>
  <c r="G148" i="95"/>
  <c r="H362" i="48" s="1"/>
  <c r="C146" i="95"/>
  <c r="C145" i="95" s="1"/>
  <c r="C148" i="95"/>
  <c r="D362" i="48" s="1"/>
  <c r="G54" i="95"/>
  <c r="G53" i="95" s="1"/>
  <c r="C54" i="95"/>
  <c r="C53" i="95" s="1"/>
  <c r="F53" i="95"/>
  <c r="E77" i="95"/>
  <c r="E76" i="95" s="1"/>
  <c r="I77" i="95"/>
  <c r="I76" i="95" s="1"/>
  <c r="M77" i="95"/>
  <c r="M76" i="95" s="1"/>
  <c r="I123" i="95"/>
  <c r="I122" i="95" s="1"/>
  <c r="H146" i="95"/>
  <c r="H145" i="95" s="1"/>
  <c r="I160" i="95"/>
  <c r="I159" i="95" s="1"/>
  <c r="E79" i="95"/>
  <c r="F213" i="48" s="1"/>
  <c r="M125" i="95"/>
  <c r="N315" i="48" s="1"/>
  <c r="H130" i="95"/>
  <c r="H129" i="95" s="1"/>
  <c r="C137" i="95"/>
  <c r="C136" i="95" s="1"/>
  <c r="C139" i="95"/>
  <c r="D317" i="48" s="1"/>
  <c r="G153" i="95"/>
  <c r="G152" i="95" s="1"/>
  <c r="B162" i="95"/>
  <c r="C364" i="48" s="1"/>
  <c r="B160" i="95"/>
  <c r="B159" i="95" s="1"/>
  <c r="G160" i="95"/>
  <c r="G159" i="95" s="1"/>
  <c r="L160" i="95"/>
  <c r="L159" i="95" s="1"/>
  <c r="C102" i="95"/>
  <c r="D265" i="48" s="1"/>
  <c r="C100" i="95"/>
  <c r="C99" i="95" s="1"/>
  <c r="G105" i="95"/>
  <c r="G102" i="95"/>
  <c r="H265" i="48" s="1"/>
  <c r="G100" i="95"/>
  <c r="G99" i="95" s="1"/>
  <c r="K102" i="95"/>
  <c r="L265" i="48" s="1"/>
  <c r="K100" i="95"/>
  <c r="K99" i="95" s="1"/>
  <c r="K82" i="95"/>
  <c r="K79" i="95"/>
  <c r="L213" i="48" s="1"/>
  <c r="J125" i="95"/>
  <c r="K315" i="48" s="1"/>
  <c r="J123" i="95"/>
  <c r="J122" i="95" s="1"/>
  <c r="F125" i="95"/>
  <c r="G315" i="48" s="1"/>
  <c r="F123" i="95"/>
  <c r="F122" i="95" s="1"/>
  <c r="B148" i="95"/>
  <c r="C362" i="48" s="1"/>
  <c r="B146" i="95"/>
  <c r="B145" i="95" s="1"/>
  <c r="J151" i="95"/>
  <c r="J148" i="95"/>
  <c r="K362" i="48" s="1"/>
  <c r="J146" i="95"/>
  <c r="J145" i="95" s="1"/>
  <c r="F151" i="95"/>
  <c r="F148" i="95"/>
  <c r="G362" i="48" s="1"/>
  <c r="F146" i="95"/>
  <c r="F145" i="95" s="1"/>
  <c r="J54" i="95"/>
  <c r="J53" i="95" s="1"/>
  <c r="E53" i="95"/>
  <c r="J107" i="95"/>
  <c r="J106" i="95" s="1"/>
  <c r="C130" i="95"/>
  <c r="C129" i="95" s="1"/>
  <c r="K130" i="95"/>
  <c r="K129" i="95" s="1"/>
  <c r="L146" i="95"/>
  <c r="L145" i="95" s="1"/>
  <c r="E102" i="95"/>
  <c r="F265" i="48" s="1"/>
  <c r="D19" i="95"/>
  <c r="D20" i="95" s="1"/>
  <c r="L36" i="95"/>
  <c r="L37" i="95" s="1"/>
  <c r="E66" i="95"/>
  <c r="D128" i="95"/>
  <c r="J128" i="95"/>
  <c r="D135" i="95"/>
  <c r="J135" i="95"/>
  <c r="B151" i="95"/>
  <c r="H151" i="95"/>
  <c r="C162" i="95"/>
  <c r="D364" i="48" s="1"/>
  <c r="H158" i="95"/>
  <c r="D112" i="95"/>
  <c r="D102" i="95"/>
  <c r="E265" i="48" s="1"/>
  <c r="H112" i="95"/>
  <c r="H102" i="95"/>
  <c r="I265" i="48" s="1"/>
  <c r="L105" i="95"/>
  <c r="L102" i="95"/>
  <c r="M265" i="48" s="1"/>
  <c r="M137" i="95"/>
  <c r="M136" i="95" s="1"/>
  <c r="I137" i="95"/>
  <c r="I136" i="95" s="1"/>
  <c r="E135" i="95"/>
  <c r="M151" i="95"/>
  <c r="M146" i="95"/>
  <c r="M145" i="95" s="1"/>
  <c r="I151" i="95"/>
  <c r="I146" i="95"/>
  <c r="I145" i="95" s="1"/>
  <c r="E151" i="95"/>
  <c r="E146" i="95"/>
  <c r="E145" i="95" s="1"/>
  <c r="J56" i="95"/>
  <c r="K162" i="48" s="1"/>
  <c r="F61" i="95"/>
  <c r="F60" i="95" s="1"/>
  <c r="F68" i="95"/>
  <c r="F67" i="95" s="1"/>
  <c r="J68" i="95"/>
  <c r="J67" i="95" s="1"/>
  <c r="B76" i="95"/>
  <c r="G77" i="95"/>
  <c r="G76" i="95" s="1"/>
  <c r="K77" i="95"/>
  <c r="K76" i="95" s="1"/>
  <c r="D100" i="95"/>
  <c r="D99" i="95" s="1"/>
  <c r="L100" i="95"/>
  <c r="L99" i="95" s="1"/>
  <c r="E123" i="95"/>
  <c r="E122" i="95" s="1"/>
  <c r="M123" i="95"/>
  <c r="M122" i="95" s="1"/>
  <c r="F137" i="95"/>
  <c r="F136" i="95" s="1"/>
  <c r="I102" i="95"/>
  <c r="J265" i="48" s="1"/>
  <c r="E125" i="95"/>
  <c r="F315" i="48" s="1"/>
  <c r="F161" i="95"/>
  <c r="N144" i="95"/>
  <c r="N20" i="93" s="1"/>
  <c r="F158" i="95"/>
  <c r="J158" i="95"/>
  <c r="E128" i="95"/>
  <c r="I128" i="95"/>
  <c r="M128" i="95"/>
  <c r="B82" i="95"/>
  <c r="B89" i="95"/>
  <c r="Q13" i="96"/>
  <c r="M89" i="95"/>
  <c r="M82" i="95"/>
  <c r="E89" i="95"/>
  <c r="E82" i="95"/>
  <c r="F82" i="95"/>
  <c r="L112" i="95"/>
  <c r="C75" i="95"/>
  <c r="C20" i="90" s="1"/>
  <c r="Q16" i="96"/>
  <c r="J59" i="95"/>
  <c r="D105" i="95"/>
  <c r="B121" i="95"/>
  <c r="B20" i="92" s="1"/>
  <c r="J43" i="95"/>
  <c r="J44" i="95" s="1"/>
  <c r="F30" i="95"/>
  <c r="F31" i="95" s="1"/>
  <c r="F33" i="95" s="1"/>
  <c r="J33" i="95"/>
  <c r="F21" i="95"/>
  <c r="E13" i="95"/>
  <c r="E14" i="95" s="1"/>
  <c r="E16" i="95" s="1"/>
  <c r="K13" i="95"/>
  <c r="K14" i="95" s="1"/>
  <c r="K16" i="95" s="1"/>
  <c r="G19" i="95"/>
  <c r="G20" i="95" s="1"/>
  <c r="G21" i="95" s="1"/>
  <c r="H13" i="95"/>
  <c r="H14" i="95" s="1"/>
  <c r="H16" i="95" s="1"/>
  <c r="D43" i="95"/>
  <c r="M37" i="95"/>
  <c r="M38" i="95" s="1"/>
  <c r="K20" i="95"/>
  <c r="K21" i="95" s="1"/>
  <c r="C30" i="95"/>
  <c r="C31" i="95" s="1"/>
  <c r="C33" i="95" s="1"/>
  <c r="C43" i="95"/>
  <c r="G30" i="95"/>
  <c r="G31" i="95" s="1"/>
  <c r="G33" i="95" s="1"/>
  <c r="G43" i="95"/>
  <c r="K43" i="95"/>
  <c r="K30" i="95"/>
  <c r="K31" i="95" s="1"/>
  <c r="K33" i="95" s="1"/>
  <c r="E36" i="95"/>
  <c r="N12" i="95"/>
  <c r="D14" i="95"/>
  <c r="D16" i="95" s="1"/>
  <c r="L14" i="95"/>
  <c r="L16" i="95" s="1"/>
  <c r="B19" i="95"/>
  <c r="J19" i="95"/>
  <c r="E20" i="95"/>
  <c r="E21" i="95" s="1"/>
  <c r="M20" i="95"/>
  <c r="M21" i="95" s="1"/>
  <c r="H21" i="95"/>
  <c r="H44" i="95"/>
  <c r="H45" i="95" s="1"/>
  <c r="H47" i="95" s="1"/>
  <c r="I31" i="95"/>
  <c r="I33" i="95" s="1"/>
  <c r="G36" i="95"/>
  <c r="C21" i="95"/>
  <c r="M43" i="95"/>
  <c r="M30" i="95"/>
  <c r="M31" i="95" s="1"/>
  <c r="M33" i="95" s="1"/>
  <c r="I36" i="95"/>
  <c r="E43" i="95"/>
  <c r="I20" i="95"/>
  <c r="I21" i="95" s="1"/>
  <c r="D21" i="95"/>
  <c r="L21" i="95"/>
  <c r="B44" i="95"/>
  <c r="B45" i="95" s="1"/>
  <c r="F44" i="95"/>
  <c r="F45" i="95" s="1"/>
  <c r="F47" i="95" s="1"/>
  <c r="E31" i="95"/>
  <c r="E33" i="95" s="1"/>
  <c r="C36" i="95"/>
  <c r="K36" i="95"/>
  <c r="I43" i="95"/>
  <c r="D59" i="95"/>
  <c r="D66" i="95"/>
  <c r="I14" i="95"/>
  <c r="I16" i="95" s="1"/>
  <c r="M14" i="95"/>
  <c r="M16" i="95" s="1"/>
  <c r="N29" i="95"/>
  <c r="D31" i="95"/>
  <c r="D33" i="95" s="1"/>
  <c r="L31" i="95"/>
  <c r="L33" i="95" s="1"/>
  <c r="B36" i="95"/>
  <c r="F36" i="95"/>
  <c r="J36" i="95"/>
  <c r="C66" i="95"/>
  <c r="C59" i="95"/>
  <c r="G66" i="95"/>
  <c r="G59" i="95"/>
  <c r="K66" i="95"/>
  <c r="K59" i="95"/>
  <c r="E59" i="95"/>
  <c r="L59" i="95"/>
  <c r="C89" i="95"/>
  <c r="G89" i="95"/>
  <c r="K89" i="95"/>
  <c r="G82" i="95"/>
  <c r="H66" i="95"/>
  <c r="H59" i="95"/>
  <c r="D82" i="95"/>
  <c r="D89" i="95"/>
  <c r="H82" i="95"/>
  <c r="L89" i="95"/>
  <c r="L82" i="95"/>
  <c r="D36" i="95"/>
  <c r="H36" i="95"/>
  <c r="M66" i="95"/>
  <c r="M59" i="95"/>
  <c r="I59" i="95"/>
  <c r="I66" i="95"/>
  <c r="H89" i="95"/>
  <c r="E112" i="95"/>
  <c r="E105" i="95"/>
  <c r="I112" i="95"/>
  <c r="M112" i="95"/>
  <c r="M105" i="95"/>
  <c r="I105" i="95"/>
  <c r="I89" i="95"/>
  <c r="I82" i="95"/>
  <c r="C105" i="95"/>
  <c r="C112" i="95"/>
  <c r="G112" i="95"/>
  <c r="K112" i="95"/>
  <c r="K105" i="95"/>
  <c r="H105" i="95"/>
  <c r="B135" i="95"/>
  <c r="B128" i="95"/>
  <c r="N98" i="95"/>
  <c r="N20" i="91" s="1"/>
  <c r="F105" i="95"/>
  <c r="F50" i="97" l="1"/>
  <c r="G166" i="48" s="1"/>
  <c r="J116" i="95"/>
  <c r="K267" i="48" s="1"/>
  <c r="B50" i="97"/>
  <c r="C166" i="48" s="1"/>
  <c r="O20" i="91"/>
  <c r="L68" i="95"/>
  <c r="L67" i="95" s="1"/>
  <c r="D65" i="97"/>
  <c r="D64" i="97" s="1"/>
  <c r="K48" i="97"/>
  <c r="K47" i="97" s="1"/>
  <c r="L67" i="97"/>
  <c r="M217" i="48" s="1"/>
  <c r="F67" i="97"/>
  <c r="G217" i="48" s="1"/>
  <c r="E81" i="97"/>
  <c r="E80" i="97" s="1"/>
  <c r="N121" i="95"/>
  <c r="N20" i="92" s="1"/>
  <c r="N146" i="95"/>
  <c r="O362" i="48"/>
  <c r="H97" i="97"/>
  <c r="H96" i="97" s="1"/>
  <c r="H48" i="97"/>
  <c r="H47" i="97" s="1"/>
  <c r="F83" i="97"/>
  <c r="G269" i="48" s="1"/>
  <c r="O365" i="48"/>
  <c r="H114" i="97"/>
  <c r="I366" i="48" s="1"/>
  <c r="L38" i="95"/>
  <c r="B79" i="97"/>
  <c r="N79" i="97" s="1"/>
  <c r="B22" i="91"/>
  <c r="O22" i="91" s="1"/>
  <c r="O22" i="90"/>
  <c r="O20" i="93"/>
  <c r="O20" i="90"/>
  <c r="H137" i="95"/>
  <c r="H136" i="95" s="1"/>
  <c r="O318" i="48"/>
  <c r="N46" i="97"/>
  <c r="G64" i="97"/>
  <c r="N26" i="97"/>
  <c r="O22" i="93"/>
  <c r="O22" i="89"/>
  <c r="O216" i="48"/>
  <c r="O165" i="48"/>
  <c r="M160" i="95"/>
  <c r="M159" i="95" s="1"/>
  <c r="O20" i="92"/>
  <c r="F64" i="97"/>
  <c r="E48" i="97"/>
  <c r="E47" i="97" s="1"/>
  <c r="F47" i="97"/>
  <c r="O22" i="92"/>
  <c r="N107" i="97"/>
  <c r="F114" i="97"/>
  <c r="G366" i="48" s="1"/>
  <c r="F112" i="97"/>
  <c r="F111" i="97" s="1"/>
  <c r="N105" i="97"/>
  <c r="B114" i="97"/>
  <c r="C366" i="48" s="1"/>
  <c r="B112" i="97"/>
  <c r="B111" i="97" s="1"/>
  <c r="N110" i="97"/>
  <c r="J114" i="97"/>
  <c r="K366" i="48" s="1"/>
  <c r="J112" i="97"/>
  <c r="J111" i="97" s="1"/>
  <c r="N104" i="97"/>
  <c r="N43" i="97"/>
  <c r="F80" i="97"/>
  <c r="N72" i="97"/>
  <c r="N22" i="91" s="1"/>
  <c r="B74" i="97"/>
  <c r="B73" i="97" s="1"/>
  <c r="N73" i="97" s="1"/>
  <c r="B76" i="97"/>
  <c r="N13" i="97"/>
  <c r="N90" i="97"/>
  <c r="G97" i="97"/>
  <c r="G96" i="97" s="1"/>
  <c r="G99" i="97"/>
  <c r="H319" i="48" s="1"/>
  <c r="I65" i="97"/>
  <c r="I64" i="97" s="1"/>
  <c r="I67" i="97"/>
  <c r="J217" i="48" s="1"/>
  <c r="C57" i="97"/>
  <c r="N57" i="97" s="1"/>
  <c r="N58" i="97"/>
  <c r="N60" i="97"/>
  <c r="N41" i="97"/>
  <c r="B40" i="97"/>
  <c r="N40" i="97" s="1"/>
  <c r="M81" i="97"/>
  <c r="M80" i="97" s="1"/>
  <c r="N23" i="97"/>
  <c r="G31" i="97"/>
  <c r="G30" i="97" s="1"/>
  <c r="G33" i="97"/>
  <c r="K81" i="97"/>
  <c r="K80" i="97" s="1"/>
  <c r="B33" i="97"/>
  <c r="N29" i="97"/>
  <c r="B31" i="97"/>
  <c r="B30" i="97" s="1"/>
  <c r="K82" i="97"/>
  <c r="L82" i="97" s="1"/>
  <c r="M82" i="97" s="1"/>
  <c r="M83" i="97" s="1"/>
  <c r="N269" i="48" s="1"/>
  <c r="J83" i="97"/>
  <c r="K269" i="48" s="1"/>
  <c r="C97" i="97"/>
  <c r="C96" i="97" s="1"/>
  <c r="C99" i="97"/>
  <c r="D319" i="48" s="1"/>
  <c r="L81" i="97"/>
  <c r="L80" i="97" s="1"/>
  <c r="E65" i="97"/>
  <c r="E64" i="97" s="1"/>
  <c r="E67" i="97"/>
  <c r="F217" i="48" s="1"/>
  <c r="J99" i="97"/>
  <c r="K319" i="48" s="1"/>
  <c r="J97" i="97"/>
  <c r="J96" i="97" s="1"/>
  <c r="J67" i="97"/>
  <c r="K217" i="48" s="1"/>
  <c r="J65" i="97"/>
  <c r="J64" i="97" s="1"/>
  <c r="N24" i="97"/>
  <c r="F33" i="97"/>
  <c r="F31" i="97"/>
  <c r="F30" i="97" s="1"/>
  <c r="M31" i="97"/>
  <c r="M30" i="97" s="1"/>
  <c r="M33" i="97"/>
  <c r="E31" i="97"/>
  <c r="E30" i="97" s="1"/>
  <c r="E33" i="97"/>
  <c r="E14" i="97"/>
  <c r="E16" i="97" s="1"/>
  <c r="N16" i="97" s="1"/>
  <c r="H81" i="97"/>
  <c r="H80" i="97" s="1"/>
  <c r="H83" i="97"/>
  <c r="I269" i="48" s="1"/>
  <c r="B99" i="97"/>
  <c r="C319" i="48" s="1"/>
  <c r="N95" i="97"/>
  <c r="B97" i="97"/>
  <c r="B96" i="97" s="1"/>
  <c r="B67" i="97"/>
  <c r="C217" i="48" s="1"/>
  <c r="N63" i="97"/>
  <c r="B65" i="97"/>
  <c r="K31" i="97"/>
  <c r="K30" i="97" s="1"/>
  <c r="K33" i="97"/>
  <c r="C31" i="97"/>
  <c r="C30" i="97" s="1"/>
  <c r="C33" i="97"/>
  <c r="L33" i="97"/>
  <c r="L31" i="97"/>
  <c r="L30" i="97" s="1"/>
  <c r="C83" i="97"/>
  <c r="D269" i="48" s="1"/>
  <c r="C81" i="97"/>
  <c r="K97" i="97"/>
  <c r="K96" i="97" s="1"/>
  <c r="K99" i="97"/>
  <c r="L319" i="48" s="1"/>
  <c r="D81" i="97"/>
  <c r="D80" i="97" s="1"/>
  <c r="D83" i="97"/>
  <c r="E269" i="48" s="1"/>
  <c r="M65" i="97"/>
  <c r="M64" i="97" s="1"/>
  <c r="M67" i="97"/>
  <c r="N217" i="48" s="1"/>
  <c r="N92" i="97"/>
  <c r="D89" i="97"/>
  <c r="N89" i="97" s="1"/>
  <c r="G50" i="97"/>
  <c r="G48" i="97"/>
  <c r="G47" i="97" s="1"/>
  <c r="H33" i="97"/>
  <c r="H31" i="97"/>
  <c r="H30" i="97" s="1"/>
  <c r="I83" i="97"/>
  <c r="J269" i="48" s="1"/>
  <c r="I81" i="97"/>
  <c r="I80" i="97" s="1"/>
  <c r="H67" i="97"/>
  <c r="I217" i="48" s="1"/>
  <c r="D33" i="97"/>
  <c r="D31" i="97"/>
  <c r="D30" i="97" s="1"/>
  <c r="I31" i="97"/>
  <c r="I30" i="97" s="1"/>
  <c r="I33" i="97"/>
  <c r="G83" i="97"/>
  <c r="H269" i="48" s="1"/>
  <c r="G81" i="97"/>
  <c r="G80" i="97" s="1"/>
  <c r="J33" i="97"/>
  <c r="J31" i="97"/>
  <c r="J30" i="97" s="1"/>
  <c r="N145" i="95"/>
  <c r="H107" i="95"/>
  <c r="H106" i="95" s="1"/>
  <c r="I91" i="95"/>
  <c r="I90" i="95" s="1"/>
  <c r="I93" i="95"/>
  <c r="J215" i="48" s="1"/>
  <c r="M68" i="95"/>
  <c r="M67" i="95" s="1"/>
  <c r="M70" i="95"/>
  <c r="N164" i="48" s="1"/>
  <c r="L84" i="95"/>
  <c r="L83" i="95" s="1"/>
  <c r="D84" i="95"/>
  <c r="D83" i="95" s="1"/>
  <c r="K93" i="95"/>
  <c r="L215" i="48" s="1"/>
  <c r="K91" i="95"/>
  <c r="K90" i="95" s="1"/>
  <c r="E61" i="95"/>
  <c r="E60" i="95" s="1"/>
  <c r="G70" i="95"/>
  <c r="H164" i="48" s="1"/>
  <c r="G68" i="95"/>
  <c r="G67" i="95" s="1"/>
  <c r="E84" i="95"/>
  <c r="E83" i="95" s="1"/>
  <c r="I130" i="95"/>
  <c r="I129" i="95" s="1"/>
  <c r="E153" i="95"/>
  <c r="E152" i="95" s="1"/>
  <c r="E137" i="95"/>
  <c r="E136" i="95" s="1"/>
  <c r="E139" i="95"/>
  <c r="F317" i="48" s="1"/>
  <c r="H116" i="95"/>
  <c r="I267" i="48" s="1"/>
  <c r="H114" i="95"/>
  <c r="H113" i="95" s="1"/>
  <c r="B153" i="95"/>
  <c r="B152" i="95" s="1"/>
  <c r="D130" i="95"/>
  <c r="D129" i="95" s="1"/>
  <c r="J153" i="95"/>
  <c r="J152" i="95" s="1"/>
  <c r="G107" i="95"/>
  <c r="G106" i="95" s="1"/>
  <c r="O265" i="48"/>
  <c r="D153" i="95"/>
  <c r="D152" i="95" s="1"/>
  <c r="B130" i="95"/>
  <c r="B129" i="95" s="1"/>
  <c r="N151" i="95"/>
  <c r="C116" i="95"/>
  <c r="D267" i="48" s="1"/>
  <c r="C114" i="95"/>
  <c r="C113" i="95" s="1"/>
  <c r="I114" i="95"/>
  <c r="I113" i="95" s="1"/>
  <c r="I116" i="95"/>
  <c r="J267" i="48" s="1"/>
  <c r="I70" i="95"/>
  <c r="J164" i="48" s="1"/>
  <c r="I68" i="95"/>
  <c r="I67" i="95" s="1"/>
  <c r="L93" i="95"/>
  <c r="M215" i="48" s="1"/>
  <c r="L91" i="95"/>
  <c r="L90" i="95" s="1"/>
  <c r="H61" i="95"/>
  <c r="H60" i="95" s="1"/>
  <c r="G93" i="95"/>
  <c r="H215" i="48" s="1"/>
  <c r="G91" i="95"/>
  <c r="G90" i="95" s="1"/>
  <c r="K61" i="95"/>
  <c r="K60" i="95" s="1"/>
  <c r="C61" i="95"/>
  <c r="C60" i="95" s="1"/>
  <c r="D70" i="95"/>
  <c r="E164" i="48" s="1"/>
  <c r="D68" i="95"/>
  <c r="D67" i="95" s="1"/>
  <c r="B125" i="95"/>
  <c r="B123" i="95"/>
  <c r="B122" i="95" s="1"/>
  <c r="N122" i="95" s="1"/>
  <c r="C82" i="95"/>
  <c r="N82" i="95" s="1"/>
  <c r="C79" i="95"/>
  <c r="C77" i="95"/>
  <c r="C76" i="95" s="1"/>
  <c r="N76" i="95" s="1"/>
  <c r="E91" i="95"/>
  <c r="E90" i="95" s="1"/>
  <c r="E93" i="95"/>
  <c r="F215" i="48" s="1"/>
  <c r="B93" i="95"/>
  <c r="C215" i="48" s="1"/>
  <c r="B91" i="95"/>
  <c r="B90" i="95" s="1"/>
  <c r="E130" i="95"/>
  <c r="E129" i="95" s="1"/>
  <c r="J139" i="95"/>
  <c r="K317" i="48" s="1"/>
  <c r="J137" i="95"/>
  <c r="J136" i="95" s="1"/>
  <c r="E70" i="95"/>
  <c r="F164" i="48" s="1"/>
  <c r="E68" i="95"/>
  <c r="E67" i="95" s="1"/>
  <c r="F153" i="95"/>
  <c r="F152" i="95" s="1"/>
  <c r="K84" i="95"/>
  <c r="K83" i="95" s="1"/>
  <c r="B107" i="95"/>
  <c r="B106" i="95" s="1"/>
  <c r="L139" i="95"/>
  <c r="M317" i="48" s="1"/>
  <c r="L137" i="95"/>
  <c r="L136" i="95" s="1"/>
  <c r="L130" i="95"/>
  <c r="L129" i="95" s="1"/>
  <c r="G116" i="95"/>
  <c r="H267" i="48" s="1"/>
  <c r="G114" i="95"/>
  <c r="G113" i="95" s="1"/>
  <c r="M114" i="95"/>
  <c r="M113" i="95" s="1"/>
  <c r="M116" i="95"/>
  <c r="N267" i="48" s="1"/>
  <c r="H93" i="95"/>
  <c r="I215" i="48" s="1"/>
  <c r="H91" i="95"/>
  <c r="H90" i="95" s="1"/>
  <c r="K107" i="95"/>
  <c r="K106" i="95" s="1"/>
  <c r="C107" i="95"/>
  <c r="C106" i="95" s="1"/>
  <c r="I107" i="95"/>
  <c r="I106" i="95" s="1"/>
  <c r="E107" i="95"/>
  <c r="E106" i="95" s="1"/>
  <c r="I61" i="95"/>
  <c r="I60" i="95" s="1"/>
  <c r="H84" i="95"/>
  <c r="H83" i="95" s="1"/>
  <c r="H70" i="95"/>
  <c r="I164" i="48" s="1"/>
  <c r="H68" i="95"/>
  <c r="H67" i="95" s="1"/>
  <c r="C93" i="95"/>
  <c r="D215" i="48" s="1"/>
  <c r="C91" i="95"/>
  <c r="C90" i="95" s="1"/>
  <c r="K70" i="95"/>
  <c r="L164" i="48" s="1"/>
  <c r="K68" i="95"/>
  <c r="K67" i="95" s="1"/>
  <c r="C70" i="95"/>
  <c r="D164" i="48" s="1"/>
  <c r="C68" i="95"/>
  <c r="C67" i="95" s="1"/>
  <c r="D61" i="95"/>
  <c r="D60" i="95" s="1"/>
  <c r="D107" i="95"/>
  <c r="D106" i="95" s="1"/>
  <c r="L116" i="95"/>
  <c r="M267" i="48" s="1"/>
  <c r="L114" i="95"/>
  <c r="L113" i="95" s="1"/>
  <c r="M84" i="95"/>
  <c r="M83" i="95" s="1"/>
  <c r="B84" i="95"/>
  <c r="B83" i="95" s="1"/>
  <c r="J160" i="95"/>
  <c r="J159" i="95" s="1"/>
  <c r="M153" i="95"/>
  <c r="M152" i="95" s="1"/>
  <c r="L107" i="95"/>
  <c r="L106" i="95" s="1"/>
  <c r="D116" i="95"/>
  <c r="E267" i="48" s="1"/>
  <c r="D114" i="95"/>
  <c r="D113" i="95" s="1"/>
  <c r="D139" i="95"/>
  <c r="E317" i="48" s="1"/>
  <c r="D137" i="95"/>
  <c r="D136" i="95" s="1"/>
  <c r="F107" i="95"/>
  <c r="F106" i="95" s="1"/>
  <c r="B139" i="95"/>
  <c r="C317" i="48" s="1"/>
  <c r="B137" i="95"/>
  <c r="B136" i="95" s="1"/>
  <c r="K116" i="95"/>
  <c r="L267" i="48" s="1"/>
  <c r="K114" i="95"/>
  <c r="K113" i="95" s="1"/>
  <c r="I84" i="95"/>
  <c r="I83" i="95" s="1"/>
  <c r="M107" i="95"/>
  <c r="M106" i="95" s="1"/>
  <c r="E114" i="95"/>
  <c r="E113" i="95" s="1"/>
  <c r="E116" i="95"/>
  <c r="F267" i="48" s="1"/>
  <c r="M61" i="95"/>
  <c r="M60" i="95" s="1"/>
  <c r="D93" i="95"/>
  <c r="E215" i="48" s="1"/>
  <c r="D91" i="95"/>
  <c r="D90" i="95" s="1"/>
  <c r="G84" i="95"/>
  <c r="G83" i="95" s="1"/>
  <c r="L61" i="95"/>
  <c r="L60" i="95" s="1"/>
  <c r="G61" i="95"/>
  <c r="G60" i="95" s="1"/>
  <c r="J45" i="95"/>
  <c r="J47" i="95" s="1"/>
  <c r="J61" i="95"/>
  <c r="J60" i="95" s="1"/>
  <c r="F84" i="95"/>
  <c r="F83" i="95" s="1"/>
  <c r="M91" i="95"/>
  <c r="M90" i="95" s="1"/>
  <c r="M93" i="95"/>
  <c r="N215" i="48" s="1"/>
  <c r="M130" i="95"/>
  <c r="M129" i="95" s="1"/>
  <c r="F162" i="95"/>
  <c r="G364" i="48" s="1"/>
  <c r="F160" i="95"/>
  <c r="F159" i="95" s="1"/>
  <c r="I153" i="95"/>
  <c r="I152" i="95" s="1"/>
  <c r="H160" i="95"/>
  <c r="H159" i="95" s="1"/>
  <c r="H153" i="95"/>
  <c r="H152" i="95" s="1"/>
  <c r="J130" i="95"/>
  <c r="J129" i="95" s="1"/>
  <c r="F116" i="95"/>
  <c r="G267" i="48" s="1"/>
  <c r="F114" i="95"/>
  <c r="F113" i="95" s="1"/>
  <c r="F93" i="95"/>
  <c r="G215" i="48" s="1"/>
  <c r="F91" i="95"/>
  <c r="F90" i="95" s="1"/>
  <c r="L153" i="95"/>
  <c r="L152" i="95" s="1"/>
  <c r="G161" i="95"/>
  <c r="G162" i="95" s="1"/>
  <c r="H364" i="48" s="1"/>
  <c r="N158" i="95"/>
  <c r="N13" i="95"/>
  <c r="N75" i="95"/>
  <c r="N20" i="90" s="1"/>
  <c r="N30" i="95"/>
  <c r="N89" i="95"/>
  <c r="N33" i="95"/>
  <c r="D44" i="95"/>
  <c r="D45" i="95" s="1"/>
  <c r="D47" i="95" s="1"/>
  <c r="N16" i="95"/>
  <c r="I44" i="95"/>
  <c r="I45" i="95" s="1"/>
  <c r="I47" i="95" s="1"/>
  <c r="B47" i="95"/>
  <c r="E44" i="95"/>
  <c r="E45" i="95" s="1"/>
  <c r="E47" i="95" s="1"/>
  <c r="B20" i="95"/>
  <c r="B21" i="95" s="1"/>
  <c r="N19" i="95"/>
  <c r="N128" i="95"/>
  <c r="H37" i="95"/>
  <c r="H38" i="95" s="1"/>
  <c r="F37" i="95"/>
  <c r="F38" i="95" s="1"/>
  <c r="N112" i="95"/>
  <c r="K37" i="95"/>
  <c r="K38" i="95" s="1"/>
  <c r="N31" i="95"/>
  <c r="I37" i="95"/>
  <c r="I38" i="95" s="1"/>
  <c r="C44" i="95"/>
  <c r="N14" i="95"/>
  <c r="N135" i="95"/>
  <c r="D37" i="95"/>
  <c r="D38" i="95" s="1"/>
  <c r="N36" i="95"/>
  <c r="B37" i="95"/>
  <c r="C37" i="95"/>
  <c r="C38" i="95" s="1"/>
  <c r="G37" i="95"/>
  <c r="G38" i="95" s="1"/>
  <c r="K44" i="95"/>
  <c r="K45" i="95" s="1"/>
  <c r="K47" i="95" s="1"/>
  <c r="J37" i="95"/>
  <c r="J38" i="95" s="1"/>
  <c r="N148" i="95"/>
  <c r="N105" i="95"/>
  <c r="N99" i="95"/>
  <c r="M44" i="95"/>
  <c r="M45" i="95" s="1"/>
  <c r="M47" i="95" s="1"/>
  <c r="J20" i="95"/>
  <c r="J21" i="95" s="1"/>
  <c r="E37" i="95"/>
  <c r="E38" i="95" s="1"/>
  <c r="G44" i="95"/>
  <c r="G45" i="95" s="1"/>
  <c r="G47" i="95" s="1"/>
  <c r="N43" i="95"/>
  <c r="O366" i="48" l="1"/>
  <c r="B212" i="75" s="1"/>
  <c r="D212" i="75" s="1"/>
  <c r="E212" i="75" s="1"/>
  <c r="N77" i="95"/>
  <c r="N47" i="97"/>
  <c r="N136" i="95"/>
  <c r="O217" i="48"/>
  <c r="B118" i="75" s="1"/>
  <c r="D118" i="75" s="1"/>
  <c r="E118" i="75" s="1"/>
  <c r="O319" i="48"/>
  <c r="B182" i="75" s="1"/>
  <c r="D182" i="75" s="1"/>
  <c r="E182" i="75" s="1"/>
  <c r="N153" i="95"/>
  <c r="K83" i="97"/>
  <c r="L269" i="48" s="1"/>
  <c r="N76" i="97"/>
  <c r="C268" i="48"/>
  <c r="O268" i="48" s="1"/>
  <c r="D213" i="48"/>
  <c r="O213" i="48" s="1"/>
  <c r="C315" i="48"/>
  <c r="O315" i="48" s="1"/>
  <c r="N152" i="95"/>
  <c r="N50" i="97"/>
  <c r="H166" i="48"/>
  <c r="O166" i="48" s="1"/>
  <c r="B86" i="75" s="1"/>
  <c r="D86" i="75" s="1"/>
  <c r="E86" i="75" s="1"/>
  <c r="L83" i="97"/>
  <c r="M269" i="48" s="1"/>
  <c r="B81" i="97"/>
  <c r="B80" i="97" s="1"/>
  <c r="B83" i="97"/>
  <c r="C269" i="48" s="1"/>
  <c r="N114" i="97"/>
  <c r="N111" i="97"/>
  <c r="N112" i="97"/>
  <c r="O317" i="48"/>
  <c r="N74" i="97"/>
  <c r="N14" i="97"/>
  <c r="N48" i="97"/>
  <c r="N30" i="97"/>
  <c r="N65" i="97"/>
  <c r="N96" i="97"/>
  <c r="N33" i="97"/>
  <c r="N99" i="97"/>
  <c r="N67" i="97"/>
  <c r="N97" i="97"/>
  <c r="N31" i="97"/>
  <c r="C80" i="97"/>
  <c r="B64" i="97"/>
  <c r="N64" i="97" s="1"/>
  <c r="N159" i="95"/>
  <c r="N129" i="95"/>
  <c r="N79" i="95"/>
  <c r="C84" i="95"/>
  <c r="N84" i="95" s="1"/>
  <c r="O215" i="48"/>
  <c r="O267" i="48"/>
  <c r="H161" i="95"/>
  <c r="H162" i="95" s="1"/>
  <c r="I364" i="48" s="1"/>
  <c r="N160" i="95"/>
  <c r="N90" i="95"/>
  <c r="N44" i="95"/>
  <c r="C45" i="95"/>
  <c r="C47" i="95" s="1"/>
  <c r="N47" i="95" s="1"/>
  <c r="N37" i="95"/>
  <c r="N107" i="95"/>
  <c r="N125" i="95"/>
  <c r="N123" i="95"/>
  <c r="N113" i="95"/>
  <c r="N102" i="95"/>
  <c r="N100" i="95"/>
  <c r="B38" i="95"/>
  <c r="N20" i="95"/>
  <c r="N106" i="95"/>
  <c r="N21" i="95"/>
  <c r="N116" i="95"/>
  <c r="N114" i="95"/>
  <c r="N81" i="97" l="1"/>
  <c r="N80" i="97"/>
  <c r="C83" i="95"/>
  <c r="N83" i="95" s="1"/>
  <c r="O269" i="48"/>
  <c r="B150" i="75" s="1"/>
  <c r="D150" i="75" s="1"/>
  <c r="E150" i="75" s="1"/>
  <c r="N83" i="97"/>
  <c r="I161" i="95"/>
  <c r="I162" i="95" s="1"/>
  <c r="J364" i="48" s="1"/>
  <c r="N45" i="95"/>
  <c r="N93" i="95"/>
  <c r="N130" i="95"/>
  <c r="N139" i="95"/>
  <c r="N137" i="95"/>
  <c r="N38" i="95"/>
  <c r="N91" i="95"/>
  <c r="J161" i="95" l="1"/>
  <c r="J162" i="95" s="1"/>
  <c r="K364" i="48" s="1"/>
  <c r="K161" i="95" l="1"/>
  <c r="K162" i="95" s="1"/>
  <c r="L364" i="48" s="1"/>
  <c r="L161" i="95" l="1"/>
  <c r="L162" i="95" s="1"/>
  <c r="M364" i="48" s="1"/>
  <c r="M161" i="95" l="1"/>
  <c r="M162" i="95" s="1"/>
  <c r="N364" i="48" s="1"/>
  <c r="O364" i="48" s="1"/>
  <c r="N162" i="95" l="1"/>
  <c r="B52" i="95" l="1"/>
  <c r="B20" i="89" s="1"/>
  <c r="O20" i="89" s="1"/>
  <c r="Q12" i="96"/>
  <c r="B56" i="95" l="1"/>
  <c r="B54" i="95"/>
  <c r="B53" i="95" s="1"/>
  <c r="N53" i="95" s="1"/>
  <c r="B66" i="95"/>
  <c r="N52" i="95"/>
  <c r="N20" i="89" s="1"/>
  <c r="B59" i="95"/>
  <c r="C162" i="48" l="1"/>
  <c r="O162" i="48" s="1"/>
  <c r="B61" i="95"/>
  <c r="B60" i="95" s="1"/>
  <c r="B70" i="95"/>
  <c r="B68" i="95"/>
  <c r="B67" i="95" s="1"/>
  <c r="N67" i="95" s="1"/>
  <c r="N56" i="95"/>
  <c r="N66" i="95"/>
  <c r="N59" i="95"/>
  <c r="C164" i="48" l="1"/>
  <c r="O164" i="48" s="1"/>
  <c r="N54" i="95"/>
  <c r="N70" i="95"/>
  <c r="N60" i="95"/>
  <c r="N68" i="95" l="1"/>
  <c r="N61" i="95"/>
  <c r="B99" i="82" l="1"/>
  <c r="C99" i="82" s="1"/>
  <c r="D99" i="82" s="1"/>
  <c r="E99" i="82" s="1"/>
  <c r="F99" i="82" s="1"/>
  <c r="G99" i="82" s="1"/>
  <c r="H99" i="82" s="1"/>
  <c r="I99" i="82" s="1"/>
  <c r="J99" i="82" s="1"/>
  <c r="K99" i="82" s="1"/>
  <c r="L99" i="82" s="1"/>
  <c r="M99" i="82" s="1"/>
  <c r="B83" i="82"/>
  <c r="C83" i="82" s="1"/>
  <c r="D83" i="82" s="1"/>
  <c r="E83" i="82" s="1"/>
  <c r="F83" i="82" s="1"/>
  <c r="G83" i="82" s="1"/>
  <c r="H83" i="82" s="1"/>
  <c r="I83" i="82" s="1"/>
  <c r="J83" i="82" s="1"/>
  <c r="K83" i="82" s="1"/>
  <c r="L83" i="82" s="1"/>
  <c r="M83" i="82" s="1"/>
  <c r="B67" i="82"/>
  <c r="C67" i="82" s="1"/>
  <c r="D67" i="82" s="1"/>
  <c r="E67" i="82" s="1"/>
  <c r="F67" i="82" s="1"/>
  <c r="G67" i="82" s="1"/>
  <c r="H67" i="82" s="1"/>
  <c r="I67" i="82" s="1"/>
  <c r="J67" i="82" s="1"/>
  <c r="K67" i="82" s="1"/>
  <c r="L67" i="82" s="1"/>
  <c r="M67" i="82" s="1"/>
  <c r="B50" i="82"/>
  <c r="C50" i="82" s="1"/>
  <c r="D50" i="82" s="1"/>
  <c r="E50" i="82" s="1"/>
  <c r="F50" i="82" s="1"/>
  <c r="G50" i="82" s="1"/>
  <c r="H50" i="82" s="1"/>
  <c r="I50" i="82" s="1"/>
  <c r="J50" i="82" s="1"/>
  <c r="K50" i="82" s="1"/>
  <c r="L50" i="82" s="1"/>
  <c r="M50" i="82" s="1"/>
  <c r="B33" i="82"/>
  <c r="C33" i="82" s="1"/>
  <c r="D33" i="82" l="1"/>
  <c r="E33" i="82" l="1"/>
  <c r="F33" i="82" l="1"/>
  <c r="G33" i="82" l="1"/>
  <c r="H33" i="82" l="1"/>
  <c r="I33" i="82" l="1"/>
  <c r="J33" i="82" l="1"/>
  <c r="K33" i="82" l="1"/>
  <c r="L33" i="82" l="1"/>
  <c r="M33" i="82" l="1"/>
  <c r="B30" i="93" l="1"/>
  <c r="B29" i="93"/>
  <c r="C28" i="93"/>
  <c r="D28" i="93"/>
  <c r="E28" i="93"/>
  <c r="F28" i="93"/>
  <c r="G28" i="93"/>
  <c r="H28" i="93"/>
  <c r="I28" i="93"/>
  <c r="J28" i="93"/>
  <c r="K28" i="93"/>
  <c r="L28" i="93"/>
  <c r="M28" i="93"/>
  <c r="B28" i="93"/>
  <c r="C27" i="93"/>
  <c r="D27" i="93"/>
  <c r="E27" i="93"/>
  <c r="F27" i="93"/>
  <c r="G27" i="93"/>
  <c r="H27" i="93"/>
  <c r="I27" i="93"/>
  <c r="J27" i="93"/>
  <c r="K27" i="93"/>
  <c r="L27" i="93"/>
  <c r="M27" i="93"/>
  <c r="B27" i="93"/>
  <c r="N31" i="93"/>
  <c r="C19" i="93"/>
  <c r="D19" i="93"/>
  <c r="E19" i="93"/>
  <c r="F19" i="93"/>
  <c r="G19" i="93"/>
  <c r="H19" i="93"/>
  <c r="I19" i="93"/>
  <c r="J19" i="93"/>
  <c r="K19" i="93"/>
  <c r="L19" i="93"/>
  <c r="M19" i="93"/>
  <c r="B19" i="93"/>
  <c r="C18" i="93"/>
  <c r="D18" i="93"/>
  <c r="E18" i="93"/>
  <c r="F18" i="93"/>
  <c r="G18" i="93"/>
  <c r="H18" i="93"/>
  <c r="I18" i="93"/>
  <c r="J18" i="93"/>
  <c r="K18" i="93"/>
  <c r="L18" i="93"/>
  <c r="M18" i="93"/>
  <c r="B18" i="93"/>
  <c r="C15" i="93"/>
  <c r="D15" i="93"/>
  <c r="E15" i="93"/>
  <c r="F15" i="93"/>
  <c r="G15" i="93"/>
  <c r="H15" i="93"/>
  <c r="I15" i="93"/>
  <c r="J15" i="93"/>
  <c r="K15" i="93"/>
  <c r="L15" i="93"/>
  <c r="M15" i="93"/>
  <c r="B15" i="93"/>
  <c r="B30" i="92"/>
  <c r="B29" i="92"/>
  <c r="B28" i="92"/>
  <c r="C27" i="92"/>
  <c r="D27" i="92"/>
  <c r="E27" i="92"/>
  <c r="F27" i="92"/>
  <c r="G27" i="92"/>
  <c r="H27" i="92"/>
  <c r="I27" i="92"/>
  <c r="J27" i="92"/>
  <c r="K27" i="92"/>
  <c r="L27" i="92"/>
  <c r="M27" i="92"/>
  <c r="B27" i="92"/>
  <c r="C19" i="92"/>
  <c r="D19" i="92"/>
  <c r="E19" i="92"/>
  <c r="F19" i="92"/>
  <c r="G19" i="92"/>
  <c r="H19" i="92"/>
  <c r="I19" i="92"/>
  <c r="J19" i="92"/>
  <c r="K19" i="92"/>
  <c r="L19" i="92"/>
  <c r="M19" i="92"/>
  <c r="B19" i="92"/>
  <c r="C18" i="92"/>
  <c r="D18" i="92"/>
  <c r="E18" i="92"/>
  <c r="F18" i="92"/>
  <c r="G18" i="92"/>
  <c r="H18" i="92"/>
  <c r="I18" i="92"/>
  <c r="J18" i="92"/>
  <c r="K18" i="92"/>
  <c r="L18" i="92"/>
  <c r="M18" i="92"/>
  <c r="B18" i="92"/>
  <c r="C15" i="92"/>
  <c r="D15" i="92"/>
  <c r="E15" i="92"/>
  <c r="F15" i="92"/>
  <c r="G15" i="92"/>
  <c r="H15" i="92"/>
  <c r="I15" i="92"/>
  <c r="J15" i="92"/>
  <c r="K15" i="92"/>
  <c r="L15" i="92"/>
  <c r="M15" i="92"/>
  <c r="B15" i="92"/>
  <c r="C30" i="91"/>
  <c r="B30" i="91"/>
  <c r="B29" i="91"/>
  <c r="B28" i="91"/>
  <c r="C27" i="91"/>
  <c r="D27" i="91"/>
  <c r="E27" i="91"/>
  <c r="F27" i="91"/>
  <c r="G27" i="91"/>
  <c r="H27" i="91"/>
  <c r="I27" i="91"/>
  <c r="J27" i="91"/>
  <c r="K27" i="91"/>
  <c r="L27" i="91"/>
  <c r="M27" i="91"/>
  <c r="B27" i="91"/>
  <c r="C19" i="91"/>
  <c r="D19" i="91"/>
  <c r="E19" i="91"/>
  <c r="F19" i="91"/>
  <c r="G19" i="91"/>
  <c r="H19" i="91"/>
  <c r="I19" i="91"/>
  <c r="J19" i="91"/>
  <c r="K19" i="91"/>
  <c r="L19" i="91"/>
  <c r="M19" i="91"/>
  <c r="B19" i="91"/>
  <c r="C18" i="91"/>
  <c r="D18" i="91"/>
  <c r="E18" i="91"/>
  <c r="F18" i="91"/>
  <c r="G18" i="91"/>
  <c r="H18" i="91"/>
  <c r="I18" i="91"/>
  <c r="J18" i="91"/>
  <c r="K18" i="91"/>
  <c r="L18" i="91"/>
  <c r="M18" i="91"/>
  <c r="B18" i="91"/>
  <c r="C15" i="91"/>
  <c r="D15" i="91"/>
  <c r="E15" i="91"/>
  <c r="F15" i="91"/>
  <c r="G15" i="91"/>
  <c r="H15" i="91"/>
  <c r="I15" i="91"/>
  <c r="J15" i="91"/>
  <c r="K15" i="91"/>
  <c r="L15" i="91"/>
  <c r="M15" i="91"/>
  <c r="B15" i="91"/>
  <c r="B30" i="90"/>
  <c r="B29" i="90"/>
  <c r="B28" i="90"/>
  <c r="B27" i="90"/>
  <c r="C19" i="90"/>
  <c r="D19" i="90"/>
  <c r="E19" i="90"/>
  <c r="F19" i="90"/>
  <c r="G19" i="90"/>
  <c r="H19" i="90"/>
  <c r="I19" i="90"/>
  <c r="J19" i="90"/>
  <c r="K19" i="90"/>
  <c r="L19" i="90"/>
  <c r="M19" i="90"/>
  <c r="B19" i="90"/>
  <c r="C18" i="90"/>
  <c r="D18" i="90"/>
  <c r="E18" i="90"/>
  <c r="F18" i="90"/>
  <c r="G18" i="90"/>
  <c r="H18" i="90"/>
  <c r="I18" i="90"/>
  <c r="J18" i="90"/>
  <c r="K18" i="90"/>
  <c r="L18" i="90"/>
  <c r="M18" i="90"/>
  <c r="B18" i="90"/>
  <c r="C15" i="90"/>
  <c r="D15" i="90"/>
  <c r="E15" i="90"/>
  <c r="F15" i="90"/>
  <c r="G15" i="90"/>
  <c r="H15" i="90"/>
  <c r="I15" i="90"/>
  <c r="J15" i="90"/>
  <c r="K15" i="90"/>
  <c r="L15" i="90"/>
  <c r="M15" i="90"/>
  <c r="B15" i="90"/>
  <c r="C29" i="94"/>
  <c r="D29" i="94"/>
  <c r="E29" i="94"/>
  <c r="F29" i="94"/>
  <c r="G29" i="94"/>
  <c r="H29" i="94"/>
  <c r="I29" i="94"/>
  <c r="J29" i="94"/>
  <c r="K29" i="94"/>
  <c r="L29" i="94"/>
  <c r="M29" i="94"/>
  <c r="B29" i="94"/>
  <c r="G28" i="94"/>
  <c r="B28" i="94"/>
  <c r="B27" i="94"/>
  <c r="C26" i="94"/>
  <c r="D26" i="94"/>
  <c r="E26" i="94"/>
  <c r="F26" i="94"/>
  <c r="G26" i="94"/>
  <c r="H26" i="94"/>
  <c r="I26" i="94"/>
  <c r="J26" i="94"/>
  <c r="K26" i="94"/>
  <c r="L26" i="94"/>
  <c r="M26" i="94"/>
  <c r="B26" i="94"/>
  <c r="C25" i="94"/>
  <c r="D25" i="94"/>
  <c r="E25" i="94"/>
  <c r="F25" i="94"/>
  <c r="G25" i="94"/>
  <c r="H25" i="94"/>
  <c r="I25" i="94"/>
  <c r="J25" i="94"/>
  <c r="K25" i="94"/>
  <c r="L25" i="94"/>
  <c r="M25" i="94"/>
  <c r="B25" i="94"/>
  <c r="B24" i="94"/>
  <c r="C19" i="94"/>
  <c r="D19" i="94"/>
  <c r="E19" i="94"/>
  <c r="F19" i="94"/>
  <c r="G19" i="94"/>
  <c r="H19" i="94"/>
  <c r="I19" i="94"/>
  <c r="J19" i="94"/>
  <c r="K19" i="94"/>
  <c r="L19" i="94"/>
  <c r="M19" i="94"/>
  <c r="B19" i="94"/>
  <c r="C18" i="94"/>
  <c r="D18" i="94"/>
  <c r="E18" i="94"/>
  <c r="F18" i="94"/>
  <c r="G18" i="94"/>
  <c r="H18" i="94"/>
  <c r="I18" i="94"/>
  <c r="J18" i="94"/>
  <c r="K18" i="94"/>
  <c r="L18" i="94"/>
  <c r="M18" i="94"/>
  <c r="B18" i="94"/>
  <c r="C15" i="94"/>
  <c r="D15" i="94"/>
  <c r="E15" i="94"/>
  <c r="F15" i="94"/>
  <c r="G15" i="94"/>
  <c r="H15" i="94"/>
  <c r="I15" i="94"/>
  <c r="J15" i="94"/>
  <c r="K15" i="94"/>
  <c r="L15" i="94"/>
  <c r="M15" i="94"/>
  <c r="B15" i="94"/>
  <c r="N21" i="93"/>
  <c r="C21" i="92"/>
  <c r="D21" i="92"/>
  <c r="E21" i="92"/>
  <c r="F21" i="92"/>
  <c r="G21" i="92"/>
  <c r="H21" i="92"/>
  <c r="I21" i="92"/>
  <c r="J21" i="92"/>
  <c r="K21" i="92"/>
  <c r="L21" i="92"/>
  <c r="M21" i="92"/>
  <c r="B21" i="92"/>
  <c r="C92" i="82"/>
  <c r="D92" i="82"/>
  <c r="E92" i="82"/>
  <c r="F92" i="82"/>
  <c r="G92" i="82"/>
  <c r="H92" i="82"/>
  <c r="I92" i="82"/>
  <c r="J92" i="82"/>
  <c r="K92" i="82"/>
  <c r="L92" i="82"/>
  <c r="M92" i="82"/>
  <c r="B92" i="82"/>
  <c r="D89" i="82"/>
  <c r="H89" i="82"/>
  <c r="J89" i="82"/>
  <c r="L89" i="82"/>
  <c r="C89" i="82"/>
  <c r="E89" i="82"/>
  <c r="F89" i="82"/>
  <c r="G89" i="82"/>
  <c r="I89" i="82"/>
  <c r="K89" i="82"/>
  <c r="M89" i="82"/>
  <c r="B89" i="82"/>
  <c r="C21" i="91"/>
  <c r="D21" i="91"/>
  <c r="E21" i="91"/>
  <c r="F21" i="91"/>
  <c r="G21" i="91"/>
  <c r="H21" i="91"/>
  <c r="I21" i="91"/>
  <c r="J21" i="91"/>
  <c r="K21" i="91"/>
  <c r="L21" i="91"/>
  <c r="M21" i="91"/>
  <c r="C10" i="91"/>
  <c r="D10" i="91"/>
  <c r="E10" i="91"/>
  <c r="F10" i="91"/>
  <c r="G10" i="91"/>
  <c r="H10" i="91"/>
  <c r="I10" i="91"/>
  <c r="J10" i="91"/>
  <c r="K10" i="91"/>
  <c r="L10" i="91"/>
  <c r="M10" i="91"/>
  <c r="B21" i="91"/>
  <c r="B10" i="91"/>
  <c r="C21" i="90"/>
  <c r="D21" i="90"/>
  <c r="E21" i="90"/>
  <c r="F21" i="90"/>
  <c r="G21" i="90"/>
  <c r="H21" i="90"/>
  <c r="I21" i="90"/>
  <c r="J21" i="90"/>
  <c r="K21" i="90"/>
  <c r="L21" i="90"/>
  <c r="M21" i="90"/>
  <c r="B21" i="90"/>
  <c r="C21" i="89"/>
  <c r="D21" i="89"/>
  <c r="E21" i="89"/>
  <c r="F21" i="89"/>
  <c r="G21" i="89"/>
  <c r="H21" i="89"/>
  <c r="I21" i="89"/>
  <c r="J21" i="89"/>
  <c r="K21" i="89"/>
  <c r="L21" i="89"/>
  <c r="M21" i="89"/>
  <c r="B21" i="89"/>
  <c r="C20" i="94"/>
  <c r="D20" i="94"/>
  <c r="E20" i="94"/>
  <c r="F20" i="94"/>
  <c r="G20" i="94"/>
  <c r="H20" i="94"/>
  <c r="I20" i="94"/>
  <c r="J20" i="94"/>
  <c r="K20" i="94"/>
  <c r="L20" i="94"/>
  <c r="M20" i="94"/>
  <c r="B20" i="94"/>
  <c r="O31" i="93"/>
  <c r="O14" i="93"/>
  <c r="O10" i="93"/>
  <c r="O31" i="92"/>
  <c r="O14" i="92"/>
  <c r="O10" i="92"/>
  <c r="O31" i="91"/>
  <c r="O31" i="90"/>
  <c r="G30" i="90"/>
  <c r="L29" i="90"/>
  <c r="M27" i="90"/>
  <c r="L27" i="90"/>
  <c r="K27" i="90"/>
  <c r="J27" i="90"/>
  <c r="I27" i="90"/>
  <c r="H27" i="90"/>
  <c r="G27" i="90"/>
  <c r="F27" i="90"/>
  <c r="E27" i="90"/>
  <c r="D27" i="90"/>
  <c r="C27" i="90"/>
  <c r="C89" i="85"/>
  <c r="D89" i="85"/>
  <c r="E89" i="85"/>
  <c r="F89" i="85"/>
  <c r="G89" i="85"/>
  <c r="H89" i="85"/>
  <c r="I89" i="85"/>
  <c r="J89" i="85"/>
  <c r="K89" i="85"/>
  <c r="L89" i="85"/>
  <c r="L91" i="85" s="1"/>
  <c r="M89" i="85"/>
  <c r="B89" i="85"/>
  <c r="D361" i="48"/>
  <c r="E361" i="48"/>
  <c r="F361" i="48"/>
  <c r="G361" i="48"/>
  <c r="H361" i="48"/>
  <c r="I361" i="48"/>
  <c r="J361" i="48"/>
  <c r="K361" i="48"/>
  <c r="L361" i="48"/>
  <c r="M361" i="48"/>
  <c r="N361" i="48"/>
  <c r="M148" i="85"/>
  <c r="L148" i="85"/>
  <c r="K148" i="85"/>
  <c r="J148" i="85"/>
  <c r="I148" i="85"/>
  <c r="H148" i="85"/>
  <c r="G148" i="85"/>
  <c r="F148" i="85"/>
  <c r="E148" i="85"/>
  <c r="D148" i="85"/>
  <c r="C148" i="85"/>
  <c r="B148" i="85"/>
  <c r="M147" i="85"/>
  <c r="L147" i="85"/>
  <c r="K147" i="85"/>
  <c r="J147" i="85"/>
  <c r="I147" i="85"/>
  <c r="H147" i="85"/>
  <c r="G147" i="85"/>
  <c r="F147" i="85"/>
  <c r="E147" i="85"/>
  <c r="D147" i="85"/>
  <c r="C147" i="85"/>
  <c r="B147" i="85"/>
  <c r="M124" i="85"/>
  <c r="L124" i="85"/>
  <c r="K124" i="85"/>
  <c r="J124" i="85"/>
  <c r="I124" i="85"/>
  <c r="H124" i="85"/>
  <c r="G124" i="85"/>
  <c r="F124" i="85"/>
  <c r="E124" i="85"/>
  <c r="D124" i="85"/>
  <c r="C124" i="85"/>
  <c r="B124" i="85"/>
  <c r="M123" i="85"/>
  <c r="L123" i="85"/>
  <c r="K123" i="85"/>
  <c r="J123" i="85"/>
  <c r="I123" i="85"/>
  <c r="H123" i="85"/>
  <c r="G123" i="85"/>
  <c r="F123" i="85"/>
  <c r="E123" i="85"/>
  <c r="D123" i="85"/>
  <c r="C123" i="85"/>
  <c r="B123" i="85"/>
  <c r="M100" i="85"/>
  <c r="L100" i="85"/>
  <c r="K100" i="85"/>
  <c r="K99" i="85" s="1"/>
  <c r="J100" i="85"/>
  <c r="J99" i="85" s="1"/>
  <c r="I100" i="85"/>
  <c r="I99" i="85" s="1"/>
  <c r="H100" i="85"/>
  <c r="H99" i="85" s="1"/>
  <c r="G100" i="85"/>
  <c r="G99" i="85" s="1"/>
  <c r="F100" i="85"/>
  <c r="F99" i="85" s="1"/>
  <c r="E100" i="85"/>
  <c r="E99" i="85" s="1"/>
  <c r="D100" i="85"/>
  <c r="C100" i="85"/>
  <c r="C99" i="85" s="1"/>
  <c r="B100" i="85"/>
  <c r="B99" i="85" s="1"/>
  <c r="M99" i="85"/>
  <c r="L99" i="85"/>
  <c r="D99" i="85"/>
  <c r="M91" i="85"/>
  <c r="M90" i="85" s="1"/>
  <c r="I91" i="85"/>
  <c r="I90" i="85" s="1"/>
  <c r="G91" i="85"/>
  <c r="G90" i="85" s="1"/>
  <c r="E91" i="85"/>
  <c r="E90" i="85" s="1"/>
  <c r="C91" i="85"/>
  <c r="C90" i="85" s="1"/>
  <c r="M77" i="85"/>
  <c r="L77" i="85"/>
  <c r="K77" i="85"/>
  <c r="K76" i="85" s="1"/>
  <c r="J77" i="85"/>
  <c r="J76" i="85" s="1"/>
  <c r="I77" i="85"/>
  <c r="I76" i="85" s="1"/>
  <c r="H77" i="85"/>
  <c r="G77" i="85"/>
  <c r="G76" i="85" s="1"/>
  <c r="F77" i="85"/>
  <c r="F76" i="85" s="1"/>
  <c r="E77" i="85"/>
  <c r="E76" i="85" s="1"/>
  <c r="D77" i="85"/>
  <c r="D76" i="85" s="1"/>
  <c r="C77" i="85"/>
  <c r="C76" i="85" s="1"/>
  <c r="B77" i="85"/>
  <c r="B76" i="85" s="1"/>
  <c r="M76" i="85"/>
  <c r="L76" i="85"/>
  <c r="H76" i="85"/>
  <c r="M54" i="85"/>
  <c r="L54" i="85"/>
  <c r="K54" i="85"/>
  <c r="J54" i="85"/>
  <c r="I54" i="85"/>
  <c r="H54" i="85"/>
  <c r="G54" i="85"/>
  <c r="F54" i="85"/>
  <c r="E54" i="85"/>
  <c r="D54" i="85"/>
  <c r="C54" i="85"/>
  <c r="B54" i="85"/>
  <c r="M53" i="85"/>
  <c r="L53" i="85"/>
  <c r="K53" i="85"/>
  <c r="J53" i="85"/>
  <c r="I53" i="85"/>
  <c r="H53" i="85"/>
  <c r="G53" i="85"/>
  <c r="F53" i="85"/>
  <c r="E53" i="85"/>
  <c r="D53" i="85"/>
  <c r="C53" i="85"/>
  <c r="B53" i="85"/>
  <c r="C31" i="85"/>
  <c r="C30" i="85" s="1"/>
  <c r="D31" i="85"/>
  <c r="D30" i="85" s="1"/>
  <c r="E31" i="85"/>
  <c r="E30" i="85" s="1"/>
  <c r="F31" i="85"/>
  <c r="F30" i="85" s="1"/>
  <c r="G31" i="85"/>
  <c r="G30" i="85" s="1"/>
  <c r="H31" i="85"/>
  <c r="H30" i="85" s="1"/>
  <c r="I31" i="85"/>
  <c r="I30" i="85" s="1"/>
  <c r="J31" i="85"/>
  <c r="J30" i="85" s="1"/>
  <c r="K31" i="85"/>
  <c r="K30" i="85" s="1"/>
  <c r="L31" i="85"/>
  <c r="L30" i="85" s="1"/>
  <c r="M31" i="85"/>
  <c r="M30" i="85" s="1"/>
  <c r="B31" i="85"/>
  <c r="B30" i="85" s="1"/>
  <c r="C158" i="86"/>
  <c r="D158" i="86"/>
  <c r="D159" i="86" s="1"/>
  <c r="D160" i="86" s="1"/>
  <c r="E158" i="86"/>
  <c r="E159" i="86" s="1"/>
  <c r="E160" i="86" s="1"/>
  <c r="F158" i="86"/>
  <c r="F159" i="86" s="1"/>
  <c r="F160" i="86" s="1"/>
  <c r="G158" i="86"/>
  <c r="G159" i="86" s="1"/>
  <c r="H158" i="86"/>
  <c r="H159" i="86" s="1"/>
  <c r="H160" i="86" s="1"/>
  <c r="I158" i="86"/>
  <c r="I159" i="86" s="1"/>
  <c r="I160" i="86" s="1"/>
  <c r="J158" i="86"/>
  <c r="J159" i="86" s="1"/>
  <c r="J160" i="86" s="1"/>
  <c r="K158" i="86"/>
  <c r="K159" i="86" s="1"/>
  <c r="L158" i="86"/>
  <c r="L159" i="86" s="1"/>
  <c r="L160" i="86" s="1"/>
  <c r="M158" i="86"/>
  <c r="M159" i="86" s="1"/>
  <c r="M160" i="86" s="1"/>
  <c r="B158" i="86"/>
  <c r="B138" i="86"/>
  <c r="C138" i="86" s="1"/>
  <c r="D138" i="86" s="1"/>
  <c r="E138" i="86" s="1"/>
  <c r="F138" i="86" s="1"/>
  <c r="G138" i="86" s="1"/>
  <c r="H138" i="86" s="1"/>
  <c r="I138" i="86" s="1"/>
  <c r="J138" i="86" s="1"/>
  <c r="K138" i="86" s="1"/>
  <c r="L138" i="86" s="1"/>
  <c r="M138" i="86" s="1"/>
  <c r="C135" i="86"/>
  <c r="D135" i="86"/>
  <c r="E135" i="86"/>
  <c r="E136" i="86" s="1"/>
  <c r="E137" i="86" s="1"/>
  <c r="F135" i="86"/>
  <c r="F136" i="86" s="1"/>
  <c r="F137" i="86" s="1"/>
  <c r="F139" i="86" s="1"/>
  <c r="G314" i="48" s="1"/>
  <c r="G135" i="86"/>
  <c r="H135" i="86"/>
  <c r="I135" i="86"/>
  <c r="I136" i="86" s="1"/>
  <c r="I137" i="86" s="1"/>
  <c r="J135" i="86"/>
  <c r="J136" i="86" s="1"/>
  <c r="J137" i="86" s="1"/>
  <c r="K135" i="86"/>
  <c r="L135" i="86"/>
  <c r="M135" i="86"/>
  <c r="M136" i="86" s="1"/>
  <c r="M137" i="86" s="1"/>
  <c r="B115" i="86"/>
  <c r="C115" i="86" s="1"/>
  <c r="D115" i="86" s="1"/>
  <c r="E115" i="86" s="1"/>
  <c r="F115" i="86" s="1"/>
  <c r="G115" i="86" s="1"/>
  <c r="H115" i="86" s="1"/>
  <c r="I115" i="86" s="1"/>
  <c r="J115" i="86" s="1"/>
  <c r="K115" i="86" s="1"/>
  <c r="L115" i="86" s="1"/>
  <c r="M115" i="86" s="1"/>
  <c r="B92" i="86"/>
  <c r="C92" i="86" s="1"/>
  <c r="D92" i="86" s="1"/>
  <c r="E92" i="86" s="1"/>
  <c r="F92" i="86" s="1"/>
  <c r="G92" i="86" s="1"/>
  <c r="H92" i="86" s="1"/>
  <c r="I92" i="86" s="1"/>
  <c r="J92" i="86" s="1"/>
  <c r="K92" i="86" s="1"/>
  <c r="L92" i="86" s="1"/>
  <c r="M92" i="86" s="1"/>
  <c r="B69" i="86"/>
  <c r="C69" i="86" s="1"/>
  <c r="B46" i="86"/>
  <c r="C46" i="86" s="1"/>
  <c r="M139" i="86" l="1"/>
  <c r="N314" i="48" s="1"/>
  <c r="I139" i="86"/>
  <c r="J314" i="48" s="1"/>
  <c r="E139" i="86"/>
  <c r="F314" i="48" s="1"/>
  <c r="O29" i="94"/>
  <c r="O15" i="93"/>
  <c r="O19" i="93"/>
  <c r="O19" i="90"/>
  <c r="N28" i="93"/>
  <c r="G160" i="86"/>
  <c r="O15" i="94"/>
  <c r="O19" i="94"/>
  <c r="H91" i="85"/>
  <c r="H90" i="85" s="1"/>
  <c r="K160" i="86"/>
  <c r="C159" i="86"/>
  <c r="C160" i="86" s="1"/>
  <c r="N20" i="94"/>
  <c r="C96" i="82"/>
  <c r="C93" i="82"/>
  <c r="C91" i="82"/>
  <c r="C90" i="82" s="1"/>
  <c r="J93" i="82"/>
  <c r="K303" i="48" s="1"/>
  <c r="J91" i="82"/>
  <c r="J90" i="82" s="1"/>
  <c r="O25" i="94"/>
  <c r="O26" i="94"/>
  <c r="D91" i="85"/>
  <c r="B91" i="85"/>
  <c r="B90" i="85" s="1"/>
  <c r="J91" i="85"/>
  <c r="F91" i="85"/>
  <c r="F90" i="85" s="1"/>
  <c r="O18" i="94"/>
  <c r="O15" i="90"/>
  <c r="J139" i="86"/>
  <c r="K314" i="48" s="1"/>
  <c r="N158" i="86"/>
  <c r="B159" i="86"/>
  <c r="B160" i="86" s="1"/>
  <c r="B162" i="86" s="1"/>
  <c r="O20" i="94"/>
  <c r="O21" i="92"/>
  <c r="N21" i="91"/>
  <c r="K91" i="85"/>
  <c r="K90" i="85" s="1"/>
  <c r="N89" i="85"/>
  <c r="M96" i="82"/>
  <c r="M91" i="82"/>
  <c r="M90" i="82" s="1"/>
  <c r="M93" i="82"/>
  <c r="N303" i="48" s="1"/>
  <c r="L91" i="82"/>
  <c r="L90" i="82" s="1"/>
  <c r="L93" i="82"/>
  <c r="K96" i="82"/>
  <c r="K93" i="82"/>
  <c r="L303" i="48" s="1"/>
  <c r="K91" i="82"/>
  <c r="K90" i="82" s="1"/>
  <c r="F93" i="82"/>
  <c r="F91" i="82"/>
  <c r="F90" i="82" s="1"/>
  <c r="E96" i="82"/>
  <c r="E93" i="82"/>
  <c r="E91" i="82"/>
  <c r="E90" i="82" s="1"/>
  <c r="H93" i="82"/>
  <c r="I303" i="48" s="1"/>
  <c r="H91" i="82"/>
  <c r="H90" i="82" s="1"/>
  <c r="I96" i="82"/>
  <c r="I93" i="82"/>
  <c r="J303" i="48" s="1"/>
  <c r="I91" i="82"/>
  <c r="I90" i="82" s="1"/>
  <c r="G96" i="82"/>
  <c r="G93" i="82"/>
  <c r="H303" i="48" s="1"/>
  <c r="G91" i="82"/>
  <c r="G90" i="82" s="1"/>
  <c r="D91" i="82"/>
  <c r="D90" i="82" s="1"/>
  <c r="D93" i="82"/>
  <c r="E303" i="48" s="1"/>
  <c r="B93" i="82"/>
  <c r="B91" i="82"/>
  <c r="B90" i="82" s="1"/>
  <c r="O18" i="93"/>
  <c r="O28" i="93"/>
  <c r="N21" i="92"/>
  <c r="O19" i="92"/>
  <c r="O18" i="92"/>
  <c r="O15" i="92"/>
  <c r="O21" i="91"/>
  <c r="O18" i="91"/>
  <c r="O15" i="91"/>
  <c r="O27" i="91"/>
  <c r="O19" i="91"/>
  <c r="O18" i="90"/>
  <c r="O27" i="90"/>
  <c r="N21" i="90"/>
  <c r="O21" i="90"/>
  <c r="N21" i="89"/>
  <c r="F96" i="82"/>
  <c r="F11" i="92"/>
  <c r="G303" i="48"/>
  <c r="B96" i="82"/>
  <c r="B11" i="92"/>
  <c r="N89" i="82"/>
  <c r="L96" i="82"/>
  <c r="L11" i="92"/>
  <c r="M303" i="48"/>
  <c r="D96" i="82"/>
  <c r="D11" i="92"/>
  <c r="I11" i="92"/>
  <c r="J96" i="82"/>
  <c r="J11" i="92"/>
  <c r="G11" i="92"/>
  <c r="H96" i="82"/>
  <c r="H11" i="92"/>
  <c r="D303" i="48"/>
  <c r="M11" i="92"/>
  <c r="E11" i="92"/>
  <c r="F303" i="48"/>
  <c r="K11" i="92"/>
  <c r="C11" i="92"/>
  <c r="O10" i="91"/>
  <c r="N27" i="93"/>
  <c r="O27" i="92"/>
  <c r="N15" i="94"/>
  <c r="N19" i="94"/>
  <c r="N25" i="94"/>
  <c r="N29" i="94"/>
  <c r="N18" i="94"/>
  <c r="N26" i="94"/>
  <c r="N11" i="93"/>
  <c r="N15" i="93"/>
  <c r="O11" i="93"/>
  <c r="O27" i="93"/>
  <c r="N10" i="93"/>
  <c r="N14" i="93"/>
  <c r="N18" i="93"/>
  <c r="N19" i="93"/>
  <c r="N15" i="92"/>
  <c r="N19" i="92"/>
  <c r="N27" i="92"/>
  <c r="N31" i="92"/>
  <c r="N10" i="92"/>
  <c r="N14" i="92"/>
  <c r="N18" i="92"/>
  <c r="N15" i="91"/>
  <c r="N27" i="91"/>
  <c r="N31" i="91"/>
  <c r="N10" i="91"/>
  <c r="N18" i="91"/>
  <c r="N15" i="90"/>
  <c r="N19" i="90"/>
  <c r="N27" i="90"/>
  <c r="N31" i="90"/>
  <c r="N18" i="90"/>
  <c r="J90" i="85"/>
  <c r="D90" i="85"/>
  <c r="L90" i="85"/>
  <c r="L136" i="86"/>
  <c r="L137" i="86" s="1"/>
  <c r="L139" i="86" s="1"/>
  <c r="M314" i="48" s="1"/>
  <c r="H136" i="86"/>
  <c r="H137" i="86" s="1"/>
  <c r="H139" i="86" s="1"/>
  <c r="I314" i="48" s="1"/>
  <c r="D136" i="86"/>
  <c r="K136" i="86"/>
  <c r="K137" i="86" s="1"/>
  <c r="K139" i="86" s="1"/>
  <c r="L314" i="48" s="1"/>
  <c r="G136" i="86"/>
  <c r="G137" i="86" s="1"/>
  <c r="G139" i="86" s="1"/>
  <c r="H314" i="48" s="1"/>
  <c r="C136" i="86"/>
  <c r="C137" i="86" s="1"/>
  <c r="D69" i="86"/>
  <c r="D46" i="86"/>
  <c r="C159" i="87"/>
  <c r="D159" i="87"/>
  <c r="E159" i="87"/>
  <c r="F159" i="87"/>
  <c r="G159" i="87"/>
  <c r="H159" i="87"/>
  <c r="I159" i="87"/>
  <c r="J159" i="87"/>
  <c r="K159" i="87"/>
  <c r="L159" i="87"/>
  <c r="M159" i="87"/>
  <c r="B162" i="87"/>
  <c r="C162" i="87" s="1"/>
  <c r="D162" i="87" s="1"/>
  <c r="E162" i="87" s="1"/>
  <c r="F162" i="87" s="1"/>
  <c r="G162" i="87" s="1"/>
  <c r="H162" i="87" s="1"/>
  <c r="I162" i="87" s="1"/>
  <c r="J162" i="87" s="1"/>
  <c r="K162" i="87" s="1"/>
  <c r="L162" i="87" s="1"/>
  <c r="M162" i="87" s="1"/>
  <c r="B139" i="87"/>
  <c r="C139" i="87" s="1"/>
  <c r="D139" i="87" s="1"/>
  <c r="E139" i="87" s="1"/>
  <c r="F139" i="87" s="1"/>
  <c r="G139" i="87" s="1"/>
  <c r="H139" i="87" s="1"/>
  <c r="I139" i="87" s="1"/>
  <c r="J139" i="87" s="1"/>
  <c r="K139" i="87" s="1"/>
  <c r="L139" i="87" s="1"/>
  <c r="M139" i="87" s="1"/>
  <c r="B116" i="87"/>
  <c r="C116" i="87" s="1"/>
  <c r="D116" i="87" s="1"/>
  <c r="E116" i="87" s="1"/>
  <c r="F116" i="87" s="1"/>
  <c r="G116" i="87" s="1"/>
  <c r="H116" i="87" s="1"/>
  <c r="I116" i="87" s="1"/>
  <c r="J116" i="87" s="1"/>
  <c r="K116" i="87" s="1"/>
  <c r="L116" i="87" s="1"/>
  <c r="M116" i="87" s="1"/>
  <c r="B93" i="87"/>
  <c r="C93" i="87" s="1"/>
  <c r="D93" i="87" s="1"/>
  <c r="E93" i="87" s="1"/>
  <c r="F93" i="87" s="1"/>
  <c r="G93" i="87" s="1"/>
  <c r="H93" i="87" s="1"/>
  <c r="I93" i="87" s="1"/>
  <c r="J93" i="87" s="1"/>
  <c r="K93" i="87" s="1"/>
  <c r="L93" i="87" s="1"/>
  <c r="M93" i="87" s="1"/>
  <c r="B70" i="87"/>
  <c r="C70" i="87" s="1"/>
  <c r="D70" i="87" s="1"/>
  <c r="E70" i="87" s="1"/>
  <c r="F70" i="87" s="1"/>
  <c r="G70" i="87" s="1"/>
  <c r="H70" i="87" s="1"/>
  <c r="I70" i="87" s="1"/>
  <c r="J70" i="87" s="1"/>
  <c r="K70" i="87" s="1"/>
  <c r="L70" i="87" s="1"/>
  <c r="M70" i="87" s="1"/>
  <c r="B47" i="87"/>
  <c r="C47" i="87" s="1"/>
  <c r="D47" i="87" s="1"/>
  <c r="E47" i="87" s="1"/>
  <c r="F47" i="87" s="1"/>
  <c r="G47" i="87" s="1"/>
  <c r="H47" i="87" s="1"/>
  <c r="I47" i="87" s="1"/>
  <c r="J47" i="87" s="1"/>
  <c r="K47" i="87" s="1"/>
  <c r="L47" i="87" s="1"/>
  <c r="M47" i="87" s="1"/>
  <c r="A161" i="87"/>
  <c r="A138" i="87"/>
  <c r="A115" i="87"/>
  <c r="A92" i="87"/>
  <c r="A69" i="87"/>
  <c r="A46" i="87"/>
  <c r="C136" i="85"/>
  <c r="D136" i="85"/>
  <c r="E136" i="85"/>
  <c r="F136" i="85"/>
  <c r="G136" i="85"/>
  <c r="H136" i="85"/>
  <c r="I136" i="85"/>
  <c r="J136" i="85"/>
  <c r="K136" i="85"/>
  <c r="L136" i="85"/>
  <c r="M136" i="85"/>
  <c r="B136" i="85"/>
  <c r="B139" i="85"/>
  <c r="C139" i="85" s="1"/>
  <c r="D139" i="85" s="1"/>
  <c r="E139" i="85" s="1"/>
  <c r="F139" i="85" s="1"/>
  <c r="G139" i="85" s="1"/>
  <c r="H139" i="85" s="1"/>
  <c r="I139" i="85" s="1"/>
  <c r="J139" i="85" s="1"/>
  <c r="K139" i="85" s="1"/>
  <c r="L139" i="85" s="1"/>
  <c r="M139" i="85" s="1"/>
  <c r="A138" i="85"/>
  <c r="C112" i="85"/>
  <c r="D112" i="85"/>
  <c r="E112" i="85"/>
  <c r="F112" i="85"/>
  <c r="G112" i="85"/>
  <c r="H112" i="85"/>
  <c r="I112" i="85"/>
  <c r="J112" i="85"/>
  <c r="K112" i="85"/>
  <c r="L112" i="85"/>
  <c r="M112" i="85"/>
  <c r="B112" i="85"/>
  <c r="B115" i="85"/>
  <c r="C115" i="85" s="1"/>
  <c r="D115" i="85" s="1"/>
  <c r="E115" i="85" s="1"/>
  <c r="F115" i="85" s="1"/>
  <c r="G115" i="85" s="1"/>
  <c r="H115" i="85" s="1"/>
  <c r="I115" i="85" s="1"/>
  <c r="J115" i="85" s="1"/>
  <c r="K115" i="85" s="1"/>
  <c r="L115" i="85" s="1"/>
  <c r="M115" i="85" s="1"/>
  <c r="B108" i="85"/>
  <c r="B92" i="85"/>
  <c r="C92" i="85" s="1"/>
  <c r="B69" i="85"/>
  <c r="B85" i="85"/>
  <c r="B62" i="85"/>
  <c r="B39" i="85"/>
  <c r="C69" i="85"/>
  <c r="D69" i="85" s="1"/>
  <c r="E69" i="85" s="1"/>
  <c r="F69" i="85" s="1"/>
  <c r="G69" i="85" s="1"/>
  <c r="H69" i="85" s="1"/>
  <c r="I69" i="85" s="1"/>
  <c r="J69" i="85" s="1"/>
  <c r="K69" i="85" s="1"/>
  <c r="L69" i="85" s="1"/>
  <c r="M69" i="85" s="1"/>
  <c r="C66" i="85"/>
  <c r="D66" i="85"/>
  <c r="E66" i="85"/>
  <c r="F66" i="85"/>
  <c r="G66" i="85"/>
  <c r="H66" i="85"/>
  <c r="I66" i="85"/>
  <c r="J66" i="85"/>
  <c r="K66" i="85"/>
  <c r="L66" i="85"/>
  <c r="M66" i="85"/>
  <c r="B66" i="85"/>
  <c r="B46" i="85"/>
  <c r="C46" i="85" s="1"/>
  <c r="D46" i="85" s="1"/>
  <c r="E46" i="85" s="1"/>
  <c r="F46" i="85" s="1"/>
  <c r="G46" i="85" s="1"/>
  <c r="H46" i="85" s="1"/>
  <c r="I46" i="85" s="1"/>
  <c r="J46" i="85" s="1"/>
  <c r="K46" i="85" s="1"/>
  <c r="L46" i="85" s="1"/>
  <c r="M46" i="85" s="1"/>
  <c r="C43" i="85"/>
  <c r="D43" i="85"/>
  <c r="E43" i="85"/>
  <c r="F43" i="85"/>
  <c r="G43" i="85"/>
  <c r="H43" i="85"/>
  <c r="I43" i="85"/>
  <c r="J43" i="85"/>
  <c r="K43" i="85"/>
  <c r="L43" i="85"/>
  <c r="M43" i="85"/>
  <c r="B43" i="85"/>
  <c r="D92" i="85" l="1"/>
  <c r="C93" i="85"/>
  <c r="D205" i="48" s="1"/>
  <c r="N43" i="85"/>
  <c r="B47" i="85"/>
  <c r="B45" i="85"/>
  <c r="B44" i="85"/>
  <c r="J47" i="85"/>
  <c r="K108" i="48" s="1"/>
  <c r="J45" i="85"/>
  <c r="J44" i="85" s="1"/>
  <c r="F47" i="85"/>
  <c r="G108" i="48" s="1"/>
  <c r="F45" i="85"/>
  <c r="F44" i="85" s="1"/>
  <c r="L68" i="85"/>
  <c r="L67" i="85" s="1"/>
  <c r="L70" i="85"/>
  <c r="M154" i="48" s="1"/>
  <c r="H68" i="85"/>
  <c r="H67" i="85" s="1"/>
  <c r="H70" i="85"/>
  <c r="I154" i="48" s="1"/>
  <c r="D68" i="85"/>
  <c r="D67" i="85" s="1"/>
  <c r="D70" i="85"/>
  <c r="E154" i="48" s="1"/>
  <c r="K140" i="85"/>
  <c r="L307" i="48" s="1"/>
  <c r="K138" i="85"/>
  <c r="K137" i="85"/>
  <c r="G140" i="85"/>
  <c r="H307" i="48" s="1"/>
  <c r="G138" i="85"/>
  <c r="G137" i="85" s="1"/>
  <c r="C140" i="85"/>
  <c r="D307" i="48" s="1"/>
  <c r="C138" i="85"/>
  <c r="C137" i="85" s="1"/>
  <c r="J160" i="87"/>
  <c r="J161" i="87" s="1"/>
  <c r="J163" i="87" s="1"/>
  <c r="K358" i="48" s="1"/>
  <c r="F160" i="87"/>
  <c r="F161" i="87" s="1"/>
  <c r="F163" i="87" s="1"/>
  <c r="G358" i="48" s="1"/>
  <c r="N162" i="86"/>
  <c r="C361" i="48"/>
  <c r="O361" i="48" s="1"/>
  <c r="B93" i="85"/>
  <c r="M47" i="85"/>
  <c r="N108" i="48" s="1"/>
  <c r="M45" i="85"/>
  <c r="M44" i="85" s="1"/>
  <c r="I45" i="85"/>
  <c r="I44" i="85" s="1"/>
  <c r="I47" i="85"/>
  <c r="J108" i="48" s="1"/>
  <c r="E47" i="85"/>
  <c r="F108" i="48" s="1"/>
  <c r="E45" i="85"/>
  <c r="E44" i="85" s="1"/>
  <c r="K70" i="85"/>
  <c r="L154" i="48" s="1"/>
  <c r="K68" i="85"/>
  <c r="K67" i="85" s="1"/>
  <c r="G70" i="85"/>
  <c r="H154" i="48" s="1"/>
  <c r="G68" i="85"/>
  <c r="G67" i="85" s="1"/>
  <c r="C70" i="85"/>
  <c r="D154" i="48" s="1"/>
  <c r="C68" i="85"/>
  <c r="C67" i="85" s="1"/>
  <c r="B140" i="85"/>
  <c r="C307" i="48" s="1"/>
  <c r="B138" i="85"/>
  <c r="B137" i="85" s="1"/>
  <c r="J138" i="85"/>
  <c r="J137" i="85" s="1"/>
  <c r="J140" i="85"/>
  <c r="K307" i="48" s="1"/>
  <c r="F140" i="85"/>
  <c r="G307" i="48" s="1"/>
  <c r="F138" i="85"/>
  <c r="F137" i="85" s="1"/>
  <c r="N136" i="85"/>
  <c r="M160" i="87"/>
  <c r="M161" i="87" s="1"/>
  <c r="M163" i="87" s="1"/>
  <c r="N358" i="48" s="1"/>
  <c r="I160" i="87"/>
  <c r="I161" i="87" s="1"/>
  <c r="I163" i="87" s="1"/>
  <c r="J358" i="48" s="1"/>
  <c r="E160" i="87"/>
  <c r="E161" i="87" s="1"/>
  <c r="E163" i="87" s="1"/>
  <c r="N159" i="86"/>
  <c r="J100" i="82"/>
  <c r="K304" i="48" s="1"/>
  <c r="J98" i="82"/>
  <c r="J97" i="82" s="1"/>
  <c r="L47" i="85"/>
  <c r="M108" i="48" s="1"/>
  <c r="L45" i="85"/>
  <c r="L44" i="85" s="1"/>
  <c r="H47" i="85"/>
  <c r="I108" i="48" s="1"/>
  <c r="H45" i="85"/>
  <c r="H44" i="85" s="1"/>
  <c r="D47" i="85"/>
  <c r="E108" i="48" s="1"/>
  <c r="D45" i="85"/>
  <c r="D44" i="85" s="1"/>
  <c r="B68" i="85"/>
  <c r="B67" i="85" s="1"/>
  <c r="B70" i="85"/>
  <c r="C154" i="48" s="1"/>
  <c r="J68" i="85"/>
  <c r="J67" i="85" s="1"/>
  <c r="J70" i="85"/>
  <c r="K154" i="48" s="1"/>
  <c r="F68" i="85"/>
  <c r="F67" i="85" s="1"/>
  <c r="F70" i="85"/>
  <c r="G154" i="48" s="1"/>
  <c r="N66" i="85"/>
  <c r="M138" i="85"/>
  <c r="M137" i="85" s="1"/>
  <c r="M140" i="85"/>
  <c r="N307" i="48" s="1"/>
  <c r="I138" i="85"/>
  <c r="I137" i="85" s="1"/>
  <c r="I140" i="85"/>
  <c r="J307" i="48" s="1"/>
  <c r="E138" i="85"/>
  <c r="E137" i="85" s="1"/>
  <c r="E140" i="85"/>
  <c r="F307" i="48" s="1"/>
  <c r="L160" i="87"/>
  <c r="L161" i="87" s="1"/>
  <c r="L163" i="87" s="1"/>
  <c r="M358" i="48" s="1"/>
  <c r="H160" i="87"/>
  <c r="H161" i="87" s="1"/>
  <c r="H163" i="87" s="1"/>
  <c r="I358" i="48" s="1"/>
  <c r="D160" i="87"/>
  <c r="D161" i="87" s="1"/>
  <c r="D163" i="87" s="1"/>
  <c r="E358" i="48" s="1"/>
  <c r="N160" i="86"/>
  <c r="K45" i="85"/>
  <c r="K44" i="85" s="1"/>
  <c r="K47" i="85"/>
  <c r="L108" i="48" s="1"/>
  <c r="G47" i="85"/>
  <c r="H108" i="48" s="1"/>
  <c r="G45" i="85"/>
  <c r="G44" i="85" s="1"/>
  <c r="C45" i="85"/>
  <c r="C44" i="85" s="1"/>
  <c r="C47" i="85"/>
  <c r="D108" i="48" s="1"/>
  <c r="M70" i="85"/>
  <c r="N154" i="48" s="1"/>
  <c r="M68" i="85"/>
  <c r="M67" i="85" s="1"/>
  <c r="I70" i="85"/>
  <c r="J154" i="48" s="1"/>
  <c r="I68" i="85"/>
  <c r="I67" i="85"/>
  <c r="E70" i="85"/>
  <c r="F154" i="48" s="1"/>
  <c r="E68" i="85"/>
  <c r="E67" i="85" s="1"/>
  <c r="L138" i="85"/>
  <c r="L137" i="85" s="1"/>
  <c r="L140" i="85"/>
  <c r="M307" i="48" s="1"/>
  <c r="H138" i="85"/>
  <c r="H137" i="85" s="1"/>
  <c r="H140" i="85"/>
  <c r="I307" i="48" s="1"/>
  <c r="D138" i="85"/>
  <c r="D137" i="85" s="1"/>
  <c r="D140" i="85"/>
  <c r="E307" i="48" s="1"/>
  <c r="K160" i="87"/>
  <c r="K161" i="87" s="1"/>
  <c r="K163" i="87" s="1"/>
  <c r="L358" i="48" s="1"/>
  <c r="G160" i="87"/>
  <c r="G161" i="87" s="1"/>
  <c r="G163" i="87" s="1"/>
  <c r="H358" i="48" s="1"/>
  <c r="C160" i="87"/>
  <c r="C161" i="87" s="1"/>
  <c r="C163" i="87" s="1"/>
  <c r="D358" i="48" s="1"/>
  <c r="C98" i="82"/>
  <c r="C97" i="82" s="1"/>
  <c r="C100" i="82"/>
  <c r="D304" i="48" s="1"/>
  <c r="H116" i="85"/>
  <c r="I257" i="48" s="1"/>
  <c r="H114" i="85"/>
  <c r="H113" i="85" s="1"/>
  <c r="K116" i="85"/>
  <c r="L257" i="48" s="1"/>
  <c r="K114" i="85"/>
  <c r="K113" i="85" s="1"/>
  <c r="J116" i="85"/>
  <c r="K257" i="48" s="1"/>
  <c r="J114" i="85"/>
  <c r="J113" i="85" s="1"/>
  <c r="F116" i="85"/>
  <c r="G257" i="48" s="1"/>
  <c r="F114" i="85"/>
  <c r="F113" i="85" s="1"/>
  <c r="L114" i="85"/>
  <c r="L113" i="85" s="1"/>
  <c r="L116" i="85"/>
  <c r="M257" i="48" s="1"/>
  <c r="D114" i="85"/>
  <c r="D113" i="85" s="1"/>
  <c r="D116" i="85"/>
  <c r="E257" i="48" s="1"/>
  <c r="G116" i="85"/>
  <c r="H257" i="48" s="1"/>
  <c r="G114" i="85"/>
  <c r="G113" i="85" s="1"/>
  <c r="C116" i="85"/>
  <c r="D257" i="48" s="1"/>
  <c r="C114" i="85"/>
  <c r="C113" i="85" s="1"/>
  <c r="M116" i="85"/>
  <c r="N257" i="48" s="1"/>
  <c r="M114" i="85"/>
  <c r="M113" i="85" s="1"/>
  <c r="I116" i="85"/>
  <c r="J257" i="48" s="1"/>
  <c r="I114" i="85"/>
  <c r="I113" i="85" s="1"/>
  <c r="E116" i="85"/>
  <c r="F257" i="48" s="1"/>
  <c r="E114" i="85"/>
  <c r="E113" i="85" s="1"/>
  <c r="B116" i="85"/>
  <c r="C257" i="48" s="1"/>
  <c r="B114" i="85"/>
  <c r="B113" i="85" s="1"/>
  <c r="N112" i="85"/>
  <c r="N91" i="85"/>
  <c r="N90" i="85"/>
  <c r="L98" i="82"/>
  <c r="L97" i="82" s="1"/>
  <c r="L100" i="82"/>
  <c r="M304" i="48" s="1"/>
  <c r="M98" i="82"/>
  <c r="M97" i="82" s="1"/>
  <c r="M100" i="82"/>
  <c r="N304" i="48" s="1"/>
  <c r="K100" i="82"/>
  <c r="L304" i="48" s="1"/>
  <c r="K98" i="82"/>
  <c r="K97" i="82" s="1"/>
  <c r="H98" i="82"/>
  <c r="H97" i="82" s="1"/>
  <c r="H100" i="82"/>
  <c r="I304" i="48" s="1"/>
  <c r="G98" i="82"/>
  <c r="G97" i="82" s="1"/>
  <c r="G100" i="82"/>
  <c r="H304" i="48" s="1"/>
  <c r="I100" i="82"/>
  <c r="J304" i="48" s="1"/>
  <c r="I98" i="82"/>
  <c r="I97" i="82" s="1"/>
  <c r="E100" i="82"/>
  <c r="F304" i="48" s="1"/>
  <c r="E98" i="82"/>
  <c r="E97" i="82" s="1"/>
  <c r="F100" i="82"/>
  <c r="G304" i="48" s="1"/>
  <c r="F98" i="82"/>
  <c r="F97" i="82" s="1"/>
  <c r="D100" i="82"/>
  <c r="E304" i="48" s="1"/>
  <c r="D98" i="82"/>
  <c r="D97" i="82" s="1"/>
  <c r="N90" i="82"/>
  <c r="B100" i="82"/>
  <c r="B98" i="82"/>
  <c r="B97" i="82" s="1"/>
  <c r="N96" i="82"/>
  <c r="N91" i="82"/>
  <c r="C139" i="86"/>
  <c r="D314" i="48" s="1"/>
  <c r="D137" i="86"/>
  <c r="D139" i="86" s="1"/>
  <c r="E314" i="48" s="1"/>
  <c r="E69" i="86"/>
  <c r="E46" i="86"/>
  <c r="C205" i="48" l="1"/>
  <c r="N47" i="85"/>
  <c r="C108" i="48"/>
  <c r="O108" i="48" s="1"/>
  <c r="O154" i="48"/>
  <c r="O307" i="48"/>
  <c r="F358" i="48"/>
  <c r="N44" i="85"/>
  <c r="N45" i="85"/>
  <c r="E92" i="85"/>
  <c r="D93" i="85"/>
  <c r="E205" i="48" s="1"/>
  <c r="O257" i="48"/>
  <c r="N97" i="82"/>
  <c r="N93" i="82"/>
  <c r="C303" i="48"/>
  <c r="O303" i="48" s="1"/>
  <c r="N98" i="82"/>
  <c r="F69" i="86"/>
  <c r="F46" i="86"/>
  <c r="F92" i="85" l="1"/>
  <c r="E93" i="85"/>
  <c r="N100" i="82"/>
  <c r="C304" i="48"/>
  <c r="O304" i="48" s="1"/>
  <c r="B176" i="75" s="1"/>
  <c r="D176" i="75" s="1"/>
  <c r="G69" i="86"/>
  <c r="G46" i="86"/>
  <c r="G92" i="85" l="1"/>
  <c r="F93" i="85"/>
  <c r="G205" i="48" s="1"/>
  <c r="F205" i="48"/>
  <c r="H69" i="86"/>
  <c r="H46" i="86"/>
  <c r="H92" i="85" l="1"/>
  <c r="G93" i="85"/>
  <c r="H205" i="48" s="1"/>
  <c r="I69" i="86"/>
  <c r="I46" i="86"/>
  <c r="I92" i="85" l="1"/>
  <c r="H93" i="85"/>
  <c r="J69" i="86"/>
  <c r="J46" i="86"/>
  <c r="I205" i="48" l="1"/>
  <c r="J92" i="85"/>
  <c r="I93" i="85"/>
  <c r="J205" i="48" s="1"/>
  <c r="K69" i="86"/>
  <c r="K46" i="86"/>
  <c r="K92" i="85" l="1"/>
  <c r="J93" i="85"/>
  <c r="L69" i="86"/>
  <c r="L46" i="86"/>
  <c r="K205" i="48" l="1"/>
  <c r="L92" i="85"/>
  <c r="K93" i="85"/>
  <c r="L205" i="48" s="1"/>
  <c r="M69" i="86"/>
  <c r="M46" i="86"/>
  <c r="M92" i="85" l="1"/>
  <c r="M93" i="85" s="1"/>
  <c r="L93" i="85"/>
  <c r="M205" i="48" s="1"/>
  <c r="N205" i="48" l="1"/>
  <c r="O205" i="48" s="1"/>
  <c r="N93" i="85"/>
  <c r="A114" i="85"/>
  <c r="A91" i="85"/>
  <c r="A68" i="85"/>
  <c r="A45" i="85"/>
  <c r="C31" i="89" l="1"/>
  <c r="D31" i="89"/>
  <c r="E31" i="89"/>
  <c r="F31" i="89"/>
  <c r="G31" i="89"/>
  <c r="H31" i="89"/>
  <c r="I31" i="89"/>
  <c r="J31" i="89"/>
  <c r="K31" i="89"/>
  <c r="L31" i="89"/>
  <c r="M31" i="89"/>
  <c r="B31" i="89"/>
  <c r="G30" i="89"/>
  <c r="B30" i="89"/>
  <c r="L29" i="89"/>
  <c r="B28" i="89"/>
  <c r="C27" i="89"/>
  <c r="D27" i="89"/>
  <c r="E27" i="89"/>
  <c r="F27" i="89"/>
  <c r="G27" i="89"/>
  <c r="H27" i="89"/>
  <c r="I27" i="89"/>
  <c r="J27" i="89"/>
  <c r="K27" i="89"/>
  <c r="L27" i="89"/>
  <c r="M27" i="89"/>
  <c r="B27" i="89"/>
  <c r="N27" i="89" l="1"/>
  <c r="N31" i="89"/>
  <c r="O31" i="89"/>
  <c r="C193" i="75" l="1"/>
  <c r="C36" i="75"/>
  <c r="C66" i="75" s="1"/>
  <c r="C65" i="75" l="1"/>
  <c r="B411" i="16" l="1"/>
  <c r="B356" i="16"/>
  <c r="B422" i="64"/>
  <c r="B362" i="64"/>
  <c r="C240" i="4"/>
  <c r="D240" i="4" s="1"/>
  <c r="E240" i="4" s="1"/>
  <c r="F240" i="4" s="1"/>
  <c r="G240" i="4" s="1"/>
  <c r="H240" i="4" s="1"/>
  <c r="I240" i="4" s="1"/>
  <c r="J240" i="4" s="1"/>
  <c r="K240" i="4" s="1"/>
  <c r="L240" i="4" s="1"/>
  <c r="M240" i="4" s="1"/>
  <c r="O27" i="89" l="1"/>
  <c r="C19" i="89" l="1"/>
  <c r="D19" i="89"/>
  <c r="E19" i="89"/>
  <c r="F19" i="89"/>
  <c r="G19" i="89"/>
  <c r="H19" i="89"/>
  <c r="I19" i="89"/>
  <c r="J19" i="89"/>
  <c r="K19" i="89"/>
  <c r="L19" i="89"/>
  <c r="M19" i="89"/>
  <c r="B19" i="89"/>
  <c r="M151" i="86" l="1"/>
  <c r="M152" i="86" s="1"/>
  <c r="M153" i="86" s="1"/>
  <c r="M145" i="86"/>
  <c r="M146" i="86" s="1"/>
  <c r="I145" i="86"/>
  <c r="I146" i="86" s="1"/>
  <c r="I151" i="86"/>
  <c r="I152" i="86" s="1"/>
  <c r="I153" i="86" s="1"/>
  <c r="E151" i="86"/>
  <c r="E152" i="86" s="1"/>
  <c r="E153" i="86" s="1"/>
  <c r="E145" i="86"/>
  <c r="E146" i="86" s="1"/>
  <c r="L145" i="86"/>
  <c r="L146" i="86" s="1"/>
  <c r="L151" i="86"/>
  <c r="L152" i="86" s="1"/>
  <c r="L153" i="86" s="1"/>
  <c r="H145" i="86"/>
  <c r="H146" i="86" s="1"/>
  <c r="H151" i="86"/>
  <c r="H152" i="86" s="1"/>
  <c r="H153" i="86" s="1"/>
  <c r="D145" i="86"/>
  <c r="D146" i="86" s="1"/>
  <c r="D151" i="86"/>
  <c r="K145" i="86"/>
  <c r="K146" i="86" s="1"/>
  <c r="K151" i="86"/>
  <c r="K152" i="86" s="1"/>
  <c r="K153" i="86" s="1"/>
  <c r="G145" i="86"/>
  <c r="G146" i="86" s="1"/>
  <c r="G151" i="86"/>
  <c r="G152" i="86" s="1"/>
  <c r="G153" i="86" s="1"/>
  <c r="C145" i="86"/>
  <c r="C146" i="86" s="1"/>
  <c r="C151" i="86"/>
  <c r="C152" i="86" s="1"/>
  <c r="C153" i="86" s="1"/>
  <c r="J145" i="86"/>
  <c r="J146" i="86" s="1"/>
  <c r="J151" i="86"/>
  <c r="J152" i="86" s="1"/>
  <c r="J153" i="86" s="1"/>
  <c r="F145" i="86"/>
  <c r="F146" i="86" s="1"/>
  <c r="F151" i="86"/>
  <c r="F152" i="86" s="1"/>
  <c r="F153" i="86" s="1"/>
  <c r="B151" i="86"/>
  <c r="B145" i="86"/>
  <c r="B146" i="86" s="1"/>
  <c r="N144" i="86"/>
  <c r="N19" i="89"/>
  <c r="O19" i="89"/>
  <c r="Q16" i="83"/>
  <c r="Q15" i="83"/>
  <c r="B159" i="87"/>
  <c r="L136" i="87"/>
  <c r="M136" i="87"/>
  <c r="K136" i="87"/>
  <c r="H136" i="87"/>
  <c r="I136" i="87"/>
  <c r="J136" i="87"/>
  <c r="G136" i="87"/>
  <c r="C136" i="87"/>
  <c r="D136" i="87"/>
  <c r="E136" i="87"/>
  <c r="F136" i="87"/>
  <c r="B136" i="87"/>
  <c r="L113" i="87"/>
  <c r="M113" i="87"/>
  <c r="K113" i="87"/>
  <c r="H113" i="87"/>
  <c r="I113" i="87"/>
  <c r="J113" i="87"/>
  <c r="G113" i="87"/>
  <c r="C113" i="87"/>
  <c r="D113" i="87"/>
  <c r="E113" i="87"/>
  <c r="F113" i="87"/>
  <c r="B113" i="87"/>
  <c r="L90" i="87"/>
  <c r="M90" i="87"/>
  <c r="K90" i="87"/>
  <c r="H90" i="87"/>
  <c r="I90" i="87"/>
  <c r="J90" i="87"/>
  <c r="G90" i="87"/>
  <c r="C90" i="87"/>
  <c r="D90" i="87"/>
  <c r="E90" i="87"/>
  <c r="F90" i="87"/>
  <c r="B90" i="87"/>
  <c r="L44" i="87"/>
  <c r="M44" i="87"/>
  <c r="K44" i="87"/>
  <c r="H44" i="87"/>
  <c r="I44" i="87"/>
  <c r="J44" i="87"/>
  <c r="G44" i="87"/>
  <c r="C44" i="87"/>
  <c r="D44" i="87"/>
  <c r="E44" i="87"/>
  <c r="F44" i="87"/>
  <c r="B44" i="87"/>
  <c r="F45" i="87" l="1"/>
  <c r="F46" i="87" s="1"/>
  <c r="F48" i="87" s="1"/>
  <c r="G112" i="48" s="1"/>
  <c r="K45" i="87"/>
  <c r="K46" i="87" s="1"/>
  <c r="K48" i="87" s="1"/>
  <c r="L112" i="48" s="1"/>
  <c r="G91" i="87"/>
  <c r="G92" i="87" s="1"/>
  <c r="G94" i="87" s="1"/>
  <c r="H209" i="48" s="1"/>
  <c r="F114" i="87"/>
  <c r="F115" i="87" s="1"/>
  <c r="F117" i="87" s="1"/>
  <c r="G261" i="48" s="1"/>
  <c r="F137" i="87"/>
  <c r="F138" i="87" s="1"/>
  <c r="F140" i="87" s="1"/>
  <c r="G311" i="48" s="1"/>
  <c r="M45" i="87"/>
  <c r="M46" i="87" s="1"/>
  <c r="M48" i="87" s="1"/>
  <c r="N112" i="48" s="1"/>
  <c r="J91" i="87"/>
  <c r="J92" i="87" s="1"/>
  <c r="J94" i="87" s="1"/>
  <c r="K209" i="48" s="1"/>
  <c r="E114" i="87"/>
  <c r="E115" i="87" s="1"/>
  <c r="E117" i="87" s="1"/>
  <c r="F261" i="48" s="1"/>
  <c r="J114" i="87"/>
  <c r="J115" i="87" s="1"/>
  <c r="J117" i="87" s="1"/>
  <c r="K261" i="48" s="1"/>
  <c r="E137" i="87"/>
  <c r="E138" i="87" s="1"/>
  <c r="E140" i="87" s="1"/>
  <c r="F311" i="48" s="1"/>
  <c r="J137" i="87"/>
  <c r="J138" i="87" s="1"/>
  <c r="J140" i="87" s="1"/>
  <c r="K311" i="48" s="1"/>
  <c r="M137" i="87"/>
  <c r="M138" i="87" s="1"/>
  <c r="M140" i="87" s="1"/>
  <c r="N311" i="48" s="1"/>
  <c r="D45" i="87"/>
  <c r="D46" i="87" s="1"/>
  <c r="D48" i="87" s="1"/>
  <c r="E112" i="48" s="1"/>
  <c r="I45" i="87"/>
  <c r="I46" i="87" s="1"/>
  <c r="I48" i="87" s="1"/>
  <c r="J112" i="48" s="1"/>
  <c r="L45" i="87"/>
  <c r="L46" i="87" s="1"/>
  <c r="L48" i="87" s="1"/>
  <c r="M112" i="48" s="1"/>
  <c r="D91" i="87"/>
  <c r="D92" i="87" s="1"/>
  <c r="I91" i="87"/>
  <c r="I92" i="87" s="1"/>
  <c r="I94" i="87" s="1"/>
  <c r="J209" i="48" s="1"/>
  <c r="L91" i="87"/>
  <c r="L92" i="87" s="1"/>
  <c r="L94" i="87" s="1"/>
  <c r="M209" i="48" s="1"/>
  <c r="D114" i="87"/>
  <c r="D115" i="87" s="1"/>
  <c r="D117" i="87" s="1"/>
  <c r="E261" i="48" s="1"/>
  <c r="I114" i="87"/>
  <c r="I115" i="87" s="1"/>
  <c r="I117" i="87" s="1"/>
  <c r="J261" i="48" s="1"/>
  <c r="L114" i="87"/>
  <c r="L115" i="87" s="1"/>
  <c r="L117" i="87" s="1"/>
  <c r="M261" i="48" s="1"/>
  <c r="D137" i="87"/>
  <c r="D138" i="87" s="1"/>
  <c r="D140" i="87" s="1"/>
  <c r="E311" i="48" s="1"/>
  <c r="I137" i="87"/>
  <c r="I138" i="87" s="1"/>
  <c r="I140" i="87" s="1"/>
  <c r="J311" i="48" s="1"/>
  <c r="L137" i="87"/>
  <c r="L138" i="87" s="1"/>
  <c r="L140" i="87" s="1"/>
  <c r="M311" i="48" s="1"/>
  <c r="G45" i="87"/>
  <c r="G46" i="87" s="1"/>
  <c r="G48" i="87" s="1"/>
  <c r="H112" i="48" s="1"/>
  <c r="F91" i="87"/>
  <c r="F92" i="87" s="1"/>
  <c r="F94" i="87" s="1"/>
  <c r="G209" i="48" s="1"/>
  <c r="K91" i="87"/>
  <c r="K92" i="87" s="1"/>
  <c r="K94" i="87" s="1"/>
  <c r="L209" i="48" s="1"/>
  <c r="G114" i="87"/>
  <c r="G115" i="87" s="1"/>
  <c r="G117" i="87" s="1"/>
  <c r="H261" i="48" s="1"/>
  <c r="K114" i="87"/>
  <c r="K115" i="87" s="1"/>
  <c r="K117" i="87" s="1"/>
  <c r="L261" i="48" s="1"/>
  <c r="G137" i="87"/>
  <c r="G138" i="87" s="1"/>
  <c r="G140" i="87" s="1"/>
  <c r="H311" i="48" s="1"/>
  <c r="K137" i="87"/>
  <c r="K138" i="87" s="1"/>
  <c r="K140" i="87" s="1"/>
  <c r="L311" i="48" s="1"/>
  <c r="E45" i="87"/>
  <c r="E46" i="87" s="1"/>
  <c r="E48" i="87" s="1"/>
  <c r="F112" i="48" s="1"/>
  <c r="J45" i="87"/>
  <c r="J46" i="87" s="1"/>
  <c r="J48" i="87" s="1"/>
  <c r="K112" i="48" s="1"/>
  <c r="E91" i="87"/>
  <c r="E92" i="87" s="1"/>
  <c r="E94" i="87" s="1"/>
  <c r="F209" i="48" s="1"/>
  <c r="M91" i="87"/>
  <c r="M92" i="87" s="1"/>
  <c r="M94" i="87" s="1"/>
  <c r="N209" i="48" s="1"/>
  <c r="M114" i="87"/>
  <c r="M115" i="87" s="1"/>
  <c r="M117" i="87" s="1"/>
  <c r="N261" i="48" s="1"/>
  <c r="B45" i="87"/>
  <c r="B46" i="87" s="1"/>
  <c r="C45" i="87"/>
  <c r="C46" i="87" s="1"/>
  <c r="C48" i="87" s="1"/>
  <c r="D112" i="48" s="1"/>
  <c r="H45" i="87"/>
  <c r="H46" i="87" s="1"/>
  <c r="H48" i="87" s="1"/>
  <c r="I112" i="48" s="1"/>
  <c r="B91" i="87"/>
  <c r="B92" i="87" s="1"/>
  <c r="B94" i="87" s="1"/>
  <c r="C91" i="87"/>
  <c r="C92" i="87" s="1"/>
  <c r="C94" i="87" s="1"/>
  <c r="D209" i="48" s="1"/>
  <c r="H91" i="87"/>
  <c r="H92" i="87" s="1"/>
  <c r="H94" i="87" s="1"/>
  <c r="I209" i="48" s="1"/>
  <c r="B114" i="87"/>
  <c r="C114" i="87"/>
  <c r="C115" i="87" s="1"/>
  <c r="C117" i="87" s="1"/>
  <c r="D261" i="48" s="1"/>
  <c r="H114" i="87"/>
  <c r="H115" i="87" s="1"/>
  <c r="H117" i="87" s="1"/>
  <c r="I261" i="48" s="1"/>
  <c r="B137" i="87"/>
  <c r="B138" i="87" s="1"/>
  <c r="C137" i="87"/>
  <c r="C138" i="87" s="1"/>
  <c r="C140" i="87" s="1"/>
  <c r="D311" i="48" s="1"/>
  <c r="H137" i="87"/>
  <c r="H138" i="87" s="1"/>
  <c r="H140" i="87" s="1"/>
  <c r="I311" i="48" s="1"/>
  <c r="N159" i="87"/>
  <c r="B160" i="87"/>
  <c r="N160" i="87" s="1"/>
  <c r="D18" i="89"/>
  <c r="D67" i="87"/>
  <c r="I18" i="89"/>
  <c r="I67" i="87"/>
  <c r="L18" i="89"/>
  <c r="L67" i="87"/>
  <c r="N90" i="87"/>
  <c r="N113" i="87"/>
  <c r="B18" i="89"/>
  <c r="B67" i="87"/>
  <c r="C18" i="89"/>
  <c r="C67" i="87"/>
  <c r="H18" i="89"/>
  <c r="H67" i="87"/>
  <c r="N136" i="87"/>
  <c r="E18" i="89"/>
  <c r="E67" i="87"/>
  <c r="J18" i="89"/>
  <c r="J67" i="87"/>
  <c r="M18" i="89"/>
  <c r="M67" i="87"/>
  <c r="N44" i="87"/>
  <c r="F18" i="89"/>
  <c r="F67" i="87"/>
  <c r="G18" i="89"/>
  <c r="G67" i="87"/>
  <c r="K18" i="89"/>
  <c r="K67" i="87"/>
  <c r="N146" i="86"/>
  <c r="N145" i="86"/>
  <c r="D152" i="86"/>
  <c r="D153" i="86" s="1"/>
  <c r="N151" i="86"/>
  <c r="B152" i="86"/>
  <c r="B161" i="87" l="1"/>
  <c r="B163" i="87" s="1"/>
  <c r="N92" i="87"/>
  <c r="D94" i="87"/>
  <c r="E209" i="48" s="1"/>
  <c r="E68" i="87"/>
  <c r="E69" i="87" s="1"/>
  <c r="E71" i="87" s="1"/>
  <c r="F158" i="48" s="1"/>
  <c r="N138" i="87"/>
  <c r="B140" i="87"/>
  <c r="F68" i="87"/>
  <c r="F69" i="87"/>
  <c r="F71" i="87" s="1"/>
  <c r="G158" i="48" s="1"/>
  <c r="I68" i="87"/>
  <c r="I69" i="87" s="1"/>
  <c r="I71" i="87" s="1"/>
  <c r="J158" i="48" s="1"/>
  <c r="N137" i="87"/>
  <c r="J68" i="87"/>
  <c r="J69" i="87" s="1"/>
  <c r="J71" i="87" s="1"/>
  <c r="K158" i="48" s="1"/>
  <c r="N114" i="87"/>
  <c r="B48" i="87"/>
  <c r="N46" i="87"/>
  <c r="G68" i="87"/>
  <c r="G69" i="87" s="1"/>
  <c r="G71" i="87" s="1"/>
  <c r="H158" i="48" s="1"/>
  <c r="H68" i="87"/>
  <c r="H69" i="87" s="1"/>
  <c r="H71" i="87" s="1"/>
  <c r="I158" i="48" s="1"/>
  <c r="B68" i="87"/>
  <c r="B69" i="87" s="1"/>
  <c r="B71" i="87" s="1"/>
  <c r="L68" i="87"/>
  <c r="L69" i="87"/>
  <c r="L71" i="87" s="1"/>
  <c r="M158" i="48" s="1"/>
  <c r="D68" i="87"/>
  <c r="D69" i="87" s="1"/>
  <c r="D71" i="87" s="1"/>
  <c r="E158" i="48" s="1"/>
  <c r="B115" i="87"/>
  <c r="N45" i="87"/>
  <c r="M68" i="87"/>
  <c r="M69" i="87" s="1"/>
  <c r="M71" i="87" s="1"/>
  <c r="N158" i="48" s="1"/>
  <c r="C209" i="48"/>
  <c r="O209" i="48" s="1"/>
  <c r="N94" i="87"/>
  <c r="K68" i="87"/>
  <c r="K69" i="87" s="1"/>
  <c r="K71" i="87" s="1"/>
  <c r="L158" i="48" s="1"/>
  <c r="C68" i="87"/>
  <c r="C69" i="87" s="1"/>
  <c r="N91" i="87"/>
  <c r="O18" i="89"/>
  <c r="N18" i="89"/>
  <c r="N67" i="87"/>
  <c r="B153" i="86"/>
  <c r="N152" i="86"/>
  <c r="N161" i="87" l="1"/>
  <c r="N69" i="87"/>
  <c r="C71" i="87"/>
  <c r="D158" i="48" s="1"/>
  <c r="C158" i="48"/>
  <c r="B117" i="87"/>
  <c r="N115" i="87"/>
  <c r="C112" i="48"/>
  <c r="O112" i="48" s="1"/>
  <c r="N48" i="87"/>
  <c r="C358" i="48"/>
  <c r="O358" i="48" s="1"/>
  <c r="N163" i="87"/>
  <c r="N68" i="87"/>
  <c r="C311" i="48"/>
  <c r="O311" i="48" s="1"/>
  <c r="N140" i="87"/>
  <c r="N153" i="86"/>
  <c r="B171" i="4"/>
  <c r="B29" i="89" s="1"/>
  <c r="C87" i="4"/>
  <c r="C24" i="94" s="1"/>
  <c r="C261" i="48" l="1"/>
  <c r="O261" i="48" s="1"/>
  <c r="N117" i="87"/>
  <c r="N71" i="87"/>
  <c r="D87" i="4"/>
  <c r="O158" i="48"/>
  <c r="C315" i="4"/>
  <c r="E87" i="4" l="1"/>
  <c r="D24" i="94"/>
  <c r="M15" i="89"/>
  <c r="L15" i="89"/>
  <c r="K15" i="89"/>
  <c r="J15" i="89"/>
  <c r="I15" i="89"/>
  <c r="H15" i="89"/>
  <c r="G15" i="89"/>
  <c r="F15" i="89"/>
  <c r="E15" i="89"/>
  <c r="D15" i="89"/>
  <c r="C15" i="89"/>
  <c r="B15" i="89"/>
  <c r="F87" i="4" l="1"/>
  <c r="E24" i="94"/>
  <c r="O15" i="89"/>
  <c r="N15" i="89"/>
  <c r="A32" i="63"/>
  <c r="G87" i="4" l="1"/>
  <c r="F24" i="94"/>
  <c r="D153" i="85"/>
  <c r="B153" i="85"/>
  <c r="A155" i="85"/>
  <c r="L153" i="85"/>
  <c r="H153" i="85"/>
  <c r="A148" i="85"/>
  <c r="K153" i="85"/>
  <c r="J153" i="85"/>
  <c r="I153" i="85"/>
  <c r="G153" i="85"/>
  <c r="F153" i="85"/>
  <c r="C153" i="85"/>
  <c r="H87" i="4" l="1"/>
  <c r="G24" i="94"/>
  <c r="L154" i="85"/>
  <c r="L155" i="85" s="1"/>
  <c r="D154" i="85"/>
  <c r="O21" i="89"/>
  <c r="G154" i="85"/>
  <c r="G155" i="85" s="1"/>
  <c r="K154" i="85"/>
  <c r="K155" i="85" s="1"/>
  <c r="I154" i="85"/>
  <c r="I155" i="85" s="1"/>
  <c r="C154" i="85"/>
  <c r="C155" i="85" s="1"/>
  <c r="B154" i="85"/>
  <c r="F154" i="85"/>
  <c r="F155" i="85" s="1"/>
  <c r="J154" i="85"/>
  <c r="J155" i="85" s="1"/>
  <c r="E153" i="85"/>
  <c r="M153" i="85"/>
  <c r="H154" i="85"/>
  <c r="H155" i="85" s="1"/>
  <c r="D155" i="85"/>
  <c r="N146" i="85"/>
  <c r="N153" i="85" l="1"/>
  <c r="I87" i="4"/>
  <c r="H24" i="94"/>
  <c r="N147" i="85"/>
  <c r="M154" i="85"/>
  <c r="M155" i="85" s="1"/>
  <c r="E154" i="85"/>
  <c r="B155" i="85"/>
  <c r="N154" i="85" l="1"/>
  <c r="J87" i="4"/>
  <c r="I24" i="94"/>
  <c r="E155" i="85"/>
  <c r="N148" i="85"/>
  <c r="K87" i="4" l="1"/>
  <c r="J24" i="94"/>
  <c r="N155" i="85"/>
  <c r="C381" i="4"/>
  <c r="D381" i="4"/>
  <c r="E381" i="4"/>
  <c r="F381" i="4"/>
  <c r="G381" i="4"/>
  <c r="H381" i="4"/>
  <c r="I381" i="4"/>
  <c r="J381" i="4"/>
  <c r="K381" i="4"/>
  <c r="L381" i="4"/>
  <c r="M381" i="4"/>
  <c r="B381" i="4"/>
  <c r="M426" i="16"/>
  <c r="L426" i="16"/>
  <c r="K426" i="16"/>
  <c r="J426" i="16"/>
  <c r="I426" i="16"/>
  <c r="H426" i="16"/>
  <c r="G426" i="16"/>
  <c r="F426" i="16"/>
  <c r="E426" i="16"/>
  <c r="D426" i="16"/>
  <c r="C426" i="16"/>
  <c r="B426" i="16"/>
  <c r="B421" i="16"/>
  <c r="M416" i="16"/>
  <c r="L416" i="16"/>
  <c r="K416" i="16"/>
  <c r="J416" i="16"/>
  <c r="I416" i="16"/>
  <c r="H416" i="16"/>
  <c r="G416" i="16"/>
  <c r="F416" i="16"/>
  <c r="E416" i="16"/>
  <c r="D416" i="16"/>
  <c r="C416" i="16"/>
  <c r="B416" i="16"/>
  <c r="M406" i="16"/>
  <c r="L406" i="16"/>
  <c r="K406" i="16"/>
  <c r="J406" i="16"/>
  <c r="I406" i="16"/>
  <c r="H406" i="16"/>
  <c r="G406" i="16"/>
  <c r="F406" i="16"/>
  <c r="E406" i="16"/>
  <c r="D406" i="16"/>
  <c r="C406" i="16"/>
  <c r="B406" i="16"/>
  <c r="M401" i="16"/>
  <c r="L401" i="16"/>
  <c r="K401" i="16"/>
  <c r="J401" i="16"/>
  <c r="I401" i="16"/>
  <c r="H401" i="16"/>
  <c r="G401" i="16"/>
  <c r="F401" i="16"/>
  <c r="E401" i="16"/>
  <c r="D401" i="16"/>
  <c r="C401" i="16"/>
  <c r="B401" i="16"/>
  <c r="M391" i="16"/>
  <c r="L391" i="16"/>
  <c r="K391" i="16"/>
  <c r="J391" i="16"/>
  <c r="I391" i="16"/>
  <c r="H391" i="16"/>
  <c r="G391" i="16"/>
  <c r="F391" i="16"/>
  <c r="E391" i="16"/>
  <c r="D391" i="16"/>
  <c r="C391" i="16"/>
  <c r="B391" i="16"/>
  <c r="M386" i="16"/>
  <c r="L386" i="16"/>
  <c r="K386" i="16"/>
  <c r="J386" i="16"/>
  <c r="I386" i="16"/>
  <c r="H386" i="16"/>
  <c r="G386" i="16"/>
  <c r="F386" i="16"/>
  <c r="E386" i="16"/>
  <c r="D386" i="16"/>
  <c r="C386" i="16"/>
  <c r="B386" i="16"/>
  <c r="C432" i="64"/>
  <c r="D432" i="64"/>
  <c r="E432" i="64"/>
  <c r="F432" i="64"/>
  <c r="G432" i="64"/>
  <c r="H432" i="64"/>
  <c r="I432" i="64"/>
  <c r="J432" i="64"/>
  <c r="K432" i="64"/>
  <c r="L432" i="64"/>
  <c r="M432" i="64"/>
  <c r="B437" i="64"/>
  <c r="B432" i="64"/>
  <c r="C412" i="64"/>
  <c r="D412" i="64"/>
  <c r="E412" i="64"/>
  <c r="F412" i="64"/>
  <c r="G412" i="64"/>
  <c r="H412" i="64"/>
  <c r="I412" i="64"/>
  <c r="J412" i="64"/>
  <c r="K412" i="64"/>
  <c r="L412" i="64"/>
  <c r="M412" i="64"/>
  <c r="B412" i="64"/>
  <c r="C417" i="64"/>
  <c r="D417" i="64"/>
  <c r="E417" i="64"/>
  <c r="F417" i="64"/>
  <c r="G417" i="64"/>
  <c r="H417" i="64"/>
  <c r="I417" i="64"/>
  <c r="J417" i="64"/>
  <c r="K417" i="64"/>
  <c r="L417" i="64"/>
  <c r="M417" i="64"/>
  <c r="B417" i="64"/>
  <c r="N442" i="64"/>
  <c r="M427" i="64"/>
  <c r="L427" i="64"/>
  <c r="K427" i="64"/>
  <c r="J427" i="64"/>
  <c r="I427" i="64"/>
  <c r="H427" i="64"/>
  <c r="G427" i="64"/>
  <c r="F427" i="64"/>
  <c r="E427" i="64"/>
  <c r="D427" i="64"/>
  <c r="C427" i="64"/>
  <c r="B427" i="64"/>
  <c r="N402" i="64"/>
  <c r="M397" i="64"/>
  <c r="L397" i="64"/>
  <c r="K397" i="64"/>
  <c r="J397" i="64"/>
  <c r="I397" i="64"/>
  <c r="H397" i="64"/>
  <c r="G397" i="64"/>
  <c r="F397" i="64"/>
  <c r="E397" i="64"/>
  <c r="D397" i="64"/>
  <c r="C397" i="64"/>
  <c r="B397" i="64"/>
  <c r="N432" i="64" l="1"/>
  <c r="L87" i="4"/>
  <c r="K24" i="94"/>
  <c r="N426" i="16"/>
  <c r="N412" i="64"/>
  <c r="N386" i="16"/>
  <c r="N401" i="16"/>
  <c r="N406" i="16"/>
  <c r="N391" i="16"/>
  <c r="N416" i="16"/>
  <c r="N397" i="64"/>
  <c r="N417" i="64"/>
  <c r="N427" i="64"/>
  <c r="M87" i="4" l="1"/>
  <c r="M24" i="94" s="1"/>
  <c r="L24" i="94"/>
  <c r="O24" i="94" s="1"/>
  <c r="C386" i="4"/>
  <c r="C391" i="4" s="1"/>
  <c r="C392" i="4" s="1"/>
  <c r="F386" i="4"/>
  <c r="F391" i="4" s="1"/>
  <c r="F392" i="4" s="1"/>
  <c r="I386" i="4"/>
  <c r="J386" i="4"/>
  <c r="J391" i="4" s="1"/>
  <c r="J392" i="4" s="1"/>
  <c r="K386" i="4"/>
  <c r="K391" i="4" s="1"/>
  <c r="K392" i="4" s="1"/>
  <c r="M386" i="4"/>
  <c r="M387" i="4" s="1"/>
  <c r="C425" i="4"/>
  <c r="N420" i="4"/>
  <c r="C410" i="4"/>
  <c r="N400" i="4"/>
  <c r="N390" i="4"/>
  <c r="G386" i="4"/>
  <c r="G391" i="4" s="1"/>
  <c r="G392" i="4" s="1"/>
  <c r="B386" i="4"/>
  <c r="B391" i="4" s="1"/>
  <c r="B392" i="4" s="1"/>
  <c r="N385" i="4"/>
  <c r="L386" i="4"/>
  <c r="L387" i="4" s="1"/>
  <c r="H386" i="4"/>
  <c r="H387" i="4" s="1"/>
  <c r="E386" i="4"/>
  <c r="D386" i="4"/>
  <c r="D387" i="4" s="1"/>
  <c r="C30" i="93" l="1"/>
  <c r="C421" i="16"/>
  <c r="C437" i="64"/>
  <c r="D425" i="4"/>
  <c r="N24" i="94"/>
  <c r="D410" i="4"/>
  <c r="E410" i="4" s="1"/>
  <c r="C29" i="93"/>
  <c r="C411" i="16"/>
  <c r="C422" i="64"/>
  <c r="H391" i="4"/>
  <c r="H396" i="4" s="1"/>
  <c r="H401" i="4" s="1"/>
  <c r="H406" i="4" s="1"/>
  <c r="F387" i="4"/>
  <c r="G387" i="4"/>
  <c r="F396" i="4"/>
  <c r="F401" i="4" s="1"/>
  <c r="F402" i="4" s="1"/>
  <c r="G396" i="4"/>
  <c r="G401" i="4" s="1"/>
  <c r="G402" i="4" s="1"/>
  <c r="E387" i="4"/>
  <c r="E391" i="4"/>
  <c r="I387" i="4"/>
  <c r="I391" i="4"/>
  <c r="B387" i="4"/>
  <c r="J387" i="4"/>
  <c r="D391" i="4"/>
  <c r="L391" i="4"/>
  <c r="B396" i="4"/>
  <c r="J396" i="4"/>
  <c r="C387" i="4"/>
  <c r="K387" i="4"/>
  <c r="M391" i="4"/>
  <c r="C396" i="4"/>
  <c r="K396" i="4"/>
  <c r="E425" i="4"/>
  <c r="H392" i="4" l="1"/>
  <c r="H402" i="4"/>
  <c r="D29" i="93"/>
  <c r="D411" i="16"/>
  <c r="D422" i="64"/>
  <c r="E30" i="93"/>
  <c r="E421" i="16"/>
  <c r="E437" i="64"/>
  <c r="E29" i="93"/>
  <c r="E411" i="16"/>
  <c r="E422" i="64"/>
  <c r="D30" i="93"/>
  <c r="D437" i="64"/>
  <c r="D421" i="16"/>
  <c r="F406" i="4"/>
  <c r="F411" i="4" s="1"/>
  <c r="G406" i="4"/>
  <c r="G411" i="4" s="1"/>
  <c r="N387" i="4"/>
  <c r="E396" i="4"/>
  <c r="E392" i="4"/>
  <c r="F425" i="4"/>
  <c r="K401" i="4"/>
  <c r="C401" i="4"/>
  <c r="J401" i="4"/>
  <c r="L396" i="4"/>
  <c r="L392" i="4"/>
  <c r="I396" i="4"/>
  <c r="I392" i="4"/>
  <c r="M396" i="4"/>
  <c r="M392" i="4"/>
  <c r="B401" i="4"/>
  <c r="D396" i="4"/>
  <c r="D392" i="4"/>
  <c r="F410" i="4"/>
  <c r="H411" i="4"/>
  <c r="H416" i="4"/>
  <c r="H421" i="4" s="1"/>
  <c r="B11" i="49"/>
  <c r="G416" i="4" l="1"/>
  <c r="G421" i="4" s="1"/>
  <c r="F416" i="4"/>
  <c r="F421" i="4" s="1"/>
  <c r="F29" i="93"/>
  <c r="F411" i="16"/>
  <c r="F422" i="64"/>
  <c r="F30" i="93"/>
  <c r="F421" i="16"/>
  <c r="F437" i="64"/>
  <c r="K402" i="4"/>
  <c r="K406" i="4"/>
  <c r="N392" i="4"/>
  <c r="I401" i="4"/>
  <c r="J402" i="4"/>
  <c r="J406" i="4"/>
  <c r="H426" i="4"/>
  <c r="H422" i="4"/>
  <c r="D401" i="4"/>
  <c r="M401" i="4"/>
  <c r="C402" i="4"/>
  <c r="C406" i="4"/>
  <c r="G410" i="4"/>
  <c r="F412" i="4"/>
  <c r="B402" i="4"/>
  <c r="B406" i="4"/>
  <c r="F422" i="4"/>
  <c r="F426" i="4"/>
  <c r="F427" i="4" s="1"/>
  <c r="E401" i="4"/>
  <c r="G425" i="4"/>
  <c r="F407" i="4"/>
  <c r="G426" i="4"/>
  <c r="G422" i="4"/>
  <c r="L401" i="4"/>
  <c r="A154" i="87"/>
  <c r="M152" i="87"/>
  <c r="M153" i="87" s="1"/>
  <c r="M154" i="87" s="1"/>
  <c r="L152" i="87"/>
  <c r="K152" i="87"/>
  <c r="K153" i="87" s="1"/>
  <c r="K154" i="87" s="1"/>
  <c r="J152" i="87"/>
  <c r="I152" i="87"/>
  <c r="I153" i="87" s="1"/>
  <c r="I154" i="87" s="1"/>
  <c r="H152" i="87"/>
  <c r="G152" i="87"/>
  <c r="G153" i="87" s="1"/>
  <c r="G154" i="87" s="1"/>
  <c r="F152" i="87"/>
  <c r="E152" i="87"/>
  <c r="E153" i="87" s="1"/>
  <c r="E154" i="87" s="1"/>
  <c r="D152" i="87"/>
  <c r="C152" i="87"/>
  <c r="C153" i="87" s="1"/>
  <c r="C154" i="87" s="1"/>
  <c r="B152" i="87"/>
  <c r="A147" i="87"/>
  <c r="M146" i="87"/>
  <c r="M147" i="87" s="1"/>
  <c r="L146" i="87"/>
  <c r="L147" i="87" s="1"/>
  <c r="K146" i="87"/>
  <c r="K147" i="87" s="1"/>
  <c r="J146" i="87"/>
  <c r="J147" i="87" s="1"/>
  <c r="I146" i="87"/>
  <c r="I147" i="87" s="1"/>
  <c r="H146" i="87"/>
  <c r="H147" i="87" s="1"/>
  <c r="G146" i="87"/>
  <c r="G147" i="87" s="1"/>
  <c r="F146" i="87"/>
  <c r="F147" i="87" s="1"/>
  <c r="E146" i="87"/>
  <c r="E147" i="87" s="1"/>
  <c r="D146" i="87"/>
  <c r="D147" i="87" s="1"/>
  <c r="C146" i="87"/>
  <c r="C147" i="87" s="1"/>
  <c r="B146" i="87"/>
  <c r="B147" i="87" s="1"/>
  <c r="N145" i="87"/>
  <c r="A131" i="87"/>
  <c r="A124" i="87"/>
  <c r="L123" i="87"/>
  <c r="J123" i="87"/>
  <c r="H123" i="87"/>
  <c r="F123" i="87"/>
  <c r="D123" i="87"/>
  <c r="B123" i="87"/>
  <c r="M129" i="87"/>
  <c r="L129" i="87"/>
  <c r="K129" i="87"/>
  <c r="J129" i="87"/>
  <c r="I129" i="87"/>
  <c r="H129" i="87"/>
  <c r="G129" i="87"/>
  <c r="F129" i="87"/>
  <c r="E129" i="87"/>
  <c r="D129" i="87"/>
  <c r="C129" i="87"/>
  <c r="B129" i="87"/>
  <c r="A108" i="87"/>
  <c r="M102" i="87"/>
  <c r="M125" i="87" s="1"/>
  <c r="M148" i="87" s="1"/>
  <c r="L102" i="87"/>
  <c r="L125" i="87" s="1"/>
  <c r="L148" i="87" s="1"/>
  <c r="K102" i="87"/>
  <c r="K125" i="87" s="1"/>
  <c r="K148" i="87" s="1"/>
  <c r="J102" i="87"/>
  <c r="J125" i="87" s="1"/>
  <c r="J148" i="87" s="1"/>
  <c r="I102" i="87"/>
  <c r="I125" i="87" s="1"/>
  <c r="I148" i="87" s="1"/>
  <c r="H102" i="87"/>
  <c r="H125" i="87" s="1"/>
  <c r="H148" i="87" s="1"/>
  <c r="G102" i="87"/>
  <c r="G125" i="87" s="1"/>
  <c r="G148" i="87" s="1"/>
  <c r="F102" i="87"/>
  <c r="F125" i="87" s="1"/>
  <c r="F148" i="87" s="1"/>
  <c r="E102" i="87"/>
  <c r="E125" i="87" s="1"/>
  <c r="E148" i="87" s="1"/>
  <c r="D102" i="87"/>
  <c r="D125" i="87" s="1"/>
  <c r="D148" i="87" s="1"/>
  <c r="C102" i="87"/>
  <c r="C125" i="87" s="1"/>
  <c r="C148" i="87" s="1"/>
  <c r="B102" i="87"/>
  <c r="B125" i="87" s="1"/>
  <c r="B148" i="87" s="1"/>
  <c r="A101" i="87"/>
  <c r="M106" i="87"/>
  <c r="L106" i="87"/>
  <c r="K106" i="87"/>
  <c r="J106" i="87"/>
  <c r="I106" i="87"/>
  <c r="H106" i="87"/>
  <c r="G106" i="87"/>
  <c r="F106" i="87"/>
  <c r="E106" i="87"/>
  <c r="D106" i="87"/>
  <c r="C106" i="87"/>
  <c r="B106" i="87"/>
  <c r="A85" i="87"/>
  <c r="M79" i="87"/>
  <c r="L79" i="87"/>
  <c r="K79" i="87"/>
  <c r="J79" i="87"/>
  <c r="I79" i="87"/>
  <c r="H79" i="87"/>
  <c r="G79" i="87"/>
  <c r="F79" i="87"/>
  <c r="E79" i="87"/>
  <c r="D79" i="87"/>
  <c r="C79" i="87"/>
  <c r="B79" i="87"/>
  <c r="A78" i="87"/>
  <c r="G77" i="87"/>
  <c r="E77" i="87"/>
  <c r="C77" i="87"/>
  <c r="A62" i="87"/>
  <c r="M56" i="87"/>
  <c r="L56" i="87"/>
  <c r="K56" i="87"/>
  <c r="J56" i="87"/>
  <c r="I56" i="87"/>
  <c r="H56" i="87"/>
  <c r="G56" i="87"/>
  <c r="F56" i="87"/>
  <c r="E56" i="87"/>
  <c r="D56" i="87"/>
  <c r="C56" i="87"/>
  <c r="B56" i="87"/>
  <c r="A55" i="87"/>
  <c r="M60" i="87"/>
  <c r="L60" i="87"/>
  <c r="K60" i="87"/>
  <c r="J60" i="87"/>
  <c r="I60" i="87"/>
  <c r="H60" i="87"/>
  <c r="G60" i="87"/>
  <c r="F60" i="87"/>
  <c r="E60" i="87"/>
  <c r="D60" i="87"/>
  <c r="C60" i="87"/>
  <c r="N53" i="87"/>
  <c r="A39" i="87"/>
  <c r="M33" i="87"/>
  <c r="L33" i="87"/>
  <c r="K33" i="87"/>
  <c r="J33" i="87"/>
  <c r="I33" i="87"/>
  <c r="H33" i="87"/>
  <c r="G33" i="87"/>
  <c r="F33" i="87"/>
  <c r="E33" i="87"/>
  <c r="D33" i="87"/>
  <c r="C33" i="87"/>
  <c r="B33" i="87"/>
  <c r="A32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A28" i="87"/>
  <c r="A51" i="87" s="1"/>
  <c r="A74" i="87" s="1"/>
  <c r="A97" i="87" s="1"/>
  <c r="A120" i="87" s="1"/>
  <c r="A143" i="87" s="1"/>
  <c r="A22" i="87"/>
  <c r="C20" i="87"/>
  <c r="B20" i="87"/>
  <c r="M16" i="87"/>
  <c r="L16" i="87"/>
  <c r="K16" i="87"/>
  <c r="J16" i="87"/>
  <c r="I16" i="87"/>
  <c r="H16" i="87"/>
  <c r="G16" i="87"/>
  <c r="F16" i="87"/>
  <c r="E16" i="87"/>
  <c r="D16" i="87"/>
  <c r="C16" i="87"/>
  <c r="B16" i="87"/>
  <c r="C14" i="87"/>
  <c r="C15" i="87" s="1"/>
  <c r="B14" i="87"/>
  <c r="M20" i="87"/>
  <c r="L14" i="87"/>
  <c r="K20" i="87"/>
  <c r="J14" i="87"/>
  <c r="I20" i="87"/>
  <c r="H14" i="87"/>
  <c r="G20" i="87"/>
  <c r="F14" i="87"/>
  <c r="E20" i="87"/>
  <c r="D14" i="87"/>
  <c r="C6" i="87"/>
  <c r="D6" i="87" s="1"/>
  <c r="E6" i="87" s="1"/>
  <c r="F6" i="87" s="1"/>
  <c r="G6" i="87" s="1"/>
  <c r="H6" i="87" s="1"/>
  <c r="I6" i="87" s="1"/>
  <c r="J6" i="87" s="1"/>
  <c r="K6" i="87" s="1"/>
  <c r="L6" i="87" s="1"/>
  <c r="M6" i="87" s="1"/>
  <c r="N152" i="87" l="1"/>
  <c r="G29" i="93"/>
  <c r="G411" i="16"/>
  <c r="G422" i="64"/>
  <c r="G30" i="93"/>
  <c r="G421" i="16"/>
  <c r="G437" i="64"/>
  <c r="C17" i="87"/>
  <c r="D149" i="87"/>
  <c r="E356" i="48" s="1"/>
  <c r="H149" i="87"/>
  <c r="I356" i="48" s="1"/>
  <c r="L149" i="87"/>
  <c r="M356" i="48" s="1"/>
  <c r="E149" i="87"/>
  <c r="F356" i="48" s="1"/>
  <c r="I149" i="87"/>
  <c r="J356" i="48" s="1"/>
  <c r="F149" i="87"/>
  <c r="G356" i="48" s="1"/>
  <c r="J149" i="87"/>
  <c r="K356" i="48" s="1"/>
  <c r="M149" i="87"/>
  <c r="N356" i="48" s="1"/>
  <c r="C149" i="87"/>
  <c r="D356" i="48" s="1"/>
  <c r="G149" i="87"/>
  <c r="H356" i="48" s="1"/>
  <c r="K149" i="87"/>
  <c r="L356" i="48" s="1"/>
  <c r="M406" i="4"/>
  <c r="M402" i="4"/>
  <c r="F417" i="4"/>
  <c r="C416" i="4"/>
  <c r="C407" i="4"/>
  <c r="C411" i="4"/>
  <c r="C412" i="4" s="1"/>
  <c r="J411" i="4"/>
  <c r="J416" i="4"/>
  <c r="J421" i="4" s="1"/>
  <c r="K416" i="4"/>
  <c r="K421" i="4" s="1"/>
  <c r="K411" i="4"/>
  <c r="G407" i="4"/>
  <c r="L402" i="4"/>
  <c r="L406" i="4"/>
  <c r="G427" i="4"/>
  <c r="H425" i="4"/>
  <c r="E406" i="4"/>
  <c r="E402" i="4"/>
  <c r="B407" i="4"/>
  <c r="B416" i="4"/>
  <c r="B411" i="4"/>
  <c r="B412" i="4" s="1"/>
  <c r="G412" i="4"/>
  <c r="H410" i="4"/>
  <c r="D406" i="4"/>
  <c r="D402" i="4"/>
  <c r="I406" i="4"/>
  <c r="I402" i="4"/>
  <c r="N147" i="87"/>
  <c r="B149" i="87"/>
  <c r="B153" i="87"/>
  <c r="B154" i="87" s="1"/>
  <c r="D153" i="87"/>
  <c r="D154" i="87" s="1"/>
  <c r="F153" i="87"/>
  <c r="F154" i="87" s="1"/>
  <c r="H153" i="87"/>
  <c r="H154" i="87" s="1"/>
  <c r="J153" i="87"/>
  <c r="J154" i="87" s="1"/>
  <c r="L153" i="87"/>
  <c r="L154" i="87" s="1"/>
  <c r="N146" i="87"/>
  <c r="E21" i="87"/>
  <c r="E22" i="87" s="1"/>
  <c r="G21" i="87"/>
  <c r="G22" i="87" s="1"/>
  <c r="I21" i="87"/>
  <c r="I22" i="87" s="1"/>
  <c r="K21" i="87"/>
  <c r="K22" i="87" s="1"/>
  <c r="M21" i="87"/>
  <c r="M22" i="87" s="1"/>
  <c r="N37" i="87"/>
  <c r="B38" i="87"/>
  <c r="B39" i="87" s="1"/>
  <c r="D38" i="87"/>
  <c r="D39" i="87" s="1"/>
  <c r="F38" i="87"/>
  <c r="F39" i="87" s="1"/>
  <c r="H38" i="87"/>
  <c r="H39" i="87" s="1"/>
  <c r="J38" i="87"/>
  <c r="J39" i="87" s="1"/>
  <c r="L38" i="87"/>
  <c r="L39" i="87" s="1"/>
  <c r="C61" i="87"/>
  <c r="C62" i="87" s="1"/>
  <c r="E61" i="87"/>
  <c r="E62" i="87" s="1"/>
  <c r="G61" i="87"/>
  <c r="G62" i="87" s="1"/>
  <c r="I61" i="87"/>
  <c r="I62" i="87" s="1"/>
  <c r="K61" i="87"/>
  <c r="K62" i="87" s="1"/>
  <c r="M61" i="87"/>
  <c r="M62" i="87" s="1"/>
  <c r="C38" i="87"/>
  <c r="C39" i="87" s="1"/>
  <c r="E38" i="87"/>
  <c r="E39" i="87" s="1"/>
  <c r="G38" i="87"/>
  <c r="G39" i="87" s="1"/>
  <c r="I38" i="87"/>
  <c r="I39" i="87" s="1"/>
  <c r="K38" i="87"/>
  <c r="K39" i="87" s="1"/>
  <c r="M38" i="87"/>
  <c r="M39" i="87" s="1"/>
  <c r="D61" i="87"/>
  <c r="D62" i="87" s="1"/>
  <c r="F61" i="87"/>
  <c r="F62" i="87" s="1"/>
  <c r="H61" i="87"/>
  <c r="H62" i="87" s="1"/>
  <c r="J61" i="87"/>
  <c r="J62" i="87" s="1"/>
  <c r="L61" i="87"/>
  <c r="L62" i="87" s="1"/>
  <c r="N13" i="87"/>
  <c r="E14" i="87"/>
  <c r="E15" i="87" s="1"/>
  <c r="E17" i="87" s="1"/>
  <c r="G14" i="87"/>
  <c r="G15" i="87" s="1"/>
  <c r="G17" i="87" s="1"/>
  <c r="I14" i="87"/>
  <c r="I15" i="87" s="1"/>
  <c r="I17" i="87" s="1"/>
  <c r="K14" i="87"/>
  <c r="K15" i="87" s="1"/>
  <c r="K17" i="87" s="1"/>
  <c r="M14" i="87"/>
  <c r="M15" i="87" s="1"/>
  <c r="M17" i="87" s="1"/>
  <c r="B15" i="87"/>
  <c r="D15" i="87"/>
  <c r="D17" i="87" s="1"/>
  <c r="F15" i="87"/>
  <c r="F17" i="87" s="1"/>
  <c r="H15" i="87"/>
  <c r="H17" i="87" s="1"/>
  <c r="J15" i="87"/>
  <c r="J17" i="87" s="1"/>
  <c r="L15" i="87"/>
  <c r="L17" i="87" s="1"/>
  <c r="D20" i="87"/>
  <c r="F20" i="87"/>
  <c r="H20" i="87"/>
  <c r="J20" i="87"/>
  <c r="L20" i="87"/>
  <c r="C21" i="87"/>
  <c r="C22" i="87" s="1"/>
  <c r="N30" i="87"/>
  <c r="C31" i="87"/>
  <c r="C32" i="87" s="1"/>
  <c r="C34" i="87" s="1"/>
  <c r="D110" i="48" s="1"/>
  <c r="E31" i="87"/>
  <c r="E32" i="87" s="1"/>
  <c r="E34" i="87" s="1"/>
  <c r="F110" i="48" s="1"/>
  <c r="G31" i="87"/>
  <c r="G32" i="87" s="1"/>
  <c r="G34" i="87" s="1"/>
  <c r="H110" i="48" s="1"/>
  <c r="I31" i="87"/>
  <c r="I32" i="87" s="1"/>
  <c r="I34" i="87" s="1"/>
  <c r="J110" i="48" s="1"/>
  <c r="K31" i="87"/>
  <c r="K32" i="87" s="1"/>
  <c r="K34" i="87" s="1"/>
  <c r="L110" i="48" s="1"/>
  <c r="M31" i="87"/>
  <c r="M32" i="87" s="1"/>
  <c r="M34" i="87" s="1"/>
  <c r="N110" i="48" s="1"/>
  <c r="B54" i="87"/>
  <c r="B55" i="87" s="1"/>
  <c r="D54" i="87"/>
  <c r="D55" i="87" s="1"/>
  <c r="D57" i="87" s="1"/>
  <c r="E156" i="48" s="1"/>
  <c r="F54" i="87"/>
  <c r="F55" i="87" s="1"/>
  <c r="F57" i="87" s="1"/>
  <c r="G156" i="48" s="1"/>
  <c r="H54" i="87"/>
  <c r="H55" i="87" s="1"/>
  <c r="H57" i="87" s="1"/>
  <c r="I156" i="48" s="1"/>
  <c r="J54" i="87"/>
  <c r="J55" i="87" s="1"/>
  <c r="J57" i="87" s="1"/>
  <c r="K156" i="48" s="1"/>
  <c r="L54" i="87"/>
  <c r="L55" i="87" s="1"/>
  <c r="L57" i="87" s="1"/>
  <c r="M156" i="48" s="1"/>
  <c r="B60" i="87"/>
  <c r="B83" i="87"/>
  <c r="D83" i="87"/>
  <c r="F83" i="87"/>
  <c r="H83" i="87"/>
  <c r="J83" i="87"/>
  <c r="L83" i="87"/>
  <c r="N76" i="87"/>
  <c r="J77" i="87"/>
  <c r="J78" i="87" s="1"/>
  <c r="J80" i="87" s="1"/>
  <c r="K207" i="48" s="1"/>
  <c r="C107" i="87"/>
  <c r="C108" i="87" s="1"/>
  <c r="E107" i="87"/>
  <c r="E108" i="87" s="1"/>
  <c r="G107" i="87"/>
  <c r="G108" i="87" s="1"/>
  <c r="I107" i="87"/>
  <c r="I108" i="87" s="1"/>
  <c r="K107" i="87"/>
  <c r="K108" i="87" s="1"/>
  <c r="M107" i="87"/>
  <c r="M108" i="87" s="1"/>
  <c r="B21" i="87"/>
  <c r="B31" i="87"/>
  <c r="B32" i="87" s="1"/>
  <c r="D31" i="87"/>
  <c r="D32" i="87" s="1"/>
  <c r="D34" i="87" s="1"/>
  <c r="E110" i="48" s="1"/>
  <c r="F31" i="87"/>
  <c r="F32" i="87" s="1"/>
  <c r="F34" i="87" s="1"/>
  <c r="G110" i="48" s="1"/>
  <c r="H31" i="87"/>
  <c r="H32" i="87" s="1"/>
  <c r="H34" i="87" s="1"/>
  <c r="I110" i="48" s="1"/>
  <c r="J31" i="87"/>
  <c r="J32" i="87" s="1"/>
  <c r="J34" i="87" s="1"/>
  <c r="K110" i="48" s="1"/>
  <c r="L31" i="87"/>
  <c r="L32" i="87" s="1"/>
  <c r="L34" i="87" s="1"/>
  <c r="M110" i="48" s="1"/>
  <c r="C54" i="87"/>
  <c r="C55" i="87" s="1"/>
  <c r="C57" i="87" s="1"/>
  <c r="D156" i="48" s="1"/>
  <c r="E54" i="87"/>
  <c r="E55" i="87" s="1"/>
  <c r="E57" i="87" s="1"/>
  <c r="F156" i="48" s="1"/>
  <c r="G54" i="87"/>
  <c r="I54" i="87"/>
  <c r="I55" i="87" s="1"/>
  <c r="I57" i="87" s="1"/>
  <c r="J156" i="48" s="1"/>
  <c r="K54" i="87"/>
  <c r="K55" i="87" s="1"/>
  <c r="K57" i="87" s="1"/>
  <c r="L156" i="48" s="1"/>
  <c r="M54" i="87"/>
  <c r="M55" i="87" s="1"/>
  <c r="M57" i="87" s="1"/>
  <c r="N156" i="48" s="1"/>
  <c r="G55" i="87"/>
  <c r="G57" i="87" s="1"/>
  <c r="H156" i="48" s="1"/>
  <c r="C83" i="87"/>
  <c r="C78" i="87"/>
  <c r="C80" i="87" s="1"/>
  <c r="D207" i="48" s="1"/>
  <c r="E83" i="87"/>
  <c r="E78" i="87"/>
  <c r="E80" i="87" s="1"/>
  <c r="F207" i="48" s="1"/>
  <c r="G83" i="87"/>
  <c r="G78" i="87"/>
  <c r="G80" i="87" s="1"/>
  <c r="H207" i="48" s="1"/>
  <c r="I83" i="87"/>
  <c r="I77" i="87"/>
  <c r="I78" i="87" s="1"/>
  <c r="I80" i="87" s="1"/>
  <c r="J207" i="48" s="1"/>
  <c r="K83" i="87"/>
  <c r="K77" i="87"/>
  <c r="K78" i="87" s="1"/>
  <c r="K80" i="87" s="1"/>
  <c r="L207" i="48" s="1"/>
  <c r="M83" i="87"/>
  <c r="M77" i="87"/>
  <c r="M78" i="87" s="1"/>
  <c r="M80" i="87" s="1"/>
  <c r="N207" i="48" s="1"/>
  <c r="B77" i="87"/>
  <c r="D77" i="87"/>
  <c r="D78" i="87" s="1"/>
  <c r="D80" i="87" s="1"/>
  <c r="E207" i="48" s="1"/>
  <c r="F77" i="87"/>
  <c r="F78" i="87" s="1"/>
  <c r="F80" i="87" s="1"/>
  <c r="G207" i="48" s="1"/>
  <c r="H77" i="87"/>
  <c r="H78" i="87" s="1"/>
  <c r="H80" i="87" s="1"/>
  <c r="I207" i="48" s="1"/>
  <c r="L77" i="87"/>
  <c r="L78" i="87" s="1"/>
  <c r="L80" i="87" s="1"/>
  <c r="M207" i="48" s="1"/>
  <c r="N106" i="87"/>
  <c r="B107" i="87"/>
  <c r="B108" i="87" s="1"/>
  <c r="D107" i="87"/>
  <c r="D108" i="87" s="1"/>
  <c r="F107" i="87"/>
  <c r="F108" i="87" s="1"/>
  <c r="H107" i="87"/>
  <c r="H108" i="87" s="1"/>
  <c r="N99" i="87"/>
  <c r="C100" i="87"/>
  <c r="C101" i="87" s="1"/>
  <c r="C103" i="87" s="1"/>
  <c r="D259" i="48" s="1"/>
  <c r="E100" i="87"/>
  <c r="E101" i="87" s="1"/>
  <c r="E103" i="87" s="1"/>
  <c r="F259" i="48" s="1"/>
  <c r="G100" i="87"/>
  <c r="G101" i="87" s="1"/>
  <c r="G103" i="87" s="1"/>
  <c r="H259" i="48" s="1"/>
  <c r="I100" i="87"/>
  <c r="I101" i="87" s="1"/>
  <c r="I103" i="87" s="1"/>
  <c r="J259" i="48" s="1"/>
  <c r="K100" i="87"/>
  <c r="K101" i="87" s="1"/>
  <c r="K103" i="87" s="1"/>
  <c r="L259" i="48" s="1"/>
  <c r="M100" i="87"/>
  <c r="M101" i="87" s="1"/>
  <c r="M103" i="87" s="1"/>
  <c r="N259" i="48" s="1"/>
  <c r="L107" i="87"/>
  <c r="L108" i="87" s="1"/>
  <c r="C130" i="87"/>
  <c r="C131" i="87" s="1"/>
  <c r="E130" i="87"/>
  <c r="E131" i="87" s="1"/>
  <c r="G130" i="87"/>
  <c r="G131" i="87" s="1"/>
  <c r="I130" i="87"/>
  <c r="I131" i="87" s="1"/>
  <c r="K130" i="87"/>
  <c r="K131" i="87" s="1"/>
  <c r="M130" i="87"/>
  <c r="M131" i="87" s="1"/>
  <c r="B100" i="87"/>
  <c r="B101" i="87" s="1"/>
  <c r="D100" i="87"/>
  <c r="D101" i="87" s="1"/>
  <c r="D103" i="87" s="1"/>
  <c r="E259" i="48" s="1"/>
  <c r="F100" i="87"/>
  <c r="F101" i="87" s="1"/>
  <c r="F103" i="87" s="1"/>
  <c r="G259" i="48" s="1"/>
  <c r="H100" i="87"/>
  <c r="H101" i="87" s="1"/>
  <c r="H103" i="87" s="1"/>
  <c r="I259" i="48" s="1"/>
  <c r="J100" i="87"/>
  <c r="J101" i="87" s="1"/>
  <c r="J103" i="87" s="1"/>
  <c r="K259" i="48" s="1"/>
  <c r="L100" i="87"/>
  <c r="L101" i="87" s="1"/>
  <c r="L103" i="87" s="1"/>
  <c r="M259" i="48" s="1"/>
  <c r="J107" i="87"/>
  <c r="J108" i="87" s="1"/>
  <c r="N129" i="87"/>
  <c r="B130" i="87"/>
  <c r="B131" i="87" s="1"/>
  <c r="D130" i="87"/>
  <c r="D131" i="87" s="1"/>
  <c r="F130" i="87"/>
  <c r="F131" i="87" s="1"/>
  <c r="H130" i="87"/>
  <c r="H131" i="87" s="1"/>
  <c r="J130" i="87"/>
  <c r="J131" i="87" s="1"/>
  <c r="L130" i="87"/>
  <c r="L131" i="87" s="1"/>
  <c r="N122" i="87"/>
  <c r="C123" i="87"/>
  <c r="C124" i="87" s="1"/>
  <c r="C126" i="87" s="1"/>
  <c r="D309" i="48" s="1"/>
  <c r="E123" i="87"/>
  <c r="E124" i="87" s="1"/>
  <c r="E126" i="87" s="1"/>
  <c r="F309" i="48" s="1"/>
  <c r="G123" i="87"/>
  <c r="G124" i="87" s="1"/>
  <c r="G126" i="87" s="1"/>
  <c r="H309" i="48" s="1"/>
  <c r="I123" i="87"/>
  <c r="I124" i="87" s="1"/>
  <c r="I126" i="87" s="1"/>
  <c r="J309" i="48" s="1"/>
  <c r="K123" i="87"/>
  <c r="K124" i="87" s="1"/>
  <c r="K126" i="87" s="1"/>
  <c r="L309" i="48" s="1"/>
  <c r="M123" i="87"/>
  <c r="M124" i="87" s="1"/>
  <c r="M126" i="87" s="1"/>
  <c r="N309" i="48" s="1"/>
  <c r="B124" i="87"/>
  <c r="D124" i="87"/>
  <c r="D126" i="87" s="1"/>
  <c r="E309" i="48" s="1"/>
  <c r="F124" i="87"/>
  <c r="F126" i="87" s="1"/>
  <c r="G309" i="48" s="1"/>
  <c r="H124" i="87"/>
  <c r="H126" i="87" s="1"/>
  <c r="I309" i="48" s="1"/>
  <c r="J124" i="87"/>
  <c r="J126" i="87" s="1"/>
  <c r="K309" i="48" s="1"/>
  <c r="L124" i="87"/>
  <c r="L126" i="87" s="1"/>
  <c r="M309" i="48" s="1"/>
  <c r="H30" i="93" l="1"/>
  <c r="H437" i="64"/>
  <c r="H421" i="16"/>
  <c r="H29" i="93"/>
  <c r="H411" i="16"/>
  <c r="H422" i="64"/>
  <c r="N149" i="87"/>
  <c r="C356" i="48"/>
  <c r="O356" i="48" s="1"/>
  <c r="N402" i="4"/>
  <c r="D411" i="4"/>
  <c r="D412" i="4" s="1"/>
  <c r="D416" i="4"/>
  <c r="D407" i="4"/>
  <c r="B421" i="4"/>
  <c r="B417" i="4"/>
  <c r="H427" i="4"/>
  <c r="I425" i="4"/>
  <c r="K422" i="4"/>
  <c r="K426" i="4"/>
  <c r="M411" i="4"/>
  <c r="M416" i="4"/>
  <c r="M421" i="4" s="1"/>
  <c r="H412" i="4"/>
  <c r="I410" i="4"/>
  <c r="H407" i="4"/>
  <c r="C421" i="4"/>
  <c r="C417" i="4"/>
  <c r="I411" i="4"/>
  <c r="I416" i="4"/>
  <c r="I421" i="4" s="1"/>
  <c r="L411" i="4"/>
  <c r="L416" i="4"/>
  <c r="L421" i="4" s="1"/>
  <c r="J422" i="4"/>
  <c r="J426" i="4"/>
  <c r="E411" i="4"/>
  <c r="E412" i="4" s="1"/>
  <c r="E416" i="4"/>
  <c r="E407" i="4"/>
  <c r="G417" i="4"/>
  <c r="N154" i="87"/>
  <c r="N153" i="87"/>
  <c r="N123" i="87"/>
  <c r="N14" i="87"/>
  <c r="N20" i="87"/>
  <c r="N39" i="87"/>
  <c r="N131" i="87"/>
  <c r="N101" i="87"/>
  <c r="B103" i="87"/>
  <c r="N130" i="87"/>
  <c r="N107" i="87"/>
  <c r="M84" i="87"/>
  <c r="M85" i="87" s="1"/>
  <c r="I84" i="87"/>
  <c r="I85" i="87" s="1"/>
  <c r="G84" i="87"/>
  <c r="G85" i="87" s="1"/>
  <c r="E84" i="87"/>
  <c r="E85" i="87" s="1"/>
  <c r="C84" i="87"/>
  <c r="C85" i="87" s="1"/>
  <c r="N32" i="87"/>
  <c r="B34" i="87"/>
  <c r="N31" i="87"/>
  <c r="L84" i="87"/>
  <c r="L85" i="87" s="1"/>
  <c r="J84" i="87"/>
  <c r="J85" i="87" s="1"/>
  <c r="H84" i="87"/>
  <c r="H85" i="87" s="1"/>
  <c r="F84" i="87"/>
  <c r="F85" i="87" s="1"/>
  <c r="D84" i="87"/>
  <c r="D85" i="87" s="1"/>
  <c r="B84" i="87"/>
  <c r="B85" i="87" s="1"/>
  <c r="N83" i="87"/>
  <c r="J21" i="87"/>
  <c r="J22" i="87" s="1"/>
  <c r="F21" i="87"/>
  <c r="F22" i="87" s="1"/>
  <c r="N124" i="87"/>
  <c r="B126" i="87"/>
  <c r="N100" i="87"/>
  <c r="N108" i="87"/>
  <c r="N77" i="87"/>
  <c r="K84" i="87"/>
  <c r="K85" i="87" s="1"/>
  <c r="B78" i="87"/>
  <c r="B61" i="87"/>
  <c r="N61" i="87" s="1"/>
  <c r="N60" i="87"/>
  <c r="B57" i="87"/>
  <c r="N55" i="87"/>
  <c r="N54" i="87"/>
  <c r="L21" i="87"/>
  <c r="L22" i="87" s="1"/>
  <c r="H21" i="87"/>
  <c r="H22" i="87" s="1"/>
  <c r="D21" i="87"/>
  <c r="B17" i="87"/>
  <c r="N17" i="87" s="1"/>
  <c r="N15" i="87"/>
  <c r="N38" i="87"/>
  <c r="B22" i="87"/>
  <c r="I29" i="93" l="1"/>
  <c r="I411" i="16"/>
  <c r="I422" i="64"/>
  <c r="I30" i="93"/>
  <c r="I421" i="16"/>
  <c r="I437" i="64"/>
  <c r="N21" i="87"/>
  <c r="N57" i="87"/>
  <c r="C156" i="48"/>
  <c r="O156" i="48" s="1"/>
  <c r="N126" i="87"/>
  <c r="C309" i="48"/>
  <c r="O309" i="48" s="1"/>
  <c r="N34" i="87"/>
  <c r="C110" i="48"/>
  <c r="O110" i="48" s="1"/>
  <c r="N103" i="87"/>
  <c r="C259" i="48"/>
  <c r="O259" i="48" s="1"/>
  <c r="L426" i="4"/>
  <c r="L422" i="4"/>
  <c r="M422" i="4"/>
  <c r="M426" i="4"/>
  <c r="H417" i="4"/>
  <c r="C422" i="4"/>
  <c r="C426" i="4"/>
  <c r="C427" i="4" s="1"/>
  <c r="B422" i="4"/>
  <c r="B426" i="4"/>
  <c r="B427" i="4" s="1"/>
  <c r="I407" i="4"/>
  <c r="D421" i="4"/>
  <c r="D417" i="4"/>
  <c r="E421" i="4"/>
  <c r="E417" i="4"/>
  <c r="I422" i="4"/>
  <c r="I426" i="4"/>
  <c r="I427" i="4" s="1"/>
  <c r="I412" i="4"/>
  <c r="J410" i="4"/>
  <c r="J425" i="4"/>
  <c r="B62" i="87"/>
  <c r="D22" i="87"/>
  <c r="N85" i="87"/>
  <c r="B80" i="87"/>
  <c r="N78" i="87"/>
  <c r="N84" i="87"/>
  <c r="J30" i="93" l="1"/>
  <c r="J421" i="16"/>
  <c r="J437" i="64"/>
  <c r="J29" i="93"/>
  <c r="J411" i="16"/>
  <c r="J422" i="64"/>
  <c r="N22" i="87"/>
  <c r="N62" i="87"/>
  <c r="I417" i="4"/>
  <c r="J412" i="4"/>
  <c r="K410" i="4"/>
  <c r="J427" i="4"/>
  <c r="K425" i="4"/>
  <c r="E422" i="4"/>
  <c r="E426" i="4"/>
  <c r="E427" i="4" s="1"/>
  <c r="J407" i="4"/>
  <c r="D426" i="4"/>
  <c r="D427" i="4" s="1"/>
  <c r="D422" i="4"/>
  <c r="N80" i="87"/>
  <c r="C207" i="48"/>
  <c r="O207" i="48" s="1"/>
  <c r="K30" i="93" l="1"/>
  <c r="K421" i="16"/>
  <c r="K437" i="64"/>
  <c r="K29" i="93"/>
  <c r="K411" i="16"/>
  <c r="K422" i="64"/>
  <c r="L410" i="4"/>
  <c r="K412" i="4"/>
  <c r="J417" i="4"/>
  <c r="K407" i="4"/>
  <c r="K427" i="4"/>
  <c r="L425" i="4"/>
  <c r="N422" i="4"/>
  <c r="D173" i="61"/>
  <c r="E173" i="61"/>
  <c r="E174" i="61" s="1"/>
  <c r="E175" i="61" s="1"/>
  <c r="F160" i="61"/>
  <c r="H173" i="61"/>
  <c r="I166" i="61"/>
  <c r="J166" i="61"/>
  <c r="J167" i="61" s="1"/>
  <c r="J168" i="61" s="1"/>
  <c r="L166" i="61"/>
  <c r="M173" i="61"/>
  <c r="M174" i="61" s="1"/>
  <c r="M175" i="61" s="1"/>
  <c r="B166" i="61"/>
  <c r="M178" i="14"/>
  <c r="L178" i="14"/>
  <c r="K178" i="14"/>
  <c r="J178" i="14"/>
  <c r="I178" i="14"/>
  <c r="H178" i="14"/>
  <c r="G178" i="14"/>
  <c r="F178" i="14"/>
  <c r="E178" i="14"/>
  <c r="D178" i="14"/>
  <c r="C178" i="14"/>
  <c r="B178" i="14"/>
  <c r="O161" i="14"/>
  <c r="L30" i="93" l="1"/>
  <c r="L437" i="64"/>
  <c r="L421" i="16"/>
  <c r="L29" i="93"/>
  <c r="L411" i="16"/>
  <c r="L422" i="64"/>
  <c r="L427" i="4"/>
  <c r="M425" i="4"/>
  <c r="L412" i="4"/>
  <c r="M410" i="4"/>
  <c r="K417" i="4"/>
  <c r="L407" i="4"/>
  <c r="L173" i="61"/>
  <c r="L174" i="61" s="1"/>
  <c r="L175" i="61" s="1"/>
  <c r="D166" i="61"/>
  <c r="D167" i="61" s="1"/>
  <c r="D168" i="61" s="1"/>
  <c r="M166" i="61"/>
  <c r="M167" i="61" s="1"/>
  <c r="M168" i="61" s="1"/>
  <c r="I173" i="61"/>
  <c r="I174" i="61" s="1"/>
  <c r="I175" i="61" s="1"/>
  <c r="M160" i="61"/>
  <c r="M161" i="61" s="1"/>
  <c r="F173" i="61"/>
  <c r="F174" i="61" s="1"/>
  <c r="F175" i="61" s="1"/>
  <c r="B160" i="61"/>
  <c r="B161" i="61" s="1"/>
  <c r="H166" i="61"/>
  <c r="H167" i="61" s="1"/>
  <c r="H168" i="61" s="1"/>
  <c r="J160" i="61"/>
  <c r="J161" i="61" s="1"/>
  <c r="E166" i="61"/>
  <c r="E167" i="61" s="1"/>
  <c r="E168" i="61" s="1"/>
  <c r="N159" i="61"/>
  <c r="F166" i="61"/>
  <c r="F167" i="61" s="1"/>
  <c r="F168" i="61" s="1"/>
  <c r="I160" i="61"/>
  <c r="I161" i="61" s="1"/>
  <c r="E160" i="61"/>
  <c r="E161" i="61" s="1"/>
  <c r="J173" i="61"/>
  <c r="J174" i="61" s="1"/>
  <c r="J175" i="61" s="1"/>
  <c r="L167" i="61"/>
  <c r="L168" i="61" s="1"/>
  <c r="C173" i="61"/>
  <c r="C160" i="61"/>
  <c r="C161" i="61" s="1"/>
  <c r="C166" i="61"/>
  <c r="G173" i="61"/>
  <c r="G160" i="61"/>
  <c r="G161" i="61" s="1"/>
  <c r="G166" i="61"/>
  <c r="K173" i="61"/>
  <c r="K160" i="61"/>
  <c r="K161" i="61" s="1"/>
  <c r="K166" i="61"/>
  <c r="D174" i="61"/>
  <c r="D175" i="61" s="1"/>
  <c r="D160" i="61"/>
  <c r="D161" i="61" s="1"/>
  <c r="H160" i="61"/>
  <c r="H161" i="61" s="1"/>
  <c r="L160" i="61"/>
  <c r="L161" i="61" s="1"/>
  <c r="F161" i="61"/>
  <c r="B167" i="61"/>
  <c r="B173" i="61"/>
  <c r="I167" i="61"/>
  <c r="I168" i="61" s="1"/>
  <c r="H174" i="61"/>
  <c r="H175" i="61" s="1"/>
  <c r="I44" i="63"/>
  <c r="K25" i="63" s="1"/>
  <c r="I43" i="63"/>
  <c r="M29" i="93" l="1"/>
  <c r="M411" i="16"/>
  <c r="N411" i="16" s="1"/>
  <c r="M422" i="64"/>
  <c r="N422" i="64" s="1"/>
  <c r="M30" i="93"/>
  <c r="M421" i="16"/>
  <c r="N421" i="16" s="1"/>
  <c r="M437" i="64"/>
  <c r="N437" i="64" s="1"/>
  <c r="D25" i="63"/>
  <c r="B161" i="14" s="1"/>
  <c r="J43" i="63"/>
  <c r="M407" i="4"/>
  <c r="N405" i="4"/>
  <c r="L417" i="4"/>
  <c r="M412" i="4"/>
  <c r="N412" i="4" s="1"/>
  <c r="N410" i="4"/>
  <c r="M427" i="4"/>
  <c r="N427" i="4" s="1"/>
  <c r="N425" i="4"/>
  <c r="I161" i="14"/>
  <c r="I16" i="93" s="1"/>
  <c r="N166" i="61"/>
  <c r="N160" i="61"/>
  <c r="B168" i="61"/>
  <c r="G167" i="61"/>
  <c r="G168" i="61" s="1"/>
  <c r="C167" i="61"/>
  <c r="C168" i="61" s="1"/>
  <c r="K167" i="61"/>
  <c r="K168" i="61" s="1"/>
  <c r="B174" i="61"/>
  <c r="N173" i="61"/>
  <c r="N161" i="61"/>
  <c r="K174" i="61"/>
  <c r="K175" i="61" s="1"/>
  <c r="G174" i="61"/>
  <c r="G175" i="61" s="1"/>
  <c r="C174" i="61"/>
  <c r="C175" i="61" s="1"/>
  <c r="O29" i="93" l="1"/>
  <c r="N29" i="93"/>
  <c r="N30" i="93"/>
  <c r="O30" i="93"/>
  <c r="B162" i="14"/>
  <c r="B163" i="14" s="1"/>
  <c r="B16" i="93"/>
  <c r="B175" i="14"/>
  <c r="B176" i="14" s="1"/>
  <c r="B177" i="14" s="1"/>
  <c r="B179" i="14" s="1"/>
  <c r="B168" i="14"/>
  <c r="B169" i="14" s="1"/>
  <c r="M417" i="4"/>
  <c r="N417" i="4" s="1"/>
  <c r="N415" i="4"/>
  <c r="N407" i="4"/>
  <c r="I162" i="14"/>
  <c r="I163" i="14" s="1"/>
  <c r="I175" i="14"/>
  <c r="I176" i="14" s="1"/>
  <c r="I177" i="14" s="1"/>
  <c r="I179" i="14" s="1"/>
  <c r="I168" i="14"/>
  <c r="I169" i="14" s="1"/>
  <c r="I170" i="14" s="1"/>
  <c r="N167" i="61"/>
  <c r="N174" i="61"/>
  <c r="B175" i="61"/>
  <c r="N175" i="61" s="1"/>
  <c r="N168" i="61"/>
  <c r="B170" i="14" l="1"/>
  <c r="J338" i="48"/>
  <c r="C338" i="48"/>
  <c r="K101" i="53" l="1"/>
  <c r="L346" i="48" s="1"/>
  <c r="H101" i="53"/>
  <c r="I346" i="48" s="1"/>
  <c r="N98" i="53"/>
  <c r="N97" i="53"/>
  <c r="N96" i="53"/>
  <c r="M95" i="53"/>
  <c r="M101" i="53" s="1"/>
  <c r="N346" i="48" s="1"/>
  <c r="L95" i="53"/>
  <c r="L101" i="53" s="1"/>
  <c r="M346" i="48" s="1"/>
  <c r="K95" i="53"/>
  <c r="J95" i="53"/>
  <c r="J101" i="53" s="1"/>
  <c r="K346" i="48" s="1"/>
  <c r="I95" i="53"/>
  <c r="I101" i="53" s="1"/>
  <c r="J346" i="48" s="1"/>
  <c r="H95" i="53"/>
  <c r="G95" i="53"/>
  <c r="G101" i="53" s="1"/>
  <c r="H346" i="48" s="1"/>
  <c r="F95" i="53"/>
  <c r="F101" i="53" s="1"/>
  <c r="G346" i="48" s="1"/>
  <c r="E95" i="53"/>
  <c r="E101" i="53" s="1"/>
  <c r="F346" i="48" s="1"/>
  <c r="D95" i="53"/>
  <c r="D101" i="53" s="1"/>
  <c r="E346" i="48" s="1"/>
  <c r="C95" i="53"/>
  <c r="C101" i="53" s="1"/>
  <c r="D346" i="48" s="1"/>
  <c r="B95" i="53"/>
  <c r="B101" i="53" s="1"/>
  <c r="C346" i="48" s="1"/>
  <c r="N94" i="53"/>
  <c r="N93" i="53"/>
  <c r="C99" i="24"/>
  <c r="D99" i="24"/>
  <c r="E99" i="24"/>
  <c r="F99" i="24"/>
  <c r="G99" i="24"/>
  <c r="H99" i="24"/>
  <c r="I99" i="24"/>
  <c r="J99" i="24"/>
  <c r="K99" i="24"/>
  <c r="L99" i="24"/>
  <c r="M99" i="24"/>
  <c r="B99" i="24"/>
  <c r="A171" i="18"/>
  <c r="A166" i="18"/>
  <c r="N157" i="18"/>
  <c r="C159" i="18"/>
  <c r="C17" i="93" s="1"/>
  <c r="D159" i="18"/>
  <c r="D17" i="93" s="1"/>
  <c r="E159" i="18"/>
  <c r="F159" i="18"/>
  <c r="F17" i="93" s="1"/>
  <c r="G159" i="18"/>
  <c r="G17" i="93" s="1"/>
  <c r="H159" i="18"/>
  <c r="H17" i="93" s="1"/>
  <c r="I159" i="18"/>
  <c r="J159" i="18"/>
  <c r="K159" i="18"/>
  <c r="K17" i="93" s="1"/>
  <c r="L159" i="18"/>
  <c r="L17" i="93" s="1"/>
  <c r="M159" i="18"/>
  <c r="M17" i="93" s="1"/>
  <c r="B159" i="18"/>
  <c r="M115" i="49"/>
  <c r="L115" i="49"/>
  <c r="K115" i="49"/>
  <c r="J115" i="49"/>
  <c r="I115" i="49"/>
  <c r="H115" i="49"/>
  <c r="G115" i="49"/>
  <c r="F115" i="49"/>
  <c r="E115" i="49"/>
  <c r="D115" i="49"/>
  <c r="C115" i="49"/>
  <c r="B115" i="49"/>
  <c r="J20" i="68"/>
  <c r="C115" i="70"/>
  <c r="D115" i="70"/>
  <c r="E115" i="70"/>
  <c r="F115" i="70"/>
  <c r="G115" i="70"/>
  <c r="H115" i="70"/>
  <c r="I115" i="70"/>
  <c r="J115" i="70"/>
  <c r="K115" i="70"/>
  <c r="L115" i="70"/>
  <c r="M115" i="70"/>
  <c r="B115" i="70"/>
  <c r="Q17" i="71"/>
  <c r="B13" i="93" l="1"/>
  <c r="B117" i="70"/>
  <c r="B116" i="70" s="1"/>
  <c r="F13" i="93"/>
  <c r="F117" i="70"/>
  <c r="F116" i="70" s="1"/>
  <c r="D117" i="49"/>
  <c r="D116" i="49" s="1"/>
  <c r="H117" i="49"/>
  <c r="H116" i="49" s="1"/>
  <c r="L117" i="49"/>
  <c r="L116" i="49" s="1"/>
  <c r="M117" i="70"/>
  <c r="M116" i="70" s="1"/>
  <c r="I13" i="93"/>
  <c r="I117" i="70"/>
  <c r="I116" i="70" s="1"/>
  <c r="E117" i="70"/>
  <c r="E116" i="70" s="1"/>
  <c r="E12" i="93"/>
  <c r="E117" i="49"/>
  <c r="E116" i="49" s="1"/>
  <c r="I12" i="93"/>
  <c r="I117" i="49"/>
  <c r="I116" i="49" s="1"/>
  <c r="M12" i="93"/>
  <c r="M117" i="49"/>
  <c r="M116" i="49" s="1"/>
  <c r="J13" i="93"/>
  <c r="J117" i="70"/>
  <c r="J116" i="70" s="1"/>
  <c r="L117" i="70"/>
  <c r="L116" i="70" s="1"/>
  <c r="H117" i="70"/>
  <c r="H116" i="70" s="1"/>
  <c r="D117" i="70"/>
  <c r="D116" i="70" s="1"/>
  <c r="B12" i="93"/>
  <c r="B23" i="93" s="1"/>
  <c r="B117" i="49"/>
  <c r="B116" i="49" s="1"/>
  <c r="F12" i="93"/>
  <c r="F117" i="49"/>
  <c r="F116" i="49" s="1"/>
  <c r="J12" i="93"/>
  <c r="J117" i="49"/>
  <c r="J116" i="49" s="1"/>
  <c r="B158" i="18"/>
  <c r="B161" i="18" s="1"/>
  <c r="B166" i="18" s="1"/>
  <c r="B17" i="93"/>
  <c r="J158" i="18"/>
  <c r="J161" i="18" s="1"/>
  <c r="J171" i="18" s="1"/>
  <c r="J17" i="93"/>
  <c r="K117" i="70"/>
  <c r="K116" i="70" s="1"/>
  <c r="G117" i="70"/>
  <c r="G116" i="70" s="1"/>
  <c r="C117" i="49"/>
  <c r="C116" i="49" s="1"/>
  <c r="G117" i="49"/>
  <c r="G116" i="49" s="1"/>
  <c r="K117" i="49"/>
  <c r="K116" i="49" s="1"/>
  <c r="I158" i="18"/>
  <c r="I161" i="18" s="1"/>
  <c r="I171" i="18" s="1"/>
  <c r="I17" i="93"/>
  <c r="E158" i="18"/>
  <c r="E161" i="18" s="1"/>
  <c r="E160" i="18" s="1"/>
  <c r="E17" i="93"/>
  <c r="C117" i="70"/>
  <c r="C116" i="70" s="1"/>
  <c r="G13" i="93"/>
  <c r="C13" i="93"/>
  <c r="M122" i="70"/>
  <c r="M13" i="93"/>
  <c r="E122" i="70"/>
  <c r="E13" i="93"/>
  <c r="C12" i="93"/>
  <c r="G122" i="49"/>
  <c r="G12" i="93"/>
  <c r="K12" i="93"/>
  <c r="K13" i="93"/>
  <c r="L122" i="70"/>
  <c r="L13" i="93"/>
  <c r="H13" i="93"/>
  <c r="D122" i="70"/>
  <c r="D13" i="93"/>
  <c r="D122" i="49"/>
  <c r="D12" i="93"/>
  <c r="H122" i="49"/>
  <c r="H12" i="93"/>
  <c r="L12" i="93"/>
  <c r="C122" i="49"/>
  <c r="M101" i="24"/>
  <c r="M100" i="24" s="1"/>
  <c r="M103" i="24" s="1"/>
  <c r="M158" i="18"/>
  <c r="M161" i="18" s="1"/>
  <c r="M160" i="18" s="1"/>
  <c r="F101" i="24"/>
  <c r="F100" i="24" s="1"/>
  <c r="F103" i="24" s="1"/>
  <c r="F158" i="18"/>
  <c r="F161" i="18" s="1"/>
  <c r="F160" i="18" s="1"/>
  <c r="L158" i="18"/>
  <c r="L161" i="18" s="1"/>
  <c r="L171" i="18" s="1"/>
  <c r="L101" i="24"/>
  <c r="L100" i="24" s="1"/>
  <c r="L103" i="24" s="1"/>
  <c r="D101" i="24"/>
  <c r="D100" i="24" s="1"/>
  <c r="D103" i="24" s="1"/>
  <c r="D158" i="18"/>
  <c r="D161" i="18" s="1"/>
  <c r="D160" i="18" s="1"/>
  <c r="K158" i="18"/>
  <c r="K161" i="18" s="1"/>
  <c r="K160" i="18" s="1"/>
  <c r="K101" i="24"/>
  <c r="K100" i="24" s="1"/>
  <c r="K103" i="24" s="1"/>
  <c r="G158" i="18"/>
  <c r="G161" i="18" s="1"/>
  <c r="G166" i="18" s="1"/>
  <c r="G101" i="24"/>
  <c r="G100" i="24" s="1"/>
  <c r="G103" i="24" s="1"/>
  <c r="G102" i="24" s="1"/>
  <c r="C158" i="18"/>
  <c r="C161" i="18" s="1"/>
  <c r="C171" i="18" s="1"/>
  <c r="C101" i="24"/>
  <c r="C100" i="24" s="1"/>
  <c r="C103" i="24" s="1"/>
  <c r="C102" i="24" s="1"/>
  <c r="N159" i="18"/>
  <c r="H101" i="24"/>
  <c r="H100" i="24" s="1"/>
  <c r="H103" i="24" s="1"/>
  <c r="H158" i="18"/>
  <c r="H161" i="18" s="1"/>
  <c r="H166" i="18" s="1"/>
  <c r="J101" i="24"/>
  <c r="J100" i="24" s="1"/>
  <c r="J103" i="24" s="1"/>
  <c r="J102" i="24" s="1"/>
  <c r="I101" i="24"/>
  <c r="I100" i="24" s="1"/>
  <c r="I103" i="24" s="1"/>
  <c r="E101" i="24"/>
  <c r="B101" i="24"/>
  <c r="B100" i="24" s="1"/>
  <c r="B103" i="24" s="1"/>
  <c r="B102" i="24" s="1"/>
  <c r="N95" i="53"/>
  <c r="N101" i="53" s="1"/>
  <c r="J160" i="18"/>
  <c r="E166" i="18"/>
  <c r="E171" i="18"/>
  <c r="I160" i="18"/>
  <c r="N99" i="24"/>
  <c r="K122" i="49"/>
  <c r="L122" i="49"/>
  <c r="E122" i="49"/>
  <c r="M122" i="49"/>
  <c r="I122" i="49"/>
  <c r="B122" i="49"/>
  <c r="F122" i="49"/>
  <c r="J122" i="49"/>
  <c r="N115" i="49"/>
  <c r="H122" i="70"/>
  <c r="I122" i="70"/>
  <c r="N115" i="70"/>
  <c r="B122" i="70"/>
  <c r="F122" i="70"/>
  <c r="J122" i="70"/>
  <c r="C122" i="70"/>
  <c r="G122" i="70"/>
  <c r="K122" i="70"/>
  <c r="J166" i="18" l="1"/>
  <c r="I166" i="18"/>
  <c r="K124" i="70"/>
  <c r="K123" i="70" s="1"/>
  <c r="H124" i="70"/>
  <c r="H123" i="70" s="1"/>
  <c r="L124" i="49"/>
  <c r="L123" i="49"/>
  <c r="G124" i="70"/>
  <c r="G123" i="70" s="1"/>
  <c r="B124" i="70"/>
  <c r="B123" i="70" s="1"/>
  <c r="I124" i="49"/>
  <c r="I123" i="49" s="1"/>
  <c r="K124" i="49"/>
  <c r="K123" i="49" s="1"/>
  <c r="D124" i="70"/>
  <c r="D123" i="70" s="1"/>
  <c r="M124" i="70"/>
  <c r="M123" i="70" s="1"/>
  <c r="J124" i="49"/>
  <c r="J123" i="49" s="1"/>
  <c r="M124" i="49"/>
  <c r="M123" i="49" s="1"/>
  <c r="M171" i="18"/>
  <c r="B171" i="18"/>
  <c r="C124" i="49"/>
  <c r="C123" i="49" s="1"/>
  <c r="F124" i="70"/>
  <c r="F123" i="70" s="1"/>
  <c r="B124" i="49"/>
  <c r="B123" i="49" s="1"/>
  <c r="L124" i="70"/>
  <c r="L123" i="70" s="1"/>
  <c r="G124" i="49"/>
  <c r="G123" i="49" s="1"/>
  <c r="H124" i="49"/>
  <c r="H123" i="49" s="1"/>
  <c r="I23" i="93"/>
  <c r="J123" i="70"/>
  <c r="J124" i="70"/>
  <c r="I124" i="70"/>
  <c r="I123" i="70" s="1"/>
  <c r="F124" i="49"/>
  <c r="F123" i="49" s="1"/>
  <c r="E124" i="49"/>
  <c r="E123" i="49" s="1"/>
  <c r="B160" i="18"/>
  <c r="D124" i="49"/>
  <c r="D123" i="49" s="1"/>
  <c r="E124" i="70"/>
  <c r="E123" i="70" s="1"/>
  <c r="N17" i="93"/>
  <c r="O17" i="93"/>
  <c r="C124" i="70"/>
  <c r="C123" i="70" s="1"/>
  <c r="O13" i="93"/>
  <c r="N13" i="93"/>
  <c r="O12" i="93"/>
  <c r="N12" i="93"/>
  <c r="M166" i="18"/>
  <c r="L160" i="18"/>
  <c r="L166" i="18"/>
  <c r="K102" i="24"/>
  <c r="G171" i="18"/>
  <c r="F171" i="18"/>
  <c r="H160" i="18"/>
  <c r="G160" i="18"/>
  <c r="C160" i="18"/>
  <c r="F102" i="24"/>
  <c r="K171" i="18"/>
  <c r="K166" i="18"/>
  <c r="C166" i="18"/>
  <c r="F166" i="18"/>
  <c r="N101" i="24"/>
  <c r="H171" i="18"/>
  <c r="N158" i="18"/>
  <c r="D166" i="18"/>
  <c r="E100" i="24"/>
  <c r="E103" i="24" s="1"/>
  <c r="N103" i="24" s="1"/>
  <c r="D171" i="18"/>
  <c r="N161" i="18"/>
  <c r="L102" i="24"/>
  <c r="M102" i="24"/>
  <c r="H102" i="24"/>
  <c r="I102" i="24"/>
  <c r="D102" i="24"/>
  <c r="N116" i="49"/>
  <c r="N122" i="49"/>
  <c r="N116" i="70"/>
  <c r="N122" i="70"/>
  <c r="N160" i="18" l="1"/>
  <c r="E102" i="24"/>
  <c r="N102" i="24" s="1"/>
  <c r="N171" i="18"/>
  <c r="N166" i="18"/>
  <c r="N100" i="24"/>
  <c r="N123" i="49"/>
  <c r="N117" i="49"/>
  <c r="N124" i="70"/>
  <c r="N117" i="70"/>
  <c r="N123" i="70"/>
  <c r="N124" i="49" l="1"/>
  <c r="N352" i="48" l="1"/>
  <c r="M352" i="48"/>
  <c r="L352" i="48"/>
  <c r="K352" i="48"/>
  <c r="J352" i="48"/>
  <c r="I352" i="48"/>
  <c r="H352" i="48"/>
  <c r="G352" i="48"/>
  <c r="F352" i="48"/>
  <c r="E352" i="48"/>
  <c r="D352" i="48"/>
  <c r="C352" i="48"/>
  <c r="N351" i="48"/>
  <c r="M351" i="48"/>
  <c r="L351" i="48"/>
  <c r="K351" i="48"/>
  <c r="J351" i="48"/>
  <c r="I351" i="48"/>
  <c r="H351" i="48"/>
  <c r="G351" i="48"/>
  <c r="F351" i="48"/>
  <c r="E351" i="48"/>
  <c r="D351" i="48"/>
  <c r="C351" i="48"/>
  <c r="O351" i="48" l="1"/>
  <c r="B205" i="75" s="1"/>
  <c r="D205" i="75" s="1"/>
  <c r="O352" i="48"/>
  <c r="O355" i="48"/>
  <c r="B209" i="75" s="1"/>
  <c r="O346" i="48"/>
  <c r="D209" i="75" l="1"/>
  <c r="E209" i="75" s="1"/>
  <c r="B202" i="75"/>
  <c r="D202" i="75" s="1"/>
  <c r="E202" i="75" s="1"/>
  <c r="N59" i="61" l="1"/>
  <c r="B67" i="4"/>
  <c r="N77" i="4"/>
  <c r="N82" i="4"/>
  <c r="C21" i="4"/>
  <c r="D21" i="4"/>
  <c r="E21" i="4"/>
  <c r="F21" i="4"/>
  <c r="G21" i="4"/>
  <c r="H21" i="4"/>
  <c r="I21" i="4"/>
  <c r="J21" i="4"/>
  <c r="K21" i="4"/>
  <c r="L21" i="4"/>
  <c r="M21" i="4"/>
  <c r="B21" i="4"/>
  <c r="C131" i="16"/>
  <c r="D131" i="16"/>
  <c r="E131" i="16"/>
  <c r="F131" i="16"/>
  <c r="G131" i="16"/>
  <c r="H131" i="16"/>
  <c r="I131" i="16"/>
  <c r="J131" i="16"/>
  <c r="K131" i="16"/>
  <c r="L131" i="16"/>
  <c r="M131" i="16"/>
  <c r="C136" i="64"/>
  <c r="D136" i="64"/>
  <c r="E136" i="64"/>
  <c r="F136" i="64"/>
  <c r="G136" i="64"/>
  <c r="H136" i="64"/>
  <c r="I136" i="64"/>
  <c r="J136" i="64"/>
  <c r="K136" i="64"/>
  <c r="L136" i="64"/>
  <c r="M136" i="64"/>
  <c r="D72" i="4"/>
  <c r="E72" i="4"/>
  <c r="H72" i="4"/>
  <c r="L72" i="4"/>
  <c r="M72" i="4"/>
  <c r="C11" i="4"/>
  <c r="D11" i="4"/>
  <c r="E11" i="4"/>
  <c r="F11" i="4"/>
  <c r="F72" i="4" s="1"/>
  <c r="G11" i="4"/>
  <c r="H11" i="4"/>
  <c r="I11" i="4"/>
  <c r="I72" i="4" s="1"/>
  <c r="J11" i="4"/>
  <c r="J72" i="4" s="1"/>
  <c r="K11" i="4"/>
  <c r="K72" i="4" s="1"/>
  <c r="L11" i="4"/>
  <c r="M11" i="4"/>
  <c r="B11" i="4"/>
  <c r="B72" i="4" s="1"/>
  <c r="L176" i="64"/>
  <c r="B176" i="64"/>
  <c r="G225" i="4"/>
  <c r="G285" i="4" s="1"/>
  <c r="K225" i="4"/>
  <c r="K285" i="4" s="1"/>
  <c r="M26" i="4"/>
  <c r="C26" i="4"/>
  <c r="C225" i="4" s="1"/>
  <c r="C285" i="4" s="1"/>
  <c r="D26" i="4"/>
  <c r="E26" i="4"/>
  <c r="F26" i="4"/>
  <c r="G26" i="4"/>
  <c r="H26" i="4"/>
  <c r="I26" i="4"/>
  <c r="J26" i="4"/>
  <c r="K26" i="4"/>
  <c r="L26" i="4"/>
  <c r="B26" i="4"/>
  <c r="C107" i="64"/>
  <c r="D107" i="64"/>
  <c r="E107" i="64"/>
  <c r="F107" i="64"/>
  <c r="G107" i="64"/>
  <c r="H107" i="64"/>
  <c r="I107" i="64"/>
  <c r="J107" i="64"/>
  <c r="K107" i="64"/>
  <c r="L107" i="64"/>
  <c r="M107" i="64"/>
  <c r="N8" i="69"/>
  <c r="F8" i="69" s="1"/>
  <c r="N7" i="69"/>
  <c r="E7" i="69" s="1"/>
  <c r="C66" i="61"/>
  <c r="C73" i="61" s="1"/>
  <c r="D66" i="61"/>
  <c r="D73" i="61" s="1"/>
  <c r="E66" i="61"/>
  <c r="E73" i="61" s="1"/>
  <c r="F66" i="61"/>
  <c r="F73" i="61" s="1"/>
  <c r="G66" i="61"/>
  <c r="G73" i="61" s="1"/>
  <c r="H66" i="61"/>
  <c r="H73" i="61" s="1"/>
  <c r="I66" i="61"/>
  <c r="I73" i="61" s="1"/>
  <c r="J66" i="61"/>
  <c r="J73" i="61" s="1"/>
  <c r="K66" i="61"/>
  <c r="K73" i="61" s="1"/>
  <c r="L66" i="61"/>
  <c r="L73" i="61" s="1"/>
  <c r="M66" i="61"/>
  <c r="M73" i="61" s="1"/>
  <c r="M8" i="69" l="1"/>
  <c r="I8" i="69"/>
  <c r="E8" i="69"/>
  <c r="L7" i="69"/>
  <c r="H7" i="69"/>
  <c r="D7" i="69"/>
  <c r="L8" i="69"/>
  <c r="H8" i="69"/>
  <c r="D8" i="69"/>
  <c r="K7" i="69"/>
  <c r="G7" i="69"/>
  <c r="C7" i="69"/>
  <c r="B7" i="69"/>
  <c r="K8" i="69"/>
  <c r="G8" i="69"/>
  <c r="C8" i="69"/>
  <c r="J7" i="69"/>
  <c r="F7" i="69"/>
  <c r="B8" i="69"/>
  <c r="J8" i="69"/>
  <c r="M7" i="69"/>
  <c r="I7" i="69"/>
  <c r="B10" i="69"/>
  <c r="N376" i="48" s="1"/>
  <c r="C376" i="48"/>
  <c r="C340" i="4"/>
  <c r="C26" i="91"/>
  <c r="H141" i="4"/>
  <c r="H32" i="89" s="1"/>
  <c r="H30" i="94"/>
  <c r="K340" i="4"/>
  <c r="K26" i="91"/>
  <c r="B141" i="4"/>
  <c r="B32" i="89" s="1"/>
  <c r="B30" i="94"/>
  <c r="J141" i="4"/>
  <c r="J32" i="89" s="1"/>
  <c r="J30" i="94"/>
  <c r="F141" i="4"/>
  <c r="F32" i="89" s="1"/>
  <c r="F30" i="94"/>
  <c r="M141" i="4"/>
  <c r="M32" i="89" s="1"/>
  <c r="M30" i="94"/>
  <c r="D141" i="4"/>
  <c r="D32" i="89" s="1"/>
  <c r="D30" i="94"/>
  <c r="K141" i="4"/>
  <c r="K32" i="89" s="1"/>
  <c r="K30" i="94"/>
  <c r="E141" i="4"/>
  <c r="E32" i="89" s="1"/>
  <c r="E30" i="94"/>
  <c r="G340" i="4"/>
  <c r="G26" i="91"/>
  <c r="I141" i="4"/>
  <c r="I32" i="89" s="1"/>
  <c r="I30" i="94"/>
  <c r="L141" i="4"/>
  <c r="L32" i="89" s="1"/>
  <c r="L30" i="94"/>
  <c r="J225" i="4"/>
  <c r="J285" i="4" s="1"/>
  <c r="J156" i="4"/>
  <c r="F225" i="4"/>
  <c r="F285" i="4" s="1"/>
  <c r="F156" i="4"/>
  <c r="M225" i="4"/>
  <c r="M285" i="4" s="1"/>
  <c r="M156" i="4"/>
  <c r="I225" i="4"/>
  <c r="I285" i="4" s="1"/>
  <c r="I156" i="4"/>
  <c r="E225" i="4"/>
  <c r="E285" i="4" s="1"/>
  <c r="E156" i="4"/>
  <c r="L225" i="4"/>
  <c r="L285" i="4" s="1"/>
  <c r="L156" i="4"/>
  <c r="H225" i="4"/>
  <c r="H285" i="4" s="1"/>
  <c r="H156" i="4"/>
  <c r="D225" i="4"/>
  <c r="D285" i="4" s="1"/>
  <c r="D156" i="4"/>
  <c r="B225" i="4"/>
  <c r="B26" i="90" s="1"/>
  <c r="B156" i="4"/>
  <c r="B26" i="89" s="1"/>
  <c r="K156" i="4"/>
  <c r="N11" i="4"/>
  <c r="G72" i="4"/>
  <c r="C72" i="4"/>
  <c r="G156" i="4"/>
  <c r="C156" i="4"/>
  <c r="B121" i="86"/>
  <c r="B135" i="86" s="1"/>
  <c r="C98" i="86"/>
  <c r="C112" i="86" s="1"/>
  <c r="D98" i="86"/>
  <c r="D112" i="86" s="1"/>
  <c r="E98" i="86"/>
  <c r="E112" i="86" s="1"/>
  <c r="F98" i="86"/>
  <c r="F112" i="86" s="1"/>
  <c r="G98" i="86"/>
  <c r="G112" i="86" s="1"/>
  <c r="H98" i="86"/>
  <c r="H112" i="86" s="1"/>
  <c r="I98" i="86"/>
  <c r="I112" i="86" s="1"/>
  <c r="J98" i="86"/>
  <c r="J112" i="86" s="1"/>
  <c r="K98" i="86"/>
  <c r="K112" i="86" s="1"/>
  <c r="L98" i="86"/>
  <c r="L112" i="86" s="1"/>
  <c r="M98" i="86"/>
  <c r="M112" i="86" s="1"/>
  <c r="B98" i="86"/>
  <c r="B112" i="86" s="1"/>
  <c r="C75" i="86"/>
  <c r="C89" i="86" s="1"/>
  <c r="C90" i="86" s="1"/>
  <c r="C91" i="86" s="1"/>
  <c r="C93" i="86" s="1"/>
  <c r="D75" i="86"/>
  <c r="D89" i="86" s="1"/>
  <c r="D90" i="86" s="1"/>
  <c r="D91" i="86" s="1"/>
  <c r="D93" i="86" s="1"/>
  <c r="E212" i="48" s="1"/>
  <c r="E75" i="86"/>
  <c r="E89" i="86" s="1"/>
  <c r="E90" i="86" s="1"/>
  <c r="E91" i="86" s="1"/>
  <c r="E93" i="86" s="1"/>
  <c r="F212" i="48" s="1"/>
  <c r="F75" i="86"/>
  <c r="F89" i="86" s="1"/>
  <c r="F90" i="86" s="1"/>
  <c r="F91" i="86" s="1"/>
  <c r="F93" i="86" s="1"/>
  <c r="G212" i="48" s="1"/>
  <c r="G75" i="86"/>
  <c r="G89" i="86" s="1"/>
  <c r="G90" i="86" s="1"/>
  <c r="G91" i="86" s="1"/>
  <c r="G93" i="86" s="1"/>
  <c r="H212" i="48" s="1"/>
  <c r="H75" i="86"/>
  <c r="H89" i="86" s="1"/>
  <c r="H90" i="86" s="1"/>
  <c r="H91" i="86" s="1"/>
  <c r="H93" i="86" s="1"/>
  <c r="I212" i="48" s="1"/>
  <c r="I75" i="86"/>
  <c r="I89" i="86" s="1"/>
  <c r="I90" i="86" s="1"/>
  <c r="I91" i="86" s="1"/>
  <c r="I93" i="86" s="1"/>
  <c r="J212" i="48" s="1"/>
  <c r="J75" i="86"/>
  <c r="J89" i="86" s="1"/>
  <c r="J90" i="86" s="1"/>
  <c r="J91" i="86" s="1"/>
  <c r="J93" i="86" s="1"/>
  <c r="K212" i="48" s="1"/>
  <c r="K75" i="86"/>
  <c r="K89" i="86" s="1"/>
  <c r="K90" i="86" s="1"/>
  <c r="K91" i="86" s="1"/>
  <c r="K93" i="86" s="1"/>
  <c r="L212" i="48" s="1"/>
  <c r="L75" i="86"/>
  <c r="L89" i="86" s="1"/>
  <c r="L90" i="86" s="1"/>
  <c r="L91" i="86" s="1"/>
  <c r="L93" i="86" s="1"/>
  <c r="M212" i="48" s="1"/>
  <c r="M75" i="86"/>
  <c r="M89" i="86" s="1"/>
  <c r="M90" i="86" s="1"/>
  <c r="M91" i="86" s="1"/>
  <c r="M93" i="86" s="1"/>
  <c r="N212" i="48" s="1"/>
  <c r="B75" i="86"/>
  <c r="B89" i="86" s="1"/>
  <c r="C52" i="86"/>
  <c r="C66" i="86" s="1"/>
  <c r="D52" i="86"/>
  <c r="D66" i="86" s="1"/>
  <c r="E52" i="86"/>
  <c r="E66" i="86" s="1"/>
  <c r="F52" i="86"/>
  <c r="F66" i="86" s="1"/>
  <c r="G52" i="86"/>
  <c r="G66" i="86" s="1"/>
  <c r="H52" i="86"/>
  <c r="H66" i="86" s="1"/>
  <c r="I52" i="86"/>
  <c r="I66" i="86" s="1"/>
  <c r="J52" i="86"/>
  <c r="J66" i="86" s="1"/>
  <c r="K52" i="86"/>
  <c r="K66" i="86" s="1"/>
  <c r="L52" i="86"/>
  <c r="L66" i="86" s="1"/>
  <c r="M52" i="86"/>
  <c r="M66" i="86" s="1"/>
  <c r="B52" i="86"/>
  <c r="B66" i="86" s="1"/>
  <c r="C29" i="86"/>
  <c r="C43" i="86" s="1"/>
  <c r="D29" i="86"/>
  <c r="D43" i="86" s="1"/>
  <c r="D44" i="86" s="1"/>
  <c r="D45" i="86" s="1"/>
  <c r="D47" i="86" s="1"/>
  <c r="E115" i="48" s="1"/>
  <c r="E29" i="86"/>
  <c r="E43" i="86" s="1"/>
  <c r="F29" i="86"/>
  <c r="F43" i="86" s="1"/>
  <c r="F44" i="86" s="1"/>
  <c r="F45" i="86" s="1"/>
  <c r="F47" i="86" s="1"/>
  <c r="G115" i="48" s="1"/>
  <c r="G29" i="86"/>
  <c r="G43" i="86" s="1"/>
  <c r="H29" i="86"/>
  <c r="H43" i="86" s="1"/>
  <c r="H44" i="86" s="1"/>
  <c r="H45" i="86" s="1"/>
  <c r="H47" i="86" s="1"/>
  <c r="I115" i="48" s="1"/>
  <c r="I29" i="86"/>
  <c r="I43" i="86" s="1"/>
  <c r="J29" i="86"/>
  <c r="J43" i="86" s="1"/>
  <c r="J44" i="86" s="1"/>
  <c r="J45" i="86" s="1"/>
  <c r="J47" i="86" s="1"/>
  <c r="K115" i="48" s="1"/>
  <c r="K29" i="86"/>
  <c r="K43" i="86" s="1"/>
  <c r="L29" i="86"/>
  <c r="L43" i="86" s="1"/>
  <c r="L44" i="86" s="1"/>
  <c r="L45" i="86" s="1"/>
  <c r="L47" i="86" s="1"/>
  <c r="M115" i="48" s="1"/>
  <c r="M29" i="86"/>
  <c r="M43" i="86" s="1"/>
  <c r="B29" i="86"/>
  <c r="B43" i="86" s="1"/>
  <c r="H376" i="48" l="1"/>
  <c r="M376" i="48"/>
  <c r="G376" i="48"/>
  <c r="L376" i="48"/>
  <c r="F376" i="48"/>
  <c r="K376" i="48"/>
  <c r="E376" i="48"/>
  <c r="J376" i="48"/>
  <c r="D376" i="48"/>
  <c r="I376" i="48"/>
  <c r="M44" i="86"/>
  <c r="M45" i="86" s="1"/>
  <c r="M47" i="86" s="1"/>
  <c r="N115" i="48" s="1"/>
  <c r="E44" i="86"/>
  <c r="E45" i="86" s="1"/>
  <c r="E47" i="86" s="1"/>
  <c r="F115" i="48" s="1"/>
  <c r="I67" i="86"/>
  <c r="I68" i="86" s="1"/>
  <c r="I70" i="86" s="1"/>
  <c r="J161" i="48" s="1"/>
  <c r="K44" i="86"/>
  <c r="K45" i="86" s="1"/>
  <c r="K47" i="86" s="1"/>
  <c r="L115" i="48" s="1"/>
  <c r="G44" i="86"/>
  <c r="G45" i="86" s="1"/>
  <c r="G47" i="86" s="1"/>
  <c r="H115" i="48" s="1"/>
  <c r="C44" i="86"/>
  <c r="C45" i="86" s="1"/>
  <c r="C47" i="86" s="1"/>
  <c r="D115" i="48" s="1"/>
  <c r="K67" i="86"/>
  <c r="K68" i="86" s="1"/>
  <c r="K70" i="86" s="1"/>
  <c r="L161" i="48" s="1"/>
  <c r="G67" i="86"/>
  <c r="G68" i="86" s="1"/>
  <c r="G70" i="86" s="1"/>
  <c r="H161" i="48" s="1"/>
  <c r="C67" i="86"/>
  <c r="C68" i="86" s="1"/>
  <c r="C70" i="86" s="1"/>
  <c r="D161" i="48" s="1"/>
  <c r="D212" i="48"/>
  <c r="K113" i="86"/>
  <c r="K114" i="86" s="1"/>
  <c r="K116" i="86" s="1"/>
  <c r="L264" i="48" s="1"/>
  <c r="G113" i="86"/>
  <c r="G114" i="86" s="1"/>
  <c r="G116" i="86" s="1"/>
  <c r="H264" i="48" s="1"/>
  <c r="C113" i="86"/>
  <c r="C114" i="86" s="1"/>
  <c r="C116" i="86" s="1"/>
  <c r="D264" i="48" s="1"/>
  <c r="C141" i="4"/>
  <c r="C32" i="89" s="1"/>
  <c r="C30" i="94"/>
  <c r="B33" i="89"/>
  <c r="H26" i="90"/>
  <c r="H26" i="89"/>
  <c r="E26" i="90"/>
  <c r="E26" i="89"/>
  <c r="M26" i="90"/>
  <c r="M26" i="89"/>
  <c r="J26" i="90"/>
  <c r="J26" i="89"/>
  <c r="B31" i="94"/>
  <c r="B44" i="86"/>
  <c r="N43" i="86"/>
  <c r="B67" i="86"/>
  <c r="B68" i="86" s="1"/>
  <c r="N66" i="86"/>
  <c r="J67" i="86"/>
  <c r="J68" i="86" s="1"/>
  <c r="J70" i="86" s="1"/>
  <c r="K161" i="48" s="1"/>
  <c r="F67" i="86"/>
  <c r="F68" i="86" s="1"/>
  <c r="F70" i="86" s="1"/>
  <c r="G161" i="48" s="1"/>
  <c r="B90" i="86"/>
  <c r="N90" i="86" s="1"/>
  <c r="N89" i="86"/>
  <c r="N112" i="86"/>
  <c r="B113" i="86"/>
  <c r="J113" i="86"/>
  <c r="J114" i="86" s="1"/>
  <c r="J116" i="86" s="1"/>
  <c r="K264" i="48" s="1"/>
  <c r="F113" i="86"/>
  <c r="F114" i="86" s="1"/>
  <c r="F116" i="86" s="1"/>
  <c r="G264" i="48" s="1"/>
  <c r="B136" i="86"/>
  <c r="N136" i="86" s="1"/>
  <c r="N135" i="86"/>
  <c r="G141" i="4"/>
  <c r="G32" i="89" s="1"/>
  <c r="G30" i="94"/>
  <c r="N30" i="94" s="1"/>
  <c r="H340" i="4"/>
  <c r="H26" i="91"/>
  <c r="E340" i="4"/>
  <c r="E26" i="91"/>
  <c r="M340" i="4"/>
  <c r="M26" i="91"/>
  <c r="J340" i="4"/>
  <c r="J26" i="91"/>
  <c r="I44" i="86"/>
  <c r="I45" i="86" s="1"/>
  <c r="I47" i="86" s="1"/>
  <c r="J115" i="48" s="1"/>
  <c r="M67" i="86"/>
  <c r="M68" i="86" s="1"/>
  <c r="M70" i="86" s="1"/>
  <c r="N161" i="48" s="1"/>
  <c r="E67" i="86"/>
  <c r="E68" i="86" s="1"/>
  <c r="E70" i="86" s="1"/>
  <c r="F161" i="48" s="1"/>
  <c r="M113" i="86"/>
  <c r="M114" i="86" s="1"/>
  <c r="M116" i="86" s="1"/>
  <c r="N264" i="48" s="1"/>
  <c r="I113" i="86"/>
  <c r="I114" i="86" s="1"/>
  <c r="I116" i="86" s="1"/>
  <c r="J264" i="48" s="1"/>
  <c r="E113" i="86"/>
  <c r="E114" i="86" s="1"/>
  <c r="E116" i="86" s="1"/>
  <c r="F264" i="48" s="1"/>
  <c r="C26" i="90"/>
  <c r="C26" i="89"/>
  <c r="D26" i="90"/>
  <c r="D26" i="89"/>
  <c r="L26" i="90"/>
  <c r="L26" i="89"/>
  <c r="I26" i="90"/>
  <c r="I26" i="89"/>
  <c r="F26" i="90"/>
  <c r="F26" i="89"/>
  <c r="L67" i="86"/>
  <c r="L68" i="86" s="1"/>
  <c r="L70" i="86" s="1"/>
  <c r="M161" i="48" s="1"/>
  <c r="H67" i="86"/>
  <c r="H68" i="86" s="1"/>
  <c r="H70" i="86" s="1"/>
  <c r="I161" i="48" s="1"/>
  <c r="D67" i="86"/>
  <c r="D68" i="86" s="1"/>
  <c r="D70" i="86" s="1"/>
  <c r="E161" i="48" s="1"/>
  <c r="L113" i="86"/>
  <c r="L114" i="86" s="1"/>
  <c r="L116" i="86" s="1"/>
  <c r="M264" i="48" s="1"/>
  <c r="H113" i="86"/>
  <c r="H114" i="86" s="1"/>
  <c r="H116" i="86" s="1"/>
  <c r="I264" i="48" s="1"/>
  <c r="D113" i="86"/>
  <c r="D114" i="86" s="1"/>
  <c r="D116" i="86" s="1"/>
  <c r="E264" i="48" s="1"/>
  <c r="G26" i="90"/>
  <c r="G26" i="89"/>
  <c r="K26" i="90"/>
  <c r="K26" i="89"/>
  <c r="D340" i="4"/>
  <c r="D26" i="91"/>
  <c r="L340" i="4"/>
  <c r="L26" i="91"/>
  <c r="I340" i="4"/>
  <c r="I26" i="91"/>
  <c r="F340" i="4"/>
  <c r="F26" i="91"/>
  <c r="G395" i="4"/>
  <c r="G26" i="92"/>
  <c r="K395" i="4"/>
  <c r="K26" i="92"/>
  <c r="C395" i="4"/>
  <c r="C26" i="92"/>
  <c r="B285" i="4"/>
  <c r="D15" i="85"/>
  <c r="O376" i="48" l="1"/>
  <c r="B220" i="75" s="1"/>
  <c r="D220" i="75" s="1"/>
  <c r="E220" i="75" s="1"/>
  <c r="O32" i="89"/>
  <c r="O26" i="89"/>
  <c r="B137" i="86"/>
  <c r="B139" i="86" s="1"/>
  <c r="O30" i="94"/>
  <c r="N26" i="90"/>
  <c r="N32" i="89"/>
  <c r="B91" i="86"/>
  <c r="N91" i="86" s="1"/>
  <c r="K26" i="93"/>
  <c r="K407" i="64"/>
  <c r="K396" i="16"/>
  <c r="K397" i="4"/>
  <c r="F395" i="4"/>
  <c r="F26" i="92"/>
  <c r="L395" i="4"/>
  <c r="L26" i="92"/>
  <c r="B45" i="86"/>
  <c r="N44" i="86"/>
  <c r="M395" i="4"/>
  <c r="M26" i="92"/>
  <c r="H395" i="4"/>
  <c r="H26" i="92"/>
  <c r="N67" i="86"/>
  <c r="B340" i="4"/>
  <c r="B26" i="92" s="1"/>
  <c r="B26" i="91"/>
  <c r="C26" i="93"/>
  <c r="C397" i="4"/>
  <c r="C396" i="16"/>
  <c r="C407" i="64"/>
  <c r="G26" i="93"/>
  <c r="G397" i="4"/>
  <c r="G407" i="64"/>
  <c r="G396" i="16"/>
  <c r="I395" i="4"/>
  <c r="I26" i="92"/>
  <c r="D395" i="4"/>
  <c r="D26" i="92"/>
  <c r="O26" i="90"/>
  <c r="N113" i="86"/>
  <c r="B70" i="86"/>
  <c r="N68" i="86"/>
  <c r="J395" i="4"/>
  <c r="J26" i="92"/>
  <c r="E395" i="4"/>
  <c r="E26" i="92"/>
  <c r="B114" i="86"/>
  <c r="N26" i="89"/>
  <c r="B395" i="4"/>
  <c r="B26" i="93" s="1"/>
  <c r="C19" i="85"/>
  <c r="E19" i="85"/>
  <c r="G19" i="85"/>
  <c r="H19" i="85"/>
  <c r="I19" i="85"/>
  <c r="K19" i="85"/>
  <c r="B19" i="85"/>
  <c r="L19" i="85"/>
  <c r="M19" i="85"/>
  <c r="F19" i="85"/>
  <c r="D13" i="85"/>
  <c r="J19" i="85"/>
  <c r="B93" i="86" l="1"/>
  <c r="N137" i="86"/>
  <c r="L26" i="93"/>
  <c r="L397" i="4"/>
  <c r="L396" i="16"/>
  <c r="L407" i="64"/>
  <c r="C161" i="48"/>
  <c r="O161" i="48" s="1"/>
  <c r="N70" i="86"/>
  <c r="B116" i="86"/>
  <c r="N114" i="86"/>
  <c r="J26" i="93"/>
  <c r="J396" i="16"/>
  <c r="J407" i="64"/>
  <c r="J397" i="4"/>
  <c r="N26" i="91"/>
  <c r="O26" i="91"/>
  <c r="H26" i="93"/>
  <c r="H397" i="4"/>
  <c r="H407" i="64"/>
  <c r="H396" i="16"/>
  <c r="F26" i="93"/>
  <c r="F397" i="4"/>
  <c r="F407" i="64"/>
  <c r="F396" i="16"/>
  <c r="E26" i="93"/>
  <c r="E407" i="64"/>
  <c r="E396" i="16"/>
  <c r="E397" i="4"/>
  <c r="M26" i="93"/>
  <c r="M396" i="16"/>
  <c r="M407" i="64"/>
  <c r="M397" i="4"/>
  <c r="I26" i="93"/>
  <c r="I396" i="16"/>
  <c r="I407" i="64"/>
  <c r="I397" i="4"/>
  <c r="C314" i="48"/>
  <c r="O314" i="48" s="1"/>
  <c r="N139" i="86"/>
  <c r="D26" i="93"/>
  <c r="D396" i="16"/>
  <c r="D397" i="4"/>
  <c r="D407" i="64"/>
  <c r="O26" i="92"/>
  <c r="N26" i="92"/>
  <c r="C212" i="48"/>
  <c r="O212" i="48" s="1"/>
  <c r="N93" i="86"/>
  <c r="B47" i="86"/>
  <c r="N45" i="86"/>
  <c r="B396" i="16"/>
  <c r="B407" i="64"/>
  <c r="N395" i="4"/>
  <c r="B397" i="4"/>
  <c r="D19" i="85"/>
  <c r="D371" i="48"/>
  <c r="E371" i="48"/>
  <c r="F371" i="48"/>
  <c r="G371" i="48"/>
  <c r="H371" i="48"/>
  <c r="I371" i="48"/>
  <c r="J371" i="48"/>
  <c r="K371" i="48"/>
  <c r="D372" i="48"/>
  <c r="E372" i="48"/>
  <c r="F372" i="48"/>
  <c r="G372" i="48"/>
  <c r="H372" i="48"/>
  <c r="I372" i="48"/>
  <c r="J372" i="48"/>
  <c r="K372" i="48"/>
  <c r="C371" i="48"/>
  <c r="N372" i="48"/>
  <c r="M372" i="48"/>
  <c r="L372" i="48"/>
  <c r="C372" i="48"/>
  <c r="N371" i="48"/>
  <c r="M371" i="48"/>
  <c r="L371" i="48"/>
  <c r="O26" i="93" l="1"/>
  <c r="C115" i="48"/>
  <c r="O115" i="48" s="1"/>
  <c r="N47" i="86"/>
  <c r="C264" i="48"/>
  <c r="O264" i="48" s="1"/>
  <c r="N116" i="86"/>
  <c r="N26" i="93"/>
  <c r="N407" i="64"/>
  <c r="N396" i="16"/>
  <c r="O371" i="48"/>
  <c r="O372" i="48"/>
  <c r="N397" i="4"/>
  <c r="B16" i="60"/>
  <c r="N84" i="53"/>
  <c r="N71" i="53"/>
  <c r="N57" i="53"/>
  <c r="N43" i="53"/>
  <c r="N29" i="53"/>
  <c r="N13" i="53"/>
  <c r="C370" i="48" l="1"/>
  <c r="C73" i="48"/>
  <c r="B217" i="75"/>
  <c r="D217" i="75" s="1"/>
  <c r="E217" i="75" s="1"/>
  <c r="A8" i="14"/>
  <c r="A4" i="48" l="1"/>
  <c r="A131" i="85" l="1"/>
  <c r="A124" i="85"/>
  <c r="A107" i="85"/>
  <c r="A100" i="85"/>
  <c r="A84" i="85"/>
  <c r="A77" i="85"/>
  <c r="A61" i="85"/>
  <c r="A54" i="85"/>
  <c r="A38" i="85"/>
  <c r="A31" i="85"/>
  <c r="A21" i="85"/>
  <c r="M12" i="86"/>
  <c r="L12" i="86"/>
  <c r="K12" i="86"/>
  <c r="J12" i="86"/>
  <c r="I12" i="86"/>
  <c r="H12" i="86"/>
  <c r="G12" i="86"/>
  <c r="F12" i="86"/>
  <c r="E12" i="86"/>
  <c r="D12" i="86"/>
  <c r="C12" i="86"/>
  <c r="B12" i="86"/>
  <c r="L128" i="86" l="1"/>
  <c r="K122" i="86"/>
  <c r="K123" i="86" s="1"/>
  <c r="G122" i="86"/>
  <c r="G123" i="86" s="1"/>
  <c r="C122" i="86"/>
  <c r="M122" i="86"/>
  <c r="J128" i="86"/>
  <c r="I122" i="86"/>
  <c r="F128" i="86"/>
  <c r="F129" i="86" s="1"/>
  <c r="E122" i="86"/>
  <c r="D128" i="86"/>
  <c r="B128" i="86"/>
  <c r="E105" i="86"/>
  <c r="M101" i="86"/>
  <c r="M124" i="86" s="1"/>
  <c r="M147" i="86" s="1"/>
  <c r="M148" i="86" s="1"/>
  <c r="N359" i="48" s="1"/>
  <c r="L101" i="86"/>
  <c r="L124" i="86" s="1"/>
  <c r="L147" i="86" s="1"/>
  <c r="L148" i="86" s="1"/>
  <c r="M359" i="48" s="1"/>
  <c r="K101" i="86"/>
  <c r="K124" i="86" s="1"/>
  <c r="K147" i="86" s="1"/>
  <c r="K148" i="86" s="1"/>
  <c r="L359" i="48" s="1"/>
  <c r="J101" i="86"/>
  <c r="J124" i="86" s="1"/>
  <c r="J147" i="86" s="1"/>
  <c r="J148" i="86" s="1"/>
  <c r="K359" i="48" s="1"/>
  <c r="I101" i="86"/>
  <c r="I124" i="86" s="1"/>
  <c r="I147" i="86" s="1"/>
  <c r="I148" i="86" s="1"/>
  <c r="J359" i="48" s="1"/>
  <c r="H101" i="86"/>
  <c r="H124" i="86" s="1"/>
  <c r="H147" i="86" s="1"/>
  <c r="H148" i="86" s="1"/>
  <c r="I359" i="48" s="1"/>
  <c r="G101" i="86"/>
  <c r="G124" i="86" s="1"/>
  <c r="G147" i="86" s="1"/>
  <c r="G148" i="86" s="1"/>
  <c r="H359" i="48" s="1"/>
  <c r="F101" i="86"/>
  <c r="F124" i="86" s="1"/>
  <c r="F147" i="86" s="1"/>
  <c r="F148" i="86" s="1"/>
  <c r="G359" i="48" s="1"/>
  <c r="E101" i="86"/>
  <c r="E124" i="86" s="1"/>
  <c r="E147" i="86" s="1"/>
  <c r="E148" i="86" s="1"/>
  <c r="F359" i="48" s="1"/>
  <c r="D101" i="86"/>
  <c r="D124" i="86" s="1"/>
  <c r="D147" i="86" s="1"/>
  <c r="D148" i="86" s="1"/>
  <c r="E359" i="48" s="1"/>
  <c r="C101" i="86"/>
  <c r="C124" i="86" s="1"/>
  <c r="C147" i="86" s="1"/>
  <c r="C148" i="86" s="1"/>
  <c r="D359" i="48" s="1"/>
  <c r="B101" i="86"/>
  <c r="B124" i="86" s="1"/>
  <c r="B147" i="86" s="1"/>
  <c r="B148" i="86" s="1"/>
  <c r="L99" i="86"/>
  <c r="L100" i="86" s="1"/>
  <c r="H99" i="86"/>
  <c r="H100" i="86" s="1"/>
  <c r="H102" i="86" s="1"/>
  <c r="I262" i="48" s="1"/>
  <c r="D99" i="86"/>
  <c r="D100" i="86" s="1"/>
  <c r="K105" i="86"/>
  <c r="K106" i="86" s="1"/>
  <c r="J99" i="86"/>
  <c r="G105" i="86"/>
  <c r="G106" i="86" s="1"/>
  <c r="F99" i="86"/>
  <c r="C105" i="86"/>
  <c r="C106" i="86" s="1"/>
  <c r="B99" i="86"/>
  <c r="K82" i="86"/>
  <c r="K83" i="86" s="1"/>
  <c r="C82" i="86"/>
  <c r="C83" i="86" s="1"/>
  <c r="M78" i="86"/>
  <c r="L78" i="86"/>
  <c r="K78" i="86"/>
  <c r="J78" i="86"/>
  <c r="I78" i="86"/>
  <c r="H78" i="86"/>
  <c r="G78" i="86"/>
  <c r="F78" i="86"/>
  <c r="E78" i="86"/>
  <c r="D78" i="86"/>
  <c r="C78" i="86"/>
  <c r="B78" i="86"/>
  <c r="J76" i="86"/>
  <c r="F76" i="86"/>
  <c r="B76" i="86"/>
  <c r="M76" i="86"/>
  <c r="M77" i="86" s="1"/>
  <c r="J82" i="86"/>
  <c r="J83" i="86" s="1"/>
  <c r="I76" i="86"/>
  <c r="I77" i="86" s="1"/>
  <c r="G82" i="86"/>
  <c r="F82" i="86"/>
  <c r="F83" i="86" s="1"/>
  <c r="E76" i="86"/>
  <c r="E77" i="86" s="1"/>
  <c r="E79" i="86" s="1"/>
  <c r="F210" i="48" s="1"/>
  <c r="B82" i="86"/>
  <c r="H59" i="86"/>
  <c r="M55" i="86"/>
  <c r="L55" i="86"/>
  <c r="K55" i="86"/>
  <c r="J55" i="86"/>
  <c r="I55" i="86"/>
  <c r="H55" i="86"/>
  <c r="G55" i="86"/>
  <c r="F55" i="86"/>
  <c r="E55" i="86"/>
  <c r="D55" i="86"/>
  <c r="C55" i="86"/>
  <c r="B55" i="86"/>
  <c r="K53" i="86"/>
  <c r="G53" i="86"/>
  <c r="C53" i="86"/>
  <c r="K59" i="86"/>
  <c r="J53" i="86"/>
  <c r="J54" i="86" s="1"/>
  <c r="G59" i="86"/>
  <c r="F53" i="86"/>
  <c r="F54" i="86" s="1"/>
  <c r="C59" i="86"/>
  <c r="B53" i="86"/>
  <c r="B54" i="86" s="1"/>
  <c r="C36" i="86"/>
  <c r="C37" i="86" s="1"/>
  <c r="C38" i="86" s="1"/>
  <c r="M32" i="86"/>
  <c r="L32" i="86"/>
  <c r="K32" i="86"/>
  <c r="J32" i="86"/>
  <c r="I32" i="86"/>
  <c r="H32" i="86"/>
  <c r="G32" i="86"/>
  <c r="F32" i="86"/>
  <c r="E32" i="86"/>
  <c r="D32" i="86"/>
  <c r="C32" i="86"/>
  <c r="B32" i="86"/>
  <c r="L30" i="86"/>
  <c r="L31" i="86" s="1"/>
  <c r="F30" i="86"/>
  <c r="D30" i="86"/>
  <c r="D31" i="86" s="1"/>
  <c r="C30" i="86"/>
  <c r="C31" i="86" s="1"/>
  <c r="M30" i="86"/>
  <c r="L36" i="86"/>
  <c r="L37" i="86" s="1"/>
  <c r="H36" i="86"/>
  <c r="E36" i="86"/>
  <c r="D36" i="86"/>
  <c r="D37" i="86" s="1"/>
  <c r="N29" i="86"/>
  <c r="A27" i="86"/>
  <c r="A50" i="86" s="1"/>
  <c r="A73" i="86" s="1"/>
  <c r="A96" i="86" s="1"/>
  <c r="A119" i="86" s="1"/>
  <c r="E19" i="86"/>
  <c r="M15" i="86"/>
  <c r="L15" i="86"/>
  <c r="K15" i="86"/>
  <c r="J15" i="86"/>
  <c r="I15" i="86"/>
  <c r="H15" i="86"/>
  <c r="G15" i="86"/>
  <c r="F15" i="86"/>
  <c r="E15" i="86"/>
  <c r="D15" i="86"/>
  <c r="C15" i="86"/>
  <c r="B15" i="86"/>
  <c r="L13" i="86"/>
  <c r="J13" i="86"/>
  <c r="J14" i="86" s="1"/>
  <c r="H13" i="86"/>
  <c r="F13" i="86"/>
  <c r="D13" i="86"/>
  <c r="B13" i="86"/>
  <c r="B14" i="86" s="1"/>
  <c r="L19" i="86"/>
  <c r="K13" i="86"/>
  <c r="K14" i="86" s="1"/>
  <c r="I19" i="86"/>
  <c r="H19" i="86"/>
  <c r="G13" i="86"/>
  <c r="G14" i="86" s="1"/>
  <c r="G16" i="86" s="1"/>
  <c r="H68" i="48" s="1"/>
  <c r="F14" i="86"/>
  <c r="F16" i="86" s="1"/>
  <c r="G68" i="48" s="1"/>
  <c r="D19" i="86"/>
  <c r="C5" i="86"/>
  <c r="D5" i="86" s="1"/>
  <c r="E5" i="86" s="1"/>
  <c r="F5" i="86" s="1"/>
  <c r="G5" i="86" s="1"/>
  <c r="H5" i="86" s="1"/>
  <c r="I5" i="86" s="1"/>
  <c r="J5" i="86" s="1"/>
  <c r="K5" i="86" s="1"/>
  <c r="L5" i="86" s="1"/>
  <c r="M5" i="86" s="1"/>
  <c r="B3" i="86"/>
  <c r="B2" i="86"/>
  <c r="N148" i="86" l="1"/>
  <c r="C359" i="48"/>
  <c r="O359" i="48" s="1"/>
  <c r="C33" i="86"/>
  <c r="D113" i="48" s="1"/>
  <c r="B56" i="86"/>
  <c r="C159" i="48" s="1"/>
  <c r="J56" i="86"/>
  <c r="K159" i="48" s="1"/>
  <c r="J16" i="86"/>
  <c r="K68" i="48" s="1"/>
  <c r="D33" i="86"/>
  <c r="E113" i="48" s="1"/>
  <c r="I79" i="86"/>
  <c r="J210" i="48" s="1"/>
  <c r="D102" i="86"/>
  <c r="E262" i="48" s="1"/>
  <c r="M79" i="86"/>
  <c r="N210" i="48" s="1"/>
  <c r="F56" i="86"/>
  <c r="G159" i="48" s="1"/>
  <c r="L102" i="86"/>
  <c r="M262" i="48" s="1"/>
  <c r="K16" i="86"/>
  <c r="L68" i="48" s="1"/>
  <c r="L33" i="86"/>
  <c r="M113" i="48" s="1"/>
  <c r="K107" i="86"/>
  <c r="I20" i="86"/>
  <c r="I21" i="86" s="1"/>
  <c r="B16" i="86"/>
  <c r="C68" i="48" s="1"/>
  <c r="D20" i="86"/>
  <c r="D21" i="86" s="1"/>
  <c r="H20" i="86"/>
  <c r="H21" i="86" s="1"/>
  <c r="L20" i="86"/>
  <c r="L21" i="86" s="1"/>
  <c r="G83" i="86"/>
  <c r="G84" i="86" s="1"/>
  <c r="C13" i="86"/>
  <c r="C14" i="86" s="1"/>
  <c r="C19" i="86"/>
  <c r="E20" i="86"/>
  <c r="E21" i="86" s="1"/>
  <c r="E13" i="86"/>
  <c r="E14" i="86" s="1"/>
  <c r="E16" i="86" s="1"/>
  <c r="F68" i="48" s="1"/>
  <c r="I13" i="86"/>
  <c r="I14" i="86" s="1"/>
  <c r="I16" i="86" s="1"/>
  <c r="J68" i="48" s="1"/>
  <c r="M13" i="86"/>
  <c r="M14" i="86" s="1"/>
  <c r="M16" i="86" s="1"/>
  <c r="N68" i="48" s="1"/>
  <c r="M19" i="86"/>
  <c r="E37" i="86"/>
  <c r="E38" i="86" s="1"/>
  <c r="I30" i="86"/>
  <c r="I31" i="86" s="1"/>
  <c r="I33" i="86" s="1"/>
  <c r="J113" i="48" s="1"/>
  <c r="I36" i="86"/>
  <c r="C60" i="86"/>
  <c r="C61" i="86" s="1"/>
  <c r="E106" i="86"/>
  <c r="E107" i="86" s="1"/>
  <c r="N12" i="86"/>
  <c r="D14" i="86"/>
  <c r="D16" i="86" s="1"/>
  <c r="E68" i="48" s="1"/>
  <c r="H14" i="86"/>
  <c r="H16" i="86" s="1"/>
  <c r="I68" i="48" s="1"/>
  <c r="L14" i="86"/>
  <c r="L16" i="86" s="1"/>
  <c r="M68" i="48" s="1"/>
  <c r="B19" i="86"/>
  <c r="F19" i="86"/>
  <c r="J19" i="86"/>
  <c r="F31" i="86"/>
  <c r="F33" i="86" s="1"/>
  <c r="G113" i="48" s="1"/>
  <c r="F36" i="86"/>
  <c r="J36" i="86"/>
  <c r="E30" i="86"/>
  <c r="E31" i="86" s="1"/>
  <c r="E33" i="86" s="1"/>
  <c r="F113" i="48" s="1"/>
  <c r="J30" i="86"/>
  <c r="J31" i="86" s="1"/>
  <c r="J33" i="86" s="1"/>
  <c r="K113" i="48" s="1"/>
  <c r="M31" i="86"/>
  <c r="M33" i="86" s="1"/>
  <c r="N113" i="48" s="1"/>
  <c r="M36" i="86"/>
  <c r="D53" i="86"/>
  <c r="D54" i="86" s="1"/>
  <c r="D56" i="86" s="1"/>
  <c r="E159" i="48" s="1"/>
  <c r="H53" i="86"/>
  <c r="H54" i="86" s="1"/>
  <c r="H56" i="86" s="1"/>
  <c r="I159" i="48" s="1"/>
  <c r="L53" i="86"/>
  <c r="L54" i="86" s="1"/>
  <c r="L56" i="86" s="1"/>
  <c r="M159" i="48" s="1"/>
  <c r="D59" i="86"/>
  <c r="G60" i="86"/>
  <c r="G61" i="86" s="1"/>
  <c r="B129" i="86"/>
  <c r="B130" i="86" s="1"/>
  <c r="J129" i="86"/>
  <c r="J130" i="86" s="1"/>
  <c r="G19" i="86"/>
  <c r="K19" i="86"/>
  <c r="B36" i="86"/>
  <c r="G30" i="86"/>
  <c r="G31" i="86" s="1"/>
  <c r="G33" i="86" s="1"/>
  <c r="H113" i="48" s="1"/>
  <c r="G36" i="86"/>
  <c r="K30" i="86"/>
  <c r="K31" i="86" s="1"/>
  <c r="K33" i="86" s="1"/>
  <c r="L113" i="48" s="1"/>
  <c r="K36" i="86"/>
  <c r="B30" i="86"/>
  <c r="H60" i="86"/>
  <c r="H61" i="86" s="1"/>
  <c r="K60" i="86"/>
  <c r="K61" i="86" s="1"/>
  <c r="F84" i="86"/>
  <c r="J84" i="86"/>
  <c r="C84" i="86"/>
  <c r="D38" i="86"/>
  <c r="L38" i="86"/>
  <c r="H30" i="86"/>
  <c r="H31" i="86" s="1"/>
  <c r="H33" i="86" s="1"/>
  <c r="I113" i="48" s="1"/>
  <c r="H37" i="86"/>
  <c r="H38" i="86" s="1"/>
  <c r="L59" i="86"/>
  <c r="C76" i="86"/>
  <c r="C77" i="86" s="1"/>
  <c r="C79" i="86" s="1"/>
  <c r="D210" i="48" s="1"/>
  <c r="G76" i="86"/>
  <c r="G77" i="86" s="1"/>
  <c r="G79" i="86" s="1"/>
  <c r="H210" i="48" s="1"/>
  <c r="K76" i="86"/>
  <c r="K77" i="86" s="1"/>
  <c r="K79" i="86" s="1"/>
  <c r="L210" i="48" s="1"/>
  <c r="B83" i="86"/>
  <c r="K84" i="86"/>
  <c r="D129" i="86"/>
  <c r="D130" i="86" s="1"/>
  <c r="F130" i="86"/>
  <c r="C54" i="86"/>
  <c r="C56" i="86" s="1"/>
  <c r="D159" i="48" s="1"/>
  <c r="G54" i="86"/>
  <c r="G56" i="86" s="1"/>
  <c r="H159" i="48" s="1"/>
  <c r="K54" i="86"/>
  <c r="K56" i="86" s="1"/>
  <c r="L159" i="48" s="1"/>
  <c r="E59" i="86"/>
  <c r="I59" i="86"/>
  <c r="M59" i="86"/>
  <c r="B77" i="86"/>
  <c r="F77" i="86"/>
  <c r="F79" i="86" s="1"/>
  <c r="G210" i="48" s="1"/>
  <c r="J77" i="86"/>
  <c r="J79" i="86" s="1"/>
  <c r="K210" i="48" s="1"/>
  <c r="D82" i="86"/>
  <c r="H82" i="86"/>
  <c r="L82" i="86"/>
  <c r="E99" i="86"/>
  <c r="E100" i="86" s="1"/>
  <c r="E102" i="86" s="1"/>
  <c r="F262" i="48" s="1"/>
  <c r="I99" i="86"/>
  <c r="I100" i="86" s="1"/>
  <c r="I102" i="86" s="1"/>
  <c r="J262" i="48" s="1"/>
  <c r="M99" i="86"/>
  <c r="M100" i="86" s="1"/>
  <c r="M102" i="86" s="1"/>
  <c r="N262" i="48" s="1"/>
  <c r="I105" i="86"/>
  <c r="C123" i="86"/>
  <c r="C125" i="86" s="1"/>
  <c r="D312" i="48" s="1"/>
  <c r="G125" i="86"/>
  <c r="H312" i="48" s="1"/>
  <c r="K125" i="86"/>
  <c r="L312" i="48" s="1"/>
  <c r="N52" i="86"/>
  <c r="E53" i="86"/>
  <c r="E54" i="86" s="1"/>
  <c r="E56" i="86" s="1"/>
  <c r="F159" i="48" s="1"/>
  <c r="I53" i="86"/>
  <c r="I54" i="86" s="1"/>
  <c r="I56" i="86" s="1"/>
  <c r="J159" i="48" s="1"/>
  <c r="M53" i="86"/>
  <c r="M54" i="86" s="1"/>
  <c r="M56" i="86" s="1"/>
  <c r="N159" i="48" s="1"/>
  <c r="B59" i="86"/>
  <c r="F59" i="86"/>
  <c r="J59" i="86"/>
  <c r="D76" i="86"/>
  <c r="H76" i="86"/>
  <c r="H77" i="86" s="1"/>
  <c r="H79" i="86" s="1"/>
  <c r="I210" i="48" s="1"/>
  <c r="L76" i="86"/>
  <c r="L77" i="86" s="1"/>
  <c r="L79" i="86" s="1"/>
  <c r="M210" i="48" s="1"/>
  <c r="E82" i="86"/>
  <c r="I82" i="86"/>
  <c r="M82" i="86"/>
  <c r="M105" i="86"/>
  <c r="C107" i="86"/>
  <c r="D122" i="86"/>
  <c r="D123" i="86" s="1"/>
  <c r="D125" i="86" s="1"/>
  <c r="E312" i="48" s="1"/>
  <c r="H122" i="86"/>
  <c r="H123" i="86" s="1"/>
  <c r="H125" i="86" s="1"/>
  <c r="I312" i="48" s="1"/>
  <c r="L122" i="86"/>
  <c r="L123" i="86" s="1"/>
  <c r="L125" i="86" s="1"/>
  <c r="M312" i="48" s="1"/>
  <c r="H128" i="86"/>
  <c r="N75" i="86"/>
  <c r="G107" i="86"/>
  <c r="L129" i="86"/>
  <c r="L130" i="86" s="1"/>
  <c r="C99" i="86"/>
  <c r="C100" i="86" s="1"/>
  <c r="C102" i="86" s="1"/>
  <c r="D262" i="48" s="1"/>
  <c r="G99" i="86"/>
  <c r="G100" i="86" s="1"/>
  <c r="G102" i="86" s="1"/>
  <c r="H262" i="48" s="1"/>
  <c r="K99" i="86"/>
  <c r="K100" i="86" s="1"/>
  <c r="K102" i="86" s="1"/>
  <c r="L262" i="48" s="1"/>
  <c r="B100" i="86"/>
  <c r="F100" i="86"/>
  <c r="F102" i="86" s="1"/>
  <c r="G262" i="48" s="1"/>
  <c r="J100" i="86"/>
  <c r="J102" i="86" s="1"/>
  <c r="K262" i="48" s="1"/>
  <c r="D105" i="86"/>
  <c r="H105" i="86"/>
  <c r="L105" i="86"/>
  <c r="B122" i="86"/>
  <c r="F122" i="86"/>
  <c r="F123" i="86" s="1"/>
  <c r="F125" i="86" s="1"/>
  <c r="G312" i="48" s="1"/>
  <c r="J122" i="86"/>
  <c r="J123" i="86" s="1"/>
  <c r="J125" i="86" s="1"/>
  <c r="K312" i="48" s="1"/>
  <c r="E123" i="86"/>
  <c r="E125" i="86" s="1"/>
  <c r="F312" i="48" s="1"/>
  <c r="I123" i="86"/>
  <c r="I125" i="86" s="1"/>
  <c r="J312" i="48" s="1"/>
  <c r="M123" i="86"/>
  <c r="M125" i="86" s="1"/>
  <c r="N312" i="48" s="1"/>
  <c r="C128" i="86"/>
  <c r="G128" i="86"/>
  <c r="K128" i="86"/>
  <c r="N98" i="86"/>
  <c r="B105" i="86"/>
  <c r="F105" i="86"/>
  <c r="J105" i="86"/>
  <c r="E128" i="86"/>
  <c r="I128" i="86"/>
  <c r="M128" i="86"/>
  <c r="N121" i="86"/>
  <c r="O159" i="48" l="1"/>
  <c r="N82" i="86"/>
  <c r="N76" i="86"/>
  <c r="N56" i="86"/>
  <c r="C16" i="86"/>
  <c r="N14" i="86"/>
  <c r="E129" i="86"/>
  <c r="E130" i="86" s="1"/>
  <c r="D106" i="86"/>
  <c r="D107" i="86" s="1"/>
  <c r="H129" i="86"/>
  <c r="H130" i="86" s="1"/>
  <c r="I83" i="86"/>
  <c r="I84" i="86" s="1"/>
  <c r="L83" i="86"/>
  <c r="L84" i="86" s="1"/>
  <c r="E60" i="86"/>
  <c r="E61" i="86" s="1"/>
  <c r="N53" i="86"/>
  <c r="G37" i="86"/>
  <c r="G38" i="86" s="1"/>
  <c r="K20" i="86"/>
  <c r="K21" i="86" s="1"/>
  <c r="D60" i="86"/>
  <c r="D61" i="86" s="1"/>
  <c r="M37" i="86"/>
  <c r="M38" i="86" s="1"/>
  <c r="D77" i="86"/>
  <c r="D79" i="86" s="1"/>
  <c r="E210" i="48" s="1"/>
  <c r="J106" i="86"/>
  <c r="J107" i="86" s="1"/>
  <c r="K129" i="86"/>
  <c r="K130" i="86" s="1"/>
  <c r="N122" i="86"/>
  <c r="B123" i="86"/>
  <c r="M106" i="86"/>
  <c r="M107" i="86" s="1"/>
  <c r="E83" i="86"/>
  <c r="E84" i="86" s="1"/>
  <c r="J60" i="86"/>
  <c r="J61" i="86" s="1"/>
  <c r="I106" i="86"/>
  <c r="I107" i="86" s="1"/>
  <c r="H83" i="86"/>
  <c r="H84" i="86" s="1"/>
  <c r="B79" i="86"/>
  <c r="B84" i="86"/>
  <c r="N30" i="86"/>
  <c r="G20" i="86"/>
  <c r="G21" i="86" s="1"/>
  <c r="N54" i="86"/>
  <c r="J37" i="86"/>
  <c r="J38" i="86" s="1"/>
  <c r="J20" i="86"/>
  <c r="J21" i="86" s="1"/>
  <c r="I37" i="86"/>
  <c r="I38" i="86" s="1"/>
  <c r="N13" i="86"/>
  <c r="M129" i="86"/>
  <c r="M130" i="86" s="1"/>
  <c r="F106" i="86"/>
  <c r="F107" i="86" s="1"/>
  <c r="G129" i="86"/>
  <c r="G130" i="86" s="1"/>
  <c r="L106" i="86"/>
  <c r="L107" i="86" s="1"/>
  <c r="N99" i="86"/>
  <c r="F60" i="86"/>
  <c r="F61" i="86" s="1"/>
  <c r="D83" i="86"/>
  <c r="M60" i="86"/>
  <c r="M61" i="86" s="1"/>
  <c r="K37" i="86"/>
  <c r="K38" i="86" s="1"/>
  <c r="B37" i="86"/>
  <c r="N36" i="86"/>
  <c r="N128" i="86"/>
  <c r="F20" i="86"/>
  <c r="F21" i="86" s="1"/>
  <c r="M20" i="86"/>
  <c r="M21" i="86" s="1"/>
  <c r="I129" i="86"/>
  <c r="I130" i="86" s="1"/>
  <c r="B106" i="86"/>
  <c r="B107" i="86" s="1"/>
  <c r="N105" i="86"/>
  <c r="C129" i="86"/>
  <c r="C130" i="86" s="1"/>
  <c r="H106" i="86"/>
  <c r="H107" i="86" s="1"/>
  <c r="N100" i="86"/>
  <c r="B102" i="86"/>
  <c r="M83" i="86"/>
  <c r="M84" i="86" s="1"/>
  <c r="B60" i="86"/>
  <c r="B61" i="86" s="1"/>
  <c r="N59" i="86"/>
  <c r="I60" i="86"/>
  <c r="I61" i="86" s="1"/>
  <c r="L60" i="86"/>
  <c r="L61" i="86" s="1"/>
  <c r="B31" i="86"/>
  <c r="F37" i="86"/>
  <c r="F38" i="86" s="1"/>
  <c r="B20" i="86"/>
  <c r="B21" i="86" s="1"/>
  <c r="N19" i="86"/>
  <c r="C20" i="86"/>
  <c r="C21" i="86" s="1"/>
  <c r="N16" i="86" l="1"/>
  <c r="D68" i="48"/>
  <c r="O68" i="48" s="1"/>
  <c r="N77" i="86"/>
  <c r="N102" i="86"/>
  <c r="C262" i="48"/>
  <c r="N79" i="86"/>
  <c r="C210" i="48"/>
  <c r="N129" i="86"/>
  <c r="N83" i="86"/>
  <c r="N37" i="86"/>
  <c r="N21" i="86"/>
  <c r="N61" i="86"/>
  <c r="N130" i="86"/>
  <c r="N107" i="86"/>
  <c r="B38" i="86"/>
  <c r="N60" i="86"/>
  <c r="D84" i="86"/>
  <c r="B125" i="86"/>
  <c r="N123" i="86"/>
  <c r="N20" i="86"/>
  <c r="N31" i="86"/>
  <c r="B33" i="86"/>
  <c r="N106" i="86"/>
  <c r="O210" i="48" l="1"/>
  <c r="O262" i="48"/>
  <c r="N125" i="86"/>
  <c r="C312" i="48"/>
  <c r="N33" i="86"/>
  <c r="C113" i="48"/>
  <c r="N84" i="86"/>
  <c r="N38" i="86"/>
  <c r="O312" i="48" l="1"/>
  <c r="O113" i="48"/>
  <c r="G101" i="85"/>
  <c r="H101" i="85"/>
  <c r="I101" i="85"/>
  <c r="J101" i="85"/>
  <c r="K101" i="85"/>
  <c r="L101" i="85"/>
  <c r="M101" i="85"/>
  <c r="F101" i="85"/>
  <c r="G125" i="85" l="1"/>
  <c r="G102" i="85"/>
  <c r="F125" i="85"/>
  <c r="F102" i="85"/>
  <c r="J125" i="85"/>
  <c r="J102" i="85"/>
  <c r="K125" i="85"/>
  <c r="K102" i="85"/>
  <c r="M125" i="85"/>
  <c r="M102" i="85"/>
  <c r="I125" i="85"/>
  <c r="I102" i="85"/>
  <c r="L125" i="85"/>
  <c r="L102" i="85"/>
  <c r="H125" i="85"/>
  <c r="H102" i="85"/>
  <c r="L129" i="85"/>
  <c r="H129" i="85"/>
  <c r="D129" i="85"/>
  <c r="M105" i="85"/>
  <c r="I105" i="85"/>
  <c r="H105" i="85"/>
  <c r="L82" i="85"/>
  <c r="K82" i="85"/>
  <c r="H82" i="85"/>
  <c r="G82" i="85"/>
  <c r="D82" i="85"/>
  <c r="K59" i="85"/>
  <c r="J59" i="85"/>
  <c r="G59" i="85"/>
  <c r="B59" i="85"/>
  <c r="L36" i="85"/>
  <c r="G36" i="85"/>
  <c r="F36" i="85"/>
  <c r="H36" i="85"/>
  <c r="D36" i="85"/>
  <c r="C108" i="85"/>
  <c r="D108" i="85" s="1"/>
  <c r="E108" i="85" s="1"/>
  <c r="E105" i="85"/>
  <c r="E101" i="85"/>
  <c r="D101" i="85"/>
  <c r="C101" i="85"/>
  <c r="B101" i="85"/>
  <c r="C85" i="85"/>
  <c r="D85" i="85" s="1"/>
  <c r="E85" i="85" s="1"/>
  <c r="F85" i="85" s="1"/>
  <c r="G85" i="85" s="1"/>
  <c r="H85" i="85" s="1"/>
  <c r="I85" i="85" s="1"/>
  <c r="J85" i="85" s="1"/>
  <c r="K85" i="85" s="1"/>
  <c r="L85" i="85" s="1"/>
  <c r="M85" i="85" s="1"/>
  <c r="M78" i="85"/>
  <c r="M79" i="85" s="1"/>
  <c r="L78" i="85"/>
  <c r="L79" i="85" s="1"/>
  <c r="K78" i="85"/>
  <c r="K79" i="85" s="1"/>
  <c r="J78" i="85"/>
  <c r="J79" i="85" s="1"/>
  <c r="I78" i="85"/>
  <c r="I79" i="85" s="1"/>
  <c r="H78" i="85"/>
  <c r="H79" i="85" s="1"/>
  <c r="G78" i="85"/>
  <c r="G79" i="85" s="1"/>
  <c r="F78" i="85"/>
  <c r="F79" i="85" s="1"/>
  <c r="E78" i="85"/>
  <c r="E79" i="85" s="1"/>
  <c r="D78" i="85"/>
  <c r="D79" i="85" s="1"/>
  <c r="C78" i="85"/>
  <c r="C79" i="85" s="1"/>
  <c r="B78" i="85"/>
  <c r="B79" i="85" s="1"/>
  <c r="C62" i="85"/>
  <c r="D62" i="85" s="1"/>
  <c r="E62" i="85" s="1"/>
  <c r="F62" i="85" s="1"/>
  <c r="G62" i="85" s="1"/>
  <c r="H62" i="85" s="1"/>
  <c r="I62" i="85" s="1"/>
  <c r="J62" i="85" s="1"/>
  <c r="K62" i="85" s="1"/>
  <c r="L62" i="85" s="1"/>
  <c r="M62" i="85" s="1"/>
  <c r="M55" i="85"/>
  <c r="M56" i="85" s="1"/>
  <c r="L55" i="85"/>
  <c r="L56" i="85" s="1"/>
  <c r="K55" i="85"/>
  <c r="K56" i="85" s="1"/>
  <c r="J55" i="85"/>
  <c r="J56" i="85" s="1"/>
  <c r="I55" i="85"/>
  <c r="I56" i="85" s="1"/>
  <c r="H55" i="85"/>
  <c r="H56" i="85" s="1"/>
  <c r="G55" i="85"/>
  <c r="G56" i="85" s="1"/>
  <c r="F55" i="85"/>
  <c r="F56" i="85" s="1"/>
  <c r="E55" i="85"/>
  <c r="E56" i="85" s="1"/>
  <c r="D55" i="85"/>
  <c r="D56" i="85" s="1"/>
  <c r="C55" i="85"/>
  <c r="C56" i="85" s="1"/>
  <c r="B55" i="85"/>
  <c r="B56" i="85" s="1"/>
  <c r="F59" i="85"/>
  <c r="C39" i="85"/>
  <c r="D39" i="85" s="1"/>
  <c r="E39" i="85" s="1"/>
  <c r="F39" i="85" s="1"/>
  <c r="G39" i="85" s="1"/>
  <c r="H39" i="85" s="1"/>
  <c r="I39" i="85" s="1"/>
  <c r="J39" i="85" s="1"/>
  <c r="K39" i="85" s="1"/>
  <c r="L39" i="85" s="1"/>
  <c r="M39" i="85" s="1"/>
  <c r="K36" i="85"/>
  <c r="C36" i="85"/>
  <c r="M32" i="85"/>
  <c r="M33" i="85" s="1"/>
  <c r="L32" i="85"/>
  <c r="L33" i="85" s="1"/>
  <c r="K32" i="85"/>
  <c r="K33" i="85" s="1"/>
  <c r="J32" i="85"/>
  <c r="J33" i="85" s="1"/>
  <c r="I32" i="85"/>
  <c r="I33" i="85" s="1"/>
  <c r="H32" i="85"/>
  <c r="H33" i="85" s="1"/>
  <c r="G32" i="85"/>
  <c r="G33" i="85" s="1"/>
  <c r="F32" i="85"/>
  <c r="F33" i="85" s="1"/>
  <c r="E32" i="85"/>
  <c r="E33" i="85" s="1"/>
  <c r="D32" i="85"/>
  <c r="D33" i="85" s="1"/>
  <c r="C32" i="85"/>
  <c r="C33" i="85" s="1"/>
  <c r="B32" i="85"/>
  <c r="B33" i="85" s="1"/>
  <c r="A27" i="85"/>
  <c r="A50" i="85" s="1"/>
  <c r="A73" i="85" s="1"/>
  <c r="A96" i="85" s="1"/>
  <c r="A120" i="85" s="1"/>
  <c r="A144" i="85" s="1"/>
  <c r="M15" i="85"/>
  <c r="L15" i="85"/>
  <c r="K15" i="85"/>
  <c r="J15" i="85"/>
  <c r="I15" i="85"/>
  <c r="H15" i="85"/>
  <c r="G15" i="85"/>
  <c r="F15" i="85"/>
  <c r="E15" i="85"/>
  <c r="C15" i="85"/>
  <c r="B15" i="85"/>
  <c r="C5" i="85"/>
  <c r="D5" i="85" s="1"/>
  <c r="E5" i="85" s="1"/>
  <c r="F5" i="85" s="1"/>
  <c r="G5" i="85" s="1"/>
  <c r="H5" i="85" s="1"/>
  <c r="I5" i="85" s="1"/>
  <c r="J5" i="85" s="1"/>
  <c r="K5" i="85" s="1"/>
  <c r="L5" i="85" s="1"/>
  <c r="M5" i="85" s="1"/>
  <c r="B3" i="85"/>
  <c r="B2" i="85"/>
  <c r="K40" i="85" l="1"/>
  <c r="K38" i="85"/>
  <c r="K37" i="85" s="1"/>
  <c r="H40" i="85"/>
  <c r="H37" i="85"/>
  <c r="H38" i="85"/>
  <c r="B61" i="85"/>
  <c r="B60" i="85" s="1"/>
  <c r="B63" i="85"/>
  <c r="D131" i="85"/>
  <c r="D130" i="85" s="1"/>
  <c r="F40" i="85"/>
  <c r="G107" i="48" s="1"/>
  <c r="F38" i="85"/>
  <c r="F37" i="85" s="1"/>
  <c r="G63" i="85"/>
  <c r="G61" i="85"/>
  <c r="G60" i="85" s="1"/>
  <c r="H131" i="85"/>
  <c r="H130" i="85" s="1"/>
  <c r="F61" i="85"/>
  <c r="F60" i="85" s="1"/>
  <c r="F63" i="85"/>
  <c r="G153" i="48" s="1"/>
  <c r="G40" i="85"/>
  <c r="H107" i="48" s="1"/>
  <c r="G38" i="85"/>
  <c r="G37" i="85" s="1"/>
  <c r="J61" i="85"/>
  <c r="J60" i="85" s="1"/>
  <c r="J63" i="85"/>
  <c r="K153" i="48" s="1"/>
  <c r="L131" i="85"/>
  <c r="L130" i="85" s="1"/>
  <c r="C40" i="85"/>
  <c r="D107" i="48" s="1"/>
  <c r="C38" i="85"/>
  <c r="C37" i="85" s="1"/>
  <c r="D40" i="85"/>
  <c r="E107" i="48" s="1"/>
  <c r="D38" i="85"/>
  <c r="D37" i="85" s="1"/>
  <c r="L40" i="85"/>
  <c r="L38" i="85"/>
  <c r="L37" i="85" s="1"/>
  <c r="K63" i="85"/>
  <c r="L153" i="48" s="1"/>
  <c r="K61" i="85"/>
  <c r="K60" i="85" s="1"/>
  <c r="E109" i="85"/>
  <c r="E107" i="85"/>
  <c r="E106" i="85" s="1"/>
  <c r="H107" i="85"/>
  <c r="H106" i="85" s="1"/>
  <c r="I107" i="85"/>
  <c r="I106" i="85" s="1"/>
  <c r="M107" i="85"/>
  <c r="M106" i="85" s="1"/>
  <c r="L86" i="85"/>
  <c r="M204" i="48" s="1"/>
  <c r="L84" i="85"/>
  <c r="L83" i="85" s="1"/>
  <c r="K84" i="85"/>
  <c r="K83" i="85" s="1"/>
  <c r="K86" i="85"/>
  <c r="G86" i="85"/>
  <c r="H204" i="48" s="1"/>
  <c r="G84" i="85"/>
  <c r="G83" i="85" s="1"/>
  <c r="H86" i="85"/>
  <c r="H84" i="85"/>
  <c r="H83" i="85" s="1"/>
  <c r="D84" i="85"/>
  <c r="D83" i="85" s="1"/>
  <c r="D86" i="85"/>
  <c r="E204" i="48" s="1"/>
  <c r="D125" i="85"/>
  <c r="D102" i="85"/>
  <c r="E255" i="48" s="1"/>
  <c r="E125" i="85"/>
  <c r="E102" i="85"/>
  <c r="F255" i="48" s="1"/>
  <c r="H149" i="85"/>
  <c r="H126" i="85"/>
  <c r="I305" i="48" s="1"/>
  <c r="I149" i="85"/>
  <c r="I126" i="85"/>
  <c r="J305" i="48" s="1"/>
  <c r="K149" i="85"/>
  <c r="K126" i="85"/>
  <c r="L305" i="48" s="1"/>
  <c r="F149" i="85"/>
  <c r="F126" i="85"/>
  <c r="G305" i="48" s="1"/>
  <c r="B125" i="85"/>
  <c r="B102" i="85"/>
  <c r="C125" i="85"/>
  <c r="C102" i="85"/>
  <c r="D255" i="48" s="1"/>
  <c r="L149" i="85"/>
  <c r="L126" i="85"/>
  <c r="M305" i="48" s="1"/>
  <c r="M149" i="85"/>
  <c r="M126" i="85"/>
  <c r="N305" i="48" s="1"/>
  <c r="J149" i="85"/>
  <c r="J126" i="85"/>
  <c r="K305" i="48" s="1"/>
  <c r="G149" i="85"/>
  <c r="G126" i="85"/>
  <c r="H305" i="48" s="1"/>
  <c r="I108" i="85"/>
  <c r="I109" i="85" s="1"/>
  <c r="M108" i="85"/>
  <c r="M109" i="85" s="1"/>
  <c r="J108" i="85"/>
  <c r="F108" i="85"/>
  <c r="G108" i="85"/>
  <c r="K108" i="85"/>
  <c r="H108" i="85"/>
  <c r="H109" i="85" s="1"/>
  <c r="I256" i="48" s="1"/>
  <c r="L108" i="85"/>
  <c r="L203" i="48"/>
  <c r="H106" i="48"/>
  <c r="M152" i="48"/>
  <c r="E152" i="48"/>
  <c r="E129" i="85"/>
  <c r="I129" i="85"/>
  <c r="M129" i="85"/>
  <c r="N122" i="85"/>
  <c r="B129" i="85"/>
  <c r="F129" i="85"/>
  <c r="J129" i="85"/>
  <c r="C129" i="85"/>
  <c r="G129" i="85"/>
  <c r="K129" i="85"/>
  <c r="J36" i="85"/>
  <c r="L105" i="85"/>
  <c r="D105" i="85"/>
  <c r="C82" i="85"/>
  <c r="G106" i="48"/>
  <c r="L204" i="48"/>
  <c r="D106" i="48"/>
  <c r="L106" i="48"/>
  <c r="K106" i="48"/>
  <c r="I107" i="48"/>
  <c r="L107" i="48"/>
  <c r="F106" i="48"/>
  <c r="E36" i="85"/>
  <c r="J106" i="48"/>
  <c r="I36" i="85"/>
  <c r="N106" i="48"/>
  <c r="M36" i="85"/>
  <c r="M107" i="48"/>
  <c r="F152" i="48"/>
  <c r="E59" i="85"/>
  <c r="J152" i="48"/>
  <c r="I59" i="85"/>
  <c r="N152" i="48"/>
  <c r="M59" i="85"/>
  <c r="H153" i="48"/>
  <c r="B82" i="85"/>
  <c r="G203" i="48"/>
  <c r="F82" i="85"/>
  <c r="K203" i="48"/>
  <c r="J82" i="85"/>
  <c r="N75" i="85"/>
  <c r="F256" i="48"/>
  <c r="I204" i="48"/>
  <c r="E106" i="48"/>
  <c r="M106" i="48"/>
  <c r="D152" i="48"/>
  <c r="H152" i="48"/>
  <c r="L152" i="48"/>
  <c r="C105" i="85"/>
  <c r="H255" i="48"/>
  <c r="G105" i="85"/>
  <c r="L255" i="48"/>
  <c r="K105" i="85"/>
  <c r="I152" i="48"/>
  <c r="C59" i="85"/>
  <c r="N52" i="85"/>
  <c r="G152" i="48"/>
  <c r="K152" i="48"/>
  <c r="D59" i="85"/>
  <c r="H59" i="85"/>
  <c r="L59" i="85"/>
  <c r="E203" i="48"/>
  <c r="I203" i="48"/>
  <c r="M203" i="48"/>
  <c r="D203" i="48"/>
  <c r="H203" i="48"/>
  <c r="E82" i="85"/>
  <c r="I82" i="85"/>
  <c r="M82" i="85"/>
  <c r="J255" i="48"/>
  <c r="N255" i="48"/>
  <c r="I255" i="48"/>
  <c r="M255" i="48"/>
  <c r="B105" i="85"/>
  <c r="F105" i="85"/>
  <c r="J105" i="85"/>
  <c r="F203" i="48"/>
  <c r="J203" i="48"/>
  <c r="N203" i="48"/>
  <c r="G255" i="48"/>
  <c r="K255" i="48"/>
  <c r="N98" i="85"/>
  <c r="D61" i="85" l="1"/>
  <c r="D60" i="85" s="1"/>
  <c r="D63" i="85"/>
  <c r="M40" i="85"/>
  <c r="M38" i="85"/>
  <c r="M37" i="85" s="1"/>
  <c r="E40" i="85"/>
  <c r="F107" i="48" s="1"/>
  <c r="E38" i="85"/>
  <c r="E37" i="85" s="1"/>
  <c r="C131" i="85"/>
  <c r="C130" i="85" s="1"/>
  <c r="E131" i="85"/>
  <c r="E130" i="85" s="1"/>
  <c r="C63" i="85"/>
  <c r="C61" i="85"/>
  <c r="C60" i="85"/>
  <c r="J84" i="85"/>
  <c r="J83" i="85" s="1"/>
  <c r="J86" i="85"/>
  <c r="B84" i="85"/>
  <c r="B83" i="85" s="1"/>
  <c r="B86" i="85"/>
  <c r="I63" i="85"/>
  <c r="I61" i="85"/>
  <c r="I60" i="85" s="1"/>
  <c r="J40" i="85"/>
  <c r="K107" i="48" s="1"/>
  <c r="J38" i="85"/>
  <c r="J37" i="85" s="1"/>
  <c r="J131" i="85"/>
  <c r="J130" i="85" s="1"/>
  <c r="M86" i="85"/>
  <c r="M84" i="85"/>
  <c r="M83" i="85" s="1"/>
  <c r="L61" i="85"/>
  <c r="L60" i="85" s="1"/>
  <c r="L63" i="85"/>
  <c r="I40" i="85"/>
  <c r="J107" i="48" s="1"/>
  <c r="I38" i="85"/>
  <c r="I37" i="85" s="1"/>
  <c r="C86" i="85"/>
  <c r="D204" i="48" s="1"/>
  <c r="C84" i="85"/>
  <c r="C83" i="85" s="1"/>
  <c r="K131" i="85"/>
  <c r="K130" i="85" s="1"/>
  <c r="F131" i="85"/>
  <c r="F130" i="85" s="1"/>
  <c r="M131" i="85"/>
  <c r="M130" i="85" s="1"/>
  <c r="H61" i="85"/>
  <c r="H60" i="85" s="1"/>
  <c r="H63" i="85"/>
  <c r="M63" i="85"/>
  <c r="N153" i="48" s="1"/>
  <c r="M61" i="85"/>
  <c r="M60" i="85" s="1"/>
  <c r="E63" i="85"/>
  <c r="E61" i="85"/>
  <c r="E60" i="85" s="1"/>
  <c r="G131" i="85"/>
  <c r="G130" i="85" s="1"/>
  <c r="B131" i="85"/>
  <c r="B130" i="85" s="1"/>
  <c r="I131" i="85"/>
  <c r="I130" i="85" s="1"/>
  <c r="J107" i="85"/>
  <c r="J106" i="85" s="1"/>
  <c r="J109" i="85"/>
  <c r="K256" i="48" s="1"/>
  <c r="K107" i="85"/>
  <c r="K106" i="85" s="1"/>
  <c r="K109" i="85"/>
  <c r="L256" i="48" s="1"/>
  <c r="C107" i="85"/>
  <c r="C106" i="85" s="1"/>
  <c r="C109" i="85"/>
  <c r="D107" i="85"/>
  <c r="D106" i="85" s="1"/>
  <c r="D109" i="85"/>
  <c r="E256" i="48" s="1"/>
  <c r="F107" i="85"/>
  <c r="F106" i="85" s="1"/>
  <c r="F109" i="85"/>
  <c r="G256" i="48" s="1"/>
  <c r="L107" i="85"/>
  <c r="L106" i="85" s="1"/>
  <c r="L109" i="85"/>
  <c r="M256" i="48" s="1"/>
  <c r="G109" i="85"/>
  <c r="H256" i="48" s="1"/>
  <c r="G107" i="85"/>
  <c r="G106" i="85" s="1"/>
  <c r="B109" i="85"/>
  <c r="B107" i="85"/>
  <c r="B106" i="85" s="1"/>
  <c r="F86" i="85"/>
  <c r="G204" i="48" s="1"/>
  <c r="F84" i="85"/>
  <c r="F83" i="85" s="1"/>
  <c r="I86" i="85"/>
  <c r="I84" i="85"/>
  <c r="I83" i="85" s="1"/>
  <c r="E86" i="85"/>
  <c r="F204" i="48" s="1"/>
  <c r="E84" i="85"/>
  <c r="E83" i="85" s="1"/>
  <c r="G150" i="85"/>
  <c r="H353" i="48" s="1"/>
  <c r="M150" i="85"/>
  <c r="N353" i="48" s="1"/>
  <c r="C149" i="85"/>
  <c r="C126" i="85"/>
  <c r="D305" i="48" s="1"/>
  <c r="F150" i="85"/>
  <c r="G353" i="48" s="1"/>
  <c r="I150" i="85"/>
  <c r="J353" i="48" s="1"/>
  <c r="E149" i="85"/>
  <c r="E126" i="85"/>
  <c r="F305" i="48" s="1"/>
  <c r="J150" i="85"/>
  <c r="K353" i="48" s="1"/>
  <c r="L150" i="85"/>
  <c r="M353" i="48" s="1"/>
  <c r="B149" i="85"/>
  <c r="B150" i="85" s="1"/>
  <c r="B126" i="85"/>
  <c r="K150" i="85"/>
  <c r="L353" i="48" s="1"/>
  <c r="H150" i="85"/>
  <c r="I353" i="48" s="1"/>
  <c r="D149" i="85"/>
  <c r="D126" i="85"/>
  <c r="E305" i="48" s="1"/>
  <c r="N256" i="48"/>
  <c r="N19" i="47"/>
  <c r="J256" i="48"/>
  <c r="N129" i="85"/>
  <c r="N123" i="85"/>
  <c r="C153" i="48"/>
  <c r="N77" i="85"/>
  <c r="N54" i="85"/>
  <c r="N99" i="85"/>
  <c r="E153" i="48"/>
  <c r="F153" i="48"/>
  <c r="N204" i="48"/>
  <c r="N53" i="85"/>
  <c r="N107" i="48"/>
  <c r="I106" i="48"/>
  <c r="I153" i="48"/>
  <c r="N76" i="85"/>
  <c r="K204" i="48"/>
  <c r="N105" i="85"/>
  <c r="J204" i="48"/>
  <c r="M153" i="48"/>
  <c r="D256" i="48"/>
  <c r="N82" i="85"/>
  <c r="J153" i="48"/>
  <c r="N59" i="85"/>
  <c r="D150" i="85" l="1"/>
  <c r="E353" i="48" s="1"/>
  <c r="E150" i="85"/>
  <c r="F353" i="48" s="1"/>
  <c r="C353" i="48"/>
  <c r="C150" i="85"/>
  <c r="N79" i="85"/>
  <c r="C203" i="48"/>
  <c r="O203" i="48" s="1"/>
  <c r="N56" i="85"/>
  <c r="C152" i="48"/>
  <c r="O152" i="48" s="1"/>
  <c r="N131" i="85"/>
  <c r="N124" i="85"/>
  <c r="N130" i="85"/>
  <c r="N83" i="85"/>
  <c r="N61" i="85"/>
  <c r="N60" i="85"/>
  <c r="N106" i="85"/>
  <c r="N100" i="85"/>
  <c r="N150" i="85" l="1"/>
  <c r="D353" i="48"/>
  <c r="O353" i="48" s="1"/>
  <c r="N126" i="85"/>
  <c r="C305" i="48"/>
  <c r="O305" i="48" s="1"/>
  <c r="N102" i="85"/>
  <c r="C255" i="48"/>
  <c r="O255" i="48" s="1"/>
  <c r="N86" i="85"/>
  <c r="C204" i="48"/>
  <c r="O204" i="48" s="1"/>
  <c r="N63" i="85"/>
  <c r="D153" i="48"/>
  <c r="O153" i="48" s="1"/>
  <c r="N84" i="85"/>
  <c r="N107" i="85"/>
  <c r="B81" i="75" l="1"/>
  <c r="D81" i="75" s="1"/>
  <c r="E81" i="75" s="1"/>
  <c r="B113" i="75"/>
  <c r="D113" i="75" s="1"/>
  <c r="E113" i="75" s="1"/>
  <c r="N109" i="85"/>
  <c r="C256" i="48"/>
  <c r="O256" i="48" s="1"/>
  <c r="B145" i="75" l="1"/>
  <c r="D145" i="75" s="1"/>
  <c r="E145" i="75" s="1"/>
  <c r="P10" i="12"/>
  <c r="C97" i="84"/>
  <c r="C98" i="84" s="1"/>
  <c r="C99" i="84" s="1"/>
  <c r="D97" i="84"/>
  <c r="D104" i="84" s="1"/>
  <c r="E97" i="84"/>
  <c r="E104" i="84" s="1"/>
  <c r="F97" i="84"/>
  <c r="G97" i="84"/>
  <c r="G98" i="84" s="1"/>
  <c r="G99" i="84" s="1"/>
  <c r="H97" i="84"/>
  <c r="H104" i="84" s="1"/>
  <c r="I97" i="84"/>
  <c r="J97" i="84"/>
  <c r="K97" i="84"/>
  <c r="K98" i="84" s="1"/>
  <c r="K99" i="84" s="1"/>
  <c r="L97" i="84"/>
  <c r="L104" i="84" s="1"/>
  <c r="M97" i="84"/>
  <c r="B97" i="84"/>
  <c r="G84" i="84"/>
  <c r="G100" i="84" s="1"/>
  <c r="H84" i="84"/>
  <c r="H100" i="84" s="1"/>
  <c r="I84" i="84"/>
  <c r="I100" i="84" s="1"/>
  <c r="J84" i="84"/>
  <c r="J100" i="84" s="1"/>
  <c r="K84" i="84"/>
  <c r="K100" i="84" s="1"/>
  <c r="L84" i="84"/>
  <c r="L100" i="84" s="1"/>
  <c r="M84" i="84"/>
  <c r="M100" i="84" s="1"/>
  <c r="E81" i="84"/>
  <c r="F81" i="84"/>
  <c r="F88" i="84" s="1"/>
  <c r="I81" i="84"/>
  <c r="I82" i="84" s="1"/>
  <c r="J81" i="84"/>
  <c r="J88" i="84" s="1"/>
  <c r="M81" i="84"/>
  <c r="D65" i="84"/>
  <c r="D72" i="84" s="1"/>
  <c r="H65" i="84"/>
  <c r="H66" i="84" s="1"/>
  <c r="L65" i="84"/>
  <c r="L72" i="84" s="1"/>
  <c r="C48" i="84"/>
  <c r="F48" i="84"/>
  <c r="F55" i="84" s="1"/>
  <c r="F56" i="84" s="1"/>
  <c r="F57" i="84" s="1"/>
  <c r="G48" i="84"/>
  <c r="G49" i="84" s="1"/>
  <c r="G50" i="84" s="1"/>
  <c r="J48" i="84"/>
  <c r="J55" i="84" s="1"/>
  <c r="J56" i="84" s="1"/>
  <c r="K48" i="84"/>
  <c r="F31" i="84"/>
  <c r="J31" i="84"/>
  <c r="J38" i="84" s="1"/>
  <c r="L81" i="84"/>
  <c r="L88" i="84" s="1"/>
  <c r="L89" i="84" s="1"/>
  <c r="K81" i="84"/>
  <c r="H81" i="84"/>
  <c r="H88" i="84" s="1"/>
  <c r="H89" i="84" s="1"/>
  <c r="G81" i="84"/>
  <c r="D81" i="84"/>
  <c r="D88" i="84" s="1"/>
  <c r="D89" i="84" s="1"/>
  <c r="C81" i="84"/>
  <c r="B81" i="84"/>
  <c r="B88" i="84" s="1"/>
  <c r="M65" i="84"/>
  <c r="M72" i="84" s="1"/>
  <c r="K65" i="84"/>
  <c r="K72" i="84" s="1"/>
  <c r="K73" i="84" s="1"/>
  <c r="J65" i="84"/>
  <c r="I65" i="84"/>
  <c r="I72" i="84" s="1"/>
  <c r="G65" i="84"/>
  <c r="G72" i="84" s="1"/>
  <c r="G73" i="84" s="1"/>
  <c r="F65" i="84"/>
  <c r="E65" i="84"/>
  <c r="E72" i="84" s="1"/>
  <c r="C65" i="84"/>
  <c r="C66" i="84" s="1"/>
  <c r="B65" i="84"/>
  <c r="M48" i="84"/>
  <c r="L48" i="84"/>
  <c r="L55" i="84" s="1"/>
  <c r="I48" i="84"/>
  <c r="H48" i="84"/>
  <c r="H55" i="84" s="1"/>
  <c r="E48" i="84"/>
  <c r="D48" i="84"/>
  <c r="D55" i="84" s="1"/>
  <c r="B48" i="84"/>
  <c r="B55" i="84" s="1"/>
  <c r="M31" i="84"/>
  <c r="M38" i="84" s="1"/>
  <c r="M39" i="84" s="1"/>
  <c r="L31" i="84"/>
  <c r="L38" i="84" s="1"/>
  <c r="K31" i="84"/>
  <c r="I31" i="84"/>
  <c r="I38" i="84" s="1"/>
  <c r="H31" i="84"/>
  <c r="H38" i="84" s="1"/>
  <c r="H39" i="84" s="1"/>
  <c r="G31" i="84"/>
  <c r="G38" i="84" s="1"/>
  <c r="G39" i="84" s="1"/>
  <c r="E31" i="84"/>
  <c r="E32" i="84" s="1"/>
  <c r="D31" i="84"/>
  <c r="D38" i="84" s="1"/>
  <c r="D39" i="84" s="1"/>
  <c r="C31" i="84"/>
  <c r="C38" i="84" s="1"/>
  <c r="C39" i="84" s="1"/>
  <c r="B31" i="84"/>
  <c r="B32" i="84" s="1"/>
  <c r="M14" i="84"/>
  <c r="M21" i="84" s="1"/>
  <c r="M22" i="84" s="1"/>
  <c r="L14" i="84"/>
  <c r="K14" i="84"/>
  <c r="K15" i="84" s="1"/>
  <c r="J14" i="84"/>
  <c r="I14" i="84"/>
  <c r="I21" i="84" s="1"/>
  <c r="I22" i="84" s="1"/>
  <c r="H14" i="84"/>
  <c r="H21" i="84" s="1"/>
  <c r="H22" i="84" s="1"/>
  <c r="G14" i="84"/>
  <c r="G21" i="84" s="1"/>
  <c r="G22" i="84" s="1"/>
  <c r="F14" i="84"/>
  <c r="E14" i="84"/>
  <c r="D14" i="84"/>
  <c r="D15" i="84" s="1"/>
  <c r="C14" i="84"/>
  <c r="C21" i="84" s="1"/>
  <c r="B14" i="84"/>
  <c r="B15" i="84" s="1"/>
  <c r="F84" i="84"/>
  <c r="F100" i="84" s="1"/>
  <c r="E84" i="84"/>
  <c r="E100" i="84" s="1"/>
  <c r="D84" i="84"/>
  <c r="D100" i="84" s="1"/>
  <c r="C84" i="84"/>
  <c r="C100" i="84" s="1"/>
  <c r="B84" i="84"/>
  <c r="B100" i="84" s="1"/>
  <c r="M68" i="84"/>
  <c r="L68" i="84"/>
  <c r="K68" i="84"/>
  <c r="J68" i="84"/>
  <c r="I68" i="84"/>
  <c r="H68" i="84"/>
  <c r="G68" i="84"/>
  <c r="F68" i="84"/>
  <c r="E68" i="84"/>
  <c r="D68" i="84"/>
  <c r="C68" i="84"/>
  <c r="B68" i="84"/>
  <c r="K66" i="84"/>
  <c r="M51" i="84"/>
  <c r="L51" i="84"/>
  <c r="K51" i="84"/>
  <c r="J51" i="84"/>
  <c r="I51" i="84"/>
  <c r="H51" i="84"/>
  <c r="G51" i="84"/>
  <c r="F51" i="84"/>
  <c r="E51" i="84"/>
  <c r="D51" i="84"/>
  <c r="C51" i="84"/>
  <c r="B51" i="84"/>
  <c r="M34" i="84"/>
  <c r="L34" i="84"/>
  <c r="K34" i="84"/>
  <c r="J34" i="84"/>
  <c r="I34" i="84"/>
  <c r="H34" i="84"/>
  <c r="G34" i="84"/>
  <c r="F34" i="84"/>
  <c r="E34" i="84"/>
  <c r="D34" i="84"/>
  <c r="C34" i="84"/>
  <c r="B34" i="84"/>
  <c r="K38" i="84"/>
  <c r="K39" i="84" s="1"/>
  <c r="A29" i="84"/>
  <c r="A46" i="84" s="1"/>
  <c r="A63" i="84" s="1"/>
  <c r="A79" i="84" s="1"/>
  <c r="A95" i="84" s="1"/>
  <c r="M17" i="84"/>
  <c r="L17" i="84"/>
  <c r="K17" i="84"/>
  <c r="J17" i="84"/>
  <c r="I17" i="84"/>
  <c r="H17" i="84"/>
  <c r="G17" i="84"/>
  <c r="F17" i="84"/>
  <c r="E17" i="84"/>
  <c r="D17" i="84"/>
  <c r="C17" i="84"/>
  <c r="B17" i="84"/>
  <c r="C7" i="84"/>
  <c r="D7" i="84" s="1"/>
  <c r="E7" i="84" s="1"/>
  <c r="F7" i="84" s="1"/>
  <c r="G7" i="84" s="1"/>
  <c r="H7" i="84" s="1"/>
  <c r="I7" i="84" s="1"/>
  <c r="J7" i="84" s="1"/>
  <c r="K7" i="84" s="1"/>
  <c r="L7" i="84" s="1"/>
  <c r="M7" i="84" s="1"/>
  <c r="B5" i="84"/>
  <c r="Q14" i="83"/>
  <c r="N19" i="91" s="1"/>
  <c r="Q12" i="83"/>
  <c r="D11" i="83"/>
  <c r="D12" i="83" s="1"/>
  <c r="D13" i="83" s="1"/>
  <c r="D14" i="83" s="1"/>
  <c r="Q10" i="83"/>
  <c r="N200" i="16"/>
  <c r="A136" i="16"/>
  <c r="N200" i="4"/>
  <c r="B205" i="4"/>
  <c r="B136" i="4"/>
  <c r="B131" i="4"/>
  <c r="C101" i="84" l="1"/>
  <c r="K101" i="84"/>
  <c r="G101" i="84"/>
  <c r="B131" i="16"/>
  <c r="N131" i="16" s="1"/>
  <c r="B136" i="64"/>
  <c r="N136" i="64" s="1"/>
  <c r="N131" i="4"/>
  <c r="C72" i="84"/>
  <c r="C73" i="84" s="1"/>
  <c r="C74" i="84" s="1"/>
  <c r="E38" i="84"/>
  <c r="E39" i="84" s="1"/>
  <c r="M15" i="84"/>
  <c r="M16" i="84" s="1"/>
  <c r="M18" i="84" s="1"/>
  <c r="G15" i="84"/>
  <c r="G16" i="84" s="1"/>
  <c r="G18" i="84" s="1"/>
  <c r="H15" i="84"/>
  <c r="H16" i="84" s="1"/>
  <c r="H18" i="84" s="1"/>
  <c r="D98" i="84"/>
  <c r="D99" i="84" s="1"/>
  <c r="D101" i="84" s="1"/>
  <c r="H98" i="84"/>
  <c r="G52" i="84"/>
  <c r="L98" i="84"/>
  <c r="L99" i="84" s="1"/>
  <c r="L101" i="84" s="1"/>
  <c r="D105" i="84"/>
  <c r="D106" i="84" s="1"/>
  <c r="H105" i="84"/>
  <c r="H106" i="84" s="1"/>
  <c r="L105" i="84"/>
  <c r="L106" i="84" s="1"/>
  <c r="E105" i="84"/>
  <c r="E106" i="84" s="1"/>
  <c r="N97" i="84"/>
  <c r="E98" i="84"/>
  <c r="E99" i="84" s="1"/>
  <c r="E101" i="84" s="1"/>
  <c r="I98" i="84"/>
  <c r="I99" i="84" s="1"/>
  <c r="I101" i="84" s="1"/>
  <c r="M98" i="84"/>
  <c r="M99" i="84" s="1"/>
  <c r="M101" i="84" s="1"/>
  <c r="H99" i="84"/>
  <c r="H101" i="84" s="1"/>
  <c r="B104" i="84"/>
  <c r="F104" i="84"/>
  <c r="J104" i="84"/>
  <c r="I104" i="84"/>
  <c r="M104" i="84"/>
  <c r="B98" i="84"/>
  <c r="F98" i="84"/>
  <c r="F99" i="84" s="1"/>
  <c r="F101" i="84" s="1"/>
  <c r="J98" i="84"/>
  <c r="J99" i="84" s="1"/>
  <c r="J101" i="84" s="1"/>
  <c r="C104" i="84"/>
  <c r="G104" i="84"/>
  <c r="K104" i="84"/>
  <c r="M82" i="84"/>
  <c r="M83" i="84" s="1"/>
  <c r="M85" i="84" s="1"/>
  <c r="M88" i="84"/>
  <c r="M89" i="84" s="1"/>
  <c r="E88" i="84"/>
  <c r="E89" i="84" s="1"/>
  <c r="E82" i="84"/>
  <c r="E83" i="84" s="1"/>
  <c r="E85" i="84" s="1"/>
  <c r="Q13" i="83"/>
  <c r="K55" i="84"/>
  <c r="K56" i="84" s="1"/>
  <c r="K57" i="84" s="1"/>
  <c r="K49" i="84"/>
  <c r="K50" i="84" s="1"/>
  <c r="K52" i="84" s="1"/>
  <c r="C49" i="84"/>
  <c r="C50" i="84" s="1"/>
  <c r="C52" i="84" s="1"/>
  <c r="C55" i="84"/>
  <c r="C56" i="84" s="1"/>
  <c r="C57" i="84" s="1"/>
  <c r="B49" i="84"/>
  <c r="B50" i="84" s="1"/>
  <c r="Q11" i="83"/>
  <c r="I32" i="84"/>
  <c r="I33" i="84" s="1"/>
  <c r="I35" i="84" s="1"/>
  <c r="M32" i="84"/>
  <c r="M33" i="84" s="1"/>
  <c r="M35" i="84" s="1"/>
  <c r="L15" i="84"/>
  <c r="L16" i="84" s="1"/>
  <c r="L18" i="84" s="1"/>
  <c r="L21" i="84"/>
  <c r="L22" i="84" s="1"/>
  <c r="J49" i="84"/>
  <c r="J50" i="84" s="1"/>
  <c r="J52" i="84" s="1"/>
  <c r="G55" i="84"/>
  <c r="G56" i="84" s="1"/>
  <c r="I88" i="84"/>
  <c r="I89" i="84" s="1"/>
  <c r="I90" i="84" s="1"/>
  <c r="H67" i="84"/>
  <c r="H69" i="84" s="1"/>
  <c r="D21" i="84"/>
  <c r="D22" i="84" s="1"/>
  <c r="H82" i="84"/>
  <c r="H83" i="84" s="1"/>
  <c r="H85" i="84" s="1"/>
  <c r="B38" i="84"/>
  <c r="B39" i="84" s="1"/>
  <c r="H72" i="84"/>
  <c r="H73" i="84" s="1"/>
  <c r="L39" i="84"/>
  <c r="L40" i="84" s="1"/>
  <c r="K21" i="84"/>
  <c r="C15" i="84"/>
  <c r="C16" i="84" s="1"/>
  <c r="C18" i="84" s="1"/>
  <c r="L66" i="84"/>
  <c r="L67" i="84" s="1"/>
  <c r="L69" i="84" s="1"/>
  <c r="D40" i="84"/>
  <c r="D66" i="84"/>
  <c r="D67" i="84" s="1"/>
  <c r="D69" i="84" s="1"/>
  <c r="K74" i="84"/>
  <c r="H90" i="84"/>
  <c r="C22" i="84"/>
  <c r="C23" i="84" s="1"/>
  <c r="K22" i="84"/>
  <c r="K23" i="84" s="1"/>
  <c r="N14" i="84"/>
  <c r="B16" i="84"/>
  <c r="B21" i="84"/>
  <c r="K32" i="84"/>
  <c r="K33" i="84" s="1"/>
  <c r="K35" i="84" s="1"/>
  <c r="H56" i="84"/>
  <c r="H57" i="84" s="1"/>
  <c r="M23" i="84"/>
  <c r="G32" i="84"/>
  <c r="G33" i="84" s="1"/>
  <c r="G35" i="84" s="1"/>
  <c r="J39" i="84"/>
  <c r="J40" i="84" s="1"/>
  <c r="H40" i="84"/>
  <c r="D73" i="84"/>
  <c r="D74" i="84" s="1"/>
  <c r="L73" i="84"/>
  <c r="L74" i="84" s="1"/>
  <c r="C82" i="84"/>
  <c r="C83" i="84" s="1"/>
  <c r="C85" i="84" s="1"/>
  <c r="C88" i="84"/>
  <c r="G82" i="84"/>
  <c r="G83" i="84" s="1"/>
  <c r="G85" i="84" s="1"/>
  <c r="G88" i="84"/>
  <c r="K82" i="84"/>
  <c r="K83" i="84" s="1"/>
  <c r="K85" i="84" s="1"/>
  <c r="K88" i="84"/>
  <c r="B89" i="84"/>
  <c r="H23" i="84"/>
  <c r="E15" i="84"/>
  <c r="I15" i="84"/>
  <c r="I16" i="84" s="1"/>
  <c r="I18" i="84" s="1"/>
  <c r="D16" i="84"/>
  <c r="D18" i="84" s="1"/>
  <c r="E21" i="84"/>
  <c r="J21" i="84"/>
  <c r="I23" i="84"/>
  <c r="E33" i="84"/>
  <c r="E35" i="84" s="1"/>
  <c r="C32" i="84"/>
  <c r="C33" i="84" s="1"/>
  <c r="C35" i="84" s="1"/>
  <c r="H32" i="84"/>
  <c r="H33" i="84" s="1"/>
  <c r="H35" i="84" s="1"/>
  <c r="M40" i="84"/>
  <c r="C40" i="84"/>
  <c r="K40" i="84"/>
  <c r="G74" i="84"/>
  <c r="E73" i="84"/>
  <c r="E74" i="84" s="1"/>
  <c r="M73" i="84"/>
  <c r="M74" i="84" s="1"/>
  <c r="D90" i="84"/>
  <c r="L90" i="84"/>
  <c r="G40" i="84"/>
  <c r="G23" i="84"/>
  <c r="L32" i="84"/>
  <c r="L33" i="84" s="1"/>
  <c r="L35" i="84" s="1"/>
  <c r="J89" i="84"/>
  <c r="J90" i="84" s="1"/>
  <c r="F15" i="84"/>
  <c r="F16" i="84" s="1"/>
  <c r="F18" i="84" s="1"/>
  <c r="J15" i="84"/>
  <c r="J16" i="84" s="1"/>
  <c r="J18" i="84" s="1"/>
  <c r="K16" i="84"/>
  <c r="K18" i="84" s="1"/>
  <c r="F21" i="84"/>
  <c r="F32" i="84"/>
  <c r="F33" i="84" s="1"/>
  <c r="F35" i="84" s="1"/>
  <c r="J32" i="84"/>
  <c r="J33" i="84" s="1"/>
  <c r="J35" i="84" s="1"/>
  <c r="N31" i="84"/>
  <c r="D32" i="84"/>
  <c r="D33" i="84" s="1"/>
  <c r="D35" i="84" s="1"/>
  <c r="B33" i="84"/>
  <c r="F38" i="84"/>
  <c r="I39" i="84"/>
  <c r="I40" i="84" s="1"/>
  <c r="E49" i="84"/>
  <c r="E50" i="84" s="1"/>
  <c r="E52" i="84" s="1"/>
  <c r="E55" i="84"/>
  <c r="I49" i="84"/>
  <c r="I50" i="84" s="1"/>
  <c r="I52" i="84" s="1"/>
  <c r="I55" i="84"/>
  <c r="M49" i="84"/>
  <c r="M50" i="84" s="1"/>
  <c r="M52" i="84" s="1"/>
  <c r="M55" i="84"/>
  <c r="D56" i="84"/>
  <c r="D57" i="84" s="1"/>
  <c r="L56" i="84"/>
  <c r="L57" i="84" s="1"/>
  <c r="J57" i="84"/>
  <c r="B66" i="84"/>
  <c r="B67" i="84" s="1"/>
  <c r="B72" i="84"/>
  <c r="F66" i="84"/>
  <c r="F67" i="84" s="1"/>
  <c r="F69" i="84" s="1"/>
  <c r="F72" i="84"/>
  <c r="J66" i="84"/>
  <c r="J67" i="84" s="1"/>
  <c r="J69" i="84" s="1"/>
  <c r="J72" i="84"/>
  <c r="N65" i="84"/>
  <c r="G66" i="84"/>
  <c r="G67" i="84" s="1"/>
  <c r="G69" i="84" s="1"/>
  <c r="D82" i="84"/>
  <c r="D83" i="84" s="1"/>
  <c r="D85" i="84" s="1"/>
  <c r="L82" i="84"/>
  <c r="L83" i="84" s="1"/>
  <c r="L85" i="84" s="1"/>
  <c r="N48" i="84"/>
  <c r="F49" i="84"/>
  <c r="B56" i="84"/>
  <c r="C67" i="84"/>
  <c r="C69" i="84" s="1"/>
  <c r="K67" i="84"/>
  <c r="K69" i="84" s="1"/>
  <c r="I73" i="84"/>
  <c r="I74" i="84" s="1"/>
  <c r="I83" i="84"/>
  <c r="I85" i="84" s="1"/>
  <c r="F89" i="84"/>
  <c r="F90" i="84" s="1"/>
  <c r="D49" i="84"/>
  <c r="D50" i="84" s="1"/>
  <c r="D52" i="84" s="1"/>
  <c r="H49" i="84"/>
  <c r="H50" i="84" s="1"/>
  <c r="H52" i="84" s="1"/>
  <c r="L49" i="84"/>
  <c r="L50" i="84" s="1"/>
  <c r="L52" i="84" s="1"/>
  <c r="E66" i="84"/>
  <c r="E67" i="84" s="1"/>
  <c r="E69" i="84" s="1"/>
  <c r="I66" i="84"/>
  <c r="I67" i="84" s="1"/>
  <c r="I69" i="84" s="1"/>
  <c r="M66" i="84"/>
  <c r="M67" i="84" s="1"/>
  <c r="M69" i="84" s="1"/>
  <c r="B82" i="84"/>
  <c r="F82" i="84"/>
  <c r="F83" i="84" s="1"/>
  <c r="F85" i="84" s="1"/>
  <c r="J82" i="84"/>
  <c r="J83" i="84" s="1"/>
  <c r="J85" i="84" s="1"/>
  <c r="N81" i="84"/>
  <c r="N200" i="64"/>
  <c r="M90" i="84" l="1"/>
  <c r="N38" i="84"/>
  <c r="E40" i="84"/>
  <c r="D23" i="84"/>
  <c r="G105" i="84"/>
  <c r="G106" i="84" s="1"/>
  <c r="J105" i="84"/>
  <c r="J106" i="84" s="1"/>
  <c r="K105" i="84"/>
  <c r="K106" i="84" s="1"/>
  <c r="I105" i="84"/>
  <c r="I106" i="84" s="1"/>
  <c r="G57" i="84"/>
  <c r="C105" i="84"/>
  <c r="C106" i="84" s="1"/>
  <c r="N98" i="84"/>
  <c r="F105" i="84"/>
  <c r="F106" i="84" s="1"/>
  <c r="M105" i="84"/>
  <c r="M106" i="84" s="1"/>
  <c r="B105" i="84"/>
  <c r="N104" i="84"/>
  <c r="B99" i="84"/>
  <c r="E90" i="84"/>
  <c r="N88" i="84"/>
  <c r="H74" i="84"/>
  <c r="L23" i="84"/>
  <c r="N32" i="84"/>
  <c r="N15" i="84"/>
  <c r="N49" i="84"/>
  <c r="F50" i="84"/>
  <c r="F52" i="84" s="1"/>
  <c r="N33" i="84"/>
  <c r="B35" i="84"/>
  <c r="F22" i="84"/>
  <c r="F23" i="84" s="1"/>
  <c r="J22" i="84"/>
  <c r="J23" i="84" s="1"/>
  <c r="C89" i="84"/>
  <c r="C90" i="84" s="1"/>
  <c r="N82" i="84"/>
  <c r="B73" i="84"/>
  <c r="B74" i="84" s="1"/>
  <c r="N72" i="84"/>
  <c r="M56" i="84"/>
  <c r="M57" i="84" s="1"/>
  <c r="E22" i="84"/>
  <c r="E23" i="84" s="1"/>
  <c r="E16" i="84"/>
  <c r="E18" i="84" s="1"/>
  <c r="B69" i="84"/>
  <c r="N67" i="84"/>
  <c r="N66" i="84"/>
  <c r="F39" i="84"/>
  <c r="N39" i="84" s="1"/>
  <c r="B52" i="84"/>
  <c r="B90" i="84"/>
  <c r="G89" i="84"/>
  <c r="G90" i="84" s="1"/>
  <c r="B40" i="84"/>
  <c r="B83" i="84"/>
  <c r="B18" i="84"/>
  <c r="J73" i="84"/>
  <c r="J74" i="84" s="1"/>
  <c r="E56" i="84"/>
  <c r="E57" i="84" s="1"/>
  <c r="N55" i="84"/>
  <c r="F73" i="84"/>
  <c r="F74" i="84" s="1"/>
  <c r="I56" i="84"/>
  <c r="I57" i="84" s="1"/>
  <c r="K89" i="84"/>
  <c r="K90" i="84" s="1"/>
  <c r="B57" i="84"/>
  <c r="B22" i="84"/>
  <c r="N21" i="84"/>
  <c r="N35" i="84" l="1"/>
  <c r="N105" i="84"/>
  <c r="N52" i="84"/>
  <c r="N69" i="84"/>
  <c r="B106" i="84"/>
  <c r="N99" i="84"/>
  <c r="B101" i="84"/>
  <c r="N101" i="84" s="1"/>
  <c r="N16" i="84"/>
  <c r="N89" i="84"/>
  <c r="N22" i="84"/>
  <c r="N50" i="84"/>
  <c r="N74" i="84"/>
  <c r="N83" i="84"/>
  <c r="B85" i="84"/>
  <c r="F40" i="84"/>
  <c r="N57" i="84"/>
  <c r="N56" i="84"/>
  <c r="N73" i="84"/>
  <c r="N90" i="84"/>
  <c r="B23" i="84"/>
  <c r="N18" i="84"/>
  <c r="N85" i="84" l="1"/>
  <c r="N106" i="84"/>
  <c r="N23" i="84"/>
  <c r="N40" i="84"/>
  <c r="F76" i="82" l="1"/>
  <c r="E76" i="82"/>
  <c r="D76" i="82"/>
  <c r="C76" i="82"/>
  <c r="B76" i="82"/>
  <c r="M60" i="82"/>
  <c r="L60" i="82"/>
  <c r="K60" i="82"/>
  <c r="J60" i="82"/>
  <c r="I60" i="82"/>
  <c r="H60" i="82"/>
  <c r="G60" i="82"/>
  <c r="F60" i="82"/>
  <c r="E60" i="82"/>
  <c r="D60" i="82"/>
  <c r="C60" i="82"/>
  <c r="B60" i="82"/>
  <c r="M43" i="82"/>
  <c r="L43" i="82"/>
  <c r="K43" i="82"/>
  <c r="J43" i="82"/>
  <c r="I43" i="82"/>
  <c r="H43" i="82"/>
  <c r="G43" i="82"/>
  <c r="F43" i="82"/>
  <c r="E43" i="82"/>
  <c r="D43" i="82"/>
  <c r="C43" i="82"/>
  <c r="B43" i="82"/>
  <c r="M26" i="82"/>
  <c r="L26" i="82"/>
  <c r="K26" i="82"/>
  <c r="J26" i="82"/>
  <c r="I26" i="82"/>
  <c r="H26" i="82"/>
  <c r="G26" i="82"/>
  <c r="F26" i="82"/>
  <c r="E26" i="82"/>
  <c r="D26" i="82"/>
  <c r="C26" i="82"/>
  <c r="B26" i="82"/>
  <c r="A21" i="82"/>
  <c r="A38" i="82" s="1"/>
  <c r="A55" i="82" s="1"/>
  <c r="A71" i="82" s="1"/>
  <c r="A87" i="82" s="1"/>
  <c r="M16" i="82"/>
  <c r="L16" i="82"/>
  <c r="K16" i="82"/>
  <c r="J16" i="82"/>
  <c r="I16" i="82"/>
  <c r="H16" i="82"/>
  <c r="G16" i="82"/>
  <c r="F16" i="82"/>
  <c r="E16" i="82"/>
  <c r="D16" i="82"/>
  <c r="C16" i="82"/>
  <c r="B16" i="82"/>
  <c r="C6" i="82"/>
  <c r="D6" i="82" s="1"/>
  <c r="E6" i="82" s="1"/>
  <c r="F6" i="82" s="1"/>
  <c r="G6" i="82" s="1"/>
  <c r="H6" i="82" s="1"/>
  <c r="I6" i="82" s="1"/>
  <c r="J6" i="82" s="1"/>
  <c r="K6" i="82" s="1"/>
  <c r="L6" i="82" s="1"/>
  <c r="M6" i="82" s="1"/>
  <c r="B4" i="82"/>
  <c r="B3" i="82"/>
  <c r="M73" i="82"/>
  <c r="L73" i="82"/>
  <c r="K73" i="82"/>
  <c r="J73" i="82"/>
  <c r="I73" i="82"/>
  <c r="H73" i="82"/>
  <c r="G73" i="82"/>
  <c r="F73" i="82"/>
  <c r="E73" i="82"/>
  <c r="D73" i="82"/>
  <c r="C73" i="82"/>
  <c r="M57" i="82"/>
  <c r="L57" i="82"/>
  <c r="K57" i="82"/>
  <c r="J57" i="82"/>
  <c r="I57" i="82"/>
  <c r="H57" i="82"/>
  <c r="G57" i="82"/>
  <c r="F57" i="82"/>
  <c r="E57" i="82"/>
  <c r="D57" i="82"/>
  <c r="C57" i="82"/>
  <c r="B57" i="82"/>
  <c r="M40" i="82"/>
  <c r="L40" i="82"/>
  <c r="K40" i="82"/>
  <c r="J40" i="82"/>
  <c r="I40" i="82"/>
  <c r="H40" i="82"/>
  <c r="G40" i="82"/>
  <c r="F40" i="82"/>
  <c r="E40" i="82"/>
  <c r="D40" i="82"/>
  <c r="C40" i="82"/>
  <c r="B40" i="82"/>
  <c r="M23" i="82"/>
  <c r="L23" i="82"/>
  <c r="K23" i="82"/>
  <c r="J23" i="82"/>
  <c r="I23" i="82"/>
  <c r="H23" i="82"/>
  <c r="G23" i="82"/>
  <c r="F23" i="82"/>
  <c r="E23" i="82"/>
  <c r="D23" i="82"/>
  <c r="C23" i="82"/>
  <c r="D12" i="81"/>
  <c r="D13" i="81" s="1"/>
  <c r="D14" i="81" s="1"/>
  <c r="D15" i="81" s="1"/>
  <c r="F25" i="82" l="1"/>
  <c r="F24" i="82" s="1"/>
  <c r="F27" i="82"/>
  <c r="G104" i="48" s="1"/>
  <c r="J25" i="82"/>
  <c r="J24" i="82" s="1"/>
  <c r="J27" i="82"/>
  <c r="B44" i="82"/>
  <c r="B42" i="82"/>
  <c r="B41" i="82" s="1"/>
  <c r="F42" i="82"/>
  <c r="F41" i="82" s="1"/>
  <c r="F44" i="82"/>
  <c r="J44" i="82"/>
  <c r="K150" i="48" s="1"/>
  <c r="J42" i="82"/>
  <c r="J41" i="82" s="1"/>
  <c r="B64" i="82"/>
  <c r="B59" i="82"/>
  <c r="B58" i="82" s="1"/>
  <c r="B61" i="82"/>
  <c r="J64" i="82"/>
  <c r="J59" i="82"/>
  <c r="J58" i="82" s="1"/>
  <c r="J61" i="82"/>
  <c r="C80" i="82"/>
  <c r="C77" i="82"/>
  <c r="D253" i="48" s="1"/>
  <c r="C75" i="82"/>
  <c r="C74" i="82" s="1"/>
  <c r="C27" i="82"/>
  <c r="C25" i="82"/>
  <c r="C24" i="82" s="1"/>
  <c r="G27" i="82"/>
  <c r="G25" i="82"/>
  <c r="G24" i="82" s="1"/>
  <c r="K27" i="82"/>
  <c r="L104" i="48" s="1"/>
  <c r="K25" i="82"/>
  <c r="K24" i="82" s="1"/>
  <c r="C44" i="82"/>
  <c r="C42" i="82"/>
  <c r="C41" i="82" s="1"/>
  <c r="G44" i="82"/>
  <c r="H150" i="48" s="1"/>
  <c r="G42" i="82"/>
  <c r="G41" i="82" s="1"/>
  <c r="K44" i="82"/>
  <c r="K42" i="82"/>
  <c r="K41" i="82" s="1"/>
  <c r="C64" i="82"/>
  <c r="C61" i="82"/>
  <c r="C59" i="82"/>
  <c r="C58" i="82" s="1"/>
  <c r="D27" i="82"/>
  <c r="D25" i="82"/>
  <c r="D24" i="82" s="1"/>
  <c r="H27" i="82"/>
  <c r="H25" i="82"/>
  <c r="H24" i="82" s="1"/>
  <c r="L27" i="82"/>
  <c r="M104" i="48" s="1"/>
  <c r="L25" i="82"/>
  <c r="L24" i="82" s="1"/>
  <c r="D44" i="82"/>
  <c r="E150" i="48" s="1"/>
  <c r="D42" i="82"/>
  <c r="D41" i="82" s="1"/>
  <c r="H44" i="82"/>
  <c r="I150" i="48" s="1"/>
  <c r="H42" i="82"/>
  <c r="H41" i="82" s="1"/>
  <c r="L44" i="82"/>
  <c r="L42" i="82"/>
  <c r="L41" i="82" s="1"/>
  <c r="E27" i="82"/>
  <c r="E25" i="82"/>
  <c r="E24" i="82" s="1"/>
  <c r="I27" i="82"/>
  <c r="I25" i="82"/>
  <c r="I24" i="82" s="1"/>
  <c r="M27" i="82"/>
  <c r="N104" i="48" s="1"/>
  <c r="M25" i="82"/>
  <c r="M24" i="82" s="1"/>
  <c r="E44" i="82"/>
  <c r="F150" i="48" s="1"/>
  <c r="E42" i="82"/>
  <c r="E41" i="82" s="1"/>
  <c r="I44" i="82"/>
  <c r="I42" i="82"/>
  <c r="I41" i="82" s="1"/>
  <c r="M44" i="82"/>
  <c r="M42" i="82"/>
  <c r="M41" i="82" s="1"/>
  <c r="J80" i="82"/>
  <c r="J77" i="82"/>
  <c r="K253" i="48" s="1"/>
  <c r="J75" i="82"/>
  <c r="J74" i="82" s="1"/>
  <c r="L80" i="82"/>
  <c r="L77" i="82"/>
  <c r="L75" i="82"/>
  <c r="L74" i="82" s="1"/>
  <c r="M80" i="82"/>
  <c r="M75" i="82"/>
  <c r="M74" i="82" s="1"/>
  <c r="M77" i="82"/>
  <c r="N253" i="48" s="1"/>
  <c r="K80" i="82"/>
  <c r="K77" i="82"/>
  <c r="L253" i="48" s="1"/>
  <c r="K75" i="82"/>
  <c r="K74" i="82" s="1"/>
  <c r="F80" i="82"/>
  <c r="F77" i="82"/>
  <c r="G253" i="48" s="1"/>
  <c r="F75" i="82"/>
  <c r="F74" i="82" s="1"/>
  <c r="G80" i="82"/>
  <c r="G77" i="82"/>
  <c r="G75" i="82"/>
  <c r="G74" i="82" s="1"/>
  <c r="H80" i="82"/>
  <c r="H77" i="82"/>
  <c r="I253" i="48" s="1"/>
  <c r="H75" i="82"/>
  <c r="H74" i="82" s="1"/>
  <c r="E80" i="82"/>
  <c r="E77" i="82"/>
  <c r="E75" i="82"/>
  <c r="E74" i="82" s="1"/>
  <c r="I80" i="82"/>
  <c r="I77" i="82"/>
  <c r="J253" i="48" s="1"/>
  <c r="I75" i="82"/>
  <c r="I74" i="82" s="1"/>
  <c r="D80" i="82"/>
  <c r="D75" i="82"/>
  <c r="D74" i="82" s="1"/>
  <c r="D77" i="82"/>
  <c r="E253" i="48" s="1"/>
  <c r="M64" i="82"/>
  <c r="M59" i="82"/>
  <c r="M58" i="82" s="1"/>
  <c r="M61" i="82"/>
  <c r="L64" i="82"/>
  <c r="L59" i="82"/>
  <c r="L58" i="82" s="1"/>
  <c r="L61" i="82"/>
  <c r="M201" i="48" s="1"/>
  <c r="K64" i="82"/>
  <c r="K61" i="82"/>
  <c r="L201" i="48" s="1"/>
  <c r="K59" i="82"/>
  <c r="K58" i="82" s="1"/>
  <c r="F64" i="82"/>
  <c r="F61" i="82"/>
  <c r="F59" i="82"/>
  <c r="F58" i="82" s="1"/>
  <c r="G64" i="82"/>
  <c r="G59" i="82"/>
  <c r="G58" i="82" s="1"/>
  <c r="G61" i="82"/>
  <c r="E64" i="82"/>
  <c r="E59" i="82"/>
  <c r="E58" i="82" s="1"/>
  <c r="E61" i="82"/>
  <c r="F201" i="48" s="1"/>
  <c r="I64" i="82"/>
  <c r="I59" i="82"/>
  <c r="I58" i="82" s="1"/>
  <c r="I61" i="82"/>
  <c r="H64" i="82"/>
  <c r="H61" i="82"/>
  <c r="I201" i="48" s="1"/>
  <c r="H59" i="82"/>
  <c r="H58" i="82" s="1"/>
  <c r="D64" i="82"/>
  <c r="D59" i="82"/>
  <c r="D58" i="82" s="1"/>
  <c r="D61" i="82"/>
  <c r="B11" i="89"/>
  <c r="B47" i="82"/>
  <c r="F11" i="89"/>
  <c r="F47" i="82"/>
  <c r="J11" i="89"/>
  <c r="J47" i="82"/>
  <c r="I11" i="89"/>
  <c r="I47" i="82"/>
  <c r="D104" i="48"/>
  <c r="G11" i="89"/>
  <c r="G47" i="82"/>
  <c r="E11" i="89"/>
  <c r="E47" i="82"/>
  <c r="M11" i="89"/>
  <c r="M47" i="82"/>
  <c r="C11" i="89"/>
  <c r="C47" i="82"/>
  <c r="K11" i="89"/>
  <c r="K47" i="82"/>
  <c r="I104" i="48"/>
  <c r="D11" i="89"/>
  <c r="D47" i="82"/>
  <c r="H11" i="89"/>
  <c r="H47" i="82"/>
  <c r="L11" i="89"/>
  <c r="L47" i="82"/>
  <c r="E11" i="94"/>
  <c r="E30" i="82"/>
  <c r="I11" i="94"/>
  <c r="I30" i="82"/>
  <c r="M11" i="94"/>
  <c r="M30" i="82"/>
  <c r="E11" i="91"/>
  <c r="E11" i="90"/>
  <c r="I11" i="91"/>
  <c r="I11" i="90"/>
  <c r="M11" i="91"/>
  <c r="M11" i="90"/>
  <c r="F11" i="94"/>
  <c r="F30" i="82"/>
  <c r="J11" i="94"/>
  <c r="J30" i="82"/>
  <c r="B11" i="91"/>
  <c r="B11" i="90"/>
  <c r="F11" i="91"/>
  <c r="F11" i="90"/>
  <c r="J11" i="91"/>
  <c r="J11" i="90"/>
  <c r="C30" i="82"/>
  <c r="C11" i="94"/>
  <c r="G30" i="82"/>
  <c r="G11" i="94"/>
  <c r="K30" i="82"/>
  <c r="K11" i="94"/>
  <c r="C11" i="91"/>
  <c r="C11" i="90"/>
  <c r="G11" i="91"/>
  <c r="G11" i="90"/>
  <c r="K11" i="91"/>
  <c r="K11" i="90"/>
  <c r="E104" i="48"/>
  <c r="D30" i="82"/>
  <c r="D11" i="94"/>
  <c r="H30" i="82"/>
  <c r="H11" i="94"/>
  <c r="L30" i="82"/>
  <c r="L11" i="94"/>
  <c r="D11" i="91"/>
  <c r="D11" i="90"/>
  <c r="H11" i="91"/>
  <c r="H11" i="90"/>
  <c r="L11" i="91"/>
  <c r="L11" i="90"/>
  <c r="D13" i="82"/>
  <c r="D14" i="82" s="1"/>
  <c r="D15" i="82" s="1"/>
  <c r="D17" i="82" s="1"/>
  <c r="E64" i="48" s="1"/>
  <c r="H13" i="82"/>
  <c r="H14" i="82" s="1"/>
  <c r="H15" i="82" s="1"/>
  <c r="H17" i="82" s="1"/>
  <c r="I64" i="48" s="1"/>
  <c r="L13" i="82"/>
  <c r="L14" i="82" s="1"/>
  <c r="L15" i="82" s="1"/>
  <c r="L17" i="82" s="1"/>
  <c r="M64" i="48" s="1"/>
  <c r="I13" i="82"/>
  <c r="I14" i="82" s="1"/>
  <c r="I15" i="82" s="1"/>
  <c r="I17" i="82" s="1"/>
  <c r="J64" i="48" s="1"/>
  <c r="M13" i="82"/>
  <c r="M14" i="82" s="1"/>
  <c r="M15" i="82" s="1"/>
  <c r="M17" i="82" s="1"/>
  <c r="N64" i="48" s="1"/>
  <c r="B13" i="82"/>
  <c r="B14" i="82" s="1"/>
  <c r="B15" i="82" s="1"/>
  <c r="F13" i="82"/>
  <c r="F14" i="82" s="1"/>
  <c r="J13" i="82"/>
  <c r="J14" i="82" s="1"/>
  <c r="J15" i="82" s="1"/>
  <c r="J17" i="82" s="1"/>
  <c r="K64" i="48" s="1"/>
  <c r="Q11" i="81"/>
  <c r="C13" i="82"/>
  <c r="G13" i="82"/>
  <c r="G14" i="82" s="1"/>
  <c r="G15" i="82" s="1"/>
  <c r="G17" i="82" s="1"/>
  <c r="H64" i="48" s="1"/>
  <c r="K13" i="82"/>
  <c r="K14" i="82" s="1"/>
  <c r="K15" i="82" s="1"/>
  <c r="K17" i="82" s="1"/>
  <c r="L64" i="48" s="1"/>
  <c r="J104" i="48"/>
  <c r="D201" i="48"/>
  <c r="H201" i="48"/>
  <c r="Q12" i="81"/>
  <c r="B23" i="82"/>
  <c r="E13" i="82"/>
  <c r="E14" i="82" s="1"/>
  <c r="E15" i="82" s="1"/>
  <c r="E17" i="82" s="1"/>
  <c r="F64" i="48" s="1"/>
  <c r="B73" i="82"/>
  <c r="G150" i="48"/>
  <c r="M253" i="48"/>
  <c r="K201" i="48"/>
  <c r="G201" i="48"/>
  <c r="N57" i="82"/>
  <c r="H253" i="48"/>
  <c r="J150" i="48"/>
  <c r="N150" i="48"/>
  <c r="N40" i="82"/>
  <c r="L150" i="48"/>
  <c r="E201" i="48"/>
  <c r="F253" i="48"/>
  <c r="M150" i="48"/>
  <c r="J201" i="48"/>
  <c r="N201" i="48"/>
  <c r="G34" i="82" l="1"/>
  <c r="H105" i="48" s="1"/>
  <c r="G32" i="82"/>
  <c r="G31" i="82" s="1"/>
  <c r="E51" i="82"/>
  <c r="E49" i="82"/>
  <c r="E48" i="82" s="1"/>
  <c r="J51" i="82"/>
  <c r="K151" i="48" s="1"/>
  <c r="J49" i="82"/>
  <c r="J48" i="82" s="1"/>
  <c r="B51" i="82"/>
  <c r="B49" i="82"/>
  <c r="B48" i="82" s="1"/>
  <c r="C82" i="82"/>
  <c r="C81" i="82" s="1"/>
  <c r="C84" i="82"/>
  <c r="D254" i="48" s="1"/>
  <c r="J68" i="82"/>
  <c r="K202" i="48" s="1"/>
  <c r="J66" i="82"/>
  <c r="J65" i="82" s="1"/>
  <c r="B66" i="82"/>
  <c r="B65" i="82" s="1"/>
  <c r="B68" i="82"/>
  <c r="B25" i="82"/>
  <c r="B24" i="82" s="1"/>
  <c r="B27" i="82"/>
  <c r="L34" i="82"/>
  <c r="M105" i="48" s="1"/>
  <c r="L32" i="82"/>
  <c r="L31" i="82" s="1"/>
  <c r="D34" i="82"/>
  <c r="E105" i="48" s="1"/>
  <c r="D32" i="82"/>
  <c r="D31" i="82" s="1"/>
  <c r="J34" i="82"/>
  <c r="K105" i="48" s="1"/>
  <c r="J32" i="82"/>
  <c r="J31" i="82" s="1"/>
  <c r="I34" i="82"/>
  <c r="J105" i="48" s="1"/>
  <c r="I32" i="82"/>
  <c r="I31" i="82" s="1"/>
  <c r="L51" i="82"/>
  <c r="L49" i="82"/>
  <c r="L48" i="82" s="1"/>
  <c r="D51" i="82"/>
  <c r="E151" i="48" s="1"/>
  <c r="D49" i="82"/>
  <c r="D48" i="82" s="1"/>
  <c r="K51" i="82"/>
  <c r="L151" i="48" s="1"/>
  <c r="K49" i="82"/>
  <c r="K48" i="82" s="1"/>
  <c r="I51" i="82"/>
  <c r="I49" i="82"/>
  <c r="I48" i="82" s="1"/>
  <c r="K34" i="82"/>
  <c r="L105" i="48" s="1"/>
  <c r="K32" i="82"/>
  <c r="K31" i="82" s="1"/>
  <c r="C34" i="82"/>
  <c r="D105" i="48" s="1"/>
  <c r="C32" i="82"/>
  <c r="C31" i="82" s="1"/>
  <c r="M51" i="82"/>
  <c r="N151" i="48" s="1"/>
  <c r="M49" i="82"/>
  <c r="M48" i="82" s="1"/>
  <c r="G51" i="82"/>
  <c r="G49" i="82"/>
  <c r="G48" i="82" s="1"/>
  <c r="F51" i="82"/>
  <c r="G151" i="48" s="1"/>
  <c r="F49" i="82"/>
  <c r="F48" i="82" s="1"/>
  <c r="J84" i="82"/>
  <c r="K254" i="48" s="1"/>
  <c r="J82" i="82"/>
  <c r="J81" i="82" s="1"/>
  <c r="C66" i="82"/>
  <c r="C65" i="82" s="1"/>
  <c r="C68" i="82"/>
  <c r="D202" i="48" s="1"/>
  <c r="H34" i="82"/>
  <c r="I105" i="48" s="1"/>
  <c r="H32" i="82"/>
  <c r="H31" i="82" s="1"/>
  <c r="F32" i="82"/>
  <c r="F31" i="82" s="1"/>
  <c r="F34" i="82"/>
  <c r="G105" i="48" s="1"/>
  <c r="M34" i="82"/>
  <c r="N105" i="48" s="1"/>
  <c r="M32" i="82"/>
  <c r="M31" i="82" s="1"/>
  <c r="E34" i="82"/>
  <c r="F105" i="48" s="1"/>
  <c r="E32" i="82"/>
  <c r="E31" i="82" s="1"/>
  <c r="H51" i="82"/>
  <c r="I151" i="48" s="1"/>
  <c r="H49" i="82"/>
  <c r="H48" i="82" s="1"/>
  <c r="C51" i="82"/>
  <c r="D151" i="48" s="1"/>
  <c r="C49" i="82"/>
  <c r="C48" i="82" s="1"/>
  <c r="N64" i="82"/>
  <c r="M82" i="82"/>
  <c r="M81" i="82" s="1"/>
  <c r="M84" i="82"/>
  <c r="N254" i="48" s="1"/>
  <c r="L84" i="82"/>
  <c r="M254" i="48" s="1"/>
  <c r="L82" i="82"/>
  <c r="L81" i="82" s="1"/>
  <c r="K84" i="82"/>
  <c r="L254" i="48" s="1"/>
  <c r="K82" i="82"/>
  <c r="K81" i="82" s="1"/>
  <c r="I82" i="82"/>
  <c r="I81" i="82" s="1"/>
  <c r="I84" i="82"/>
  <c r="J254" i="48" s="1"/>
  <c r="E82" i="82"/>
  <c r="E81" i="82" s="1"/>
  <c r="E84" i="82"/>
  <c r="F254" i="48" s="1"/>
  <c r="H82" i="82"/>
  <c r="H81" i="82" s="1"/>
  <c r="H84" i="82"/>
  <c r="I254" i="48" s="1"/>
  <c r="G84" i="82"/>
  <c r="H254" i="48" s="1"/>
  <c r="G82" i="82"/>
  <c r="G81" i="82" s="1"/>
  <c r="F84" i="82"/>
  <c r="G254" i="48" s="1"/>
  <c r="F82" i="82"/>
  <c r="F81" i="82" s="1"/>
  <c r="D82" i="82"/>
  <c r="D81" i="82" s="1"/>
  <c r="D84" i="82"/>
  <c r="E254" i="48" s="1"/>
  <c r="B80" i="82"/>
  <c r="B77" i="82"/>
  <c r="B75" i="82"/>
  <c r="B74" i="82" s="1"/>
  <c r="N74" i="82" s="1"/>
  <c r="L66" i="82"/>
  <c r="L65" i="82" s="1"/>
  <c r="L68" i="82"/>
  <c r="M202" i="48" s="1"/>
  <c r="M68" i="82"/>
  <c r="N202" i="48" s="1"/>
  <c r="M66" i="82"/>
  <c r="M65" i="82" s="1"/>
  <c r="K66" i="82"/>
  <c r="K65" i="82" s="1"/>
  <c r="K68" i="82"/>
  <c r="L202" i="48" s="1"/>
  <c r="H68" i="82"/>
  <c r="I202" i="48" s="1"/>
  <c r="H66" i="82"/>
  <c r="H65" i="82" s="1"/>
  <c r="I68" i="82"/>
  <c r="J202" i="48" s="1"/>
  <c r="I66" i="82"/>
  <c r="I65" i="82" s="1"/>
  <c r="E68" i="82"/>
  <c r="F202" i="48" s="1"/>
  <c r="E66" i="82"/>
  <c r="E65" i="82" s="1"/>
  <c r="G66" i="82"/>
  <c r="G65" i="82" s="1"/>
  <c r="G68" i="82"/>
  <c r="H202" i="48" s="1"/>
  <c r="F68" i="82"/>
  <c r="G202" i="48" s="1"/>
  <c r="F66" i="82"/>
  <c r="F65" i="82" s="1"/>
  <c r="D66" i="82"/>
  <c r="D65" i="82" s="1"/>
  <c r="D68" i="82"/>
  <c r="E202" i="48" s="1"/>
  <c r="N11" i="89"/>
  <c r="N47" i="82"/>
  <c r="O11" i="89"/>
  <c r="F151" i="48"/>
  <c r="N80" i="82"/>
  <c r="M151" i="48"/>
  <c r="H151" i="48"/>
  <c r="J151" i="48"/>
  <c r="O11" i="90"/>
  <c r="N11" i="90"/>
  <c r="K104" i="48"/>
  <c r="F104" i="48"/>
  <c r="O11" i="91"/>
  <c r="N11" i="91"/>
  <c r="N23" i="82"/>
  <c r="B11" i="94"/>
  <c r="B30" i="82"/>
  <c r="O11" i="92"/>
  <c r="N11" i="92"/>
  <c r="H104" i="48"/>
  <c r="C14" i="82"/>
  <c r="C15" i="82" s="1"/>
  <c r="C17" i="82" s="1"/>
  <c r="D64" i="48" s="1"/>
  <c r="F15" i="82"/>
  <c r="F17" i="82" s="1"/>
  <c r="G64" i="48" s="1"/>
  <c r="N73" i="82"/>
  <c r="N13" i="82"/>
  <c r="G20" i="85"/>
  <c r="G21" i="85" s="1"/>
  <c r="G13" i="85"/>
  <c r="G14" i="85" s="1"/>
  <c r="G16" i="85" s="1"/>
  <c r="H66" i="48" s="1"/>
  <c r="B36" i="85"/>
  <c r="N29" i="85"/>
  <c r="F20" i="85"/>
  <c r="F21" i="85" s="1"/>
  <c r="F13" i="85"/>
  <c r="F14" i="85" s="1"/>
  <c r="F16" i="85" s="1"/>
  <c r="G66" i="48" s="1"/>
  <c r="M20" i="85"/>
  <c r="M21" i="85" s="1"/>
  <c r="M13" i="85"/>
  <c r="M14" i="85" s="1"/>
  <c r="M16" i="85" s="1"/>
  <c r="N66" i="48" s="1"/>
  <c r="E13" i="85"/>
  <c r="E14" i="85" s="1"/>
  <c r="E16" i="85" s="1"/>
  <c r="F66" i="48" s="1"/>
  <c r="H13" i="85"/>
  <c r="H14" i="85" s="1"/>
  <c r="H16" i="85" s="1"/>
  <c r="I66" i="48" s="1"/>
  <c r="K20" i="85"/>
  <c r="K21" i="85" s="1"/>
  <c r="K13" i="85"/>
  <c r="K14" i="85" s="1"/>
  <c r="K16" i="85" s="1"/>
  <c r="L66" i="48" s="1"/>
  <c r="C20" i="85"/>
  <c r="C21" i="85" s="1"/>
  <c r="C13" i="85"/>
  <c r="C14" i="85" s="1"/>
  <c r="C16" i="85" s="1"/>
  <c r="D66" i="48" s="1"/>
  <c r="J13" i="85"/>
  <c r="J14" i="85" s="1"/>
  <c r="J16" i="85" s="1"/>
  <c r="K66" i="48" s="1"/>
  <c r="J20" i="85"/>
  <c r="J21" i="85" s="1"/>
  <c r="B13" i="85"/>
  <c r="N12" i="85"/>
  <c r="I20" i="85"/>
  <c r="I21" i="85" s="1"/>
  <c r="I13" i="85"/>
  <c r="I14" i="85" s="1"/>
  <c r="I16" i="85" s="1"/>
  <c r="J66" i="48" s="1"/>
  <c r="L13" i="85"/>
  <c r="L14" i="85" s="1"/>
  <c r="L16" i="85" s="1"/>
  <c r="M66" i="48" s="1"/>
  <c r="D14" i="85"/>
  <c r="D16" i="85" s="1"/>
  <c r="E66" i="48" s="1"/>
  <c r="C150" i="48"/>
  <c r="B17" i="82"/>
  <c r="C64" i="48" s="1"/>
  <c r="N58" i="82"/>
  <c r="N41" i="82"/>
  <c r="N59" i="82"/>
  <c r="D150" i="48"/>
  <c r="B34" i="82" l="1"/>
  <c r="B32" i="82"/>
  <c r="B31" i="82" s="1"/>
  <c r="N31" i="82" s="1"/>
  <c r="B40" i="85"/>
  <c r="B38" i="85"/>
  <c r="B37" i="85" s="1"/>
  <c r="N37" i="85" s="1"/>
  <c r="B84" i="82"/>
  <c r="B82" i="82"/>
  <c r="N82" i="82" s="1"/>
  <c r="N65" i="82"/>
  <c r="N66" i="82"/>
  <c r="N30" i="82"/>
  <c r="N48" i="82"/>
  <c r="N68" i="82"/>
  <c r="C202" i="48"/>
  <c r="O202" i="48" s="1"/>
  <c r="N24" i="82"/>
  <c r="O11" i="94"/>
  <c r="N11" i="94"/>
  <c r="N14" i="82"/>
  <c r="N25" i="82"/>
  <c r="H20" i="85"/>
  <c r="H21" i="85" s="1"/>
  <c r="N30" i="85"/>
  <c r="N36" i="85"/>
  <c r="L20" i="85"/>
  <c r="L21" i="85" s="1"/>
  <c r="N19" i="85"/>
  <c r="B20" i="85"/>
  <c r="E20" i="85"/>
  <c r="E21" i="85" s="1"/>
  <c r="D20" i="85"/>
  <c r="D21" i="85" s="1"/>
  <c r="B14" i="85"/>
  <c r="N13" i="85"/>
  <c r="O64" i="48"/>
  <c r="O150" i="48"/>
  <c r="N61" i="82"/>
  <c r="C201" i="48"/>
  <c r="O201" i="48" s="1"/>
  <c r="N17" i="82"/>
  <c r="N44" i="82"/>
  <c r="N15" i="82"/>
  <c r="N42" i="82"/>
  <c r="B81" i="82" l="1"/>
  <c r="N81" i="82" s="1"/>
  <c r="B112" i="75"/>
  <c r="D112" i="75" s="1"/>
  <c r="E112" i="75" s="1"/>
  <c r="N49" i="82"/>
  <c r="N32" i="82"/>
  <c r="N84" i="82"/>
  <c r="C254" i="48"/>
  <c r="O254" i="48" s="1"/>
  <c r="N27" i="82"/>
  <c r="N75" i="82"/>
  <c r="N14" i="85"/>
  <c r="B16" i="85"/>
  <c r="B21" i="85"/>
  <c r="N20" i="85"/>
  <c r="N31" i="85"/>
  <c r="N77" i="82"/>
  <c r="C253" i="48"/>
  <c r="O253" i="48" s="1"/>
  <c r="B144" i="75" l="1"/>
  <c r="D144" i="75" s="1"/>
  <c r="C105" i="48"/>
  <c r="O105" i="48" s="1"/>
  <c r="N34" i="82"/>
  <c r="N51" i="82"/>
  <c r="C151" i="48"/>
  <c r="O151" i="48" s="1"/>
  <c r="B80" i="75" s="1"/>
  <c r="D80" i="75" s="1"/>
  <c r="E80" i="75" s="1"/>
  <c r="C104" i="48"/>
  <c r="O104" i="48" s="1"/>
  <c r="N16" i="85"/>
  <c r="C66" i="48"/>
  <c r="O66" i="48" s="1"/>
  <c r="N38" i="85"/>
  <c r="N21" i="85"/>
  <c r="C106" i="48"/>
  <c r="O106" i="48" s="1"/>
  <c r="N33" i="85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 l="1"/>
  <c r="B50" i="75"/>
  <c r="D50" i="75" s="1"/>
  <c r="E50" i="75" s="1"/>
  <c r="N40" i="85"/>
  <c r="C107" i="48"/>
  <c r="O107" i="48" s="1"/>
  <c r="B51" i="75" s="1"/>
  <c r="Q11" i="71"/>
  <c r="D51" i="75" l="1"/>
  <c r="E51" i="75" s="1"/>
  <c r="B366" i="16"/>
  <c r="B361" i="16"/>
  <c r="B351" i="16"/>
  <c r="C346" i="16"/>
  <c r="D346" i="16"/>
  <c r="E346" i="16"/>
  <c r="F346" i="16"/>
  <c r="G346" i="16"/>
  <c r="H346" i="16"/>
  <c r="I346" i="16"/>
  <c r="J346" i="16"/>
  <c r="K346" i="16"/>
  <c r="L346" i="16"/>
  <c r="M346" i="16"/>
  <c r="B346" i="16"/>
  <c r="C341" i="16"/>
  <c r="D341" i="16"/>
  <c r="E341" i="16"/>
  <c r="F341" i="16"/>
  <c r="G341" i="16"/>
  <c r="H341" i="16"/>
  <c r="I341" i="16"/>
  <c r="J341" i="16"/>
  <c r="K341" i="16"/>
  <c r="L341" i="16"/>
  <c r="M341" i="16"/>
  <c r="B341" i="16"/>
  <c r="C336" i="16"/>
  <c r="D336" i="16"/>
  <c r="E336" i="16"/>
  <c r="F336" i="16"/>
  <c r="G336" i="16"/>
  <c r="H336" i="16"/>
  <c r="I336" i="16"/>
  <c r="J336" i="16"/>
  <c r="K336" i="16"/>
  <c r="L336" i="16"/>
  <c r="M336" i="16"/>
  <c r="B336" i="16"/>
  <c r="C331" i="16"/>
  <c r="D331" i="16"/>
  <c r="E331" i="16"/>
  <c r="F331" i="16"/>
  <c r="G331" i="16"/>
  <c r="H331" i="16"/>
  <c r="I331" i="16"/>
  <c r="J331" i="16"/>
  <c r="K331" i="16"/>
  <c r="L331" i="16"/>
  <c r="M331" i="16"/>
  <c r="B331" i="16"/>
  <c r="C191" i="16"/>
  <c r="D191" i="16"/>
  <c r="E191" i="16"/>
  <c r="F191" i="16"/>
  <c r="G191" i="16"/>
  <c r="H191" i="16"/>
  <c r="I191" i="16"/>
  <c r="J191" i="16"/>
  <c r="K191" i="16"/>
  <c r="L191" i="16"/>
  <c r="M191" i="16"/>
  <c r="B191" i="16"/>
  <c r="C337" i="64"/>
  <c r="D337" i="64"/>
  <c r="E337" i="64"/>
  <c r="F337" i="64"/>
  <c r="G337" i="64"/>
  <c r="H337" i="64"/>
  <c r="I337" i="64"/>
  <c r="J337" i="64"/>
  <c r="K337" i="64"/>
  <c r="L337" i="64"/>
  <c r="M337" i="64"/>
  <c r="B337" i="64"/>
  <c r="C342" i="64"/>
  <c r="D342" i="64"/>
  <c r="E342" i="64"/>
  <c r="F342" i="64"/>
  <c r="G342" i="64"/>
  <c r="H342" i="64"/>
  <c r="I342" i="64"/>
  <c r="J342" i="64"/>
  <c r="K342" i="64"/>
  <c r="L342" i="64"/>
  <c r="M342" i="64"/>
  <c r="B342" i="64"/>
  <c r="C347" i="64"/>
  <c r="D347" i="64"/>
  <c r="E347" i="64"/>
  <c r="F347" i="64"/>
  <c r="G347" i="64"/>
  <c r="H347" i="64"/>
  <c r="I347" i="64"/>
  <c r="J347" i="64"/>
  <c r="K347" i="64"/>
  <c r="L347" i="64"/>
  <c r="M347" i="64"/>
  <c r="B347" i="64"/>
  <c r="C352" i="64"/>
  <c r="D352" i="64"/>
  <c r="E352" i="64"/>
  <c r="F352" i="64"/>
  <c r="G352" i="64"/>
  <c r="H352" i="64"/>
  <c r="I352" i="64"/>
  <c r="J352" i="64"/>
  <c r="K352" i="64"/>
  <c r="L352" i="64"/>
  <c r="M352" i="64"/>
  <c r="B352" i="64"/>
  <c r="B357" i="64"/>
  <c r="B367" i="64"/>
  <c r="B377" i="64"/>
  <c r="K242" i="64"/>
  <c r="B242" i="64"/>
  <c r="M196" i="16"/>
  <c r="M196" i="64" s="1"/>
  <c r="L196" i="16"/>
  <c r="L196" i="64" s="1"/>
  <c r="K196" i="16"/>
  <c r="K196" i="64" s="1"/>
  <c r="J196" i="16"/>
  <c r="J196" i="64" s="1"/>
  <c r="I196" i="16"/>
  <c r="I196" i="64" s="1"/>
  <c r="H196" i="16"/>
  <c r="H196" i="64" s="1"/>
  <c r="G196" i="16"/>
  <c r="G196" i="64" s="1"/>
  <c r="F196" i="16"/>
  <c r="F196" i="64" s="1"/>
  <c r="E196" i="16"/>
  <c r="E196" i="64" s="1"/>
  <c r="D196" i="16"/>
  <c r="D196" i="64" s="1"/>
  <c r="C196" i="16"/>
  <c r="C196" i="64" s="1"/>
  <c r="B196" i="16"/>
  <c r="B196" i="64" s="1"/>
  <c r="C127" i="16"/>
  <c r="D127" i="16"/>
  <c r="E127" i="16"/>
  <c r="F127" i="16"/>
  <c r="G127" i="16"/>
  <c r="H127" i="16"/>
  <c r="I127" i="16"/>
  <c r="J127" i="16"/>
  <c r="K127" i="16"/>
  <c r="L127" i="16"/>
  <c r="M127" i="16"/>
  <c r="B127" i="16"/>
  <c r="C60" i="16"/>
  <c r="C36" i="64" s="1"/>
  <c r="D60" i="16"/>
  <c r="D36" i="64" s="1"/>
  <c r="E60" i="16"/>
  <c r="E36" i="64" s="1"/>
  <c r="F60" i="16"/>
  <c r="F36" i="64" s="1"/>
  <c r="G60" i="16"/>
  <c r="G36" i="64" s="1"/>
  <c r="H60" i="16"/>
  <c r="H36" i="64" s="1"/>
  <c r="I60" i="16"/>
  <c r="I36" i="64" s="1"/>
  <c r="J60" i="16"/>
  <c r="J36" i="64" s="1"/>
  <c r="K60" i="16"/>
  <c r="K36" i="64" s="1"/>
  <c r="L60" i="16"/>
  <c r="L36" i="64" s="1"/>
  <c r="M60" i="16"/>
  <c r="M36" i="64" s="1"/>
  <c r="B60" i="16"/>
  <c r="B36" i="64" s="1"/>
  <c r="B35" i="16"/>
  <c r="B56" i="64" s="1"/>
  <c r="G122" i="64"/>
  <c r="G122" i="16" s="1"/>
  <c r="B122" i="64"/>
  <c r="B122" i="16" s="1"/>
  <c r="C50" i="16"/>
  <c r="C51" i="64" s="1"/>
  <c r="D50" i="16"/>
  <c r="D51" i="64" s="1"/>
  <c r="E50" i="16"/>
  <c r="E51" i="64" s="1"/>
  <c r="F50" i="16"/>
  <c r="F51" i="64" s="1"/>
  <c r="G50" i="16"/>
  <c r="G51" i="64" s="1"/>
  <c r="H50" i="16"/>
  <c r="H51" i="64" s="1"/>
  <c r="I50" i="16"/>
  <c r="I51" i="64" s="1"/>
  <c r="J50" i="16"/>
  <c r="J51" i="64" s="1"/>
  <c r="K50" i="16"/>
  <c r="K51" i="64" s="1"/>
  <c r="L50" i="16"/>
  <c r="L51" i="64" s="1"/>
  <c r="M50" i="16"/>
  <c r="M51" i="64" s="1"/>
  <c r="B50" i="16"/>
  <c r="B51" i="64" s="1"/>
  <c r="L132" i="64" l="1"/>
  <c r="H132" i="64"/>
  <c r="D132" i="64"/>
  <c r="K132" i="64"/>
  <c r="G132" i="64"/>
  <c r="C132" i="64"/>
  <c r="B132" i="64"/>
  <c r="J132" i="64"/>
  <c r="F132" i="64"/>
  <c r="M132" i="64"/>
  <c r="I132" i="64"/>
  <c r="E132" i="64"/>
  <c r="N196" i="16"/>
  <c r="N127" i="16"/>
  <c r="N51" i="64"/>
  <c r="F53" i="64"/>
  <c r="L53" i="64"/>
  <c r="H53" i="64"/>
  <c r="D53" i="64"/>
  <c r="J53" i="64"/>
  <c r="K53" i="64"/>
  <c r="G53" i="64"/>
  <c r="C53" i="64"/>
  <c r="E53" i="64"/>
  <c r="I53" i="64"/>
  <c r="M53" i="64"/>
  <c r="B53" i="64"/>
  <c r="N50" i="16"/>
  <c r="N132" i="64" l="1"/>
  <c r="N53" i="64"/>
  <c r="N60" i="16" l="1"/>
  <c r="B112" i="61" l="1"/>
  <c r="C137" i="61"/>
  <c r="C162" i="61" s="1"/>
  <c r="C163" i="61" s="1"/>
  <c r="D137" i="61"/>
  <c r="D162" i="61" s="1"/>
  <c r="D163" i="61" s="1"/>
  <c r="E137" i="61"/>
  <c r="E162" i="61" s="1"/>
  <c r="E163" i="61" s="1"/>
  <c r="F137" i="61"/>
  <c r="F162" i="61" s="1"/>
  <c r="F163" i="61" s="1"/>
  <c r="G137" i="61"/>
  <c r="G162" i="61" s="1"/>
  <c r="G163" i="61" s="1"/>
  <c r="H137" i="61"/>
  <c r="H162" i="61" s="1"/>
  <c r="H163" i="61" s="1"/>
  <c r="I137" i="61"/>
  <c r="I162" i="61" s="1"/>
  <c r="I163" i="61" s="1"/>
  <c r="J137" i="61"/>
  <c r="J162" i="61" s="1"/>
  <c r="J163" i="61" s="1"/>
  <c r="K137" i="61"/>
  <c r="K162" i="61" s="1"/>
  <c r="K163" i="61" s="1"/>
  <c r="L137" i="61"/>
  <c r="L162" i="61" s="1"/>
  <c r="L163" i="61" s="1"/>
  <c r="M137" i="61"/>
  <c r="M162" i="61" s="1"/>
  <c r="M163" i="61" s="1"/>
  <c r="B137" i="61"/>
  <c r="B162" i="61" s="1"/>
  <c r="B163" i="61" s="1"/>
  <c r="C112" i="61"/>
  <c r="D112" i="61"/>
  <c r="E112" i="61"/>
  <c r="F112" i="61"/>
  <c r="G112" i="61"/>
  <c r="H112" i="61"/>
  <c r="I112" i="61"/>
  <c r="J112" i="61"/>
  <c r="K112" i="61"/>
  <c r="L112" i="61"/>
  <c r="M112" i="61"/>
  <c r="C87" i="61"/>
  <c r="D87" i="61"/>
  <c r="E87" i="61"/>
  <c r="F87" i="61"/>
  <c r="G87" i="61"/>
  <c r="H87" i="61"/>
  <c r="I87" i="61"/>
  <c r="J87" i="61"/>
  <c r="K87" i="61"/>
  <c r="L87" i="61"/>
  <c r="M87" i="61"/>
  <c r="B87" i="61"/>
  <c r="C62" i="61"/>
  <c r="D62" i="61"/>
  <c r="E62" i="61"/>
  <c r="F62" i="61"/>
  <c r="G62" i="61"/>
  <c r="H62" i="61"/>
  <c r="I62" i="61"/>
  <c r="J62" i="61"/>
  <c r="K62" i="61"/>
  <c r="L62" i="61"/>
  <c r="M62" i="61"/>
  <c r="B62" i="61"/>
  <c r="B66" i="61"/>
  <c r="B73" i="61" l="1"/>
  <c r="N73" i="61" s="1"/>
  <c r="N66" i="61"/>
  <c r="L339" i="48"/>
  <c r="H339" i="48"/>
  <c r="K339" i="48"/>
  <c r="G339" i="48"/>
  <c r="N339" i="48"/>
  <c r="J339" i="48"/>
  <c r="M339" i="48"/>
  <c r="I339" i="48"/>
  <c r="E339" i="48"/>
  <c r="D339" i="48"/>
  <c r="C339" i="48"/>
  <c r="N163" i="61"/>
  <c r="F339" i="48"/>
  <c r="B84" i="73"/>
  <c r="M84" i="73"/>
  <c r="L84" i="73"/>
  <c r="K84" i="73"/>
  <c r="J84" i="73"/>
  <c r="I84" i="73"/>
  <c r="H84" i="73"/>
  <c r="G84" i="73"/>
  <c r="F84" i="73"/>
  <c r="E84" i="73"/>
  <c r="D84" i="73"/>
  <c r="C84" i="73"/>
  <c r="C82" i="79"/>
  <c r="D82" i="79"/>
  <c r="E82" i="79"/>
  <c r="F82" i="79"/>
  <c r="B82" i="79"/>
  <c r="M82" i="79"/>
  <c r="L82" i="79"/>
  <c r="K82" i="79"/>
  <c r="J82" i="79"/>
  <c r="I82" i="79"/>
  <c r="H82" i="79"/>
  <c r="G82" i="79"/>
  <c r="O79" i="79"/>
  <c r="G79" i="79"/>
  <c r="G86" i="79" s="1"/>
  <c r="H79" i="79"/>
  <c r="H80" i="79" s="1"/>
  <c r="I79" i="79"/>
  <c r="I80" i="79" s="1"/>
  <c r="J79" i="79"/>
  <c r="J86" i="79" s="1"/>
  <c r="K79" i="79"/>
  <c r="K86" i="79" s="1"/>
  <c r="L79" i="79"/>
  <c r="L80" i="79" s="1"/>
  <c r="M79" i="79"/>
  <c r="Q15" i="78"/>
  <c r="M66" i="79"/>
  <c r="L66" i="79"/>
  <c r="K66" i="79"/>
  <c r="J66" i="79"/>
  <c r="I66" i="79"/>
  <c r="H66" i="79"/>
  <c r="G66" i="79"/>
  <c r="F66" i="79"/>
  <c r="E66" i="79"/>
  <c r="D66" i="79"/>
  <c r="C66" i="79"/>
  <c r="B66" i="79"/>
  <c r="M49" i="79"/>
  <c r="L49" i="79"/>
  <c r="K49" i="79"/>
  <c r="J49" i="79"/>
  <c r="I49" i="79"/>
  <c r="H49" i="79"/>
  <c r="G49" i="79"/>
  <c r="F49" i="79"/>
  <c r="E49" i="79"/>
  <c r="D49" i="79"/>
  <c r="C49" i="79"/>
  <c r="B49" i="79"/>
  <c r="M32" i="79"/>
  <c r="L32" i="79"/>
  <c r="K32" i="79"/>
  <c r="J32" i="79"/>
  <c r="I32" i="79"/>
  <c r="H32" i="79"/>
  <c r="G32" i="79"/>
  <c r="F32" i="79"/>
  <c r="E32" i="79"/>
  <c r="D32" i="79"/>
  <c r="C32" i="79"/>
  <c r="B32" i="79"/>
  <c r="A27" i="79"/>
  <c r="A44" i="79" s="1"/>
  <c r="A61" i="79" s="1"/>
  <c r="A77" i="79" s="1"/>
  <c r="M15" i="79"/>
  <c r="L15" i="79"/>
  <c r="K15" i="79"/>
  <c r="J15" i="79"/>
  <c r="I15" i="79"/>
  <c r="H15" i="79"/>
  <c r="G15" i="79"/>
  <c r="F15" i="79"/>
  <c r="E15" i="79"/>
  <c r="D15" i="79"/>
  <c r="C15" i="79"/>
  <c r="B15" i="79"/>
  <c r="C5" i="79"/>
  <c r="D5" i="79" s="1"/>
  <c r="E5" i="79" s="1"/>
  <c r="F5" i="79" s="1"/>
  <c r="G5" i="79" s="1"/>
  <c r="H5" i="79" s="1"/>
  <c r="I5" i="79" s="1"/>
  <c r="J5" i="79" s="1"/>
  <c r="K5" i="79" s="1"/>
  <c r="L5" i="79" s="1"/>
  <c r="M5" i="79" s="1"/>
  <c r="B3" i="79"/>
  <c r="B2" i="79"/>
  <c r="D11" i="78"/>
  <c r="D12" i="78" s="1"/>
  <c r="D13" i="78" s="1"/>
  <c r="D14" i="78" s="1"/>
  <c r="D15" i="78" s="1"/>
  <c r="O339" i="48" l="1"/>
  <c r="M80" i="79"/>
  <c r="M81" i="79" s="1"/>
  <c r="M83" i="79" s="1"/>
  <c r="M86" i="79"/>
  <c r="M87" i="79" s="1"/>
  <c r="M88" i="79" s="1"/>
  <c r="I86" i="79"/>
  <c r="I87" i="79" s="1"/>
  <c r="I88" i="79" s="1"/>
  <c r="J80" i="79"/>
  <c r="J81" i="79" s="1"/>
  <c r="J83" i="79" s="1"/>
  <c r="H81" i="79"/>
  <c r="H83" i="79" s="1"/>
  <c r="L81" i="79"/>
  <c r="L83" i="79" s="1"/>
  <c r="I81" i="79"/>
  <c r="I83" i="79" s="1"/>
  <c r="J87" i="79"/>
  <c r="J88" i="79" s="1"/>
  <c r="G80" i="79"/>
  <c r="G81" i="79" s="1"/>
  <c r="G83" i="79" s="1"/>
  <c r="K80" i="79"/>
  <c r="H86" i="79"/>
  <c r="L86" i="79"/>
  <c r="G87" i="79"/>
  <c r="G88" i="79" s="1"/>
  <c r="G90" i="79" s="1"/>
  <c r="H252" i="48" s="1"/>
  <c r="K87" i="79"/>
  <c r="K88" i="79" s="1"/>
  <c r="L87" i="79" l="1"/>
  <c r="L88" i="79" s="1"/>
  <c r="K81" i="79"/>
  <c r="K83" i="79" s="1"/>
  <c r="H87" i="79"/>
  <c r="H88" i="79" s="1"/>
  <c r="N382" i="64" l="1"/>
  <c r="N65" i="48"/>
  <c r="M65" i="48"/>
  <c r="L65" i="48"/>
  <c r="K65" i="48"/>
  <c r="J65" i="48"/>
  <c r="I65" i="48"/>
  <c r="H65" i="48"/>
  <c r="F65" i="48"/>
  <c r="E65" i="48"/>
  <c r="D65" i="48"/>
  <c r="C65" i="48"/>
  <c r="C101" i="49"/>
  <c r="C118" i="49" s="1"/>
  <c r="D101" i="49"/>
  <c r="D118" i="49" s="1"/>
  <c r="E101" i="49"/>
  <c r="E118" i="49" s="1"/>
  <c r="F101" i="49"/>
  <c r="F118" i="49" s="1"/>
  <c r="G101" i="49"/>
  <c r="G118" i="49" s="1"/>
  <c r="H101" i="49"/>
  <c r="H118" i="49" s="1"/>
  <c r="I101" i="49"/>
  <c r="I118" i="49" s="1"/>
  <c r="J101" i="49"/>
  <c r="J118" i="49" s="1"/>
  <c r="K101" i="49"/>
  <c r="K118" i="49" s="1"/>
  <c r="L101" i="49"/>
  <c r="L118" i="49" s="1"/>
  <c r="M101" i="49"/>
  <c r="M118" i="49" s="1"/>
  <c r="B101" i="49"/>
  <c r="B118" i="49" s="1"/>
  <c r="B119" i="49" s="1"/>
  <c r="B147" i="18"/>
  <c r="B172" i="18" s="1"/>
  <c r="C137" i="18"/>
  <c r="C162" i="18" s="1"/>
  <c r="C163" i="18" s="1"/>
  <c r="D342" i="48" s="1"/>
  <c r="D137" i="18"/>
  <c r="D162" i="18" s="1"/>
  <c r="D163" i="18" s="1"/>
  <c r="E342" i="48" s="1"/>
  <c r="E137" i="18"/>
  <c r="E162" i="18" s="1"/>
  <c r="E163" i="18" s="1"/>
  <c r="F342" i="48" s="1"/>
  <c r="F137" i="18"/>
  <c r="F162" i="18" s="1"/>
  <c r="F163" i="18" s="1"/>
  <c r="G342" i="48" s="1"/>
  <c r="G137" i="18"/>
  <c r="G162" i="18" s="1"/>
  <c r="G163" i="18" s="1"/>
  <c r="H342" i="48" s="1"/>
  <c r="H137" i="18"/>
  <c r="H162" i="18" s="1"/>
  <c r="H163" i="18" s="1"/>
  <c r="I342" i="48" s="1"/>
  <c r="I137" i="18"/>
  <c r="I162" i="18" s="1"/>
  <c r="I163" i="18" s="1"/>
  <c r="J342" i="48" s="1"/>
  <c r="J137" i="18"/>
  <c r="J162" i="18" s="1"/>
  <c r="J163" i="18" s="1"/>
  <c r="K342" i="48" s="1"/>
  <c r="K137" i="18"/>
  <c r="K162" i="18" s="1"/>
  <c r="K163" i="18" s="1"/>
  <c r="L342" i="48" s="1"/>
  <c r="L137" i="18"/>
  <c r="L162" i="18" s="1"/>
  <c r="L163" i="18" s="1"/>
  <c r="M342" i="48" s="1"/>
  <c r="M137" i="18"/>
  <c r="M162" i="18" s="1"/>
  <c r="M163" i="18" s="1"/>
  <c r="N342" i="48" s="1"/>
  <c r="B137" i="18"/>
  <c r="B162" i="18" s="1"/>
  <c r="B163" i="18" s="1"/>
  <c r="C342" i="48" s="1"/>
  <c r="A14" i="47"/>
  <c r="A15" i="47" s="1"/>
  <c r="A16" i="47" s="1"/>
  <c r="A17" i="47" s="1"/>
  <c r="A18" i="47" s="1"/>
  <c r="E20" i="47"/>
  <c r="F20" i="47"/>
  <c r="I20" i="47"/>
  <c r="J20" i="47"/>
  <c r="M20" i="47"/>
  <c r="C20" i="47"/>
  <c r="G20" i="47"/>
  <c r="K20" i="47"/>
  <c r="D20" i="47"/>
  <c r="H20" i="47"/>
  <c r="L20" i="47"/>
  <c r="B20" i="47"/>
  <c r="C139" i="14"/>
  <c r="C164" i="14" s="1"/>
  <c r="D139" i="14"/>
  <c r="D164" i="14" s="1"/>
  <c r="E139" i="14"/>
  <c r="E164" i="14" s="1"/>
  <c r="F139" i="14"/>
  <c r="F164" i="14" s="1"/>
  <c r="G139" i="14"/>
  <c r="G164" i="14" s="1"/>
  <c r="H139" i="14"/>
  <c r="H164" i="14" s="1"/>
  <c r="I139" i="14"/>
  <c r="I164" i="14" s="1"/>
  <c r="I165" i="14" s="1"/>
  <c r="J139" i="14"/>
  <c r="J164" i="14" s="1"/>
  <c r="K139" i="14"/>
  <c r="K164" i="14" s="1"/>
  <c r="L139" i="14"/>
  <c r="L164" i="14" s="1"/>
  <c r="M139" i="14"/>
  <c r="M164" i="14" s="1"/>
  <c r="B139" i="14"/>
  <c r="B164" i="14" s="1"/>
  <c r="B165" i="14" s="1"/>
  <c r="M153" i="14"/>
  <c r="L153" i="14"/>
  <c r="K153" i="14"/>
  <c r="J153" i="14"/>
  <c r="I153" i="14"/>
  <c r="H153" i="14"/>
  <c r="G153" i="14"/>
  <c r="F153" i="14"/>
  <c r="E153" i="14"/>
  <c r="D153" i="14"/>
  <c r="C153" i="14"/>
  <c r="B153" i="14"/>
  <c r="O136" i="14"/>
  <c r="C20" i="63"/>
  <c r="C21" i="63" s="1"/>
  <c r="C22" i="63" s="1"/>
  <c r="C23" i="63" s="1"/>
  <c r="C24" i="63" s="1"/>
  <c r="C25" i="63" s="1"/>
  <c r="I42" i="63"/>
  <c r="K24" i="63" s="1"/>
  <c r="I41" i="63"/>
  <c r="I40" i="63"/>
  <c r="I39" i="63"/>
  <c r="I38" i="63"/>
  <c r="I37" i="63"/>
  <c r="I36" i="63"/>
  <c r="I35" i="63"/>
  <c r="I34" i="63"/>
  <c r="I33" i="63"/>
  <c r="I32" i="63"/>
  <c r="K19" i="63" s="1"/>
  <c r="I31" i="63"/>
  <c r="J325" i="48"/>
  <c r="I325" i="48"/>
  <c r="H325" i="48"/>
  <c r="G325" i="48"/>
  <c r="F325" i="48"/>
  <c r="E325" i="48"/>
  <c r="D325" i="48"/>
  <c r="C325" i="48"/>
  <c r="N325" i="48"/>
  <c r="M325" i="48"/>
  <c r="K325" i="48"/>
  <c r="L325" i="48"/>
  <c r="M119" i="49" l="1"/>
  <c r="N347" i="48" s="1"/>
  <c r="I119" i="49"/>
  <c r="J347" i="48" s="1"/>
  <c r="E119" i="49"/>
  <c r="F347" i="48" s="1"/>
  <c r="L119" i="49"/>
  <c r="M347" i="48" s="1"/>
  <c r="H119" i="49"/>
  <c r="I347" i="48" s="1"/>
  <c r="D119" i="49"/>
  <c r="E347" i="48" s="1"/>
  <c r="K119" i="49"/>
  <c r="L347" i="48" s="1"/>
  <c r="G119" i="49"/>
  <c r="H347" i="48" s="1"/>
  <c r="C119" i="49"/>
  <c r="D347" i="48" s="1"/>
  <c r="J119" i="49"/>
  <c r="K347" i="48" s="1"/>
  <c r="F119" i="49"/>
  <c r="G347" i="48" s="1"/>
  <c r="J35" i="63"/>
  <c r="J39" i="63"/>
  <c r="D19" i="63"/>
  <c r="J31" i="63"/>
  <c r="J33" i="63"/>
  <c r="J37" i="63"/>
  <c r="D24" i="63"/>
  <c r="B136" i="14" s="1"/>
  <c r="J41" i="63"/>
  <c r="C336" i="48"/>
  <c r="J336" i="48"/>
  <c r="C347" i="48"/>
  <c r="O342" i="48"/>
  <c r="N163" i="18"/>
  <c r="C172" i="18"/>
  <c r="B173" i="18"/>
  <c r="C344" i="48" s="1"/>
  <c r="I136" i="14"/>
  <c r="N342" i="64"/>
  <c r="N352" i="64"/>
  <c r="N337" i="64"/>
  <c r="N347" i="64"/>
  <c r="N13" i="47"/>
  <c r="B13" i="18"/>
  <c r="N17" i="47"/>
  <c r="N16" i="47"/>
  <c r="N15" i="47"/>
  <c r="N14" i="47"/>
  <c r="N18" i="47"/>
  <c r="O19" i="47" s="1"/>
  <c r="O347" i="48" l="1"/>
  <c r="I137" i="14"/>
  <c r="I138" i="14" s="1"/>
  <c r="I140" i="14" s="1"/>
  <c r="J286" i="48" s="1"/>
  <c r="I16" i="92"/>
  <c r="N119" i="49"/>
  <c r="B143" i="14"/>
  <c r="B144" i="14" s="1"/>
  <c r="B145" i="14" s="1"/>
  <c r="B16" i="92"/>
  <c r="B15" i="24"/>
  <c r="B14" i="24" s="1"/>
  <c r="B150" i="14"/>
  <c r="B151" i="14" s="1"/>
  <c r="B137" i="14"/>
  <c r="B138" i="14" s="1"/>
  <c r="B140" i="14" s="1"/>
  <c r="C286" i="48" s="1"/>
  <c r="D172" i="18"/>
  <c r="C173" i="18"/>
  <c r="D344" i="48" s="1"/>
  <c r="I143" i="14"/>
  <c r="I144" i="14" s="1"/>
  <c r="I145" i="14" s="1"/>
  <c r="I150" i="14"/>
  <c r="I151" i="14" s="1"/>
  <c r="I152" i="14" s="1"/>
  <c r="I154" i="14" s="1"/>
  <c r="N336" i="16"/>
  <c r="O18" i="47"/>
  <c r="O14" i="47"/>
  <c r="N331" i="16"/>
  <c r="N341" i="16"/>
  <c r="N346" i="16"/>
  <c r="O15" i="47"/>
  <c r="O16" i="47"/>
  <c r="O17" i="47"/>
  <c r="B152" i="14" l="1"/>
  <c r="B154" i="14" s="1"/>
  <c r="C288" i="48" s="1"/>
  <c r="E172" i="18"/>
  <c r="D173" i="18"/>
  <c r="E344" i="48" s="1"/>
  <c r="G324" i="48"/>
  <c r="N324" i="48"/>
  <c r="F324" i="48"/>
  <c r="E324" i="48"/>
  <c r="J324" i="48"/>
  <c r="J288" i="48"/>
  <c r="H324" i="48"/>
  <c r="M324" i="48"/>
  <c r="K324" i="48"/>
  <c r="I324" i="48"/>
  <c r="F172" i="18" l="1"/>
  <c r="E173" i="18"/>
  <c r="F344" i="48" s="1"/>
  <c r="G172" i="18" l="1"/>
  <c r="F173" i="18"/>
  <c r="G344" i="48" s="1"/>
  <c r="L324" i="48"/>
  <c r="H172" i="18" l="1"/>
  <c r="G173" i="18"/>
  <c r="H344" i="48" s="1"/>
  <c r="C67" i="73"/>
  <c r="D67" i="73"/>
  <c r="E67" i="73"/>
  <c r="F67" i="73"/>
  <c r="G67" i="73"/>
  <c r="H67" i="73"/>
  <c r="I67" i="73"/>
  <c r="J67" i="73"/>
  <c r="K67" i="73"/>
  <c r="L67" i="73"/>
  <c r="M67" i="73"/>
  <c r="B67" i="73"/>
  <c r="C50" i="73"/>
  <c r="D50" i="73"/>
  <c r="E50" i="73"/>
  <c r="F50" i="73"/>
  <c r="G50" i="73"/>
  <c r="H50" i="73"/>
  <c r="I50" i="73"/>
  <c r="J50" i="73"/>
  <c r="K50" i="73"/>
  <c r="L50" i="73"/>
  <c r="M50" i="73"/>
  <c r="B50" i="73"/>
  <c r="C33" i="73"/>
  <c r="D33" i="73"/>
  <c r="E33" i="73"/>
  <c r="F33" i="73"/>
  <c r="G33" i="73"/>
  <c r="H33" i="73"/>
  <c r="I33" i="73"/>
  <c r="J33" i="73"/>
  <c r="K33" i="73"/>
  <c r="L33" i="73"/>
  <c r="M33" i="73"/>
  <c r="B33" i="73"/>
  <c r="C16" i="73"/>
  <c r="D16" i="73"/>
  <c r="E16" i="73"/>
  <c r="F16" i="73"/>
  <c r="G16" i="73"/>
  <c r="H16" i="73"/>
  <c r="I16" i="73"/>
  <c r="J16" i="73"/>
  <c r="K16" i="73"/>
  <c r="L16" i="73"/>
  <c r="M16" i="73"/>
  <c r="B16" i="73"/>
  <c r="F14" i="72"/>
  <c r="C81" i="73" s="1"/>
  <c r="C14" i="91" s="1"/>
  <c r="G14" i="72"/>
  <c r="D81" i="73" s="1"/>
  <c r="D14" i="91" s="1"/>
  <c r="H14" i="72"/>
  <c r="E81" i="73" s="1"/>
  <c r="E14" i="91" s="1"/>
  <c r="I14" i="72"/>
  <c r="F81" i="73" s="1"/>
  <c r="F14" i="91" s="1"/>
  <c r="J14" i="72"/>
  <c r="G81" i="73" s="1"/>
  <c r="G14" i="91" s="1"/>
  <c r="K14" i="72"/>
  <c r="H81" i="73" s="1"/>
  <c r="H14" i="91" s="1"/>
  <c r="L14" i="72"/>
  <c r="I81" i="73" s="1"/>
  <c r="I14" i="91" s="1"/>
  <c r="M14" i="72"/>
  <c r="J81" i="73" s="1"/>
  <c r="J14" i="91" s="1"/>
  <c r="N14" i="72"/>
  <c r="K81" i="73" s="1"/>
  <c r="K14" i="91" s="1"/>
  <c r="O14" i="72"/>
  <c r="L81" i="73" s="1"/>
  <c r="L14" i="91" s="1"/>
  <c r="P14" i="72"/>
  <c r="M81" i="73" s="1"/>
  <c r="M14" i="91" s="1"/>
  <c r="I172" i="18" l="1"/>
  <c r="H173" i="18"/>
  <c r="I344" i="48" s="1"/>
  <c r="E82" i="73"/>
  <c r="E83" i="73" s="1"/>
  <c r="E85" i="73" s="1"/>
  <c r="F249" i="48" s="1"/>
  <c r="E88" i="73"/>
  <c r="L82" i="73"/>
  <c r="L83" i="73" s="1"/>
  <c r="L85" i="73" s="1"/>
  <c r="M249" i="48" s="1"/>
  <c r="L88" i="73"/>
  <c r="L89" i="73" s="1"/>
  <c r="L90" i="73" s="1"/>
  <c r="H82" i="73"/>
  <c r="H83" i="73" s="1"/>
  <c r="H85" i="73" s="1"/>
  <c r="I249" i="48" s="1"/>
  <c r="H88" i="73"/>
  <c r="H89" i="73" s="1"/>
  <c r="H90" i="73" s="1"/>
  <c r="D82" i="73"/>
  <c r="D83" i="73" s="1"/>
  <c r="D85" i="73" s="1"/>
  <c r="E249" i="48" s="1"/>
  <c r="D88" i="73"/>
  <c r="D89" i="73" s="1"/>
  <c r="D90" i="73" s="1"/>
  <c r="M82" i="73"/>
  <c r="M83" i="73" s="1"/>
  <c r="M85" i="73" s="1"/>
  <c r="N249" i="48" s="1"/>
  <c r="M88" i="73"/>
  <c r="I82" i="73"/>
  <c r="I83" i="73" s="1"/>
  <c r="I85" i="73" s="1"/>
  <c r="J249" i="48" s="1"/>
  <c r="I88" i="73"/>
  <c r="I89" i="73" s="1"/>
  <c r="I90" i="73" s="1"/>
  <c r="K82" i="73"/>
  <c r="K83" i="73" s="1"/>
  <c r="K85" i="73" s="1"/>
  <c r="L249" i="48" s="1"/>
  <c r="K88" i="73"/>
  <c r="K89" i="73" s="1"/>
  <c r="K90" i="73" s="1"/>
  <c r="G82" i="73"/>
  <c r="G83" i="73" s="1"/>
  <c r="G85" i="73" s="1"/>
  <c r="H249" i="48" s="1"/>
  <c r="G88" i="73"/>
  <c r="G89" i="73" s="1"/>
  <c r="G90" i="73" s="1"/>
  <c r="C82" i="73"/>
  <c r="C83" i="73" s="1"/>
  <c r="C88" i="73"/>
  <c r="J88" i="73"/>
  <c r="J89" i="73" s="1"/>
  <c r="J90" i="73" s="1"/>
  <c r="J82" i="73"/>
  <c r="J83" i="73" s="1"/>
  <c r="J85" i="73" s="1"/>
  <c r="K249" i="48" s="1"/>
  <c r="F88" i="73"/>
  <c r="F89" i="73" s="1"/>
  <c r="F90" i="73" s="1"/>
  <c r="F82" i="73"/>
  <c r="F83" i="73" s="1"/>
  <c r="F85" i="73" s="1"/>
  <c r="G249" i="48" s="1"/>
  <c r="C101" i="70"/>
  <c r="C118" i="70" s="1"/>
  <c r="D101" i="70"/>
  <c r="D118" i="70" s="1"/>
  <c r="E101" i="70"/>
  <c r="E118" i="70" s="1"/>
  <c r="F101" i="70"/>
  <c r="F118" i="70" s="1"/>
  <c r="G101" i="70"/>
  <c r="G118" i="70" s="1"/>
  <c r="H101" i="70"/>
  <c r="H118" i="70" s="1"/>
  <c r="I101" i="70"/>
  <c r="I118" i="70" s="1"/>
  <c r="J101" i="70"/>
  <c r="J118" i="70" s="1"/>
  <c r="K101" i="70"/>
  <c r="K118" i="70" s="1"/>
  <c r="L101" i="70"/>
  <c r="L118" i="70" s="1"/>
  <c r="M101" i="70"/>
  <c r="M118" i="70" s="1"/>
  <c r="B101" i="70"/>
  <c r="B118" i="70" s="1"/>
  <c r="B119" i="70" s="1"/>
  <c r="C98" i="70"/>
  <c r="D98" i="70"/>
  <c r="E98" i="70"/>
  <c r="F98" i="70"/>
  <c r="G98" i="70"/>
  <c r="H98" i="70"/>
  <c r="I98" i="70"/>
  <c r="J98" i="70"/>
  <c r="K98" i="70"/>
  <c r="L98" i="70"/>
  <c r="M98" i="70"/>
  <c r="B98" i="70"/>
  <c r="Q16" i="71"/>
  <c r="C326" i="4"/>
  <c r="D326" i="4"/>
  <c r="E326" i="4"/>
  <c r="F326" i="4"/>
  <c r="G326" i="4"/>
  <c r="H326" i="4"/>
  <c r="I326" i="4"/>
  <c r="J326" i="4"/>
  <c r="K326" i="4"/>
  <c r="L326" i="4"/>
  <c r="M326" i="4"/>
  <c r="B326" i="4"/>
  <c r="D34" i="11"/>
  <c r="E34" i="11"/>
  <c r="F34" i="11"/>
  <c r="G34" i="11"/>
  <c r="H34" i="11"/>
  <c r="C14" i="11"/>
  <c r="C17" i="11" s="1"/>
  <c r="C20" i="11" s="1"/>
  <c r="C23" i="11" s="1"/>
  <c r="C26" i="11" s="1"/>
  <c r="C29" i="11" s="1"/>
  <c r="M100" i="70" l="1"/>
  <c r="M99" i="70" s="1"/>
  <c r="M102" i="70"/>
  <c r="I102" i="70"/>
  <c r="J299" i="48" s="1"/>
  <c r="I100" i="70"/>
  <c r="I99" i="70" s="1"/>
  <c r="E102" i="70"/>
  <c r="E100" i="70"/>
  <c r="E99" i="70" s="1"/>
  <c r="M119" i="70"/>
  <c r="N349" i="48" s="1"/>
  <c r="I119" i="70"/>
  <c r="J349" i="48" s="1"/>
  <c r="E119" i="70"/>
  <c r="F349" i="48" s="1"/>
  <c r="L102" i="70"/>
  <c r="M299" i="48" s="1"/>
  <c r="L100" i="70"/>
  <c r="L99" i="70" s="1"/>
  <c r="H102" i="70"/>
  <c r="I299" i="48" s="1"/>
  <c r="H100" i="70"/>
  <c r="H99" i="70" s="1"/>
  <c r="D102" i="70"/>
  <c r="D100" i="70"/>
  <c r="D99" i="70" s="1"/>
  <c r="L119" i="70"/>
  <c r="M349" i="48" s="1"/>
  <c r="H119" i="70"/>
  <c r="I349" i="48" s="1"/>
  <c r="D119" i="70"/>
  <c r="E349" i="48" s="1"/>
  <c r="K13" i="92"/>
  <c r="K100" i="70"/>
  <c r="K99" i="70" s="1"/>
  <c r="K102" i="70"/>
  <c r="L299" i="48" s="1"/>
  <c r="G100" i="70"/>
  <c r="G99" i="70" s="1"/>
  <c r="G102" i="70"/>
  <c r="H299" i="48" s="1"/>
  <c r="K119" i="70"/>
  <c r="L349" i="48" s="1"/>
  <c r="G119" i="70"/>
  <c r="H349" i="48" s="1"/>
  <c r="C119" i="70"/>
  <c r="D349" i="48" s="1"/>
  <c r="B13" i="92"/>
  <c r="B100" i="70"/>
  <c r="B99" i="70" s="1"/>
  <c r="B102" i="70"/>
  <c r="J13" i="92"/>
  <c r="J102" i="70"/>
  <c r="K299" i="48" s="1"/>
  <c r="J100" i="70"/>
  <c r="J99" i="70" s="1"/>
  <c r="F13" i="92"/>
  <c r="F102" i="70"/>
  <c r="G299" i="48" s="1"/>
  <c r="F100" i="70"/>
  <c r="F99" i="70" s="1"/>
  <c r="J119" i="70"/>
  <c r="K349" i="48" s="1"/>
  <c r="F119" i="70"/>
  <c r="G349" i="48" s="1"/>
  <c r="C13" i="92"/>
  <c r="C102" i="70"/>
  <c r="D299" i="48" s="1"/>
  <c r="C100" i="70"/>
  <c r="C99" i="70" s="1"/>
  <c r="M13" i="92"/>
  <c r="I13" i="92"/>
  <c r="E105" i="70"/>
  <c r="E13" i="92"/>
  <c r="L13" i="92"/>
  <c r="H13" i="92"/>
  <c r="D13" i="92"/>
  <c r="G13" i="92"/>
  <c r="C349" i="48"/>
  <c r="J172" i="18"/>
  <c r="I173" i="18"/>
  <c r="J344" i="48" s="1"/>
  <c r="I105" i="70"/>
  <c r="F299" i="48"/>
  <c r="M105" i="70"/>
  <c r="B98" i="49"/>
  <c r="J98" i="49"/>
  <c r="F98" i="49"/>
  <c r="I98" i="49"/>
  <c r="E98" i="49"/>
  <c r="L98" i="49"/>
  <c r="H98" i="49"/>
  <c r="D98" i="49"/>
  <c r="K98" i="49"/>
  <c r="G98" i="49"/>
  <c r="C98" i="49"/>
  <c r="M98" i="49"/>
  <c r="C89" i="73"/>
  <c r="C90" i="73" s="1"/>
  <c r="M89" i="73"/>
  <c r="M90" i="73" s="1"/>
  <c r="E89" i="73"/>
  <c r="E90" i="73" s="1"/>
  <c r="C85" i="73"/>
  <c r="E299" i="48"/>
  <c r="B105" i="70"/>
  <c r="F105" i="70"/>
  <c r="J105" i="70"/>
  <c r="N299" i="48"/>
  <c r="C105" i="70"/>
  <c r="G105" i="70"/>
  <c r="K105" i="70"/>
  <c r="N98" i="70"/>
  <c r="D105" i="70"/>
  <c r="H105" i="70"/>
  <c r="L105" i="70"/>
  <c r="J107" i="70" l="1"/>
  <c r="J106" i="70" s="1"/>
  <c r="K102" i="49"/>
  <c r="L297" i="48" s="1"/>
  <c r="K100" i="49"/>
  <c r="K99" i="49" s="1"/>
  <c r="E12" i="92"/>
  <c r="E102" i="49"/>
  <c r="F297" i="48" s="1"/>
  <c r="E100" i="49"/>
  <c r="E99" i="49" s="1"/>
  <c r="B12" i="92"/>
  <c r="B102" i="49"/>
  <c r="C297" i="48" s="1"/>
  <c r="B100" i="49"/>
  <c r="B99" i="49" s="1"/>
  <c r="E107" i="70"/>
  <c r="E106" i="70" s="1"/>
  <c r="L107" i="70"/>
  <c r="L106" i="70" s="1"/>
  <c r="K107" i="70"/>
  <c r="K106" i="70" s="1"/>
  <c r="F107" i="70"/>
  <c r="F106" i="70" s="1"/>
  <c r="D12" i="92"/>
  <c r="D102" i="49"/>
  <c r="E297" i="48" s="1"/>
  <c r="D100" i="49"/>
  <c r="D99" i="49" s="1"/>
  <c r="I12" i="92"/>
  <c r="I102" i="49"/>
  <c r="J297" i="48" s="1"/>
  <c r="I100" i="49"/>
  <c r="I99" i="49" s="1"/>
  <c r="M107" i="70"/>
  <c r="M106" i="70" s="1"/>
  <c r="N119" i="70"/>
  <c r="H107" i="70"/>
  <c r="H106" i="70" s="1"/>
  <c r="G107" i="70"/>
  <c r="G106" i="70" s="1"/>
  <c r="B107" i="70"/>
  <c r="B106" i="70" s="1"/>
  <c r="C12" i="92"/>
  <c r="C102" i="49"/>
  <c r="C100" i="49"/>
  <c r="C99" i="49" s="1"/>
  <c r="H102" i="49"/>
  <c r="I297" i="48" s="1"/>
  <c r="H100" i="49"/>
  <c r="H99" i="49" s="1"/>
  <c r="F102" i="49"/>
  <c r="G297" i="48" s="1"/>
  <c r="F100" i="49"/>
  <c r="F99" i="49" s="1"/>
  <c r="O349" i="48"/>
  <c r="D107" i="70"/>
  <c r="D106" i="70" s="1"/>
  <c r="M12" i="92"/>
  <c r="M102" i="49"/>
  <c r="M100" i="49"/>
  <c r="M99" i="49" s="1"/>
  <c r="G12" i="92"/>
  <c r="G102" i="49"/>
  <c r="G100" i="49"/>
  <c r="G99" i="49" s="1"/>
  <c r="L12" i="92"/>
  <c r="L102" i="49"/>
  <c r="L100" i="49"/>
  <c r="L99" i="49" s="1"/>
  <c r="J12" i="92"/>
  <c r="J102" i="49"/>
  <c r="J100" i="49"/>
  <c r="J99" i="49" s="1"/>
  <c r="I107" i="70"/>
  <c r="I106" i="70" s="1"/>
  <c r="C107" i="70"/>
  <c r="C106" i="70" s="1"/>
  <c r="O13" i="92"/>
  <c r="K105" i="49"/>
  <c r="K12" i="92"/>
  <c r="H105" i="49"/>
  <c r="H12" i="92"/>
  <c r="F105" i="49"/>
  <c r="F12" i="92"/>
  <c r="N13" i="92"/>
  <c r="K172" i="18"/>
  <c r="J173" i="18"/>
  <c r="K344" i="48" s="1"/>
  <c r="B105" i="49"/>
  <c r="I105" i="49"/>
  <c r="G105" i="49"/>
  <c r="H297" i="48"/>
  <c r="D105" i="49"/>
  <c r="C105" i="49"/>
  <c r="E105" i="49"/>
  <c r="M297" i="48"/>
  <c r="L105" i="49"/>
  <c r="I20" i="68"/>
  <c r="N98" i="49"/>
  <c r="J105" i="49"/>
  <c r="K297" i="48"/>
  <c r="N297" i="48"/>
  <c r="M105" i="49"/>
  <c r="D249" i="48"/>
  <c r="N99" i="70"/>
  <c r="N105" i="70"/>
  <c r="N196" i="4"/>
  <c r="N127" i="4"/>
  <c r="N61" i="4"/>
  <c r="H117" i="4"/>
  <c r="C117" i="4"/>
  <c r="J107" i="49" l="1"/>
  <c r="J106" i="49" s="1"/>
  <c r="E107" i="49"/>
  <c r="E106" i="49" s="1"/>
  <c r="F107" i="49"/>
  <c r="F106" i="49" s="1"/>
  <c r="K107" i="49"/>
  <c r="K106" i="49" s="1"/>
  <c r="C122" i="64"/>
  <c r="C122" i="16" s="1"/>
  <c r="C28" i="94"/>
  <c r="M107" i="49"/>
  <c r="M106" i="49" s="1"/>
  <c r="L107" i="49"/>
  <c r="L106" i="49" s="1"/>
  <c r="C107" i="49"/>
  <c r="C106" i="49" s="1"/>
  <c r="G107" i="49"/>
  <c r="G106" i="49" s="1"/>
  <c r="B107" i="49"/>
  <c r="B106" i="49" s="1"/>
  <c r="H122" i="64"/>
  <c r="H122" i="16" s="1"/>
  <c r="H28" i="94"/>
  <c r="D107" i="49"/>
  <c r="D106" i="49" s="1"/>
  <c r="H107" i="49"/>
  <c r="H106" i="49" s="1"/>
  <c r="I107" i="49"/>
  <c r="I106" i="49" s="1"/>
  <c r="N12" i="92"/>
  <c r="O12" i="92"/>
  <c r="L172" i="18"/>
  <c r="K173" i="18"/>
  <c r="N99" i="49"/>
  <c r="N105" i="49"/>
  <c r="N106" i="70"/>
  <c r="N100" i="70"/>
  <c r="N100" i="49"/>
  <c r="D117" i="4"/>
  <c r="I117" i="4"/>
  <c r="C370" i="4"/>
  <c r="C30" i="92" s="1"/>
  <c r="C355" i="4"/>
  <c r="C350" i="4"/>
  <c r="C28" i="92" s="1"/>
  <c r="N345" i="4"/>
  <c r="N340" i="4"/>
  <c r="N335" i="4"/>
  <c r="N330" i="4"/>
  <c r="M331" i="4"/>
  <c r="L331" i="4"/>
  <c r="L332" i="4" s="1"/>
  <c r="K331" i="4"/>
  <c r="J331" i="4"/>
  <c r="I331" i="4"/>
  <c r="H331" i="4"/>
  <c r="H332" i="4" s="1"/>
  <c r="G331" i="4"/>
  <c r="F331" i="4"/>
  <c r="F336" i="4" s="1"/>
  <c r="F337" i="4" s="1"/>
  <c r="E331" i="4"/>
  <c r="D331" i="4"/>
  <c r="D332" i="4" s="1"/>
  <c r="C331" i="4"/>
  <c r="N85" i="53"/>
  <c r="N86" i="53"/>
  <c r="N72" i="53"/>
  <c r="N73" i="53"/>
  <c r="N58" i="53"/>
  <c r="N44" i="53"/>
  <c r="N26" i="53"/>
  <c r="N27" i="53"/>
  <c r="N11" i="53"/>
  <c r="N106" i="49" l="1"/>
  <c r="C29" i="92"/>
  <c r="C356" i="16"/>
  <c r="C362" i="64"/>
  <c r="I122" i="64"/>
  <c r="I122" i="16" s="1"/>
  <c r="I28" i="94"/>
  <c r="D122" i="64"/>
  <c r="D122" i="16" s="1"/>
  <c r="D28" i="94"/>
  <c r="L344" i="48"/>
  <c r="M172" i="18"/>
  <c r="M173" i="18" s="1"/>
  <c r="N344" i="48" s="1"/>
  <c r="L173" i="18"/>
  <c r="M344" i="48" s="1"/>
  <c r="N107" i="49"/>
  <c r="D350" i="4"/>
  <c r="D28" i="92" s="1"/>
  <c r="C357" i="64"/>
  <c r="C351" i="16"/>
  <c r="C366" i="16"/>
  <c r="C377" i="64"/>
  <c r="C361" i="16"/>
  <c r="C367" i="64"/>
  <c r="B371" i="16"/>
  <c r="B372" i="64"/>
  <c r="N102" i="70"/>
  <c r="C299" i="48"/>
  <c r="N102" i="49"/>
  <c r="D297" i="48"/>
  <c r="N107" i="70"/>
  <c r="E117" i="4"/>
  <c r="J117" i="4"/>
  <c r="B331" i="4"/>
  <c r="B336" i="4" s="1"/>
  <c r="B337" i="4" s="1"/>
  <c r="J336" i="4"/>
  <c r="J332" i="4"/>
  <c r="H336" i="4"/>
  <c r="H341" i="4" s="1"/>
  <c r="H342" i="4" s="1"/>
  <c r="K332" i="4"/>
  <c r="K336" i="4"/>
  <c r="F332" i="4"/>
  <c r="D336" i="4"/>
  <c r="F341" i="4"/>
  <c r="C332" i="4"/>
  <c r="C336" i="4"/>
  <c r="L336" i="4"/>
  <c r="G332" i="4"/>
  <c r="G336" i="4"/>
  <c r="D370" i="4"/>
  <c r="D30" i="92" s="1"/>
  <c r="E336" i="4"/>
  <c r="E332" i="4"/>
  <c r="I336" i="4"/>
  <c r="I332" i="4"/>
  <c r="M336" i="4"/>
  <c r="M332" i="4"/>
  <c r="D355" i="4"/>
  <c r="N59" i="53"/>
  <c r="N14" i="53"/>
  <c r="N31" i="53"/>
  <c r="N30" i="53"/>
  <c r="J122" i="64" l="1"/>
  <c r="J122" i="16" s="1"/>
  <c r="J28" i="94"/>
  <c r="E122" i="64"/>
  <c r="E122" i="16" s="1"/>
  <c r="E28" i="94"/>
  <c r="D29" i="92"/>
  <c r="D356" i="16"/>
  <c r="D362" i="64"/>
  <c r="O344" i="48"/>
  <c r="B200" i="75" s="1"/>
  <c r="D200" i="75" s="1"/>
  <c r="E200" i="75" s="1"/>
  <c r="N173" i="18"/>
  <c r="C371" i="16"/>
  <c r="C372" i="64"/>
  <c r="D361" i="16"/>
  <c r="D367" i="64"/>
  <c r="D366" i="16"/>
  <c r="D377" i="64"/>
  <c r="D357" i="64"/>
  <c r="D351" i="16"/>
  <c r="E350" i="4"/>
  <c r="B332" i="4"/>
  <c r="N332" i="4" s="1"/>
  <c r="K117" i="4"/>
  <c r="F117" i="4"/>
  <c r="B341" i="4"/>
  <c r="B342" i="4" s="1"/>
  <c r="H337" i="4"/>
  <c r="H346" i="4"/>
  <c r="H347" i="4" s="1"/>
  <c r="J337" i="4"/>
  <c r="J341" i="4"/>
  <c r="C341" i="4"/>
  <c r="C337" i="4"/>
  <c r="I337" i="4"/>
  <c r="I341" i="4"/>
  <c r="E370" i="4"/>
  <c r="E30" i="92" s="1"/>
  <c r="L341" i="4"/>
  <c r="L337" i="4"/>
  <c r="K341" i="4"/>
  <c r="K337" i="4"/>
  <c r="M337" i="4"/>
  <c r="M341" i="4"/>
  <c r="E337" i="4"/>
  <c r="E341" i="4"/>
  <c r="G341" i="4"/>
  <c r="G337" i="4"/>
  <c r="F346" i="4"/>
  <c r="F342" i="4"/>
  <c r="E355" i="4"/>
  <c r="D341" i="4"/>
  <c r="D337" i="4"/>
  <c r="F122" i="64" l="1"/>
  <c r="F28" i="94"/>
  <c r="E29" i="92"/>
  <c r="E356" i="16"/>
  <c r="E362" i="64"/>
  <c r="K122" i="64"/>
  <c r="K122" i="16" s="1"/>
  <c r="K28" i="94"/>
  <c r="F350" i="4"/>
  <c r="F28" i="92" s="1"/>
  <c r="E28" i="92"/>
  <c r="H351" i="4"/>
  <c r="H356" i="4" s="1"/>
  <c r="B346" i="4"/>
  <c r="B347" i="4" s="1"/>
  <c r="F351" i="16"/>
  <c r="E366" i="16"/>
  <c r="E377" i="64"/>
  <c r="E361" i="16"/>
  <c r="E367" i="64"/>
  <c r="F122" i="16"/>
  <c r="E357" i="64"/>
  <c r="E351" i="16"/>
  <c r="D371" i="16"/>
  <c r="D372" i="64"/>
  <c r="L117" i="4"/>
  <c r="J346" i="4"/>
  <c r="J342" i="4"/>
  <c r="M346" i="4"/>
  <c r="M342" i="4"/>
  <c r="K342" i="4"/>
  <c r="K346" i="4"/>
  <c r="L342" i="4"/>
  <c r="L346" i="4"/>
  <c r="G342" i="4"/>
  <c r="G346" i="4"/>
  <c r="F370" i="4"/>
  <c r="F30" i="92" s="1"/>
  <c r="F355" i="4"/>
  <c r="G350" i="4"/>
  <c r="G28" i="92" s="1"/>
  <c r="F347" i="4"/>
  <c r="F351" i="4"/>
  <c r="F352" i="4" s="1"/>
  <c r="E346" i="4"/>
  <c r="E342" i="4"/>
  <c r="N337" i="4"/>
  <c r="D342" i="4"/>
  <c r="D346" i="4"/>
  <c r="I346" i="4"/>
  <c r="I342" i="4"/>
  <c r="C342" i="4"/>
  <c r="C346" i="4"/>
  <c r="F357" i="64" l="1"/>
  <c r="F29" i="92"/>
  <c r="F356" i="16"/>
  <c r="F362" i="64"/>
  <c r="L122" i="64"/>
  <c r="L122" i="16" s="1"/>
  <c r="L28" i="94"/>
  <c r="B351" i="4"/>
  <c r="B352" i="4" s="1"/>
  <c r="H361" i="4"/>
  <c r="H366" i="4" s="1"/>
  <c r="H371" i="4" s="1"/>
  <c r="E371" i="16"/>
  <c r="E372" i="64"/>
  <c r="F367" i="64"/>
  <c r="F361" i="16"/>
  <c r="G357" i="64"/>
  <c r="G351" i="16"/>
  <c r="F366" i="16"/>
  <c r="F377" i="64"/>
  <c r="M117" i="4"/>
  <c r="N342" i="4"/>
  <c r="J347" i="4"/>
  <c r="J351" i="4"/>
  <c r="G370" i="4"/>
  <c r="G30" i="92" s="1"/>
  <c r="H350" i="4"/>
  <c r="H28" i="92" s="1"/>
  <c r="G355" i="4"/>
  <c r="L351" i="4"/>
  <c r="L347" i="4"/>
  <c r="C347" i="4"/>
  <c r="C351" i="4"/>
  <c r="D351" i="4"/>
  <c r="D347" i="4"/>
  <c r="E351" i="4"/>
  <c r="E347" i="4"/>
  <c r="G347" i="4"/>
  <c r="G351" i="4"/>
  <c r="G352" i="4" s="1"/>
  <c r="M351" i="4"/>
  <c r="M347" i="4"/>
  <c r="I351" i="4"/>
  <c r="I347" i="4"/>
  <c r="F361" i="4"/>
  <c r="F366" i="4" s="1"/>
  <c r="F371" i="4" s="1"/>
  <c r="F372" i="4" s="1"/>
  <c r="F356" i="4"/>
  <c r="F357" i="4" s="1"/>
  <c r="B361" i="4"/>
  <c r="K347" i="4"/>
  <c r="K351" i="4"/>
  <c r="G29" i="92" l="1"/>
  <c r="G356" i="16"/>
  <c r="G362" i="64"/>
  <c r="B356" i="4"/>
  <c r="B357" i="4" s="1"/>
  <c r="M122" i="64"/>
  <c r="M122" i="16" s="1"/>
  <c r="N122" i="16" s="1"/>
  <c r="M28" i="94"/>
  <c r="N28" i="94" s="1"/>
  <c r="H357" i="64"/>
  <c r="H351" i="16"/>
  <c r="G361" i="16"/>
  <c r="G367" i="64"/>
  <c r="F372" i="64"/>
  <c r="F371" i="16"/>
  <c r="G366" i="16"/>
  <c r="G377" i="64"/>
  <c r="N117" i="4"/>
  <c r="J361" i="4"/>
  <c r="J366" i="4" s="1"/>
  <c r="J371" i="4" s="1"/>
  <c r="J356" i="4"/>
  <c r="M356" i="4"/>
  <c r="M361" i="4"/>
  <c r="M366" i="4" s="1"/>
  <c r="M371" i="4" s="1"/>
  <c r="E356" i="4"/>
  <c r="E357" i="4" s="1"/>
  <c r="E361" i="4"/>
  <c r="E352" i="4"/>
  <c r="H370" i="4"/>
  <c r="H30" i="92" s="1"/>
  <c r="C361" i="4"/>
  <c r="C356" i="4"/>
  <c r="C357" i="4" s="1"/>
  <c r="C352" i="4"/>
  <c r="L356" i="4"/>
  <c r="L361" i="4"/>
  <c r="L366" i="4" s="1"/>
  <c r="L371" i="4" s="1"/>
  <c r="H355" i="4"/>
  <c r="K361" i="4"/>
  <c r="K366" i="4" s="1"/>
  <c r="K371" i="4" s="1"/>
  <c r="K356" i="4"/>
  <c r="B362" i="4"/>
  <c r="B366" i="4"/>
  <c r="I356" i="4"/>
  <c r="I361" i="4"/>
  <c r="I366" i="4" s="1"/>
  <c r="I371" i="4" s="1"/>
  <c r="F367" i="4"/>
  <c r="H352" i="4"/>
  <c r="I350" i="4"/>
  <c r="I28" i="92" s="1"/>
  <c r="N347" i="4"/>
  <c r="G361" i="4"/>
  <c r="G366" i="4" s="1"/>
  <c r="G371" i="4" s="1"/>
  <c r="G372" i="4" s="1"/>
  <c r="G356" i="4"/>
  <c r="G357" i="4" s="1"/>
  <c r="D356" i="4"/>
  <c r="D357" i="4" s="1"/>
  <c r="D361" i="4"/>
  <c r="D352" i="4"/>
  <c r="F362" i="4"/>
  <c r="N122" i="64" l="1"/>
  <c r="O28" i="94"/>
  <c r="H29" i="92"/>
  <c r="H356" i="16"/>
  <c r="H362" i="64"/>
  <c r="G371" i="16"/>
  <c r="G372" i="64"/>
  <c r="H366" i="16"/>
  <c r="H377" i="64"/>
  <c r="H361" i="16"/>
  <c r="H367" i="64"/>
  <c r="I357" i="64"/>
  <c r="I351" i="16"/>
  <c r="H372" i="4"/>
  <c r="I370" i="4"/>
  <c r="I30" i="92" s="1"/>
  <c r="G367" i="4"/>
  <c r="C366" i="4"/>
  <c r="C362" i="4"/>
  <c r="H362" i="4"/>
  <c r="B371" i="4"/>
  <c r="B372" i="4" s="1"/>
  <c r="B367" i="4"/>
  <c r="H357" i="4"/>
  <c r="I355" i="4"/>
  <c r="D366" i="4"/>
  <c r="D362" i="4"/>
  <c r="I352" i="4"/>
  <c r="J350" i="4"/>
  <c r="J28" i="92" s="1"/>
  <c r="G362" i="4"/>
  <c r="E366" i="4"/>
  <c r="E362" i="4"/>
  <c r="I29" i="92" l="1"/>
  <c r="I356" i="16"/>
  <c r="I362" i="64"/>
  <c r="J351" i="16"/>
  <c r="J357" i="64"/>
  <c r="I361" i="16"/>
  <c r="I367" i="64"/>
  <c r="H371" i="16"/>
  <c r="H372" i="64"/>
  <c r="I366" i="16"/>
  <c r="I377" i="64"/>
  <c r="D371" i="4"/>
  <c r="D372" i="4" s="1"/>
  <c r="D367" i="4"/>
  <c r="J352" i="4"/>
  <c r="K350" i="4"/>
  <c r="K28" i="92" s="1"/>
  <c r="I357" i="4"/>
  <c r="J355" i="4"/>
  <c r="H367" i="4"/>
  <c r="E371" i="4"/>
  <c r="E372" i="4" s="1"/>
  <c r="E367" i="4"/>
  <c r="C371" i="4"/>
  <c r="C372" i="4" s="1"/>
  <c r="C367" i="4"/>
  <c r="I372" i="4"/>
  <c r="J370" i="4"/>
  <c r="J30" i="92" s="1"/>
  <c r="I362" i="4"/>
  <c r="A23" i="53"/>
  <c r="A38" i="53" s="1"/>
  <c r="A52" i="53" s="1"/>
  <c r="A66" i="53" s="1"/>
  <c r="A79" i="53" s="1"/>
  <c r="A91" i="53" s="1"/>
  <c r="M83" i="53"/>
  <c r="M89" i="53" s="1"/>
  <c r="N296" i="48" s="1"/>
  <c r="L83" i="53"/>
  <c r="L89" i="53" s="1"/>
  <c r="M296" i="48" s="1"/>
  <c r="K83" i="53"/>
  <c r="K89" i="53" s="1"/>
  <c r="L296" i="48" s="1"/>
  <c r="J83" i="53"/>
  <c r="J89" i="53" s="1"/>
  <c r="K296" i="48" s="1"/>
  <c r="I83" i="53"/>
  <c r="I89" i="53" s="1"/>
  <c r="J296" i="48" s="1"/>
  <c r="H83" i="53"/>
  <c r="H89" i="53" s="1"/>
  <c r="I296" i="48" s="1"/>
  <c r="G83" i="53"/>
  <c r="G89" i="53" s="1"/>
  <c r="H296" i="48" s="1"/>
  <c r="F83" i="53"/>
  <c r="F89" i="53" s="1"/>
  <c r="G296" i="48" s="1"/>
  <c r="E83" i="53"/>
  <c r="E89" i="53" s="1"/>
  <c r="F296" i="48" s="1"/>
  <c r="D83" i="53"/>
  <c r="D89" i="53" s="1"/>
  <c r="E296" i="48" s="1"/>
  <c r="C83" i="53"/>
  <c r="C89" i="53" s="1"/>
  <c r="D296" i="48" s="1"/>
  <c r="B83" i="53"/>
  <c r="N82" i="53"/>
  <c r="N81" i="53"/>
  <c r="M70" i="53"/>
  <c r="M77" i="53" s="1"/>
  <c r="N244" i="48" s="1"/>
  <c r="L70" i="53"/>
  <c r="L77" i="53" s="1"/>
  <c r="M244" i="48" s="1"/>
  <c r="K70" i="53"/>
  <c r="K77" i="53" s="1"/>
  <c r="L244" i="48" s="1"/>
  <c r="J70" i="53"/>
  <c r="J77" i="53" s="1"/>
  <c r="K244" i="48" s="1"/>
  <c r="I70" i="53"/>
  <c r="I77" i="53" s="1"/>
  <c r="J244" i="48" s="1"/>
  <c r="H70" i="53"/>
  <c r="H77" i="53" s="1"/>
  <c r="I244" i="48" s="1"/>
  <c r="G70" i="53"/>
  <c r="G77" i="53" s="1"/>
  <c r="H244" i="48" s="1"/>
  <c r="F70" i="53"/>
  <c r="F77" i="53" s="1"/>
  <c r="G244" i="48" s="1"/>
  <c r="E70" i="53"/>
  <c r="E77" i="53" s="1"/>
  <c r="F244" i="48" s="1"/>
  <c r="D70" i="53"/>
  <c r="D77" i="53" s="1"/>
  <c r="E244" i="48" s="1"/>
  <c r="C70" i="53"/>
  <c r="C77" i="53" s="1"/>
  <c r="D244" i="48" s="1"/>
  <c r="B70" i="53"/>
  <c r="N69" i="53"/>
  <c r="N68" i="53"/>
  <c r="M56" i="53"/>
  <c r="M63" i="53" s="1"/>
  <c r="N192" i="48" s="1"/>
  <c r="L56" i="53"/>
  <c r="L63" i="53" s="1"/>
  <c r="M192" i="48" s="1"/>
  <c r="K56" i="53"/>
  <c r="K63" i="53" s="1"/>
  <c r="L192" i="48" s="1"/>
  <c r="J56" i="53"/>
  <c r="J63" i="53" s="1"/>
  <c r="K192" i="48" s="1"/>
  <c r="I56" i="53"/>
  <c r="I63" i="53" s="1"/>
  <c r="J192" i="48" s="1"/>
  <c r="H56" i="53"/>
  <c r="H63" i="53" s="1"/>
  <c r="I192" i="48" s="1"/>
  <c r="G56" i="53"/>
  <c r="G63" i="53" s="1"/>
  <c r="H192" i="48" s="1"/>
  <c r="F56" i="53"/>
  <c r="F63" i="53" s="1"/>
  <c r="G192" i="48" s="1"/>
  <c r="E56" i="53"/>
  <c r="E63" i="53" s="1"/>
  <c r="F192" i="48" s="1"/>
  <c r="D56" i="53"/>
  <c r="D63" i="53" s="1"/>
  <c r="E192" i="48" s="1"/>
  <c r="C56" i="53"/>
  <c r="C63" i="53" s="1"/>
  <c r="D192" i="48" s="1"/>
  <c r="B56" i="53"/>
  <c r="N55" i="53"/>
  <c r="N54" i="53"/>
  <c r="N45" i="53"/>
  <c r="M42" i="53"/>
  <c r="M49" i="53" s="1"/>
  <c r="N141" i="48" s="1"/>
  <c r="L42" i="53"/>
  <c r="L49" i="53" s="1"/>
  <c r="M141" i="48" s="1"/>
  <c r="K42" i="53"/>
  <c r="K49" i="53" s="1"/>
  <c r="L141" i="48" s="1"/>
  <c r="J42" i="53"/>
  <c r="J49" i="53" s="1"/>
  <c r="K141" i="48" s="1"/>
  <c r="I42" i="53"/>
  <c r="I49" i="53" s="1"/>
  <c r="J141" i="48" s="1"/>
  <c r="H42" i="53"/>
  <c r="H49" i="53" s="1"/>
  <c r="I141" i="48" s="1"/>
  <c r="G42" i="53"/>
  <c r="G49" i="53" s="1"/>
  <c r="H141" i="48" s="1"/>
  <c r="F42" i="53"/>
  <c r="F49" i="53" s="1"/>
  <c r="G141" i="48" s="1"/>
  <c r="E42" i="53"/>
  <c r="E49" i="53" s="1"/>
  <c r="F141" i="48" s="1"/>
  <c r="D42" i="53"/>
  <c r="D49" i="53" s="1"/>
  <c r="E141" i="48" s="1"/>
  <c r="C42" i="53"/>
  <c r="C49" i="53" s="1"/>
  <c r="D141" i="48" s="1"/>
  <c r="B42" i="53"/>
  <c r="N41" i="53"/>
  <c r="N40" i="53"/>
  <c r="M28" i="53"/>
  <c r="M35" i="53" s="1"/>
  <c r="N95" i="48" s="1"/>
  <c r="L28" i="53"/>
  <c r="L35" i="53" s="1"/>
  <c r="M95" i="48" s="1"/>
  <c r="K28" i="53"/>
  <c r="K35" i="53" s="1"/>
  <c r="L95" i="48" s="1"/>
  <c r="J28" i="53"/>
  <c r="J35" i="53" s="1"/>
  <c r="K95" i="48" s="1"/>
  <c r="I28" i="53"/>
  <c r="I35" i="53" s="1"/>
  <c r="J95" i="48" s="1"/>
  <c r="H28" i="53"/>
  <c r="H35" i="53" s="1"/>
  <c r="I95" i="48" s="1"/>
  <c r="G28" i="53"/>
  <c r="G35" i="53" s="1"/>
  <c r="H95" i="48" s="1"/>
  <c r="F28" i="53"/>
  <c r="F35" i="53" s="1"/>
  <c r="G95" i="48" s="1"/>
  <c r="E28" i="53"/>
  <c r="E35" i="53" s="1"/>
  <c r="F95" i="48" s="1"/>
  <c r="D28" i="53"/>
  <c r="D35" i="53" s="1"/>
  <c r="E95" i="48" s="1"/>
  <c r="C28" i="53"/>
  <c r="C35" i="53" s="1"/>
  <c r="D95" i="48" s="1"/>
  <c r="B28" i="53"/>
  <c r="N25" i="53"/>
  <c r="J29" i="92" l="1"/>
  <c r="J356" i="16"/>
  <c r="J362" i="64"/>
  <c r="I371" i="16"/>
  <c r="I372" i="64"/>
  <c r="J361" i="16"/>
  <c r="J367" i="64"/>
  <c r="J377" i="64"/>
  <c r="J366" i="16"/>
  <c r="K357" i="64"/>
  <c r="K351" i="16"/>
  <c r="J362" i="4"/>
  <c r="K370" i="4"/>
  <c r="K30" i="92" s="1"/>
  <c r="J372" i="4"/>
  <c r="J357" i="4"/>
  <c r="K355" i="4"/>
  <c r="I367" i="4"/>
  <c r="K352" i="4"/>
  <c r="L350" i="4"/>
  <c r="L28" i="92" s="1"/>
  <c r="N83" i="53"/>
  <c r="N89" i="53" s="1"/>
  <c r="B89" i="53"/>
  <c r="C296" i="48" s="1"/>
  <c r="N28" i="53"/>
  <c r="N35" i="53" s="1"/>
  <c r="B35" i="53"/>
  <c r="C95" i="48" s="1"/>
  <c r="B77" i="53"/>
  <c r="C244" i="48" s="1"/>
  <c r="N70" i="53"/>
  <c r="N77" i="53" s="1"/>
  <c r="N42" i="53"/>
  <c r="N49" i="53" s="1"/>
  <c r="B49" i="53"/>
  <c r="C141" i="48" s="1"/>
  <c r="N56" i="53"/>
  <c r="N63" i="53" s="1"/>
  <c r="B63" i="53"/>
  <c r="C192" i="48" s="1"/>
  <c r="K29" i="92" l="1"/>
  <c r="K356" i="16"/>
  <c r="K362" i="64"/>
  <c r="K366" i="16"/>
  <c r="K377" i="64"/>
  <c r="J372" i="64"/>
  <c r="J371" i="16"/>
  <c r="L357" i="64"/>
  <c r="L351" i="16"/>
  <c r="K361" i="16"/>
  <c r="K367" i="64"/>
  <c r="J367" i="4"/>
  <c r="K357" i="4"/>
  <c r="L355" i="4"/>
  <c r="K362" i="4"/>
  <c r="L352" i="4"/>
  <c r="M350" i="4"/>
  <c r="M28" i="92" s="1"/>
  <c r="K372" i="4"/>
  <c r="L370" i="4"/>
  <c r="L30" i="92" s="1"/>
  <c r="L29" i="92" l="1"/>
  <c r="L356" i="16"/>
  <c r="L362" i="64"/>
  <c r="O28" i="92"/>
  <c r="N28" i="92"/>
  <c r="L361" i="16"/>
  <c r="L367" i="64"/>
  <c r="K371" i="16"/>
  <c r="K372" i="64"/>
  <c r="L366" i="16"/>
  <c r="L377" i="64"/>
  <c r="M351" i="16"/>
  <c r="N351" i="16" s="1"/>
  <c r="M357" i="64"/>
  <c r="L372" i="4"/>
  <c r="M370" i="4"/>
  <c r="M30" i="92" s="1"/>
  <c r="K367" i="4"/>
  <c r="L362" i="4"/>
  <c r="L357" i="4"/>
  <c r="M355" i="4"/>
  <c r="M352" i="4"/>
  <c r="N350" i="4"/>
  <c r="M29" i="92" l="1"/>
  <c r="M356" i="16"/>
  <c r="N356" i="16" s="1"/>
  <c r="M362" i="64"/>
  <c r="N362" i="64" s="1"/>
  <c r="O30" i="92"/>
  <c r="N30" i="92"/>
  <c r="M362" i="4"/>
  <c r="N362" i="4" s="1"/>
  <c r="M361" i="16"/>
  <c r="N361" i="16" s="1"/>
  <c r="M367" i="64"/>
  <c r="N367" i="64" s="1"/>
  <c r="M366" i="16"/>
  <c r="N366" i="16" s="1"/>
  <c r="M377" i="64"/>
  <c r="N377" i="64" s="1"/>
  <c r="L371" i="16"/>
  <c r="L372" i="64"/>
  <c r="N357" i="64"/>
  <c r="N352" i="4"/>
  <c r="M372" i="4"/>
  <c r="N372" i="4" s="1"/>
  <c r="N370" i="4"/>
  <c r="M357" i="4"/>
  <c r="N357" i="4" s="1"/>
  <c r="N355" i="4"/>
  <c r="N360" i="4"/>
  <c r="L367" i="4"/>
  <c r="O29" i="92" l="1"/>
  <c r="N29" i="92"/>
  <c r="M371" i="16"/>
  <c r="N371" i="16" s="1"/>
  <c r="M372" i="64"/>
  <c r="M367" i="4"/>
  <c r="N365" i="4"/>
  <c r="N372" i="64" l="1"/>
  <c r="N367" i="4"/>
  <c r="N302" i="48"/>
  <c r="M302" i="48"/>
  <c r="L302" i="48"/>
  <c r="K302" i="48"/>
  <c r="J302" i="48"/>
  <c r="I302" i="48"/>
  <c r="H302" i="48"/>
  <c r="G302" i="48"/>
  <c r="F302" i="48"/>
  <c r="E302" i="48"/>
  <c r="D302" i="48"/>
  <c r="C302" i="48"/>
  <c r="N301" i="48"/>
  <c r="M301" i="48"/>
  <c r="L301" i="48"/>
  <c r="K301" i="48"/>
  <c r="J301" i="48"/>
  <c r="I301" i="48"/>
  <c r="H301" i="48"/>
  <c r="G301" i="48"/>
  <c r="F301" i="48"/>
  <c r="E301" i="48"/>
  <c r="D301" i="48"/>
  <c r="C301" i="48"/>
  <c r="O297" i="48" l="1"/>
  <c r="O299" i="48"/>
  <c r="O308" i="48"/>
  <c r="B178" i="75" s="1"/>
  <c r="D178" i="75" s="1"/>
  <c r="E178" i="75" s="1"/>
  <c r="O325" i="48"/>
  <c r="O301" i="48"/>
  <c r="O302" i="48"/>
  <c r="O296" i="48"/>
  <c r="B171" i="75" s="1"/>
  <c r="D171" i="75" s="1"/>
  <c r="E171" i="75" s="1"/>
  <c r="N15" i="53"/>
  <c r="C12" i="53"/>
  <c r="C19" i="53" s="1"/>
  <c r="D12" i="53"/>
  <c r="D19" i="53" s="1"/>
  <c r="E12" i="53"/>
  <c r="E19" i="53" s="1"/>
  <c r="F12" i="53"/>
  <c r="F19" i="53" s="1"/>
  <c r="G12" i="53"/>
  <c r="G19" i="53" s="1"/>
  <c r="H12" i="53"/>
  <c r="H19" i="53" s="1"/>
  <c r="I12" i="53"/>
  <c r="I19" i="53" s="1"/>
  <c r="J12" i="53"/>
  <c r="J19" i="53" s="1"/>
  <c r="K12" i="53"/>
  <c r="K19" i="53" s="1"/>
  <c r="L12" i="53"/>
  <c r="L19" i="53" s="1"/>
  <c r="M12" i="53"/>
  <c r="M19" i="53" s="1"/>
  <c r="B12" i="53"/>
  <c r="B19" i="53" s="1"/>
  <c r="E134" i="18"/>
  <c r="I134" i="18"/>
  <c r="M134" i="18"/>
  <c r="C147" i="18"/>
  <c r="D147" i="18" s="1"/>
  <c r="E147" i="18" s="1"/>
  <c r="F147" i="18" s="1"/>
  <c r="G147" i="18" s="1"/>
  <c r="H147" i="18" s="1"/>
  <c r="I147" i="18" s="1"/>
  <c r="J147" i="18" s="1"/>
  <c r="K147" i="18" s="1"/>
  <c r="L147" i="18" s="1"/>
  <c r="M147" i="18" s="1"/>
  <c r="A146" i="18"/>
  <c r="A141" i="18"/>
  <c r="N132" i="18"/>
  <c r="C134" i="18"/>
  <c r="C17" i="92" s="1"/>
  <c r="D134" i="18"/>
  <c r="D17" i="92" s="1"/>
  <c r="F134" i="18"/>
  <c r="F17" i="92" s="1"/>
  <c r="G134" i="18"/>
  <c r="G17" i="92" s="1"/>
  <c r="H134" i="18"/>
  <c r="H17" i="92" s="1"/>
  <c r="J134" i="18"/>
  <c r="J17" i="92" s="1"/>
  <c r="K134" i="18"/>
  <c r="K17" i="92" s="1"/>
  <c r="L134" i="18"/>
  <c r="L17" i="92" s="1"/>
  <c r="I86" i="24" l="1"/>
  <c r="I17" i="92"/>
  <c r="I23" i="92" s="1"/>
  <c r="E133" i="18"/>
  <c r="E136" i="18" s="1"/>
  <c r="E17" i="92"/>
  <c r="M86" i="24"/>
  <c r="M17" i="92"/>
  <c r="B174" i="75"/>
  <c r="D174" i="75" s="1"/>
  <c r="M133" i="18"/>
  <c r="M136" i="18" s="1"/>
  <c r="M135" i="18" s="1"/>
  <c r="K86" i="24"/>
  <c r="K133" i="18"/>
  <c r="K136" i="18" s="1"/>
  <c r="K138" i="18" s="1"/>
  <c r="L292" i="48" s="1"/>
  <c r="G86" i="24"/>
  <c r="G133" i="18"/>
  <c r="G136" i="18" s="1"/>
  <c r="G138" i="18" s="1"/>
  <c r="H292" i="48" s="1"/>
  <c r="C133" i="18"/>
  <c r="C136" i="18" s="1"/>
  <c r="C146" i="18" s="1"/>
  <c r="C148" i="18" s="1"/>
  <c r="D294" i="48" s="1"/>
  <c r="C86" i="24"/>
  <c r="L133" i="18"/>
  <c r="L136" i="18" s="1"/>
  <c r="L138" i="18" s="1"/>
  <c r="M292" i="48" s="1"/>
  <c r="L86" i="24"/>
  <c r="H133" i="18"/>
  <c r="H136" i="18" s="1"/>
  <c r="H135" i="18" s="1"/>
  <c r="H86" i="24"/>
  <c r="D133" i="18"/>
  <c r="D136" i="18" s="1"/>
  <c r="D138" i="18" s="1"/>
  <c r="E292" i="48" s="1"/>
  <c r="D86" i="24"/>
  <c r="J133" i="18"/>
  <c r="J136" i="18" s="1"/>
  <c r="J146" i="18" s="1"/>
  <c r="J148" i="18" s="1"/>
  <c r="K294" i="48" s="1"/>
  <c r="J86" i="24"/>
  <c r="F133" i="18"/>
  <c r="F136" i="18" s="1"/>
  <c r="F141" i="18" s="1"/>
  <c r="F86" i="24"/>
  <c r="I133" i="18"/>
  <c r="I136" i="18" s="1"/>
  <c r="I135" i="18" s="1"/>
  <c r="B134" i="18"/>
  <c r="E86" i="24"/>
  <c r="N12" i="53"/>
  <c r="E138" i="18"/>
  <c r="F292" i="48" s="1"/>
  <c r="E141" i="18"/>
  <c r="E146" i="18"/>
  <c r="E148" i="18" s="1"/>
  <c r="F294" i="48" s="1"/>
  <c r="E135" i="18"/>
  <c r="N134" i="18" l="1"/>
  <c r="B17" i="92"/>
  <c r="H138" i="18"/>
  <c r="I292" i="48" s="1"/>
  <c r="H146" i="18"/>
  <c r="H148" i="18" s="1"/>
  <c r="I294" i="48" s="1"/>
  <c r="C141" i="18"/>
  <c r="C138" i="18"/>
  <c r="G141" i="18"/>
  <c r="M141" i="18"/>
  <c r="M138" i="18"/>
  <c r="N292" i="48" s="1"/>
  <c r="M146" i="18"/>
  <c r="M148" i="18" s="1"/>
  <c r="N294" i="48" s="1"/>
  <c r="G146" i="18"/>
  <c r="G148" i="18" s="1"/>
  <c r="H294" i="48" s="1"/>
  <c r="F138" i="18"/>
  <c r="G292" i="48" s="1"/>
  <c r="C135" i="18"/>
  <c r="H141" i="18"/>
  <c r="I146" i="18"/>
  <c r="I148" i="18" s="1"/>
  <c r="J294" i="48" s="1"/>
  <c r="L141" i="18"/>
  <c r="K135" i="18"/>
  <c r="D135" i="18"/>
  <c r="K146" i="18"/>
  <c r="K148" i="18" s="1"/>
  <c r="L294" i="48" s="1"/>
  <c r="J138" i="18"/>
  <c r="K292" i="48" s="1"/>
  <c r="G135" i="18"/>
  <c r="F146" i="18"/>
  <c r="F148" i="18" s="1"/>
  <c r="G294" i="48" s="1"/>
  <c r="I138" i="18"/>
  <c r="J292" i="48" s="1"/>
  <c r="F135" i="18"/>
  <c r="D141" i="18"/>
  <c r="L146" i="18"/>
  <c r="L148" i="18" s="1"/>
  <c r="M294" i="48" s="1"/>
  <c r="D146" i="18"/>
  <c r="D148" i="18" s="1"/>
  <c r="E294" i="48" s="1"/>
  <c r="K141" i="18"/>
  <c r="J135" i="18"/>
  <c r="L135" i="18"/>
  <c r="J141" i="18"/>
  <c r="I141" i="18"/>
  <c r="B86" i="24"/>
  <c r="B133" i="18"/>
  <c r="N133" i="18" s="1"/>
  <c r="O17" i="92" l="1"/>
  <c r="N17" i="92"/>
  <c r="B23" i="92"/>
  <c r="D292" i="48"/>
  <c r="N86" i="24"/>
  <c r="B136" i="18"/>
  <c r="B138" i="18" s="1"/>
  <c r="B66" i="75"/>
  <c r="B98" i="75" s="1"/>
  <c r="B130" i="75" s="1"/>
  <c r="B162" i="75" s="1"/>
  <c r="B193" i="75" s="1"/>
  <c r="C33" i="48"/>
  <c r="H91" i="61"/>
  <c r="H92" i="61" s="1"/>
  <c r="H93" i="61" s="1"/>
  <c r="F85" i="61"/>
  <c r="F86" i="61" s="1"/>
  <c r="M74" i="61"/>
  <c r="M75" i="61" s="1"/>
  <c r="L60" i="61"/>
  <c r="L61" i="61" s="1"/>
  <c r="K60" i="61"/>
  <c r="K61" i="61" s="1"/>
  <c r="I67" i="61"/>
  <c r="I68" i="61" s="1"/>
  <c r="H74" i="61"/>
  <c r="G67" i="61"/>
  <c r="G68" i="61" s="1"/>
  <c r="D60" i="61"/>
  <c r="D61" i="61" s="1"/>
  <c r="C60" i="61"/>
  <c r="C61" i="61" s="1"/>
  <c r="M48" i="61"/>
  <c r="M49" i="61" s="1"/>
  <c r="M50" i="61" s="1"/>
  <c r="L41" i="61"/>
  <c r="L42" i="61" s="1"/>
  <c r="L43" i="61" s="1"/>
  <c r="J48" i="61"/>
  <c r="J49" i="61" s="1"/>
  <c r="J50" i="61" s="1"/>
  <c r="I41" i="61"/>
  <c r="I42" i="61" s="1"/>
  <c r="I43" i="61" s="1"/>
  <c r="H35" i="61"/>
  <c r="H36" i="61" s="1"/>
  <c r="V34" i="61" s="1"/>
  <c r="F41" i="61"/>
  <c r="F42" i="61" s="1"/>
  <c r="F43" i="61" s="1"/>
  <c r="E48" i="61"/>
  <c r="E49" i="61" s="1"/>
  <c r="E50" i="61" s="1"/>
  <c r="B48" i="61"/>
  <c r="B49" i="61" s="1"/>
  <c r="B50" i="61" s="1"/>
  <c r="L10" i="61"/>
  <c r="L17" i="61" s="1"/>
  <c r="J10" i="61"/>
  <c r="J17" i="61" s="1"/>
  <c r="I10" i="61"/>
  <c r="I17" i="61" s="1"/>
  <c r="F16" i="61"/>
  <c r="E10" i="61"/>
  <c r="E17" i="61" s="1"/>
  <c r="B16" i="61"/>
  <c r="B23" i="61" s="1"/>
  <c r="C271" i="4"/>
  <c r="C276" i="4" s="1"/>
  <c r="D271" i="4"/>
  <c r="E271" i="4"/>
  <c r="F271" i="4"/>
  <c r="F276" i="4" s="1"/>
  <c r="F281" i="4" s="1"/>
  <c r="F286" i="4" s="1"/>
  <c r="G271" i="4"/>
  <c r="G276" i="4" s="1"/>
  <c r="H271" i="4"/>
  <c r="H276" i="4" s="1"/>
  <c r="H281" i="4" s="1"/>
  <c r="H286" i="4" s="1"/>
  <c r="I271" i="4"/>
  <c r="I276" i="4" s="1"/>
  <c r="J271" i="4"/>
  <c r="J276" i="4" s="1"/>
  <c r="K271" i="4"/>
  <c r="K276" i="4" s="1"/>
  <c r="L271" i="4"/>
  <c r="L276" i="4" s="1"/>
  <c r="L281" i="4" s="1"/>
  <c r="L282" i="4" s="1"/>
  <c r="M271" i="4"/>
  <c r="M276" i="4" s="1"/>
  <c r="M281" i="4" s="1"/>
  <c r="M286" i="4" s="1"/>
  <c r="M291" i="4" s="1"/>
  <c r="B271" i="4"/>
  <c r="B276" i="4" s="1"/>
  <c r="B281" i="4" s="1"/>
  <c r="B282" i="4" s="1"/>
  <c r="H211" i="4"/>
  <c r="H216" i="4" s="1"/>
  <c r="H221" i="4" s="1"/>
  <c r="D142" i="4"/>
  <c r="D147" i="4" s="1"/>
  <c r="L142" i="4"/>
  <c r="L12" i="4"/>
  <c r="L17" i="4" s="1"/>
  <c r="L18" i="4" s="1"/>
  <c r="C73" i="4"/>
  <c r="C78" i="4" s="1"/>
  <c r="D73" i="4"/>
  <c r="D78" i="4" s="1"/>
  <c r="E73" i="4"/>
  <c r="E78" i="4" s="1"/>
  <c r="F73" i="4"/>
  <c r="G73" i="4"/>
  <c r="G78" i="4" s="1"/>
  <c r="H73" i="4"/>
  <c r="H78" i="4" s="1"/>
  <c r="I73" i="4"/>
  <c r="I78" i="4" s="1"/>
  <c r="J73" i="4"/>
  <c r="J78" i="4" s="1"/>
  <c r="K73" i="4"/>
  <c r="K78" i="4" s="1"/>
  <c r="L73" i="4"/>
  <c r="M73" i="4"/>
  <c r="M78" i="4" s="1"/>
  <c r="B73" i="4"/>
  <c r="C8" i="67"/>
  <c r="C12" i="4" s="1"/>
  <c r="C17" i="4" s="1"/>
  <c r="C18" i="4" s="1"/>
  <c r="D8" i="67"/>
  <c r="D12" i="4" s="1"/>
  <c r="D17" i="4" s="1"/>
  <c r="E8" i="67"/>
  <c r="E12" i="4" s="1"/>
  <c r="E17" i="4" s="1"/>
  <c r="E22" i="4" s="1"/>
  <c r="E27" i="4" s="1"/>
  <c r="E32" i="4" s="1"/>
  <c r="F8" i="67"/>
  <c r="G8" i="67"/>
  <c r="G12" i="4" s="1"/>
  <c r="G17" i="4" s="1"/>
  <c r="G22" i="4" s="1"/>
  <c r="H8" i="67"/>
  <c r="I8" i="67"/>
  <c r="I12" i="4" s="1"/>
  <c r="I17" i="4" s="1"/>
  <c r="I18" i="4" s="1"/>
  <c r="J8" i="67"/>
  <c r="K8" i="67"/>
  <c r="K12" i="4" s="1"/>
  <c r="K17" i="4" s="1"/>
  <c r="L8" i="67"/>
  <c r="M8" i="67"/>
  <c r="M12" i="4" s="1"/>
  <c r="M17" i="4" s="1"/>
  <c r="M18" i="4" s="1"/>
  <c r="B8" i="67"/>
  <c r="C84" i="49"/>
  <c r="D84" i="49"/>
  <c r="E84" i="49"/>
  <c r="F84" i="49"/>
  <c r="G84" i="49"/>
  <c r="H84" i="49"/>
  <c r="I84" i="49"/>
  <c r="J84" i="49"/>
  <c r="K84" i="49"/>
  <c r="L84" i="49"/>
  <c r="M84" i="49"/>
  <c r="B84" i="49"/>
  <c r="C84" i="70"/>
  <c r="D84" i="70"/>
  <c r="E84" i="70"/>
  <c r="F84" i="70"/>
  <c r="G84" i="70"/>
  <c r="H84" i="70"/>
  <c r="I84" i="70"/>
  <c r="J84" i="70"/>
  <c r="K84" i="70"/>
  <c r="L84" i="70"/>
  <c r="M84" i="70"/>
  <c r="B84" i="70"/>
  <c r="C114" i="14"/>
  <c r="D114" i="14"/>
  <c r="E114" i="14"/>
  <c r="F114" i="14"/>
  <c r="G114" i="14"/>
  <c r="H114" i="14"/>
  <c r="I114" i="14"/>
  <c r="J114" i="14"/>
  <c r="K114" i="14"/>
  <c r="L114" i="14"/>
  <c r="M114" i="14"/>
  <c r="B114" i="14"/>
  <c r="C112" i="18"/>
  <c r="D112" i="18"/>
  <c r="E112" i="18"/>
  <c r="F112" i="18"/>
  <c r="G112" i="18"/>
  <c r="H112" i="18"/>
  <c r="I112" i="18"/>
  <c r="J112" i="18"/>
  <c r="K112" i="18"/>
  <c r="L112" i="18"/>
  <c r="M112" i="18"/>
  <c r="B112" i="18"/>
  <c r="C211" i="4"/>
  <c r="C88" i="18"/>
  <c r="D211" i="4"/>
  <c r="D216" i="4" s="1"/>
  <c r="D217" i="4" s="1"/>
  <c r="D67" i="49"/>
  <c r="E211" i="4"/>
  <c r="E216" i="4" s="1"/>
  <c r="E221" i="4" s="1"/>
  <c r="E226" i="4" s="1"/>
  <c r="E67" i="49"/>
  <c r="F211" i="4"/>
  <c r="F216" i="4" s="1"/>
  <c r="F67" i="49"/>
  <c r="G211" i="4"/>
  <c r="G216" i="4" s="1"/>
  <c r="G88" i="18"/>
  <c r="H67" i="49"/>
  <c r="I211" i="4"/>
  <c r="I67" i="49"/>
  <c r="J211" i="4"/>
  <c r="J216" i="4" s="1"/>
  <c r="J67" i="49"/>
  <c r="K211" i="4"/>
  <c r="K216" i="4" s="1"/>
  <c r="K88" i="18"/>
  <c r="L211" i="4"/>
  <c r="L67" i="49"/>
  <c r="M211" i="4"/>
  <c r="M216" i="4" s="1"/>
  <c r="M67" i="49"/>
  <c r="D88" i="18"/>
  <c r="L88" i="18"/>
  <c r="B211" i="4"/>
  <c r="B67" i="49"/>
  <c r="C142" i="4"/>
  <c r="C147" i="4" s="1"/>
  <c r="C64" i="18"/>
  <c r="D50" i="49"/>
  <c r="E142" i="4"/>
  <c r="E147" i="4" s="1"/>
  <c r="E50" i="49"/>
  <c r="F142" i="4"/>
  <c r="F50" i="49"/>
  <c r="G142" i="4"/>
  <c r="G147" i="4" s="1"/>
  <c r="G64" i="18"/>
  <c r="H142" i="4"/>
  <c r="H50" i="49"/>
  <c r="I142" i="4"/>
  <c r="I50" i="49"/>
  <c r="J142" i="4"/>
  <c r="J147" i="4" s="1"/>
  <c r="J50" i="49"/>
  <c r="K142" i="4"/>
  <c r="K147" i="4" s="1"/>
  <c r="K148" i="4" s="1"/>
  <c r="K64" i="18"/>
  <c r="L50" i="49"/>
  <c r="M142" i="4"/>
  <c r="M147" i="4" s="1"/>
  <c r="M50" i="49"/>
  <c r="B142" i="4"/>
  <c r="B147" i="4" s="1"/>
  <c r="B50" i="49"/>
  <c r="C279" i="48"/>
  <c r="C10" i="69"/>
  <c r="D10" i="69"/>
  <c r="E10" i="69"/>
  <c r="F10" i="69"/>
  <c r="G10" i="69"/>
  <c r="H10" i="69"/>
  <c r="I10" i="69"/>
  <c r="J10" i="69"/>
  <c r="K10" i="69"/>
  <c r="L10" i="69"/>
  <c r="M10" i="69"/>
  <c r="I223" i="48"/>
  <c r="D223" i="48"/>
  <c r="E172" i="48"/>
  <c r="G75" i="48"/>
  <c r="H223" i="48"/>
  <c r="C121" i="48"/>
  <c r="F120" i="48"/>
  <c r="C120" i="48"/>
  <c r="C81" i="70"/>
  <c r="D81" i="70"/>
  <c r="E81" i="70"/>
  <c r="F81" i="70"/>
  <c r="G81" i="70"/>
  <c r="H81" i="70"/>
  <c r="I81" i="70"/>
  <c r="J81" i="70"/>
  <c r="K81" i="70"/>
  <c r="L81" i="70"/>
  <c r="M81" i="70"/>
  <c r="B81" i="70"/>
  <c r="C64" i="70"/>
  <c r="D64" i="70"/>
  <c r="E64" i="70"/>
  <c r="F64" i="70"/>
  <c r="G64" i="70"/>
  <c r="H64" i="70"/>
  <c r="I64" i="70"/>
  <c r="J64" i="70"/>
  <c r="K64" i="70"/>
  <c r="L64" i="70"/>
  <c r="M64" i="70"/>
  <c r="B64" i="70"/>
  <c r="C47" i="70"/>
  <c r="D47" i="70"/>
  <c r="E47" i="70"/>
  <c r="F47" i="70"/>
  <c r="G47" i="70"/>
  <c r="H47" i="70"/>
  <c r="I47" i="70"/>
  <c r="J47" i="70"/>
  <c r="K47" i="70"/>
  <c r="L47" i="70"/>
  <c r="M47" i="70"/>
  <c r="B47" i="70"/>
  <c r="C30" i="70"/>
  <c r="D30" i="70"/>
  <c r="E30" i="70"/>
  <c r="F30" i="70"/>
  <c r="G30" i="70"/>
  <c r="H30" i="70"/>
  <c r="I30" i="70"/>
  <c r="J30" i="70"/>
  <c r="K30" i="70"/>
  <c r="L30" i="70"/>
  <c r="M30" i="70"/>
  <c r="B30" i="70"/>
  <c r="C13" i="70"/>
  <c r="C20" i="70" s="1"/>
  <c r="C21" i="70" s="1"/>
  <c r="C22" i="70" s="1"/>
  <c r="D13" i="70"/>
  <c r="D20" i="70" s="1"/>
  <c r="D21" i="70" s="1"/>
  <c r="D22" i="70" s="1"/>
  <c r="E13" i="70"/>
  <c r="E14" i="70" s="1"/>
  <c r="E15" i="70" s="1"/>
  <c r="F13" i="70"/>
  <c r="F14" i="70" s="1"/>
  <c r="F15" i="70" s="1"/>
  <c r="G13" i="70"/>
  <c r="G20" i="70" s="1"/>
  <c r="G21" i="70" s="1"/>
  <c r="G22" i="70" s="1"/>
  <c r="H13" i="70"/>
  <c r="H14" i="70" s="1"/>
  <c r="H15" i="70" s="1"/>
  <c r="I13" i="70"/>
  <c r="J13" i="70"/>
  <c r="J14" i="70" s="1"/>
  <c r="J15" i="70" s="1"/>
  <c r="K13" i="70"/>
  <c r="K20" i="70" s="1"/>
  <c r="L13" i="70"/>
  <c r="L20" i="70" s="1"/>
  <c r="M13" i="70"/>
  <c r="M20" i="70" s="1"/>
  <c r="M21" i="70" s="1"/>
  <c r="M22" i="70" s="1"/>
  <c r="B13" i="70"/>
  <c r="B14" i="70" s="1"/>
  <c r="D12" i="71"/>
  <c r="D13" i="71" s="1"/>
  <c r="D14" i="71" s="1"/>
  <c r="D15" i="71" s="1"/>
  <c r="D16" i="71" s="1"/>
  <c r="D17" i="71" s="1"/>
  <c r="Q12" i="71"/>
  <c r="Q13" i="71"/>
  <c r="Q14" i="71"/>
  <c r="Q15" i="71"/>
  <c r="D11" i="72"/>
  <c r="D12" i="72" s="1"/>
  <c r="D13" i="72" s="1"/>
  <c r="D14" i="72" s="1"/>
  <c r="A28" i="73"/>
  <c r="A45" i="73" s="1"/>
  <c r="A62" i="73" s="1"/>
  <c r="A79" i="73" s="1"/>
  <c r="C6" i="73"/>
  <c r="D6" i="73" s="1"/>
  <c r="E6" i="73" s="1"/>
  <c r="F6" i="73" s="1"/>
  <c r="G6" i="73" s="1"/>
  <c r="H6" i="73" s="1"/>
  <c r="I6" i="73" s="1"/>
  <c r="J6" i="73" s="1"/>
  <c r="K6" i="73" s="1"/>
  <c r="L6" i="73" s="1"/>
  <c r="M6" i="73" s="1"/>
  <c r="B4" i="73"/>
  <c r="B3" i="73"/>
  <c r="G65" i="48"/>
  <c r="M24" i="48"/>
  <c r="C35" i="11"/>
  <c r="C34" i="11"/>
  <c r="C37" i="11"/>
  <c r="B26" i="61" s="1"/>
  <c r="C26" i="61" s="1"/>
  <c r="D26" i="61" s="1"/>
  <c r="E26" i="61" s="1"/>
  <c r="F26" i="61" s="1"/>
  <c r="G26" i="61" s="1"/>
  <c r="H26" i="61" s="1"/>
  <c r="I26" i="61" s="1"/>
  <c r="J26" i="61" s="1"/>
  <c r="K26" i="61" s="1"/>
  <c r="L26" i="61" s="1"/>
  <c r="M26" i="61" s="1"/>
  <c r="C323" i="48"/>
  <c r="E14" i="49"/>
  <c r="J14" i="49"/>
  <c r="K16" i="18"/>
  <c r="I21" i="48"/>
  <c r="L21" i="48"/>
  <c r="M21" i="48"/>
  <c r="M81" i="49"/>
  <c r="J81" i="49"/>
  <c r="D81" i="49"/>
  <c r="E7" i="68"/>
  <c r="F7" i="68" s="1"/>
  <c r="G7" i="68" s="1"/>
  <c r="H7" i="68" s="1"/>
  <c r="I7" i="68" s="1"/>
  <c r="J7" i="68" s="1"/>
  <c r="E30" i="49"/>
  <c r="B277" i="64"/>
  <c r="B276" i="16" s="1"/>
  <c r="C277" i="64"/>
  <c r="C276" i="16" s="1"/>
  <c r="D277" i="64"/>
  <c r="D276" i="16" s="1"/>
  <c r="E277" i="64"/>
  <c r="E276" i="16" s="1"/>
  <c r="F277" i="64"/>
  <c r="F276" i="16" s="1"/>
  <c r="G277" i="64"/>
  <c r="G276" i="16" s="1"/>
  <c r="H277" i="64"/>
  <c r="H276" i="16" s="1"/>
  <c r="I277" i="64"/>
  <c r="I276" i="16" s="1"/>
  <c r="J277" i="64"/>
  <c r="J276" i="16" s="1"/>
  <c r="K277" i="64"/>
  <c r="K276" i="16" s="1"/>
  <c r="L277" i="64"/>
  <c r="L276" i="16" s="1"/>
  <c r="M277" i="64"/>
  <c r="M276" i="16" s="1"/>
  <c r="B282" i="64"/>
  <c r="B281" i="16" s="1"/>
  <c r="C282" i="64"/>
  <c r="C281" i="16" s="1"/>
  <c r="D282" i="64"/>
  <c r="D281" i="16" s="1"/>
  <c r="E282" i="64"/>
  <c r="E281" i="16" s="1"/>
  <c r="F282" i="64"/>
  <c r="F281" i="16" s="1"/>
  <c r="G282" i="64"/>
  <c r="G281" i="16" s="1"/>
  <c r="H282" i="64"/>
  <c r="H281" i="16" s="1"/>
  <c r="I282" i="64"/>
  <c r="I281" i="16" s="1"/>
  <c r="J282" i="64"/>
  <c r="J281" i="16" s="1"/>
  <c r="K282" i="64"/>
  <c r="K281" i="16" s="1"/>
  <c r="L282" i="64"/>
  <c r="L281" i="16" s="1"/>
  <c r="M282" i="64"/>
  <c r="M281" i="16" s="1"/>
  <c r="B287" i="64"/>
  <c r="B286" i="16" s="1"/>
  <c r="C287" i="64"/>
  <c r="C286" i="16" s="1"/>
  <c r="D287" i="64"/>
  <c r="D286" i="16" s="1"/>
  <c r="E287" i="64"/>
  <c r="E286" i="16" s="1"/>
  <c r="F287" i="64"/>
  <c r="F286" i="16" s="1"/>
  <c r="G287" i="64"/>
  <c r="G286" i="16" s="1"/>
  <c r="H287" i="64"/>
  <c r="H286" i="16" s="1"/>
  <c r="I287" i="64"/>
  <c r="I286" i="16" s="1"/>
  <c r="J287" i="64"/>
  <c r="J286" i="16" s="1"/>
  <c r="K287" i="64"/>
  <c r="K286" i="16" s="1"/>
  <c r="L287" i="64"/>
  <c r="L286" i="16" s="1"/>
  <c r="M287" i="64"/>
  <c r="M286" i="16" s="1"/>
  <c r="B292" i="64"/>
  <c r="B291" i="16" s="1"/>
  <c r="C292" i="64"/>
  <c r="C291" i="16" s="1"/>
  <c r="D292" i="64"/>
  <c r="D291" i="16" s="1"/>
  <c r="E292" i="64"/>
  <c r="E291" i="16" s="1"/>
  <c r="F292" i="64"/>
  <c r="F291" i="16" s="1"/>
  <c r="G292" i="64"/>
  <c r="G291" i="16" s="1"/>
  <c r="H292" i="64"/>
  <c r="H291" i="16" s="1"/>
  <c r="I292" i="64"/>
  <c r="I291" i="16" s="1"/>
  <c r="J292" i="64"/>
  <c r="J291" i="16" s="1"/>
  <c r="K292" i="64"/>
  <c r="K291" i="16" s="1"/>
  <c r="L292" i="64"/>
  <c r="L291" i="16" s="1"/>
  <c r="M292" i="64"/>
  <c r="M291" i="16" s="1"/>
  <c r="B297" i="64"/>
  <c r="B296" i="16" s="1"/>
  <c r="B302" i="64"/>
  <c r="B301" i="16" s="1"/>
  <c r="B307" i="64"/>
  <c r="B306" i="16" s="1"/>
  <c r="B317" i="64"/>
  <c r="B311" i="16" s="1"/>
  <c r="N322" i="64"/>
  <c r="B117" i="16"/>
  <c r="B112" i="16"/>
  <c r="B127" i="64" s="1"/>
  <c r="C55" i="16"/>
  <c r="D55" i="16" s="1"/>
  <c r="E55" i="16" s="1"/>
  <c r="F55" i="16" s="1"/>
  <c r="G55" i="16" s="1"/>
  <c r="C262" i="64"/>
  <c r="C261" i="16" s="1"/>
  <c r="D262" i="64"/>
  <c r="D261" i="16" s="1"/>
  <c r="E262" i="64"/>
  <c r="E261" i="16" s="1"/>
  <c r="F262" i="64"/>
  <c r="F261" i="16" s="1"/>
  <c r="G262" i="64"/>
  <c r="G261" i="16" s="1"/>
  <c r="H262" i="64"/>
  <c r="H261" i="16" s="1"/>
  <c r="I262" i="64"/>
  <c r="I261" i="16" s="1"/>
  <c r="J262" i="64"/>
  <c r="J261" i="16" s="1"/>
  <c r="K262" i="64"/>
  <c r="K261" i="16" s="1"/>
  <c r="L262" i="64"/>
  <c r="L261" i="16" s="1"/>
  <c r="M262" i="64"/>
  <c r="M261" i="16" s="1"/>
  <c r="B262" i="64"/>
  <c r="B257" i="64"/>
  <c r="B256" i="16" s="1"/>
  <c r="G252" i="64"/>
  <c r="G251" i="16" s="1"/>
  <c r="B252" i="64"/>
  <c r="B251" i="16" s="1"/>
  <c r="B247" i="64"/>
  <c r="B246" i="16" s="1"/>
  <c r="B237" i="64"/>
  <c r="B236" i="16" s="1"/>
  <c r="C232" i="64"/>
  <c r="C231" i="16" s="1"/>
  <c r="D232" i="64"/>
  <c r="D231" i="16" s="1"/>
  <c r="E232" i="64"/>
  <c r="E231" i="16" s="1"/>
  <c r="F232" i="64"/>
  <c r="F231" i="16" s="1"/>
  <c r="G232" i="64"/>
  <c r="G231" i="16" s="1"/>
  <c r="H232" i="64"/>
  <c r="H231" i="16" s="1"/>
  <c r="I232" i="64"/>
  <c r="I231" i="16" s="1"/>
  <c r="J232" i="64"/>
  <c r="J231" i="16" s="1"/>
  <c r="K232" i="64"/>
  <c r="K231" i="16" s="1"/>
  <c r="L232" i="64"/>
  <c r="L231" i="16" s="1"/>
  <c r="M232" i="64"/>
  <c r="M231" i="16" s="1"/>
  <c r="B232" i="64"/>
  <c r="B231" i="16" s="1"/>
  <c r="C227" i="64"/>
  <c r="C226" i="16" s="1"/>
  <c r="D227" i="64"/>
  <c r="D226" i="16" s="1"/>
  <c r="E227" i="64"/>
  <c r="E226" i="16" s="1"/>
  <c r="F227" i="64"/>
  <c r="G227" i="64"/>
  <c r="G226" i="16" s="1"/>
  <c r="H227" i="64"/>
  <c r="H226" i="16" s="1"/>
  <c r="I227" i="64"/>
  <c r="I226" i="16" s="1"/>
  <c r="J227" i="64"/>
  <c r="J226" i="16" s="1"/>
  <c r="K227" i="64"/>
  <c r="K226" i="16" s="1"/>
  <c r="L227" i="64"/>
  <c r="L226" i="16" s="1"/>
  <c r="M227" i="64"/>
  <c r="M226" i="16" s="1"/>
  <c r="B227" i="64"/>
  <c r="B226" i="16" s="1"/>
  <c r="C222" i="64"/>
  <c r="C221" i="16" s="1"/>
  <c r="D222" i="64"/>
  <c r="D221" i="16" s="1"/>
  <c r="E222" i="64"/>
  <c r="F222" i="64"/>
  <c r="F221" i="16" s="1"/>
  <c r="G222" i="64"/>
  <c r="G221" i="16" s="1"/>
  <c r="H222" i="64"/>
  <c r="H221" i="16" s="1"/>
  <c r="I222" i="64"/>
  <c r="I221" i="16" s="1"/>
  <c r="J222" i="64"/>
  <c r="J221" i="16" s="1"/>
  <c r="K222" i="64"/>
  <c r="K221" i="16" s="1"/>
  <c r="L222" i="64"/>
  <c r="L221" i="16" s="1"/>
  <c r="M222" i="64"/>
  <c r="M221" i="16" s="1"/>
  <c r="B222" i="64"/>
  <c r="B221" i="16" s="1"/>
  <c r="C217" i="64"/>
  <c r="C216" i="16" s="1"/>
  <c r="D217" i="64"/>
  <c r="D216" i="16" s="1"/>
  <c r="E217" i="64"/>
  <c r="F217" i="64"/>
  <c r="F216" i="16" s="1"/>
  <c r="G217" i="64"/>
  <c r="G216" i="16" s="1"/>
  <c r="H217" i="64"/>
  <c r="H216" i="16" s="1"/>
  <c r="I217" i="64"/>
  <c r="I216" i="16" s="1"/>
  <c r="J217" i="64"/>
  <c r="J216" i="16" s="1"/>
  <c r="K217" i="64"/>
  <c r="K216" i="16" s="1"/>
  <c r="L217" i="64"/>
  <c r="L216" i="16" s="1"/>
  <c r="M217" i="64"/>
  <c r="M216" i="16" s="1"/>
  <c r="B217" i="64"/>
  <c r="B216" i="16" s="1"/>
  <c r="C191" i="64"/>
  <c r="C186" i="16" s="1"/>
  <c r="D191" i="64"/>
  <c r="D186" i="16" s="1"/>
  <c r="E191" i="64"/>
  <c r="E186" i="16" s="1"/>
  <c r="F191" i="64"/>
  <c r="F186" i="16" s="1"/>
  <c r="G191" i="64"/>
  <c r="G186" i="16" s="1"/>
  <c r="H191" i="64"/>
  <c r="H186" i="16" s="1"/>
  <c r="I191" i="64"/>
  <c r="I186" i="16" s="1"/>
  <c r="J191" i="64"/>
  <c r="J186" i="16" s="1"/>
  <c r="K191" i="64"/>
  <c r="K186" i="16" s="1"/>
  <c r="L191" i="64"/>
  <c r="L186" i="16" s="1"/>
  <c r="M191" i="64"/>
  <c r="M186" i="16" s="1"/>
  <c r="B191" i="64"/>
  <c r="G186" i="64"/>
  <c r="G181" i="16" s="1"/>
  <c r="B186" i="64"/>
  <c r="B181" i="16" s="1"/>
  <c r="B181" i="64"/>
  <c r="B176" i="16" s="1"/>
  <c r="B171" i="64"/>
  <c r="B166" i="16" s="1"/>
  <c r="C166" i="64"/>
  <c r="C161" i="16" s="1"/>
  <c r="D166" i="64"/>
  <c r="D161" i="16" s="1"/>
  <c r="E166" i="64"/>
  <c r="E161" i="16" s="1"/>
  <c r="F166" i="64"/>
  <c r="F161" i="16" s="1"/>
  <c r="G166" i="64"/>
  <c r="G161" i="16" s="1"/>
  <c r="H166" i="64"/>
  <c r="H161" i="16" s="1"/>
  <c r="I166" i="64"/>
  <c r="I161" i="16" s="1"/>
  <c r="J166" i="64"/>
  <c r="J161" i="16" s="1"/>
  <c r="K166" i="64"/>
  <c r="K161" i="16" s="1"/>
  <c r="L166" i="64"/>
  <c r="M166" i="64"/>
  <c r="M161" i="16" s="1"/>
  <c r="B166" i="64"/>
  <c r="B161" i="16" s="1"/>
  <c r="C161" i="64"/>
  <c r="D161" i="64"/>
  <c r="E161" i="64"/>
  <c r="F161" i="64"/>
  <c r="G161" i="64"/>
  <c r="H161" i="64"/>
  <c r="I161" i="64"/>
  <c r="J161" i="64"/>
  <c r="K161" i="64"/>
  <c r="L161" i="64"/>
  <c r="M161" i="64"/>
  <c r="B161" i="64"/>
  <c r="C156" i="64"/>
  <c r="C151" i="16" s="1"/>
  <c r="D156" i="64"/>
  <c r="D151" i="16" s="1"/>
  <c r="E156" i="64"/>
  <c r="E151" i="16" s="1"/>
  <c r="F156" i="64"/>
  <c r="F151" i="16" s="1"/>
  <c r="G156" i="64"/>
  <c r="G151" i="16" s="1"/>
  <c r="H156" i="64"/>
  <c r="H151" i="16" s="1"/>
  <c r="I156" i="64"/>
  <c r="I151" i="16" s="1"/>
  <c r="J156" i="64"/>
  <c r="J151" i="16" s="1"/>
  <c r="K156" i="64"/>
  <c r="K151" i="16" s="1"/>
  <c r="L156" i="64"/>
  <c r="L151" i="16" s="1"/>
  <c r="M156" i="64"/>
  <c r="M151" i="16" s="1"/>
  <c r="B156" i="64"/>
  <c r="B151" i="16" s="1"/>
  <c r="C151" i="64"/>
  <c r="C146" i="16" s="1"/>
  <c r="D151" i="64"/>
  <c r="D146" i="16" s="1"/>
  <c r="E151" i="64"/>
  <c r="F151" i="64"/>
  <c r="G151" i="64"/>
  <c r="G146" i="16" s="1"/>
  <c r="H151" i="64"/>
  <c r="H146" i="16" s="1"/>
  <c r="I151" i="64"/>
  <c r="I146" i="16" s="1"/>
  <c r="J151" i="64"/>
  <c r="J146" i="16" s="1"/>
  <c r="K151" i="64"/>
  <c r="L151" i="64"/>
  <c r="L146" i="16" s="1"/>
  <c r="M151" i="64"/>
  <c r="B151" i="64"/>
  <c r="B146" i="64"/>
  <c r="C61" i="64"/>
  <c r="D61" i="64" s="1"/>
  <c r="E61" i="64" s="1"/>
  <c r="F61" i="64" s="1"/>
  <c r="G61" i="64" s="1"/>
  <c r="H61" i="64" s="1"/>
  <c r="I61" i="64" s="1"/>
  <c r="J61" i="64" s="1"/>
  <c r="K61" i="64" s="1"/>
  <c r="L61" i="64" s="1"/>
  <c r="B117" i="64"/>
  <c r="D107" i="16"/>
  <c r="E107" i="16"/>
  <c r="F107" i="16"/>
  <c r="G107" i="16"/>
  <c r="H107" i="16"/>
  <c r="I107" i="16"/>
  <c r="J107" i="16"/>
  <c r="K107" i="16"/>
  <c r="L107" i="16"/>
  <c r="M107" i="16"/>
  <c r="B107" i="64"/>
  <c r="B107" i="16" s="1"/>
  <c r="C102" i="64"/>
  <c r="C102" i="16" s="1"/>
  <c r="D102" i="64"/>
  <c r="D102" i="16" s="1"/>
  <c r="E102" i="64"/>
  <c r="E102" i="16" s="1"/>
  <c r="F102" i="64"/>
  <c r="F102" i="16" s="1"/>
  <c r="G102" i="64"/>
  <c r="G102" i="16" s="1"/>
  <c r="H102" i="64"/>
  <c r="H102" i="16" s="1"/>
  <c r="I102" i="64"/>
  <c r="I102" i="16" s="1"/>
  <c r="J102" i="64"/>
  <c r="J102" i="16" s="1"/>
  <c r="K102" i="64"/>
  <c r="K102" i="16" s="1"/>
  <c r="L102" i="64"/>
  <c r="L102" i="16" s="1"/>
  <c r="M102" i="64"/>
  <c r="M102" i="16" s="1"/>
  <c r="B102" i="64"/>
  <c r="B102" i="16" s="1"/>
  <c r="C97" i="64"/>
  <c r="C97" i="16" s="1"/>
  <c r="D97" i="64"/>
  <c r="D97" i="16" s="1"/>
  <c r="E97" i="64"/>
  <c r="E97" i="16" s="1"/>
  <c r="F97" i="64"/>
  <c r="F97" i="16" s="1"/>
  <c r="G97" i="64"/>
  <c r="G97" i="16" s="1"/>
  <c r="H97" i="64"/>
  <c r="H97" i="16" s="1"/>
  <c r="I97" i="64"/>
  <c r="I97" i="16" s="1"/>
  <c r="J97" i="64"/>
  <c r="J97" i="16" s="1"/>
  <c r="K97" i="64"/>
  <c r="L97" i="64"/>
  <c r="L97" i="16" s="1"/>
  <c r="M97" i="64"/>
  <c r="M97" i="16" s="1"/>
  <c r="B97" i="64"/>
  <c r="B97" i="16" s="1"/>
  <c r="C92" i="64"/>
  <c r="C92" i="16" s="1"/>
  <c r="D92" i="64"/>
  <c r="D92" i="16" s="1"/>
  <c r="E92" i="64"/>
  <c r="E92" i="16" s="1"/>
  <c r="F92" i="64"/>
  <c r="G92" i="64"/>
  <c r="G92" i="16" s="1"/>
  <c r="H92" i="64"/>
  <c r="H92" i="16" s="1"/>
  <c r="I92" i="64"/>
  <c r="I92" i="16" s="1"/>
  <c r="J92" i="64"/>
  <c r="J92" i="16" s="1"/>
  <c r="K92" i="64"/>
  <c r="K92" i="16" s="1"/>
  <c r="L92" i="64"/>
  <c r="L92" i="16" s="1"/>
  <c r="M92" i="64"/>
  <c r="M92" i="16" s="1"/>
  <c r="B92" i="64"/>
  <c r="B92" i="16" s="1"/>
  <c r="C87" i="64"/>
  <c r="C87" i="16" s="1"/>
  <c r="D87" i="64"/>
  <c r="E87" i="64"/>
  <c r="E87" i="16" s="1"/>
  <c r="F87" i="64"/>
  <c r="F87" i="16" s="1"/>
  <c r="G87" i="64"/>
  <c r="G87" i="16" s="1"/>
  <c r="H87" i="64"/>
  <c r="H87" i="16" s="1"/>
  <c r="I87" i="64"/>
  <c r="I87" i="16" s="1"/>
  <c r="J87" i="64"/>
  <c r="J87" i="16" s="1"/>
  <c r="K87" i="64"/>
  <c r="K87" i="16" s="1"/>
  <c r="L87" i="64"/>
  <c r="L87" i="16" s="1"/>
  <c r="M87" i="64"/>
  <c r="M87" i="16" s="1"/>
  <c r="B87" i="64"/>
  <c r="B87" i="16" s="1"/>
  <c r="C82" i="64"/>
  <c r="C82" i="16" s="1"/>
  <c r="D82" i="64"/>
  <c r="D82" i="16" s="1"/>
  <c r="E82" i="64"/>
  <c r="E82" i="16" s="1"/>
  <c r="F82" i="64"/>
  <c r="F82" i="16" s="1"/>
  <c r="G82" i="64"/>
  <c r="G82" i="16" s="1"/>
  <c r="H82" i="64"/>
  <c r="H82" i="16" s="1"/>
  <c r="I82" i="64"/>
  <c r="I82" i="16" s="1"/>
  <c r="J82" i="64"/>
  <c r="J82" i="16" s="1"/>
  <c r="K82" i="64"/>
  <c r="K82" i="16" s="1"/>
  <c r="L82" i="64"/>
  <c r="L82" i="16" s="1"/>
  <c r="M82" i="64"/>
  <c r="M82" i="16" s="1"/>
  <c r="B82" i="64"/>
  <c r="C77" i="64"/>
  <c r="C77" i="16" s="1"/>
  <c r="D77" i="64"/>
  <c r="D77" i="16" s="1"/>
  <c r="E77" i="64"/>
  <c r="E77" i="16" s="1"/>
  <c r="F77" i="64"/>
  <c r="F77" i="16" s="1"/>
  <c r="G77" i="64"/>
  <c r="G77" i="16" s="1"/>
  <c r="H77" i="64"/>
  <c r="H77" i="16" s="1"/>
  <c r="I77" i="64"/>
  <c r="I77" i="16" s="1"/>
  <c r="J77" i="64"/>
  <c r="J77" i="16" s="1"/>
  <c r="K77" i="64"/>
  <c r="K77" i="16" s="1"/>
  <c r="L77" i="64"/>
  <c r="L77" i="16" s="1"/>
  <c r="M77" i="64"/>
  <c r="M77" i="16" s="1"/>
  <c r="B77" i="64"/>
  <c r="L72" i="64"/>
  <c r="M72" i="64"/>
  <c r="B72" i="64"/>
  <c r="B46" i="64"/>
  <c r="B45" i="16" s="1"/>
  <c r="C41" i="64"/>
  <c r="C40" i="16" s="1"/>
  <c r="D41" i="64"/>
  <c r="D40" i="16" s="1"/>
  <c r="E41" i="64"/>
  <c r="E40" i="16" s="1"/>
  <c r="F41" i="64"/>
  <c r="F40" i="16" s="1"/>
  <c r="G41" i="64"/>
  <c r="G40" i="16" s="1"/>
  <c r="H41" i="64"/>
  <c r="H40" i="16" s="1"/>
  <c r="I41" i="64"/>
  <c r="I40" i="16" s="1"/>
  <c r="J41" i="64"/>
  <c r="J40" i="16" s="1"/>
  <c r="K41" i="64"/>
  <c r="K40" i="16" s="1"/>
  <c r="L41" i="64"/>
  <c r="L40" i="16" s="1"/>
  <c r="M41" i="64"/>
  <c r="M40" i="16" s="1"/>
  <c r="B41" i="64"/>
  <c r="B40" i="16" s="1"/>
  <c r="C31" i="64"/>
  <c r="C30" i="16" s="1"/>
  <c r="D31" i="64"/>
  <c r="D30" i="16" s="1"/>
  <c r="E31" i="64"/>
  <c r="E30" i="16" s="1"/>
  <c r="F31" i="64"/>
  <c r="F30" i="16" s="1"/>
  <c r="G31" i="64"/>
  <c r="G30" i="16" s="1"/>
  <c r="H31" i="64"/>
  <c r="H30" i="16" s="1"/>
  <c r="I31" i="64"/>
  <c r="I30" i="16" s="1"/>
  <c r="J31" i="64"/>
  <c r="J30" i="16" s="1"/>
  <c r="K31" i="64"/>
  <c r="K30" i="16" s="1"/>
  <c r="L31" i="64"/>
  <c r="L30" i="16" s="1"/>
  <c r="M31" i="64"/>
  <c r="M30" i="16" s="1"/>
  <c r="B31" i="64"/>
  <c r="B30" i="16" s="1"/>
  <c r="C26" i="64"/>
  <c r="D26" i="64"/>
  <c r="D25" i="16" s="1"/>
  <c r="E26" i="64"/>
  <c r="E25" i="16" s="1"/>
  <c r="F26" i="64"/>
  <c r="F25" i="16" s="1"/>
  <c r="G26" i="64"/>
  <c r="G25" i="16" s="1"/>
  <c r="H26" i="64"/>
  <c r="H25" i="16" s="1"/>
  <c r="I26" i="64"/>
  <c r="I25" i="16" s="1"/>
  <c r="J26" i="64"/>
  <c r="J25" i="16" s="1"/>
  <c r="K26" i="64"/>
  <c r="K25" i="16" s="1"/>
  <c r="L26" i="64"/>
  <c r="L25" i="16" s="1"/>
  <c r="M26" i="64"/>
  <c r="M25" i="16" s="1"/>
  <c r="B26" i="64"/>
  <c r="B25" i="16" s="1"/>
  <c r="C21" i="64"/>
  <c r="C20" i="16" s="1"/>
  <c r="D21" i="64"/>
  <c r="D20" i="16" s="1"/>
  <c r="E21" i="64"/>
  <c r="E20" i="16" s="1"/>
  <c r="F21" i="64"/>
  <c r="F20" i="16" s="1"/>
  <c r="G21" i="64"/>
  <c r="G20" i="16" s="1"/>
  <c r="H21" i="64"/>
  <c r="H20" i="16" s="1"/>
  <c r="I21" i="64"/>
  <c r="I20" i="16" s="1"/>
  <c r="J21" i="64"/>
  <c r="J20" i="16" s="1"/>
  <c r="K21" i="64"/>
  <c r="K20" i="16" s="1"/>
  <c r="L21" i="64"/>
  <c r="L20" i="16" s="1"/>
  <c r="M21" i="64"/>
  <c r="M20" i="16" s="1"/>
  <c r="B21" i="64"/>
  <c r="C16" i="64"/>
  <c r="C15" i="16" s="1"/>
  <c r="D16" i="64"/>
  <c r="D15" i="16" s="1"/>
  <c r="E16" i="64"/>
  <c r="F16" i="64"/>
  <c r="F15" i="16" s="1"/>
  <c r="G16" i="64"/>
  <c r="G15" i="16" s="1"/>
  <c r="H16" i="64"/>
  <c r="H15" i="16" s="1"/>
  <c r="I16" i="64"/>
  <c r="I15" i="16" s="1"/>
  <c r="J16" i="64"/>
  <c r="J15" i="16" s="1"/>
  <c r="K16" i="64"/>
  <c r="K15" i="16" s="1"/>
  <c r="L16" i="64"/>
  <c r="L15" i="16" s="1"/>
  <c r="M16" i="64"/>
  <c r="M15" i="16" s="1"/>
  <c r="B16" i="64"/>
  <c r="B15" i="16" s="1"/>
  <c r="N122" i="4"/>
  <c r="H186" i="4"/>
  <c r="C186" i="4"/>
  <c r="C46" i="4"/>
  <c r="D46" i="4" s="1"/>
  <c r="E46" i="4" s="1"/>
  <c r="F46" i="4" s="1"/>
  <c r="G46" i="4" s="1"/>
  <c r="H46" i="4" s="1"/>
  <c r="I46" i="4" s="1"/>
  <c r="C51" i="4"/>
  <c r="C107" i="4"/>
  <c r="D107" i="4" s="1"/>
  <c r="C181" i="64"/>
  <c r="C176" i="16" s="1"/>
  <c r="C300" i="4"/>
  <c r="C41" i="4"/>
  <c r="B25" i="67"/>
  <c r="B26" i="67"/>
  <c r="D19" i="24" s="1"/>
  <c r="D33" i="24" s="1"/>
  <c r="D47" i="24" s="1"/>
  <c r="D61" i="24" s="1"/>
  <c r="D75" i="24" s="1"/>
  <c r="D90" i="24" s="1"/>
  <c r="A31" i="18"/>
  <c r="A56" i="18" s="1"/>
  <c r="A79" i="18" s="1"/>
  <c r="A104" i="18" s="1"/>
  <c r="A129" i="18" s="1"/>
  <c r="A154" i="18" s="1"/>
  <c r="M109" i="18"/>
  <c r="K109" i="18"/>
  <c r="J109" i="18"/>
  <c r="I109" i="18"/>
  <c r="H109" i="18"/>
  <c r="G109" i="18"/>
  <c r="F109" i="18"/>
  <c r="E109" i="18"/>
  <c r="D109" i="18"/>
  <c r="C109" i="18"/>
  <c r="K61" i="18"/>
  <c r="K17" i="89" s="1"/>
  <c r="B37" i="18"/>
  <c r="B17" i="94" s="1"/>
  <c r="E16" i="63"/>
  <c r="D16" i="63"/>
  <c r="A28" i="70"/>
  <c r="A45" i="70" s="1"/>
  <c r="A62" i="70" s="1"/>
  <c r="A79" i="70" s="1"/>
  <c r="A96" i="70" s="1"/>
  <c r="A113" i="70" s="1"/>
  <c r="C6" i="70"/>
  <c r="D6" i="70" s="1"/>
  <c r="E6" i="70" s="1"/>
  <c r="F6" i="70" s="1"/>
  <c r="G6" i="70" s="1"/>
  <c r="H6" i="70" s="1"/>
  <c r="I6" i="70" s="1"/>
  <c r="J6" i="70" s="1"/>
  <c r="K6" i="70" s="1"/>
  <c r="L6" i="70" s="1"/>
  <c r="M6" i="70" s="1"/>
  <c r="B4" i="70"/>
  <c r="B3" i="70"/>
  <c r="E85" i="61"/>
  <c r="E86" i="61" s="1"/>
  <c r="J85" i="61"/>
  <c r="J86" i="61" s="1"/>
  <c r="F60" i="61"/>
  <c r="F61" i="61" s="1"/>
  <c r="J60" i="61"/>
  <c r="J61" i="61" s="1"/>
  <c r="B60" i="61"/>
  <c r="B61" i="61" s="1"/>
  <c r="C41" i="61"/>
  <c r="C42" i="61" s="1"/>
  <c r="C43" i="61" s="1"/>
  <c r="L16" i="61"/>
  <c r="L23" i="61" s="1"/>
  <c r="L24" i="61" s="1"/>
  <c r="L25" i="61" s="1"/>
  <c r="B26" i="18"/>
  <c r="C26" i="18" s="1"/>
  <c r="D26" i="18" s="1"/>
  <c r="E26" i="18" s="1"/>
  <c r="F26" i="18" s="1"/>
  <c r="G26" i="18" s="1"/>
  <c r="H26" i="18" s="1"/>
  <c r="I26" i="18" s="1"/>
  <c r="J26" i="18" s="1"/>
  <c r="K26" i="18" s="1"/>
  <c r="L26" i="18" s="1"/>
  <c r="M26" i="18" s="1"/>
  <c r="I34" i="48"/>
  <c r="J34" i="48"/>
  <c r="K34" i="48"/>
  <c r="L34" i="48"/>
  <c r="M34" i="48"/>
  <c r="N34" i="48"/>
  <c r="I35" i="48"/>
  <c r="J35" i="48"/>
  <c r="K35" i="48"/>
  <c r="L35" i="48"/>
  <c r="M35" i="48"/>
  <c r="N35" i="48"/>
  <c r="C274" i="48"/>
  <c r="B277" i="16"/>
  <c r="B287" i="16"/>
  <c r="B292" i="16"/>
  <c r="B297" i="16" s="1"/>
  <c r="B302" i="16" s="1"/>
  <c r="B31" i="16"/>
  <c r="B16" i="16"/>
  <c r="B26" i="16"/>
  <c r="B85" i="18"/>
  <c r="B69" i="24"/>
  <c r="C69" i="24"/>
  <c r="D69" i="24"/>
  <c r="E85" i="18"/>
  <c r="E69" i="24"/>
  <c r="F85" i="18"/>
  <c r="F69" i="24"/>
  <c r="G85" i="18"/>
  <c r="G69" i="24"/>
  <c r="H85" i="18"/>
  <c r="H69" i="24"/>
  <c r="I69" i="24"/>
  <c r="J85" i="18"/>
  <c r="J17" i="90" s="1"/>
  <c r="J69" i="24"/>
  <c r="K85" i="18"/>
  <c r="K69" i="24"/>
  <c r="L85" i="18"/>
  <c r="L69" i="24"/>
  <c r="M69" i="24"/>
  <c r="B122" i="18"/>
  <c r="B128" i="14"/>
  <c r="C128" i="14"/>
  <c r="D128" i="14"/>
  <c r="E128" i="14"/>
  <c r="F128" i="14"/>
  <c r="G128" i="14"/>
  <c r="H128" i="14"/>
  <c r="I128" i="14"/>
  <c r="J128" i="14"/>
  <c r="K128" i="14"/>
  <c r="L128" i="14"/>
  <c r="M128" i="14"/>
  <c r="M61" i="18"/>
  <c r="L61" i="18"/>
  <c r="J61" i="18"/>
  <c r="I61" i="18"/>
  <c r="H61" i="18"/>
  <c r="G61" i="18"/>
  <c r="F61" i="18"/>
  <c r="E61" i="18"/>
  <c r="D61" i="18"/>
  <c r="C61" i="18"/>
  <c r="B61" i="18"/>
  <c r="M37" i="18"/>
  <c r="L37" i="18"/>
  <c r="K37" i="18"/>
  <c r="K17" i="94" s="1"/>
  <c r="J37" i="18"/>
  <c r="I37" i="18"/>
  <c r="G37" i="18"/>
  <c r="F37" i="18"/>
  <c r="E37" i="18"/>
  <c r="C37" i="18"/>
  <c r="C17" i="94" s="1"/>
  <c r="M55" i="24"/>
  <c r="L55" i="24"/>
  <c r="K55" i="24"/>
  <c r="J55" i="24"/>
  <c r="I55" i="24"/>
  <c r="H55" i="24"/>
  <c r="G55" i="24"/>
  <c r="F55" i="24"/>
  <c r="E55" i="24"/>
  <c r="D55" i="24"/>
  <c r="C55" i="24"/>
  <c r="B55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N33" i="48"/>
  <c r="M33" i="48"/>
  <c r="J33" i="48"/>
  <c r="I33" i="48"/>
  <c r="B217" i="16"/>
  <c r="B227" i="16"/>
  <c r="B232" i="16"/>
  <c r="B147" i="16"/>
  <c r="B157" i="16"/>
  <c r="B162" i="16"/>
  <c r="B78" i="16"/>
  <c r="B88" i="16"/>
  <c r="B93" i="16"/>
  <c r="N260" i="4"/>
  <c r="C166" i="4"/>
  <c r="N191" i="4"/>
  <c r="C102" i="4"/>
  <c r="N56" i="4"/>
  <c r="C6" i="49"/>
  <c r="D6" i="49" s="1"/>
  <c r="E6" i="49" s="1"/>
  <c r="F6" i="49" s="1"/>
  <c r="G6" i="49" s="1"/>
  <c r="H6" i="49" s="1"/>
  <c r="I6" i="49" s="1"/>
  <c r="J6" i="49" s="1"/>
  <c r="K6" i="49" s="1"/>
  <c r="L6" i="49" s="1"/>
  <c r="M6" i="49" s="1"/>
  <c r="A9" i="68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M64" i="49"/>
  <c r="K64" i="49"/>
  <c r="I64" i="49"/>
  <c r="G64" i="49"/>
  <c r="C64" i="49"/>
  <c r="K23" i="63"/>
  <c r="D23" i="63"/>
  <c r="B111" i="14" s="1"/>
  <c r="B16" i="91" s="1"/>
  <c r="K22" i="63"/>
  <c r="D22" i="63"/>
  <c r="B86" i="14" s="1"/>
  <c r="K21" i="63"/>
  <c r="D21" i="63"/>
  <c r="B61" i="14" s="1"/>
  <c r="K20" i="63"/>
  <c r="D20" i="63"/>
  <c r="B11" i="14"/>
  <c r="B25" i="14" s="1"/>
  <c r="A34" i="63"/>
  <c r="A33" i="63"/>
  <c r="I16" i="63"/>
  <c r="K16" i="63"/>
  <c r="J16" i="63"/>
  <c r="L16" i="63"/>
  <c r="M16" i="63"/>
  <c r="N16" i="63"/>
  <c r="N17" i="63" s="1"/>
  <c r="O16" i="63"/>
  <c r="F16" i="63"/>
  <c r="G16" i="63"/>
  <c r="H16" i="63"/>
  <c r="B28" i="14"/>
  <c r="C28" i="14"/>
  <c r="D28" i="14"/>
  <c r="E28" i="14"/>
  <c r="F28" i="14"/>
  <c r="G28" i="14"/>
  <c r="H28" i="14"/>
  <c r="I28" i="14"/>
  <c r="J28" i="14"/>
  <c r="K28" i="14"/>
  <c r="L28" i="14"/>
  <c r="M28" i="14"/>
  <c r="C74" i="48"/>
  <c r="D74" i="48"/>
  <c r="K33" i="48"/>
  <c r="L33" i="48"/>
  <c r="F12" i="61"/>
  <c r="L12" i="61"/>
  <c r="H12" i="61"/>
  <c r="G14" i="11"/>
  <c r="G17" i="11" s="1"/>
  <c r="G20" i="11" s="1"/>
  <c r="G23" i="11" s="1"/>
  <c r="G26" i="11" s="1"/>
  <c r="B103" i="14"/>
  <c r="C103" i="14"/>
  <c r="D103" i="14"/>
  <c r="E103" i="14"/>
  <c r="F103" i="14"/>
  <c r="G103" i="14"/>
  <c r="H103" i="14"/>
  <c r="I103" i="14"/>
  <c r="J103" i="14"/>
  <c r="K103" i="14"/>
  <c r="L103" i="14"/>
  <c r="M103" i="14"/>
  <c r="D37" i="11"/>
  <c r="B98" i="18"/>
  <c r="C98" i="18" s="1"/>
  <c r="D98" i="18" s="1"/>
  <c r="E98" i="18" s="1"/>
  <c r="F98" i="18" s="1"/>
  <c r="G98" i="18" s="1"/>
  <c r="H98" i="18" s="1"/>
  <c r="I98" i="18" s="1"/>
  <c r="J98" i="18" s="1"/>
  <c r="K98" i="18" s="1"/>
  <c r="L98" i="18" s="1"/>
  <c r="M98" i="18" s="1"/>
  <c r="B210" i="4"/>
  <c r="C235" i="4"/>
  <c r="C255" i="4"/>
  <c r="C252" i="64" s="1"/>
  <c r="C251" i="16" s="1"/>
  <c r="C257" i="64"/>
  <c r="C256" i="16" s="1"/>
  <c r="H255" i="4"/>
  <c r="H252" i="64" s="1"/>
  <c r="H251" i="16" s="1"/>
  <c r="G19" i="11"/>
  <c r="B272" i="16" s="1"/>
  <c r="C19" i="11"/>
  <c r="B11" i="16" s="1"/>
  <c r="I212" i="16" s="1"/>
  <c r="C222" i="48"/>
  <c r="F14" i="11"/>
  <c r="F17" i="11" s="1"/>
  <c r="B78" i="14"/>
  <c r="C78" i="14"/>
  <c r="D78" i="14"/>
  <c r="E78" i="14"/>
  <c r="F78" i="14"/>
  <c r="G78" i="14"/>
  <c r="H78" i="14"/>
  <c r="I78" i="14"/>
  <c r="J78" i="14"/>
  <c r="K78" i="14"/>
  <c r="L78" i="14"/>
  <c r="M78" i="14"/>
  <c r="B74" i="18"/>
  <c r="C74" i="18" s="1"/>
  <c r="D74" i="18" s="1"/>
  <c r="E74" i="18" s="1"/>
  <c r="F74" i="18" s="1"/>
  <c r="G74" i="18" s="1"/>
  <c r="H74" i="18" s="1"/>
  <c r="I74" i="18" s="1"/>
  <c r="J74" i="18" s="1"/>
  <c r="K74" i="18" s="1"/>
  <c r="L74" i="18" s="1"/>
  <c r="M74" i="18" s="1"/>
  <c r="F19" i="11"/>
  <c r="C171" i="48"/>
  <c r="D171" i="48"/>
  <c r="D53" i="14"/>
  <c r="H53" i="14"/>
  <c r="E14" i="11"/>
  <c r="E17" i="11" s="1"/>
  <c r="E20" i="11" s="1"/>
  <c r="B53" i="14"/>
  <c r="C53" i="14"/>
  <c r="E53" i="14"/>
  <c r="F53" i="14"/>
  <c r="G53" i="14"/>
  <c r="I53" i="14"/>
  <c r="J53" i="14"/>
  <c r="K53" i="14"/>
  <c r="L53" i="14"/>
  <c r="M53" i="14"/>
  <c r="B50" i="18"/>
  <c r="C50" i="18" s="1"/>
  <c r="D50" i="18" s="1"/>
  <c r="E50" i="18" s="1"/>
  <c r="F50" i="18" s="1"/>
  <c r="G50" i="18" s="1"/>
  <c r="H50" i="18" s="1"/>
  <c r="I50" i="18" s="1"/>
  <c r="J50" i="18" s="1"/>
  <c r="K50" i="18" s="1"/>
  <c r="L50" i="18" s="1"/>
  <c r="M50" i="18" s="1"/>
  <c r="E19" i="11"/>
  <c r="D19" i="11"/>
  <c r="D14" i="11"/>
  <c r="H14" i="11"/>
  <c r="H17" i="11" s="1"/>
  <c r="H20" i="11" s="1"/>
  <c r="H23" i="11" s="1"/>
  <c r="H26" i="11" s="1"/>
  <c r="C32" i="11"/>
  <c r="B22" i="85" s="1"/>
  <c r="K24" i="48"/>
  <c r="N36" i="64"/>
  <c r="C295" i="4"/>
  <c r="B2" i="64"/>
  <c r="B3" i="64"/>
  <c r="A67" i="64"/>
  <c r="A142" i="64" s="1"/>
  <c r="A208" i="64" s="1"/>
  <c r="A268" i="64" s="1"/>
  <c r="A328" i="64" s="1"/>
  <c r="A388" i="64" s="1"/>
  <c r="N12" i="47"/>
  <c r="N11" i="47"/>
  <c r="N10" i="47"/>
  <c r="A116" i="18"/>
  <c r="A92" i="18"/>
  <c r="A68" i="18"/>
  <c r="A44" i="18"/>
  <c r="A20" i="18"/>
  <c r="G19" i="48"/>
  <c r="A28" i="49"/>
  <c r="A45" i="49" s="1"/>
  <c r="A62" i="49" s="1"/>
  <c r="A79" i="49" s="1"/>
  <c r="A96" i="49" s="1"/>
  <c r="A113" i="49" s="1"/>
  <c r="A194" i="48"/>
  <c r="A18" i="61"/>
  <c r="A40" i="61"/>
  <c r="A65" i="61" s="1"/>
  <c r="A90" i="61" s="1"/>
  <c r="A115" i="61" s="1"/>
  <c r="A140" i="61" s="1"/>
  <c r="A165" i="61" s="1"/>
  <c r="I39" i="48"/>
  <c r="J39" i="48"/>
  <c r="K39" i="48"/>
  <c r="L39" i="48"/>
  <c r="M39" i="48"/>
  <c r="N39" i="48"/>
  <c r="C10" i="60"/>
  <c r="C11" i="60"/>
  <c r="D11" i="60" s="1"/>
  <c r="E11" i="60" s="1"/>
  <c r="F11" i="60" s="1"/>
  <c r="G11" i="60" s="1"/>
  <c r="H11" i="60" s="1"/>
  <c r="I11" i="60" s="1"/>
  <c r="J11" i="60" s="1"/>
  <c r="K11" i="60" s="1"/>
  <c r="L11" i="60" s="1"/>
  <c r="M11" i="60" s="1"/>
  <c r="C12" i="60"/>
  <c r="D12" i="60" s="1"/>
  <c r="E12" i="60" s="1"/>
  <c r="F12" i="60" s="1"/>
  <c r="G12" i="60" s="1"/>
  <c r="H12" i="60" s="1"/>
  <c r="I12" i="60" s="1"/>
  <c r="J12" i="60" s="1"/>
  <c r="K12" i="60" s="1"/>
  <c r="L12" i="60" s="1"/>
  <c r="M12" i="60" s="1"/>
  <c r="C13" i="60"/>
  <c r="D13" i="60" s="1"/>
  <c r="E13" i="60" s="1"/>
  <c r="F13" i="60" s="1"/>
  <c r="G13" i="60" s="1"/>
  <c r="H13" i="60" s="1"/>
  <c r="I13" i="60" s="1"/>
  <c r="J13" i="60" s="1"/>
  <c r="K13" i="60" s="1"/>
  <c r="L13" i="60" s="1"/>
  <c r="M13" i="60" s="1"/>
  <c r="C14" i="60"/>
  <c r="D14" i="60" s="1"/>
  <c r="B2" i="61"/>
  <c r="B3" i="61"/>
  <c r="A31" i="61"/>
  <c r="A56" i="61" s="1"/>
  <c r="A81" i="61" s="1"/>
  <c r="A106" i="61" s="1"/>
  <c r="A131" i="61" s="1"/>
  <c r="A156" i="61" s="1"/>
  <c r="N97" i="4"/>
  <c r="N36" i="4"/>
  <c r="H19" i="11"/>
  <c r="H22" i="11" s="1"/>
  <c r="D7" i="11"/>
  <c r="E7" i="11" s="1"/>
  <c r="F7" i="11" s="1"/>
  <c r="G7" i="11" s="1"/>
  <c r="H7" i="11" s="1"/>
  <c r="A206" i="16"/>
  <c r="A266" i="16" s="1"/>
  <c r="A321" i="16" s="1"/>
  <c r="A376" i="16" s="1"/>
  <c r="A431" i="16" s="1"/>
  <c r="A67" i="16"/>
  <c r="A137" i="16" s="1"/>
  <c r="A207" i="16" s="1"/>
  <c r="A267" i="16" s="1"/>
  <c r="A322" i="16" s="1"/>
  <c r="A377" i="16" s="1"/>
  <c r="N290" i="4"/>
  <c r="N285" i="4"/>
  <c r="N280" i="4"/>
  <c r="N275" i="4"/>
  <c r="A68" i="4"/>
  <c r="A137" i="4" s="1"/>
  <c r="A206" i="4" s="1"/>
  <c r="A266" i="4" s="1"/>
  <c r="A321" i="4" s="1"/>
  <c r="A376" i="4" s="1"/>
  <c r="A23" i="24"/>
  <c r="A37" i="24" s="1"/>
  <c r="A51" i="24" s="1"/>
  <c r="A65" i="24" s="1"/>
  <c r="A80" i="24" s="1"/>
  <c r="A95" i="24" s="1"/>
  <c r="A121" i="18"/>
  <c r="N107" i="18"/>
  <c r="A33" i="14"/>
  <c r="A58" i="14" s="1"/>
  <c r="A83" i="14" s="1"/>
  <c r="A108" i="14" s="1"/>
  <c r="A133" i="14" s="1"/>
  <c r="A158" i="14" s="1"/>
  <c r="N10" i="53"/>
  <c r="N9" i="53"/>
  <c r="B3" i="53"/>
  <c r="B4" i="53"/>
  <c r="B3" i="49"/>
  <c r="B4" i="49"/>
  <c r="N215" i="4"/>
  <c r="N220" i="4"/>
  <c r="N225" i="4"/>
  <c r="N230" i="4"/>
  <c r="N146" i="4"/>
  <c r="N151" i="4"/>
  <c r="N156" i="4"/>
  <c r="N161" i="4"/>
  <c r="N181" i="4"/>
  <c r="N87" i="4"/>
  <c r="N92" i="4"/>
  <c r="N112" i="4"/>
  <c r="N16" i="4"/>
  <c r="N21" i="4"/>
  <c r="N26" i="4"/>
  <c r="N31" i="4"/>
  <c r="B2" i="24"/>
  <c r="B3" i="24"/>
  <c r="A97" i="18"/>
  <c r="N83" i="18"/>
  <c r="B4" i="14"/>
  <c r="A73" i="18"/>
  <c r="N59" i="18"/>
  <c r="A49" i="18"/>
  <c r="N35" i="18"/>
  <c r="A25" i="18"/>
  <c r="N11" i="18"/>
  <c r="B3" i="18"/>
  <c r="B2" i="18"/>
  <c r="B3" i="4"/>
  <c r="B2" i="4"/>
  <c r="B2" i="16"/>
  <c r="B1" i="16"/>
  <c r="J11" i="48"/>
  <c r="C17" i="48"/>
  <c r="O17" i="48" s="1"/>
  <c r="E17" i="48"/>
  <c r="G17" i="48"/>
  <c r="J21" i="48"/>
  <c r="C221" i="48"/>
  <c r="K19" i="48"/>
  <c r="C18" i="48"/>
  <c r="O18" i="48" s="1"/>
  <c r="H17" i="48"/>
  <c r="D17" i="48"/>
  <c r="H19" i="48"/>
  <c r="D18" i="48"/>
  <c r="F17" i="48"/>
  <c r="K17" i="48"/>
  <c r="F18" i="48"/>
  <c r="C19" i="48"/>
  <c r="O19" i="48" s="1"/>
  <c r="D19" i="48"/>
  <c r="E18" i="48"/>
  <c r="M17" i="48"/>
  <c r="C13" i="48"/>
  <c r="M19" i="48"/>
  <c r="F19" i="48"/>
  <c r="C307" i="64"/>
  <c r="C306" i="16" s="1"/>
  <c r="L24" i="48"/>
  <c r="J24" i="48"/>
  <c r="N24" i="48"/>
  <c r="M98" i="61"/>
  <c r="M99" i="61" s="1"/>
  <c r="M100" i="61" s="1"/>
  <c r="I98" i="61"/>
  <c r="I99" i="61" s="1"/>
  <c r="I100" i="61" s="1"/>
  <c r="E98" i="61"/>
  <c r="E99" i="61" s="1"/>
  <c r="L35" i="61"/>
  <c r="M91" i="61"/>
  <c r="M92" i="61" s="1"/>
  <c r="M93" i="61" s="1"/>
  <c r="I91" i="61"/>
  <c r="I92" i="61" s="1"/>
  <c r="I93" i="61" s="1"/>
  <c r="E91" i="61"/>
  <c r="E92" i="61" s="1"/>
  <c r="E93" i="61" s="1"/>
  <c r="B67" i="61"/>
  <c r="B68" i="61" s="1"/>
  <c r="J67" i="61"/>
  <c r="F67" i="61"/>
  <c r="F68" i="61" s="1"/>
  <c r="B74" i="61"/>
  <c r="B75" i="61" s="1"/>
  <c r="J74" i="61"/>
  <c r="J75" i="61" s="1"/>
  <c r="F74" i="61"/>
  <c r="F75" i="61" s="1"/>
  <c r="B91" i="61"/>
  <c r="B92" i="61" s="1"/>
  <c r="B93" i="61" s="1"/>
  <c r="E19" i="48"/>
  <c r="I17" i="48"/>
  <c r="I19" i="48"/>
  <c r="I18" i="48"/>
  <c r="L17" i="48"/>
  <c r="L19" i="48"/>
  <c r="N17" i="48"/>
  <c r="N19" i="48"/>
  <c r="H18" i="48"/>
  <c r="G18" i="48"/>
  <c r="K18" i="48"/>
  <c r="J13" i="48"/>
  <c r="L18" i="48"/>
  <c r="J17" i="48"/>
  <c r="J18" i="48"/>
  <c r="M18" i="48"/>
  <c r="N18" i="48"/>
  <c r="J19" i="48"/>
  <c r="C116" i="61"/>
  <c r="C117" i="61" s="1"/>
  <c r="J30" i="49"/>
  <c r="L30" i="49"/>
  <c r="G11" i="49"/>
  <c r="G12" i="49" s="1"/>
  <c r="I142" i="16"/>
  <c r="E227" i="16"/>
  <c r="B18" i="24"/>
  <c r="B32" i="24" s="1"/>
  <c r="B46" i="24" s="1"/>
  <c r="B60" i="24" s="1"/>
  <c r="B74" i="24" s="1"/>
  <c r="B89" i="24" s="1"/>
  <c r="B104" i="24" s="1"/>
  <c r="J18" i="24"/>
  <c r="J32" i="24" s="1"/>
  <c r="J46" i="24" s="1"/>
  <c r="J60" i="24" s="1"/>
  <c r="J74" i="24" s="1"/>
  <c r="J89" i="24" s="1"/>
  <c r="J104" i="24" s="1"/>
  <c r="M19" i="24"/>
  <c r="M33" i="24" s="1"/>
  <c r="M47" i="24" s="1"/>
  <c r="M61" i="24" s="1"/>
  <c r="M75" i="24" s="1"/>
  <c r="M90" i="24" s="1"/>
  <c r="M105" i="24" s="1"/>
  <c r="I19" i="24"/>
  <c r="I33" i="24" s="1"/>
  <c r="I47" i="24" s="1"/>
  <c r="I61" i="24" s="1"/>
  <c r="I75" i="24" s="1"/>
  <c r="I90" i="24" s="1"/>
  <c r="E19" i="24"/>
  <c r="E33" i="24" s="1"/>
  <c r="E47" i="24" s="1"/>
  <c r="E61" i="24" s="1"/>
  <c r="E75" i="24" s="1"/>
  <c r="E90" i="24" s="1"/>
  <c r="E105" i="24" s="1"/>
  <c r="B19" i="24"/>
  <c r="B33" i="24" s="1"/>
  <c r="B47" i="24" s="1"/>
  <c r="B61" i="24" s="1"/>
  <c r="B75" i="24" s="1"/>
  <c r="B90" i="24" s="1"/>
  <c r="J19" i="24"/>
  <c r="J33" i="24" s="1"/>
  <c r="J47" i="24" s="1"/>
  <c r="J61" i="24" s="1"/>
  <c r="J75" i="24" s="1"/>
  <c r="J90" i="24" s="1"/>
  <c r="J105" i="24" s="1"/>
  <c r="F19" i="24"/>
  <c r="F33" i="24" s="1"/>
  <c r="F47" i="24" s="1"/>
  <c r="F61" i="24" s="1"/>
  <c r="F75" i="24" s="1"/>
  <c r="F90" i="24" s="1"/>
  <c r="F105" i="24" s="1"/>
  <c r="L18" i="24"/>
  <c r="L32" i="24" s="1"/>
  <c r="L46" i="24" s="1"/>
  <c r="L60" i="24" s="1"/>
  <c r="L74" i="24" s="1"/>
  <c r="L89" i="24" s="1"/>
  <c r="L104" i="24" s="1"/>
  <c r="F18" i="24"/>
  <c r="F32" i="24" s="1"/>
  <c r="F46" i="24" s="1"/>
  <c r="F60" i="24" s="1"/>
  <c r="K19" i="24"/>
  <c r="G19" i="24"/>
  <c r="G33" i="24" s="1"/>
  <c r="G47" i="24" s="1"/>
  <c r="G61" i="24" s="1"/>
  <c r="G75" i="24" s="1"/>
  <c r="G90" i="24" s="1"/>
  <c r="G105" i="24" s="1"/>
  <c r="C19" i="24"/>
  <c r="C33" i="24" s="1"/>
  <c r="C47" i="24" s="1"/>
  <c r="C61" i="24" s="1"/>
  <c r="C75" i="24" s="1"/>
  <c r="C90" i="24" s="1"/>
  <c r="C105" i="24" s="1"/>
  <c r="M18" i="24"/>
  <c r="M32" i="24" s="1"/>
  <c r="M46" i="24" s="1"/>
  <c r="M60" i="24" s="1"/>
  <c r="M74" i="24" s="1"/>
  <c r="M89" i="24" s="1"/>
  <c r="M104" i="24" s="1"/>
  <c r="M106" i="24" s="1"/>
  <c r="N345" i="48" s="1"/>
  <c r="H18" i="24"/>
  <c r="H32" i="24" s="1"/>
  <c r="H46" i="24" s="1"/>
  <c r="L19" i="24"/>
  <c r="L33" i="24" s="1"/>
  <c r="L47" i="24" s="1"/>
  <c r="L61" i="24" s="1"/>
  <c r="L75" i="24" s="1"/>
  <c r="L90" i="24" s="1"/>
  <c r="L105" i="24" s="1"/>
  <c r="H19" i="24"/>
  <c r="H33" i="24" s="1"/>
  <c r="H47" i="24" s="1"/>
  <c r="H61" i="24" s="1"/>
  <c r="H75" i="24" s="1"/>
  <c r="H90" i="24" s="1"/>
  <c r="G18" i="24"/>
  <c r="G32" i="24" s="1"/>
  <c r="G46" i="24" s="1"/>
  <c r="G60" i="24" s="1"/>
  <c r="G74" i="24" s="1"/>
  <c r="G89" i="24" s="1"/>
  <c r="G104" i="24" s="1"/>
  <c r="G106" i="24" s="1"/>
  <c r="H345" i="48" s="1"/>
  <c r="C18" i="24"/>
  <c r="C32" i="24" s="1"/>
  <c r="C46" i="24" s="1"/>
  <c r="C60" i="24" s="1"/>
  <c r="C74" i="24" s="1"/>
  <c r="C89" i="24" s="1"/>
  <c r="C104" i="24" s="1"/>
  <c r="D18" i="24"/>
  <c r="D32" i="24" s="1"/>
  <c r="D46" i="24" s="1"/>
  <c r="D60" i="24" s="1"/>
  <c r="D74" i="24" s="1"/>
  <c r="D89" i="24" s="1"/>
  <c r="D104" i="24" s="1"/>
  <c r="I18" i="24"/>
  <c r="I32" i="24" s="1"/>
  <c r="I46" i="24" s="1"/>
  <c r="I60" i="24" s="1"/>
  <c r="I74" i="24" s="1"/>
  <c r="I89" i="24" s="1"/>
  <c r="I104" i="24" s="1"/>
  <c r="H25" i="48"/>
  <c r="L25" i="48"/>
  <c r="G25" i="48"/>
  <c r="I25" i="48"/>
  <c r="E25" i="48"/>
  <c r="M25" i="48"/>
  <c r="N25" i="48"/>
  <c r="F25" i="48"/>
  <c r="D25" i="48"/>
  <c r="J25" i="48"/>
  <c r="K25" i="48"/>
  <c r="C25" i="48"/>
  <c r="O25" i="48" s="1"/>
  <c r="E33" i="49"/>
  <c r="E12" i="61"/>
  <c r="G16" i="18"/>
  <c r="C16" i="18"/>
  <c r="D14" i="49"/>
  <c r="M14" i="49"/>
  <c r="I14" i="49"/>
  <c r="K40" i="18"/>
  <c r="G40" i="18"/>
  <c r="M33" i="49"/>
  <c r="M12" i="61"/>
  <c r="I12" i="61"/>
  <c r="D12" i="61"/>
  <c r="E37" i="61"/>
  <c r="K37" i="61"/>
  <c r="M37" i="61"/>
  <c r="I37" i="48"/>
  <c r="O37" i="48" s="1"/>
  <c r="I36" i="48"/>
  <c r="O36" i="48" s="1"/>
  <c r="J36" i="48"/>
  <c r="K36" i="48"/>
  <c r="J37" i="48"/>
  <c r="K37" i="48"/>
  <c r="L36" i="48"/>
  <c r="M36" i="48"/>
  <c r="L37" i="48"/>
  <c r="M37" i="48"/>
  <c r="N37" i="48"/>
  <c r="N36" i="48"/>
  <c r="E75" i="48"/>
  <c r="E74" i="48"/>
  <c r="E171" i="48"/>
  <c r="E274" i="48"/>
  <c r="E222" i="48"/>
  <c r="E120" i="48"/>
  <c r="F275" i="48"/>
  <c r="F172" i="48"/>
  <c r="F223" i="48"/>
  <c r="F75" i="48"/>
  <c r="F121" i="48"/>
  <c r="F274" i="48"/>
  <c r="F74" i="48"/>
  <c r="F171" i="48"/>
  <c r="F222" i="48"/>
  <c r="G275" i="48"/>
  <c r="G121" i="48"/>
  <c r="G172" i="48"/>
  <c r="G223" i="48"/>
  <c r="G171" i="48"/>
  <c r="G120" i="48"/>
  <c r="G274" i="48"/>
  <c r="G222" i="48"/>
  <c r="G74" i="48"/>
  <c r="H171" i="48"/>
  <c r="H120" i="48"/>
  <c r="H274" i="48"/>
  <c r="H74" i="48"/>
  <c r="H222" i="48"/>
  <c r="J275" i="48"/>
  <c r="I30" i="48"/>
  <c r="I275" i="48"/>
  <c r="I75" i="48"/>
  <c r="I121" i="48"/>
  <c r="I172" i="48"/>
  <c r="I74" i="48"/>
  <c r="I222" i="48"/>
  <c r="I274" i="48"/>
  <c r="I120" i="48"/>
  <c r="J29" i="48"/>
  <c r="I29" i="48"/>
  <c r="I171" i="48"/>
  <c r="M85" i="61"/>
  <c r="M86" i="61" s="1"/>
  <c r="I85" i="61"/>
  <c r="I86" i="61" s="1"/>
  <c r="I88" i="61" s="1"/>
  <c r="J185" i="48" s="1"/>
  <c r="I24" i="48"/>
  <c r="E64" i="49"/>
  <c r="H81" i="49"/>
  <c r="G48" i="61"/>
  <c r="G49" i="61" s="1"/>
  <c r="G50" i="61" s="1"/>
  <c r="G41" i="61"/>
  <c r="G35" i="61"/>
  <c r="G36" i="61" s="1"/>
  <c r="U34" i="61" s="1"/>
  <c r="K67" i="61"/>
  <c r="K68" i="61" s="1"/>
  <c r="H67" i="61"/>
  <c r="H68" i="61" s="1"/>
  <c r="C74" i="61"/>
  <c r="C75" i="61" s="1"/>
  <c r="F91" i="61"/>
  <c r="F92" i="61" s="1"/>
  <c r="F93" i="61" s="1"/>
  <c r="H37" i="18"/>
  <c r="G123" i="61"/>
  <c r="G124" i="61" s="1"/>
  <c r="G125" i="61" s="1"/>
  <c r="K30" i="49"/>
  <c r="H47" i="49"/>
  <c r="F11" i="49"/>
  <c r="F12" i="49" s="1"/>
  <c r="C30" i="49"/>
  <c r="M35" i="61"/>
  <c r="M36" i="61" s="1"/>
  <c r="AA34" i="61" s="1"/>
  <c r="C48" i="61"/>
  <c r="C49" i="61" s="1"/>
  <c r="C50" i="61" s="1"/>
  <c r="C35" i="61"/>
  <c r="C36" i="61" s="1"/>
  <c r="Q34" i="61" s="1"/>
  <c r="M85" i="18"/>
  <c r="I85" i="18"/>
  <c r="K48" i="61"/>
  <c r="K49" i="61" s="1"/>
  <c r="K50" i="61" s="1"/>
  <c r="K41" i="61"/>
  <c r="K42" i="61" s="1"/>
  <c r="K43" i="61" s="1"/>
  <c r="K35" i="61"/>
  <c r="K36" i="61" s="1"/>
  <c r="Y34" i="61" s="1"/>
  <c r="G42" i="61"/>
  <c r="G43" i="61" s="1"/>
  <c r="L11" i="49"/>
  <c r="L20" i="49" s="1"/>
  <c r="F47" i="49"/>
  <c r="M47" i="49"/>
  <c r="G47" i="49"/>
  <c r="D11" i="49"/>
  <c r="D12" i="49" s="1"/>
  <c r="D13" i="49" s="1"/>
  <c r="C85" i="18"/>
  <c r="H88" i="18"/>
  <c r="G37" i="61"/>
  <c r="C12" i="61"/>
  <c r="J64" i="18"/>
  <c r="B88" i="18"/>
  <c r="F88" i="18"/>
  <c r="L64" i="18"/>
  <c r="D64" i="18"/>
  <c r="K33" i="24"/>
  <c r="K47" i="24" s="1"/>
  <c r="B64" i="18"/>
  <c r="F64" i="18"/>
  <c r="J88" i="18"/>
  <c r="H64" i="18"/>
  <c r="K64" i="14"/>
  <c r="G64" i="14"/>
  <c r="C64" i="14"/>
  <c r="K89" i="14"/>
  <c r="G89" i="14"/>
  <c r="C89" i="14"/>
  <c r="K50" i="70"/>
  <c r="G50" i="70"/>
  <c r="C50" i="70"/>
  <c r="K67" i="70"/>
  <c r="G67" i="70"/>
  <c r="C67" i="70"/>
  <c r="K50" i="49"/>
  <c r="G50" i="49"/>
  <c r="C50" i="49"/>
  <c r="K67" i="49"/>
  <c r="G67" i="49"/>
  <c r="C67" i="49"/>
  <c r="M64" i="18"/>
  <c r="I64" i="18"/>
  <c r="E64" i="18"/>
  <c r="M88" i="18"/>
  <c r="I88" i="18"/>
  <c r="E88" i="18"/>
  <c r="L64" i="14"/>
  <c r="H64" i="14"/>
  <c r="D64" i="14"/>
  <c r="L89" i="14"/>
  <c r="H89" i="14"/>
  <c r="D89" i="14"/>
  <c r="L50" i="70"/>
  <c r="H50" i="70"/>
  <c r="D50" i="70"/>
  <c r="L67" i="70"/>
  <c r="H67" i="70"/>
  <c r="D67" i="70"/>
  <c r="M64" i="14"/>
  <c r="I64" i="14"/>
  <c r="E64" i="14"/>
  <c r="M89" i="14"/>
  <c r="I89" i="14"/>
  <c r="E89" i="14"/>
  <c r="M50" i="70"/>
  <c r="I50" i="70"/>
  <c r="E50" i="70"/>
  <c r="M67" i="70"/>
  <c r="I67" i="70"/>
  <c r="E67" i="70"/>
  <c r="B64" i="14"/>
  <c r="J64" i="14"/>
  <c r="F64" i="14"/>
  <c r="B89" i="14"/>
  <c r="J89" i="14"/>
  <c r="F89" i="14"/>
  <c r="B50" i="70"/>
  <c r="J50" i="70"/>
  <c r="F50" i="70"/>
  <c r="B67" i="70"/>
  <c r="J67" i="70"/>
  <c r="F67" i="70"/>
  <c r="L37" i="61"/>
  <c r="L33" i="49"/>
  <c r="L33" i="70"/>
  <c r="L39" i="14"/>
  <c r="L40" i="18"/>
  <c r="K12" i="61"/>
  <c r="L16" i="18"/>
  <c r="H16" i="18"/>
  <c r="D16" i="18"/>
  <c r="D40" i="18"/>
  <c r="K14" i="14"/>
  <c r="G14" i="14"/>
  <c r="C14" i="14"/>
  <c r="K39" i="14"/>
  <c r="G39" i="14"/>
  <c r="C39" i="14"/>
  <c r="K16" i="70"/>
  <c r="G16" i="70"/>
  <c r="C16" i="70"/>
  <c r="K33" i="70"/>
  <c r="G33" i="70"/>
  <c r="C33" i="70"/>
  <c r="K14" i="49"/>
  <c r="G14" i="49"/>
  <c r="C14" i="49"/>
  <c r="K33" i="49"/>
  <c r="G33" i="49"/>
  <c r="C33" i="49"/>
  <c r="M16" i="18"/>
  <c r="I16" i="18"/>
  <c r="E16" i="18"/>
  <c r="M40" i="18"/>
  <c r="I40" i="18"/>
  <c r="E40" i="18"/>
  <c r="L14" i="14"/>
  <c r="H14" i="14"/>
  <c r="D14" i="14"/>
  <c r="D39" i="14"/>
  <c r="L16" i="70"/>
  <c r="H16" i="70"/>
  <c r="D16" i="70"/>
  <c r="D33" i="70"/>
  <c r="L14" i="49"/>
  <c r="B16" i="18"/>
  <c r="J16" i="18"/>
  <c r="F16" i="18"/>
  <c r="M14" i="14"/>
  <c r="I14" i="14"/>
  <c r="E14" i="14"/>
  <c r="M39" i="14"/>
  <c r="I39" i="14"/>
  <c r="E39" i="14"/>
  <c r="M16" i="70"/>
  <c r="I16" i="70"/>
  <c r="E16" i="70"/>
  <c r="M33" i="70"/>
  <c r="I33" i="70"/>
  <c r="E33" i="70"/>
  <c r="G12" i="61"/>
  <c r="B14" i="14"/>
  <c r="J14" i="14"/>
  <c r="F14" i="14"/>
  <c r="B16" i="70"/>
  <c r="J16" i="70"/>
  <c r="F16" i="70"/>
  <c r="C40" i="18"/>
  <c r="C37" i="61"/>
  <c r="I33" i="49"/>
  <c r="I37" i="61"/>
  <c r="D33" i="49"/>
  <c r="D37" i="61"/>
  <c r="H33" i="49"/>
  <c r="H33" i="70"/>
  <c r="H39" i="14"/>
  <c r="H37" i="61"/>
  <c r="H40" i="18"/>
  <c r="J33" i="49"/>
  <c r="J33" i="70"/>
  <c r="J39" i="14"/>
  <c r="J40" i="18"/>
  <c r="J37" i="61"/>
  <c r="F33" i="49"/>
  <c r="F33" i="70"/>
  <c r="F39" i="14"/>
  <c r="F40" i="18"/>
  <c r="F37" i="61"/>
  <c r="B33" i="49"/>
  <c r="B33" i="70"/>
  <c r="B39" i="14"/>
  <c r="B40" i="18"/>
  <c r="B37" i="61"/>
  <c r="C106" i="24" l="1"/>
  <c r="D345" i="48" s="1"/>
  <c r="D15" i="49"/>
  <c r="E56" i="48" s="1"/>
  <c r="F272" i="16"/>
  <c r="C84" i="18"/>
  <c r="C87" i="18" s="1"/>
  <c r="C97" i="18" s="1"/>
  <c r="C17" i="90"/>
  <c r="F12" i="89"/>
  <c r="F51" i="49"/>
  <c r="F49" i="49"/>
  <c r="F48" i="49" s="1"/>
  <c r="H29" i="24"/>
  <c r="H17" i="94"/>
  <c r="H12" i="91"/>
  <c r="H85" i="49"/>
  <c r="H83" i="49"/>
  <c r="H82" i="49" s="1"/>
  <c r="L34" i="49"/>
  <c r="L32" i="49"/>
  <c r="L31" i="49" s="1"/>
  <c r="G22" i="11"/>
  <c r="B282" i="16" s="1"/>
  <c r="G12" i="90"/>
  <c r="G68" i="49"/>
  <c r="H193" i="48" s="1"/>
  <c r="G66" i="49"/>
  <c r="G65" i="49" s="1"/>
  <c r="C27" i="94"/>
  <c r="C171" i="4"/>
  <c r="G29" i="24"/>
  <c r="G28" i="24" s="1"/>
  <c r="G31" i="24" s="1"/>
  <c r="G30" i="24" s="1"/>
  <c r="G17" i="94"/>
  <c r="L29" i="24"/>
  <c r="L28" i="24" s="1"/>
  <c r="L31" i="24" s="1"/>
  <c r="L34" i="24" s="1"/>
  <c r="M94" i="48" s="1"/>
  <c r="L17" i="94"/>
  <c r="D43" i="24"/>
  <c r="D17" i="89"/>
  <c r="H60" i="18"/>
  <c r="H63" i="18" s="1"/>
  <c r="H62" i="18" s="1"/>
  <c r="H17" i="89"/>
  <c r="M60" i="18"/>
  <c r="M63" i="18" s="1"/>
  <c r="M68" i="18" s="1"/>
  <c r="M17" i="89"/>
  <c r="L57" i="24"/>
  <c r="L56" i="24" s="1"/>
  <c r="L59" i="24" s="1"/>
  <c r="L62" i="24" s="1"/>
  <c r="M191" i="48" s="1"/>
  <c r="L17" i="90"/>
  <c r="F71" i="24"/>
  <c r="F17" i="91"/>
  <c r="J108" i="18"/>
  <c r="J111" i="18" s="1"/>
  <c r="J113" i="18" s="1"/>
  <c r="K240" i="48" s="1"/>
  <c r="J17" i="91"/>
  <c r="C302" i="64"/>
  <c r="C301" i="16" s="1"/>
  <c r="C29" i="91"/>
  <c r="L34" i="70"/>
  <c r="M98" i="48" s="1"/>
  <c r="L32" i="70"/>
  <c r="L31" i="70" s="1"/>
  <c r="H34" i="70"/>
  <c r="I98" i="48" s="1"/>
  <c r="H32" i="70"/>
  <c r="H31" i="70" s="1"/>
  <c r="D34" i="70"/>
  <c r="D32" i="70"/>
  <c r="D31" i="70" s="1"/>
  <c r="L13" i="89"/>
  <c r="L49" i="70"/>
  <c r="L48" i="70" s="1"/>
  <c r="L51" i="70"/>
  <c r="M144" i="48" s="1"/>
  <c r="H13" i="89"/>
  <c r="H51" i="70"/>
  <c r="H49" i="70"/>
  <c r="H48" i="70" s="1"/>
  <c r="D13" i="89"/>
  <c r="D49" i="70"/>
  <c r="D48" i="70" s="1"/>
  <c r="D51" i="70"/>
  <c r="L68" i="70"/>
  <c r="L66" i="70"/>
  <c r="L65" i="70" s="1"/>
  <c r="H68" i="70"/>
  <c r="H66" i="70"/>
  <c r="H65" i="70" s="1"/>
  <c r="D68" i="70"/>
  <c r="E195" i="48" s="1"/>
  <c r="D66" i="70"/>
  <c r="D65" i="70" s="1"/>
  <c r="H12" i="89"/>
  <c r="H51" i="49"/>
  <c r="I142" i="48" s="1"/>
  <c r="H49" i="49"/>
  <c r="H48" i="49" s="1"/>
  <c r="E68" i="49"/>
  <c r="F193" i="48" s="1"/>
  <c r="E66" i="49"/>
  <c r="E65" i="49" s="1"/>
  <c r="J34" i="49"/>
  <c r="J32" i="49"/>
  <c r="J31" i="49" s="1"/>
  <c r="I66" i="49"/>
  <c r="I65" i="49" s="1"/>
  <c r="I68" i="49"/>
  <c r="I29" i="24"/>
  <c r="I28" i="24" s="1"/>
  <c r="I31" i="24" s="1"/>
  <c r="I30" i="24" s="1"/>
  <c r="I17" i="94"/>
  <c r="M29" i="24"/>
  <c r="M28" i="24" s="1"/>
  <c r="M31" i="24" s="1"/>
  <c r="M30" i="24" s="1"/>
  <c r="M17" i="94"/>
  <c r="E60" i="18"/>
  <c r="E63" i="18" s="1"/>
  <c r="E73" i="18" s="1"/>
  <c r="E75" i="18" s="1"/>
  <c r="F139" i="48" s="1"/>
  <c r="E17" i="89"/>
  <c r="I60" i="18"/>
  <c r="I63" i="18" s="1"/>
  <c r="I73" i="18" s="1"/>
  <c r="I75" i="18" s="1"/>
  <c r="J139" i="48" s="1"/>
  <c r="I17" i="89"/>
  <c r="G57" i="24"/>
  <c r="G17" i="90"/>
  <c r="E84" i="18"/>
  <c r="E87" i="18" s="1"/>
  <c r="E86" i="18" s="1"/>
  <c r="E17" i="90"/>
  <c r="B84" i="18"/>
  <c r="B87" i="18" s="1"/>
  <c r="B89" i="18" s="1"/>
  <c r="C188" i="48" s="1"/>
  <c r="B17" i="90"/>
  <c r="C71" i="24"/>
  <c r="C17" i="91"/>
  <c r="G108" i="18"/>
  <c r="G111" i="18" s="1"/>
  <c r="G121" i="18" s="1"/>
  <c r="G17" i="91"/>
  <c r="K71" i="24"/>
  <c r="K70" i="24" s="1"/>
  <c r="K73" i="24" s="1"/>
  <c r="K72" i="24" s="1"/>
  <c r="K17" i="91"/>
  <c r="C186" i="64"/>
  <c r="C181" i="16" s="1"/>
  <c r="C30" i="90"/>
  <c r="C30" i="89"/>
  <c r="D12" i="91"/>
  <c r="D85" i="49"/>
  <c r="D83" i="49"/>
  <c r="D82" i="49" s="1"/>
  <c r="K34" i="70"/>
  <c r="K32" i="70"/>
  <c r="K31" i="70" s="1"/>
  <c r="G34" i="70"/>
  <c r="H98" i="48" s="1"/>
  <c r="G32" i="70"/>
  <c r="G31" i="70" s="1"/>
  <c r="C34" i="70"/>
  <c r="C32" i="70"/>
  <c r="C31" i="70" s="1"/>
  <c r="K13" i="89"/>
  <c r="K51" i="70"/>
  <c r="L144" i="48" s="1"/>
  <c r="K49" i="70"/>
  <c r="K48" i="70" s="1"/>
  <c r="G13" i="89"/>
  <c r="G51" i="70"/>
  <c r="H144" i="48" s="1"/>
  <c r="G49" i="70"/>
  <c r="G48" i="70" s="1"/>
  <c r="C13" i="89"/>
  <c r="C51" i="70"/>
  <c r="D144" i="48" s="1"/>
  <c r="C49" i="70"/>
  <c r="C48" i="70" s="1"/>
  <c r="K66" i="70"/>
  <c r="K65" i="70" s="1"/>
  <c r="K68" i="70"/>
  <c r="L195" i="48" s="1"/>
  <c r="G68" i="70"/>
  <c r="H195" i="48" s="1"/>
  <c r="G66" i="70"/>
  <c r="G65" i="70" s="1"/>
  <c r="C68" i="70"/>
  <c r="C66" i="70"/>
  <c r="C65" i="70" s="1"/>
  <c r="G12" i="89"/>
  <c r="G51" i="49"/>
  <c r="G49" i="49"/>
  <c r="G48" i="49" s="1"/>
  <c r="I84" i="18"/>
  <c r="I87" i="18" s="1"/>
  <c r="I97" i="18" s="1"/>
  <c r="I99" i="18" s="1"/>
  <c r="I17" i="90"/>
  <c r="K34" i="49"/>
  <c r="L96" i="48" s="1"/>
  <c r="K32" i="49"/>
  <c r="K31" i="49" s="1"/>
  <c r="C22" i="85"/>
  <c r="B23" i="85"/>
  <c r="K12" i="90"/>
  <c r="K68" i="49"/>
  <c r="K66" i="49"/>
  <c r="K65" i="49" s="1"/>
  <c r="C28" i="90"/>
  <c r="C28" i="89"/>
  <c r="E29" i="24"/>
  <c r="E17" i="94"/>
  <c r="J29" i="24"/>
  <c r="J17" i="94"/>
  <c r="B60" i="18"/>
  <c r="B63" i="18" s="1"/>
  <c r="B65" i="18" s="1"/>
  <c r="C137" i="48" s="1"/>
  <c r="B17" i="89"/>
  <c r="F43" i="24"/>
  <c r="F42" i="24" s="1"/>
  <c r="F45" i="24" s="1"/>
  <c r="F44" i="24" s="1"/>
  <c r="F17" i="89"/>
  <c r="J43" i="24"/>
  <c r="J17" i="89"/>
  <c r="K57" i="24"/>
  <c r="K17" i="90"/>
  <c r="D71" i="24"/>
  <c r="D70" i="24" s="1"/>
  <c r="D73" i="24" s="1"/>
  <c r="D72" i="24" s="1"/>
  <c r="D17" i="91"/>
  <c r="H108" i="18"/>
  <c r="H111" i="18" s="1"/>
  <c r="H116" i="18" s="1"/>
  <c r="H17" i="91"/>
  <c r="M71" i="24"/>
  <c r="M17" i="91"/>
  <c r="H186" i="64"/>
  <c r="H181" i="16" s="1"/>
  <c r="H30" i="90"/>
  <c r="H30" i="89"/>
  <c r="J85" i="49"/>
  <c r="K245" i="48" s="1"/>
  <c r="J83" i="49"/>
  <c r="J82" i="49" s="1"/>
  <c r="B32" i="70"/>
  <c r="B31" i="70" s="1"/>
  <c r="B34" i="70"/>
  <c r="C98" i="48" s="1"/>
  <c r="J32" i="70"/>
  <c r="J31" i="70" s="1"/>
  <c r="J34" i="70"/>
  <c r="K98" i="48" s="1"/>
  <c r="F32" i="70"/>
  <c r="F31" i="70" s="1"/>
  <c r="F34" i="70"/>
  <c r="B13" i="89"/>
  <c r="B51" i="70"/>
  <c r="C144" i="48" s="1"/>
  <c r="B49" i="70"/>
  <c r="B48" i="70" s="1"/>
  <c r="J13" i="89"/>
  <c r="J51" i="70"/>
  <c r="J49" i="70"/>
  <c r="J48" i="70" s="1"/>
  <c r="F13" i="89"/>
  <c r="F51" i="70"/>
  <c r="G144" i="48" s="1"/>
  <c r="F49" i="70"/>
  <c r="F48" i="70" s="1"/>
  <c r="B66" i="70"/>
  <c r="B65" i="70" s="1"/>
  <c r="B68" i="70"/>
  <c r="J68" i="70"/>
  <c r="K195" i="48" s="1"/>
  <c r="J66" i="70"/>
  <c r="J65" i="70" s="1"/>
  <c r="F66" i="70"/>
  <c r="F65" i="70" s="1"/>
  <c r="F68" i="70"/>
  <c r="B85" i="70"/>
  <c r="C247" i="48" s="1"/>
  <c r="B83" i="70"/>
  <c r="B82" i="70" s="1"/>
  <c r="M12" i="89"/>
  <c r="M49" i="49"/>
  <c r="M48" i="49" s="1"/>
  <c r="M51" i="49"/>
  <c r="N142" i="48" s="1"/>
  <c r="M57" i="24"/>
  <c r="M56" i="24" s="1"/>
  <c r="M59" i="24" s="1"/>
  <c r="M58" i="24" s="1"/>
  <c r="M17" i="90"/>
  <c r="C34" i="49"/>
  <c r="C32" i="49"/>
  <c r="C31" i="49" s="1"/>
  <c r="D295" i="4"/>
  <c r="D28" i="91" s="1"/>
  <c r="C28" i="91"/>
  <c r="B171" i="14"/>
  <c r="B146" i="14"/>
  <c r="B32" i="90"/>
  <c r="B265" i="4"/>
  <c r="B87" i="14"/>
  <c r="B88" i="14" s="1"/>
  <c r="B16" i="90"/>
  <c r="C12" i="90"/>
  <c r="C68" i="49"/>
  <c r="C66" i="49"/>
  <c r="C65" i="49" s="1"/>
  <c r="M68" i="49"/>
  <c r="N193" i="48" s="1"/>
  <c r="M66" i="49"/>
  <c r="M65" i="49" s="1"/>
  <c r="C136" i="4"/>
  <c r="F29" i="24"/>
  <c r="F28" i="24" s="1"/>
  <c r="F31" i="24" s="1"/>
  <c r="F30" i="24" s="1"/>
  <c r="F17" i="94"/>
  <c r="C43" i="24"/>
  <c r="C17" i="89"/>
  <c r="G60" i="18"/>
  <c r="G63" i="18" s="1"/>
  <c r="G62" i="18" s="1"/>
  <c r="G17" i="89"/>
  <c r="L60" i="18"/>
  <c r="L63" i="18" s="1"/>
  <c r="L62" i="18" s="1"/>
  <c r="L17" i="89"/>
  <c r="H84" i="18"/>
  <c r="H87" i="18" s="1"/>
  <c r="H97" i="18" s="1"/>
  <c r="H99" i="18" s="1"/>
  <c r="I190" i="48" s="1"/>
  <c r="H17" i="90"/>
  <c r="F57" i="24"/>
  <c r="F17" i="90"/>
  <c r="E71" i="24"/>
  <c r="E17" i="91"/>
  <c r="I71" i="24"/>
  <c r="I70" i="24" s="1"/>
  <c r="I73" i="24" s="1"/>
  <c r="I76" i="24" s="1"/>
  <c r="I17" i="91"/>
  <c r="E34" i="49"/>
  <c r="F96" i="48" s="1"/>
  <c r="E32" i="49"/>
  <c r="E31" i="49" s="1"/>
  <c r="M85" i="49"/>
  <c r="N245" i="48" s="1"/>
  <c r="M83" i="49"/>
  <c r="M82" i="49" s="1"/>
  <c r="M32" i="70"/>
  <c r="M31" i="70" s="1"/>
  <c r="M34" i="70"/>
  <c r="N98" i="48" s="1"/>
  <c r="I32" i="70"/>
  <c r="I31" i="70" s="1"/>
  <c r="I34" i="70"/>
  <c r="E32" i="70"/>
  <c r="E31" i="70" s="1"/>
  <c r="E34" i="70"/>
  <c r="M13" i="89"/>
  <c r="M51" i="70"/>
  <c r="M49" i="70"/>
  <c r="M48" i="70" s="1"/>
  <c r="I13" i="89"/>
  <c r="I51" i="70"/>
  <c r="J144" i="48" s="1"/>
  <c r="I49" i="70"/>
  <c r="I48" i="70" s="1"/>
  <c r="E13" i="89"/>
  <c r="E51" i="70"/>
  <c r="E49" i="70"/>
  <c r="E48" i="70" s="1"/>
  <c r="M68" i="70"/>
  <c r="M66" i="70"/>
  <c r="M65" i="70" s="1"/>
  <c r="I68" i="70"/>
  <c r="I66" i="70"/>
  <c r="I65" i="70" s="1"/>
  <c r="E13" i="90"/>
  <c r="E68" i="70"/>
  <c r="E66" i="70"/>
  <c r="E65" i="70" s="1"/>
  <c r="M88" i="70"/>
  <c r="M85" i="70"/>
  <c r="N247" i="48" s="1"/>
  <c r="M83" i="70"/>
  <c r="M82" i="70" s="1"/>
  <c r="M13" i="91"/>
  <c r="L83" i="70"/>
  <c r="L82" i="70" s="1"/>
  <c r="L85" i="70"/>
  <c r="M247" i="48" s="1"/>
  <c r="L13" i="91"/>
  <c r="K85" i="70"/>
  <c r="L247" i="48" s="1"/>
  <c r="K83" i="70"/>
  <c r="K82" i="70" s="1"/>
  <c r="K13" i="91"/>
  <c r="J83" i="70"/>
  <c r="J82" i="70" s="1"/>
  <c r="J85" i="70"/>
  <c r="K247" i="48" s="1"/>
  <c r="J13" i="91"/>
  <c r="J88" i="70"/>
  <c r="I88" i="70"/>
  <c r="I85" i="70"/>
  <c r="I83" i="70"/>
  <c r="I82" i="70" s="1"/>
  <c r="I13" i="91"/>
  <c r="H83" i="70"/>
  <c r="H82" i="70" s="1"/>
  <c r="H85" i="70"/>
  <c r="I247" i="48" s="1"/>
  <c r="H13" i="91"/>
  <c r="G85" i="70"/>
  <c r="H247" i="48" s="1"/>
  <c r="G83" i="70"/>
  <c r="G82" i="70" s="1"/>
  <c r="G13" i="91"/>
  <c r="F88" i="70"/>
  <c r="F83" i="70"/>
  <c r="F82" i="70" s="1"/>
  <c r="F85" i="70"/>
  <c r="G247" i="48" s="1"/>
  <c r="F13" i="91"/>
  <c r="E85" i="70"/>
  <c r="E83" i="70"/>
  <c r="E82" i="70" s="1"/>
  <c r="E13" i="91"/>
  <c r="D88" i="70"/>
  <c r="D83" i="70"/>
  <c r="D82" i="70" s="1"/>
  <c r="D85" i="70"/>
  <c r="E247" i="48" s="1"/>
  <c r="D13" i="91"/>
  <c r="C85" i="70"/>
  <c r="D247" i="48" s="1"/>
  <c r="C83" i="70"/>
  <c r="C82" i="70" s="1"/>
  <c r="C13" i="91"/>
  <c r="E71" i="49"/>
  <c r="E12" i="90"/>
  <c r="L13" i="94"/>
  <c r="H71" i="70"/>
  <c r="H13" i="90"/>
  <c r="K12" i="94"/>
  <c r="J37" i="49"/>
  <c r="J12" i="94"/>
  <c r="I12" i="90"/>
  <c r="K13" i="94"/>
  <c r="G13" i="94"/>
  <c r="C37" i="70"/>
  <c r="C13" i="94"/>
  <c r="K71" i="70"/>
  <c r="K13" i="90"/>
  <c r="G71" i="70"/>
  <c r="G13" i="90"/>
  <c r="C13" i="90"/>
  <c r="L13" i="90"/>
  <c r="C37" i="49"/>
  <c r="C12" i="94"/>
  <c r="J88" i="49"/>
  <c r="J12" i="91"/>
  <c r="B13" i="94"/>
  <c r="J13" i="94"/>
  <c r="F37" i="70"/>
  <c r="F13" i="94"/>
  <c r="B13" i="90"/>
  <c r="J71" i="70"/>
  <c r="J13" i="90"/>
  <c r="F71" i="70"/>
  <c r="F13" i="90"/>
  <c r="B13" i="91"/>
  <c r="L37" i="49"/>
  <c r="L12" i="94"/>
  <c r="H37" i="70"/>
  <c r="H13" i="94"/>
  <c r="D37" i="70"/>
  <c r="D13" i="94"/>
  <c r="D13" i="90"/>
  <c r="M71" i="49"/>
  <c r="M12" i="90"/>
  <c r="E37" i="49"/>
  <c r="E12" i="94"/>
  <c r="M88" i="49"/>
  <c r="M12" i="91"/>
  <c r="M37" i="70"/>
  <c r="M13" i="94"/>
  <c r="I13" i="94"/>
  <c r="F98" i="48"/>
  <c r="E13" i="94"/>
  <c r="M71" i="70"/>
  <c r="M13" i="90"/>
  <c r="J195" i="48"/>
  <c r="I13" i="90"/>
  <c r="K397" i="16"/>
  <c r="K398" i="16" s="1"/>
  <c r="G397" i="16"/>
  <c r="G398" i="16" s="1"/>
  <c r="C397" i="16"/>
  <c r="C398" i="16" s="1"/>
  <c r="F397" i="16"/>
  <c r="F398" i="16" s="1"/>
  <c r="L397" i="16"/>
  <c r="L398" i="16" s="1"/>
  <c r="H397" i="16"/>
  <c r="H398" i="16" s="1"/>
  <c r="D397" i="16"/>
  <c r="D398" i="16" s="1"/>
  <c r="J397" i="16"/>
  <c r="J398" i="16" s="1"/>
  <c r="B397" i="16"/>
  <c r="B398" i="16" s="1"/>
  <c r="M397" i="16"/>
  <c r="M398" i="16" s="1"/>
  <c r="I397" i="16"/>
  <c r="I398" i="16" s="1"/>
  <c r="E397" i="16"/>
  <c r="E398" i="16" s="1"/>
  <c r="L422" i="16"/>
  <c r="H422" i="16"/>
  <c r="D422" i="16"/>
  <c r="K402" i="16"/>
  <c r="K403" i="16" s="1"/>
  <c r="G402" i="16"/>
  <c r="G403" i="16" s="1"/>
  <c r="C402" i="16"/>
  <c r="F402" i="16"/>
  <c r="F403" i="16" s="1"/>
  <c r="M422" i="16"/>
  <c r="I422" i="16"/>
  <c r="E422" i="16"/>
  <c r="L402" i="16"/>
  <c r="L403" i="16" s="1"/>
  <c r="H402" i="16"/>
  <c r="H403" i="16" s="1"/>
  <c r="D402" i="16"/>
  <c r="D403" i="16" s="1"/>
  <c r="K422" i="16"/>
  <c r="G422" i="16"/>
  <c r="C422" i="16"/>
  <c r="J402" i="16"/>
  <c r="J403" i="16" s="1"/>
  <c r="B402" i="16"/>
  <c r="B422" i="16"/>
  <c r="E402" i="16"/>
  <c r="E403" i="16" s="1"/>
  <c r="J422" i="16"/>
  <c r="M402" i="16"/>
  <c r="M403" i="16" s="1"/>
  <c r="F422" i="16"/>
  <c r="I402" i="16"/>
  <c r="I403" i="16" s="1"/>
  <c r="M73" i="16"/>
  <c r="L382" i="16"/>
  <c r="H382" i="16"/>
  <c r="D382" i="16"/>
  <c r="K382" i="16"/>
  <c r="G382" i="16"/>
  <c r="M382" i="16"/>
  <c r="I382" i="16"/>
  <c r="E382" i="16"/>
  <c r="C382" i="16"/>
  <c r="B382" i="16"/>
  <c r="F382" i="16"/>
  <c r="J382" i="16"/>
  <c r="L387" i="16"/>
  <c r="L388" i="16" s="1"/>
  <c r="H387" i="16"/>
  <c r="H388" i="16" s="1"/>
  <c r="D387" i="16"/>
  <c r="D388" i="16" s="1"/>
  <c r="K387" i="16"/>
  <c r="K388" i="16" s="1"/>
  <c r="C387" i="16"/>
  <c r="C388" i="16" s="1"/>
  <c r="M387" i="16"/>
  <c r="M388" i="16" s="1"/>
  <c r="I387" i="16"/>
  <c r="I388" i="16" s="1"/>
  <c r="E387" i="16"/>
  <c r="E388" i="16" s="1"/>
  <c r="G387" i="16"/>
  <c r="G388" i="16" s="1"/>
  <c r="F387" i="16"/>
  <c r="F388" i="16" s="1"/>
  <c r="J387" i="16"/>
  <c r="J388" i="16" s="1"/>
  <c r="B387" i="16"/>
  <c r="B388" i="16" s="1"/>
  <c r="B75" i="14"/>
  <c r="B76" i="14" s="1"/>
  <c r="B77" i="14" s="1"/>
  <c r="B16" i="89"/>
  <c r="I144" i="48"/>
  <c r="E144" i="48"/>
  <c r="G142" i="48"/>
  <c r="K54" i="70"/>
  <c r="G54" i="70"/>
  <c r="J54" i="70"/>
  <c r="F54" i="70"/>
  <c r="M54" i="49"/>
  <c r="I54" i="70"/>
  <c r="E54" i="70"/>
  <c r="A36" i="63"/>
  <c r="A38" i="63" s="1"/>
  <c r="A40" i="63" s="1"/>
  <c r="A42" i="63" s="1"/>
  <c r="A44" i="63" s="1"/>
  <c r="A35" i="63"/>
  <c r="A37" i="63" s="1"/>
  <c r="A39" i="63" s="1"/>
  <c r="A41" i="63" s="1"/>
  <c r="A43" i="63" s="1"/>
  <c r="N24" i="63"/>
  <c r="L136" i="14" s="1"/>
  <c r="N25" i="63"/>
  <c r="L161" i="14" s="1"/>
  <c r="L16" i="93" s="1"/>
  <c r="L23" i="93" s="1"/>
  <c r="E20" i="48"/>
  <c r="D105" i="24"/>
  <c r="D106" i="24" s="1"/>
  <c r="E345" i="48" s="1"/>
  <c r="J20" i="48"/>
  <c r="I105" i="24"/>
  <c r="I106" i="24" s="1"/>
  <c r="J345" i="48" s="1"/>
  <c r="J247" i="48"/>
  <c r="L106" i="24"/>
  <c r="M345" i="48" s="1"/>
  <c r="I20" i="48"/>
  <c r="H105" i="24"/>
  <c r="C20" i="48"/>
  <c r="B105" i="24"/>
  <c r="B106" i="24" s="1"/>
  <c r="J106" i="24"/>
  <c r="K345" i="48" s="1"/>
  <c r="Q18" i="71"/>
  <c r="D17" i="63"/>
  <c r="J17" i="63"/>
  <c r="K96" i="48"/>
  <c r="J20" i="70"/>
  <c r="J21" i="70" s="1"/>
  <c r="F20" i="70"/>
  <c r="F21" i="70" s="1"/>
  <c r="F22" i="70" s="1"/>
  <c r="B71" i="70"/>
  <c r="L37" i="70"/>
  <c r="G14" i="70"/>
  <c r="G15" i="70" s="1"/>
  <c r="G17" i="70" s="1"/>
  <c r="H58" i="48" s="1"/>
  <c r="B20" i="70"/>
  <c r="B21" i="70" s="1"/>
  <c r="B22" i="70" s="1"/>
  <c r="K144" i="48"/>
  <c r="M83" i="4"/>
  <c r="M84" i="4" s="1"/>
  <c r="M79" i="4"/>
  <c r="I83" i="4"/>
  <c r="I84" i="4" s="1"/>
  <c r="I79" i="4"/>
  <c r="E83" i="4"/>
  <c r="E84" i="4" s="1"/>
  <c r="E79" i="4"/>
  <c r="H83" i="4"/>
  <c r="H84" i="4" s="1"/>
  <c r="H79" i="4"/>
  <c r="K79" i="4"/>
  <c r="K83" i="4"/>
  <c r="K84" i="4" s="1"/>
  <c r="G79" i="4"/>
  <c r="G83" i="4"/>
  <c r="G84" i="4" s="1"/>
  <c r="C79" i="4"/>
  <c r="C83" i="4"/>
  <c r="C84" i="4" s="1"/>
  <c r="L74" i="4"/>
  <c r="L78" i="4"/>
  <c r="D83" i="4"/>
  <c r="D84" i="4" s="1"/>
  <c r="D79" i="4"/>
  <c r="I186" i="4"/>
  <c r="C205" i="4"/>
  <c r="B74" i="4"/>
  <c r="B78" i="4"/>
  <c r="J79" i="4"/>
  <c r="J83" i="4"/>
  <c r="J84" i="4" s="1"/>
  <c r="F78" i="4"/>
  <c r="L210" i="4"/>
  <c r="B270" i="4"/>
  <c r="C46" i="64"/>
  <c r="C45" i="16" s="1"/>
  <c r="C67" i="4"/>
  <c r="D255" i="4"/>
  <c r="D252" i="64" s="1"/>
  <c r="D251" i="16" s="1"/>
  <c r="M156" i="16"/>
  <c r="D156" i="16"/>
  <c r="K156" i="16"/>
  <c r="G156" i="16"/>
  <c r="I156" i="16"/>
  <c r="E156" i="16"/>
  <c r="L156" i="16"/>
  <c r="H156" i="16"/>
  <c r="J156" i="16"/>
  <c r="F156" i="16"/>
  <c r="B156" i="16"/>
  <c r="B207" i="64"/>
  <c r="G125" i="48"/>
  <c r="C227" i="48"/>
  <c r="K125" i="48"/>
  <c r="C79" i="48"/>
  <c r="G227" i="48"/>
  <c r="K79" i="48"/>
  <c r="K176" i="48"/>
  <c r="N329" i="48"/>
  <c r="J329" i="48"/>
  <c r="F329" i="48"/>
  <c r="K329" i="48"/>
  <c r="G329" i="48"/>
  <c r="M329" i="48"/>
  <c r="I329" i="48"/>
  <c r="E329" i="48"/>
  <c r="L329" i="48"/>
  <c r="H329" i="48"/>
  <c r="D329" i="48"/>
  <c r="C329" i="48"/>
  <c r="C125" i="48"/>
  <c r="G176" i="48"/>
  <c r="K279" i="48"/>
  <c r="L54" i="70"/>
  <c r="L14" i="70"/>
  <c r="L15" i="70" s="1"/>
  <c r="L17" i="70" s="1"/>
  <c r="M58" i="48" s="1"/>
  <c r="D14" i="70"/>
  <c r="D15" i="70" s="1"/>
  <c r="D17" i="70" s="1"/>
  <c r="E58" i="48" s="1"/>
  <c r="K14" i="70"/>
  <c r="K15" i="70" s="1"/>
  <c r="K17" i="70" s="1"/>
  <c r="L58" i="48" s="1"/>
  <c r="E17" i="70"/>
  <c r="F58" i="48" s="1"/>
  <c r="H20" i="70"/>
  <c r="J17" i="70"/>
  <c r="K58" i="48" s="1"/>
  <c r="E98" i="48"/>
  <c r="N47" i="70"/>
  <c r="H88" i="70"/>
  <c r="L88" i="70"/>
  <c r="B88" i="70"/>
  <c r="D71" i="70"/>
  <c r="B54" i="70"/>
  <c r="C16" i="60"/>
  <c r="D323" i="48" s="1"/>
  <c r="B141" i="64"/>
  <c r="M98" i="16"/>
  <c r="M99" i="16" s="1"/>
  <c r="B347" i="16"/>
  <c r="L142" i="16"/>
  <c r="B327" i="16"/>
  <c r="F227" i="16"/>
  <c r="B342" i="16"/>
  <c r="B343" i="16" s="1"/>
  <c r="C73" i="16"/>
  <c r="J88" i="16"/>
  <c r="E217" i="16"/>
  <c r="B332" i="16"/>
  <c r="B333" i="16" s="1"/>
  <c r="D72" i="64"/>
  <c r="D72" i="16" s="1"/>
  <c r="E146" i="64"/>
  <c r="E141" i="16" s="1"/>
  <c r="D41" i="4"/>
  <c r="D35" i="16" s="1"/>
  <c r="D56" i="64" s="1"/>
  <c r="C35" i="16"/>
  <c r="C56" i="64" s="1"/>
  <c r="F72" i="64"/>
  <c r="F72" i="16" s="1"/>
  <c r="I72" i="64"/>
  <c r="C146" i="64"/>
  <c r="C141" i="16" s="1"/>
  <c r="J146" i="64"/>
  <c r="H146" i="64"/>
  <c r="H141" i="16" s="1"/>
  <c r="C242" i="64"/>
  <c r="C241" i="16" s="1"/>
  <c r="C112" i="16"/>
  <c r="C127" i="64" s="1"/>
  <c r="B316" i="16"/>
  <c r="C72" i="64"/>
  <c r="G72" i="64"/>
  <c r="J72" i="64"/>
  <c r="J72" i="16" s="1"/>
  <c r="D146" i="64"/>
  <c r="D141" i="16" s="1"/>
  <c r="L146" i="64"/>
  <c r="L141" i="16" s="1"/>
  <c r="K72" i="64"/>
  <c r="E72" i="64"/>
  <c r="H72" i="64"/>
  <c r="G146" i="64"/>
  <c r="G141" i="16" s="1"/>
  <c r="M146" i="64"/>
  <c r="M141" i="16" s="1"/>
  <c r="L27" i="61"/>
  <c r="M16" i="48" s="1"/>
  <c r="N13" i="60"/>
  <c r="O258" i="48"/>
  <c r="I11" i="61"/>
  <c r="I13" i="61" s="1"/>
  <c r="J14" i="48" s="1"/>
  <c r="D221" i="4"/>
  <c r="D222" i="4" s="1"/>
  <c r="K38" i="61"/>
  <c r="L88" i="48" s="1"/>
  <c r="I195" i="48"/>
  <c r="L71" i="70"/>
  <c r="D54" i="70"/>
  <c r="H54" i="70"/>
  <c r="C54" i="70"/>
  <c r="J37" i="70"/>
  <c r="G98" i="48"/>
  <c r="H17" i="70"/>
  <c r="I58" i="48" s="1"/>
  <c r="B15" i="70"/>
  <c r="B17" i="70" s="1"/>
  <c r="C58" i="48" s="1"/>
  <c r="M72" i="16"/>
  <c r="L72" i="16"/>
  <c r="D147" i="16"/>
  <c r="D148" i="16" s="1"/>
  <c r="I31" i="16"/>
  <c r="I32" i="16" s="1"/>
  <c r="E187" i="16"/>
  <c r="E192" i="16" s="1"/>
  <c r="E197" i="16" s="1"/>
  <c r="E237" i="16"/>
  <c r="E247" i="16" s="1"/>
  <c r="E252" i="16" s="1"/>
  <c r="I167" i="16"/>
  <c r="I177" i="16" s="1"/>
  <c r="I182" i="16" s="1"/>
  <c r="I103" i="16"/>
  <c r="I108" i="16" s="1"/>
  <c r="I113" i="16" s="1"/>
  <c r="I118" i="16" s="1"/>
  <c r="I123" i="16" s="1"/>
  <c r="F98" i="16"/>
  <c r="F99" i="16" s="1"/>
  <c r="E41" i="16"/>
  <c r="E42" i="16" s="1"/>
  <c r="H187" i="16"/>
  <c r="H192" i="16" s="1"/>
  <c r="H103" i="16"/>
  <c r="H108" i="16" s="1"/>
  <c r="H113" i="16" s="1"/>
  <c r="H118" i="16" s="1"/>
  <c r="H123" i="16" s="1"/>
  <c r="C36" i="16"/>
  <c r="E292" i="16"/>
  <c r="E293" i="16" s="1"/>
  <c r="K257" i="16"/>
  <c r="K262" i="16" s="1"/>
  <c r="K263" i="16" s="1"/>
  <c r="L167" i="16"/>
  <c r="L177" i="16" s="1"/>
  <c r="L182" i="16" s="1"/>
  <c r="M93" i="16"/>
  <c r="M94" i="16" s="1"/>
  <c r="L36" i="16"/>
  <c r="C292" i="16"/>
  <c r="C297" i="16" s="1"/>
  <c r="C302" i="16" s="1"/>
  <c r="D302" i="16" s="1"/>
  <c r="E302" i="16" s="1"/>
  <c r="F302" i="16" s="1"/>
  <c r="G302" i="16" s="1"/>
  <c r="H302" i="16" s="1"/>
  <c r="I302" i="16" s="1"/>
  <c r="J302" i="16" s="1"/>
  <c r="K302" i="16" s="1"/>
  <c r="L302" i="16" s="1"/>
  <c r="M302" i="16" s="1"/>
  <c r="L242" i="16"/>
  <c r="D41" i="16"/>
  <c r="D42" i="16" s="1"/>
  <c r="L187" i="16"/>
  <c r="L192" i="16" s="1"/>
  <c r="D292" i="16"/>
  <c r="D293" i="16" s="1"/>
  <c r="G292" i="16"/>
  <c r="G293" i="16" s="1"/>
  <c r="B307" i="16"/>
  <c r="B308" i="16" s="1"/>
  <c r="E31" i="16"/>
  <c r="E32" i="16" s="1"/>
  <c r="M41" i="16"/>
  <c r="M42" i="16" s="1"/>
  <c r="M292" i="16"/>
  <c r="M293" i="16" s="1"/>
  <c r="L103" i="16"/>
  <c r="L108" i="16" s="1"/>
  <c r="L113" i="16" s="1"/>
  <c r="L118" i="16" s="1"/>
  <c r="L123" i="16" s="1"/>
  <c r="H257" i="16"/>
  <c r="H262" i="16" s="1"/>
  <c r="H263" i="16" s="1"/>
  <c r="J257" i="16"/>
  <c r="J262" i="16" s="1"/>
  <c r="J263" i="16" s="1"/>
  <c r="J41" i="16"/>
  <c r="J42" i="16" s="1"/>
  <c r="D237" i="16"/>
  <c r="D247" i="16" s="1"/>
  <c r="D252" i="16" s="1"/>
  <c r="J232" i="16"/>
  <c r="J233" i="16" s="1"/>
  <c r="J46" i="16"/>
  <c r="F187" i="16"/>
  <c r="F192" i="16" s="1"/>
  <c r="I237" i="16"/>
  <c r="I247" i="16" s="1"/>
  <c r="I252" i="16" s="1"/>
  <c r="J98" i="16"/>
  <c r="J99" i="16" s="1"/>
  <c r="G41" i="16"/>
  <c r="G42" i="16" s="1"/>
  <c r="D36" i="16"/>
  <c r="D98" i="16"/>
  <c r="D99" i="16" s="1"/>
  <c r="M167" i="16"/>
  <c r="M177" i="16" s="1"/>
  <c r="M182" i="16" s="1"/>
  <c r="L232" i="16"/>
  <c r="L233" i="16" s="1"/>
  <c r="K103" i="16"/>
  <c r="K108" i="16" s="1"/>
  <c r="K113" i="16" s="1"/>
  <c r="K118" i="16" s="1"/>
  <c r="K123" i="16" s="1"/>
  <c r="C93" i="16"/>
  <c r="C94" i="16" s="1"/>
  <c r="M237" i="16"/>
  <c r="M247" i="16" s="1"/>
  <c r="M252" i="16" s="1"/>
  <c r="E103" i="16"/>
  <c r="E108" i="16" s="1"/>
  <c r="H36" i="16"/>
  <c r="C242" i="16"/>
  <c r="C237" i="16"/>
  <c r="C247" i="16" s="1"/>
  <c r="C252" i="16" s="1"/>
  <c r="C253" i="16" s="1"/>
  <c r="G232" i="16"/>
  <c r="G233" i="16" s="1"/>
  <c r="K98" i="16"/>
  <c r="L46" i="16"/>
  <c r="J292" i="16"/>
  <c r="J293" i="16" s="1"/>
  <c r="L41" i="16"/>
  <c r="L42" i="16" s="1"/>
  <c r="G103" i="16"/>
  <c r="G108" i="16" s="1"/>
  <c r="G113" i="16" s="1"/>
  <c r="F232" i="16"/>
  <c r="F233" i="16" s="1"/>
  <c r="K46" i="16"/>
  <c r="B72" i="16"/>
  <c r="B141" i="16"/>
  <c r="B32" i="16"/>
  <c r="M26" i="16"/>
  <c r="M27" i="16" s="1"/>
  <c r="C26" i="16"/>
  <c r="G157" i="16"/>
  <c r="M11" i="16"/>
  <c r="J142" i="16"/>
  <c r="G147" i="16"/>
  <c r="G148" i="16" s="1"/>
  <c r="G277" i="16"/>
  <c r="G278" i="16" s="1"/>
  <c r="M147" i="16"/>
  <c r="I16" i="16"/>
  <c r="I17" i="16" s="1"/>
  <c r="B94" i="16"/>
  <c r="C272" i="16"/>
  <c r="L272" i="16"/>
  <c r="C11" i="16"/>
  <c r="G272" i="16"/>
  <c r="F212" i="16"/>
  <c r="C212" i="16"/>
  <c r="M212" i="16"/>
  <c r="D212" i="16"/>
  <c r="J11" i="16"/>
  <c r="H142" i="16"/>
  <c r="G212" i="16"/>
  <c r="G142" i="16"/>
  <c r="E212" i="16"/>
  <c r="M142" i="16"/>
  <c r="K11" i="16"/>
  <c r="L11" i="16"/>
  <c r="J212" i="16"/>
  <c r="K212" i="16"/>
  <c r="J272" i="16"/>
  <c r="E142" i="16"/>
  <c r="E73" i="16"/>
  <c r="D11" i="16"/>
  <c r="E272" i="16"/>
  <c r="B36" i="16"/>
  <c r="B37" i="16" s="1"/>
  <c r="F36" i="16"/>
  <c r="K312" i="16"/>
  <c r="K317" i="16" s="1"/>
  <c r="C167" i="16"/>
  <c r="C177" i="16" s="1"/>
  <c r="C182" i="16" s="1"/>
  <c r="K232" i="16"/>
  <c r="K233" i="16" s="1"/>
  <c r="D162" i="16"/>
  <c r="D163" i="16" s="1"/>
  <c r="H167" i="16"/>
  <c r="H177" i="16" s="1"/>
  <c r="H182" i="16" s="1"/>
  <c r="D93" i="16"/>
  <c r="D94" i="16" s="1"/>
  <c r="M312" i="16"/>
  <c r="M317" i="16" s="1"/>
  <c r="J162" i="16"/>
  <c r="J163" i="16" s="1"/>
  <c r="E93" i="16"/>
  <c r="E94" i="16" s="1"/>
  <c r="G36" i="16"/>
  <c r="D242" i="16"/>
  <c r="E167" i="16"/>
  <c r="E177" i="16" s="1"/>
  <c r="E182" i="16" s="1"/>
  <c r="F237" i="16"/>
  <c r="F247" i="16" s="1"/>
  <c r="F252" i="16" s="1"/>
  <c r="L237" i="16"/>
  <c r="L247" i="16" s="1"/>
  <c r="L252" i="16" s="1"/>
  <c r="C46" i="16"/>
  <c r="M36" i="16"/>
  <c r="M242" i="16"/>
  <c r="H292" i="16"/>
  <c r="H293" i="16" s="1"/>
  <c r="I93" i="16"/>
  <c r="I94" i="16" s="1"/>
  <c r="K237" i="16"/>
  <c r="K247" i="16" s="1"/>
  <c r="K252" i="16" s="1"/>
  <c r="I41" i="16"/>
  <c r="I42" i="16" s="1"/>
  <c r="D312" i="16"/>
  <c r="D317" i="16" s="1"/>
  <c r="D103" i="16"/>
  <c r="D108" i="16" s="1"/>
  <c r="D113" i="16" s="1"/>
  <c r="D118" i="16" s="1"/>
  <c r="D123" i="16" s="1"/>
  <c r="L98" i="16"/>
  <c r="L99" i="16" s="1"/>
  <c r="E312" i="16"/>
  <c r="E317" i="16" s="1"/>
  <c r="E162" i="16"/>
  <c r="E163" i="16" s="1"/>
  <c r="J187" i="16"/>
  <c r="J192" i="16" s="1"/>
  <c r="C31" i="16"/>
  <c r="C32" i="16" s="1"/>
  <c r="G31" i="16"/>
  <c r="G32" i="16" s="1"/>
  <c r="K41" i="16"/>
  <c r="K42" i="16" s="1"/>
  <c r="G237" i="16"/>
  <c r="G247" i="16" s="1"/>
  <c r="G252" i="16" s="1"/>
  <c r="G253" i="16" s="1"/>
  <c r="I98" i="16"/>
  <c r="I99" i="16" s="1"/>
  <c r="G242" i="16"/>
  <c r="E98" i="16"/>
  <c r="E99" i="16" s="1"/>
  <c r="C257" i="16"/>
  <c r="C262" i="16" s="1"/>
  <c r="C263" i="16" s="1"/>
  <c r="B187" i="16"/>
  <c r="B192" i="16" s="1"/>
  <c r="M232" i="16"/>
  <c r="M233" i="16" s="1"/>
  <c r="D167" i="16"/>
  <c r="D177" i="16" s="1"/>
  <c r="D182" i="16" s="1"/>
  <c r="K292" i="16"/>
  <c r="K293" i="16" s="1"/>
  <c r="J36" i="16"/>
  <c r="D187" i="16"/>
  <c r="D192" i="16" s="1"/>
  <c r="F93" i="16"/>
  <c r="M103" i="16"/>
  <c r="M108" i="16" s="1"/>
  <c r="M113" i="16" s="1"/>
  <c r="M118" i="16" s="1"/>
  <c r="M123" i="16" s="1"/>
  <c r="I187" i="16"/>
  <c r="I192" i="16" s="1"/>
  <c r="E46" i="16"/>
  <c r="I232" i="16"/>
  <c r="I233" i="16" s="1"/>
  <c r="E232" i="16"/>
  <c r="E233" i="16" s="1"/>
  <c r="C162" i="16"/>
  <c r="C163" i="16" s="1"/>
  <c r="I162" i="16"/>
  <c r="I163" i="16" s="1"/>
  <c r="B46" i="16"/>
  <c r="M162" i="16"/>
  <c r="M163" i="16" s="1"/>
  <c r="F257" i="16"/>
  <c r="F262" i="16" s="1"/>
  <c r="F263" i="16" s="1"/>
  <c r="G78" i="16"/>
  <c r="G79" i="16" s="1"/>
  <c r="D16" i="16"/>
  <c r="D17" i="16" s="1"/>
  <c r="K147" i="16"/>
  <c r="F147" i="16"/>
  <c r="H147" i="16"/>
  <c r="H148" i="16" s="1"/>
  <c r="K16" i="16"/>
  <c r="K17" i="16" s="1"/>
  <c r="B218" i="16"/>
  <c r="B233" i="16"/>
  <c r="B298" i="16"/>
  <c r="B283" i="16"/>
  <c r="K217" i="16"/>
  <c r="K218" i="16" s="1"/>
  <c r="D78" i="16"/>
  <c r="D79" i="16" s="1"/>
  <c r="H78" i="16"/>
  <c r="H79" i="16" s="1"/>
  <c r="L277" i="16"/>
  <c r="L278" i="16" s="1"/>
  <c r="J277" i="16"/>
  <c r="J278" i="16" s="1"/>
  <c r="M217" i="16"/>
  <c r="M218" i="16" s="1"/>
  <c r="E16" i="16"/>
  <c r="F277" i="16"/>
  <c r="F278" i="16" s="1"/>
  <c r="E147" i="16"/>
  <c r="F16" i="16"/>
  <c r="F17" i="16" s="1"/>
  <c r="J217" i="16"/>
  <c r="J218" i="16" s="1"/>
  <c r="E78" i="16"/>
  <c r="E79" i="16" s="1"/>
  <c r="E277" i="16"/>
  <c r="E278" i="16" s="1"/>
  <c r="C78" i="16"/>
  <c r="C79" i="16" s="1"/>
  <c r="C16" i="16"/>
  <c r="C17" i="16" s="1"/>
  <c r="H287" i="16"/>
  <c r="H288" i="16" s="1"/>
  <c r="G217" i="16"/>
  <c r="G218" i="16" s="1"/>
  <c r="J332" i="16"/>
  <c r="J333" i="16" s="1"/>
  <c r="F332" i="16"/>
  <c r="F333" i="16" s="1"/>
  <c r="M332" i="16"/>
  <c r="M333" i="16" s="1"/>
  <c r="I332" i="16"/>
  <c r="I333" i="16" s="1"/>
  <c r="E332" i="16"/>
  <c r="E333" i="16" s="1"/>
  <c r="L332" i="16"/>
  <c r="L333" i="16" s="1"/>
  <c r="D332" i="16"/>
  <c r="D333" i="16" s="1"/>
  <c r="K332" i="16"/>
  <c r="K333" i="16" s="1"/>
  <c r="G332" i="16"/>
  <c r="G333" i="16" s="1"/>
  <c r="C332" i="16"/>
  <c r="C333" i="16" s="1"/>
  <c r="H332" i="16"/>
  <c r="H333" i="16" s="1"/>
  <c r="B17" i="16"/>
  <c r="J89" i="16"/>
  <c r="K227" i="16"/>
  <c r="K228" i="16" s="1"/>
  <c r="E26" i="16"/>
  <c r="E27" i="16" s="1"/>
  <c r="D157" i="16"/>
  <c r="G287" i="16"/>
  <c r="G288" i="16" s="1"/>
  <c r="I217" i="16"/>
  <c r="I218" i="16" s="1"/>
  <c r="J16" i="16"/>
  <c r="J17" i="16" s="1"/>
  <c r="I147" i="16"/>
  <c r="I148" i="16" s="1"/>
  <c r="J147" i="16"/>
  <c r="J148" i="16" s="1"/>
  <c r="H217" i="16"/>
  <c r="H218" i="16" s="1"/>
  <c r="L147" i="16"/>
  <c r="L148" i="16" s="1"/>
  <c r="H157" i="16"/>
  <c r="M227" i="16"/>
  <c r="M228" i="16" s="1"/>
  <c r="D277" i="16"/>
  <c r="D278" i="16" s="1"/>
  <c r="M277" i="16"/>
  <c r="M278" i="16" s="1"/>
  <c r="F78" i="16"/>
  <c r="F79" i="16" s="1"/>
  <c r="F217" i="16"/>
  <c r="F218" i="16" s="1"/>
  <c r="M16" i="16"/>
  <c r="M17" i="16" s="1"/>
  <c r="G26" i="16"/>
  <c r="G27" i="16" s="1"/>
  <c r="J327" i="16"/>
  <c r="F327" i="16"/>
  <c r="M327" i="16"/>
  <c r="E327" i="16"/>
  <c r="L327" i="16"/>
  <c r="D327" i="16"/>
  <c r="K327" i="16"/>
  <c r="G327" i="16"/>
  <c r="C327" i="16"/>
  <c r="I327" i="16"/>
  <c r="H327" i="16"/>
  <c r="I78" i="16"/>
  <c r="I79" i="16" s="1"/>
  <c r="C147" i="16"/>
  <c r="C148" i="16" s="1"/>
  <c r="M157" i="16"/>
  <c r="J367" i="16"/>
  <c r="F367" i="16"/>
  <c r="B367" i="16"/>
  <c r="M347" i="16"/>
  <c r="M348" i="16" s="1"/>
  <c r="I347" i="16"/>
  <c r="I348" i="16" s="1"/>
  <c r="E347" i="16"/>
  <c r="E348" i="16" s="1"/>
  <c r="D347" i="16"/>
  <c r="D348" i="16" s="1"/>
  <c r="L367" i="16"/>
  <c r="K347" i="16"/>
  <c r="K348" i="16" s="1"/>
  <c r="K367" i="16"/>
  <c r="G367" i="16"/>
  <c r="C367" i="16"/>
  <c r="J347" i="16"/>
  <c r="J348" i="16" s="1"/>
  <c r="F347" i="16"/>
  <c r="F348" i="16" s="1"/>
  <c r="M367" i="16"/>
  <c r="I367" i="16"/>
  <c r="E367" i="16"/>
  <c r="L347" i="16"/>
  <c r="L348" i="16" s="1"/>
  <c r="H347" i="16"/>
  <c r="H348" i="16" s="1"/>
  <c r="H367" i="16"/>
  <c r="D367" i="16"/>
  <c r="G347" i="16"/>
  <c r="G348" i="16" s="1"/>
  <c r="C347" i="16"/>
  <c r="L88" i="16"/>
  <c r="L89" i="16" s="1"/>
  <c r="K342" i="16"/>
  <c r="K343" i="16" s="1"/>
  <c r="G342" i="16"/>
  <c r="G343" i="16" s="1"/>
  <c r="C342" i="16"/>
  <c r="C343" i="16" s="1"/>
  <c r="L342" i="16"/>
  <c r="L343" i="16" s="1"/>
  <c r="H342" i="16"/>
  <c r="H343" i="16" s="1"/>
  <c r="D342" i="16"/>
  <c r="D343" i="16" s="1"/>
  <c r="J342" i="16"/>
  <c r="J343" i="16" s="1"/>
  <c r="F342" i="16"/>
  <c r="F343" i="16" s="1"/>
  <c r="M342" i="16"/>
  <c r="M343" i="16" s="1"/>
  <c r="I342" i="16"/>
  <c r="I343" i="16" s="1"/>
  <c r="E342" i="16"/>
  <c r="E343" i="16" s="1"/>
  <c r="B228" i="16"/>
  <c r="L26" i="16"/>
  <c r="L27" i="16" s="1"/>
  <c r="F287" i="16"/>
  <c r="F288" i="16" s="1"/>
  <c r="E157" i="16"/>
  <c r="K287" i="16"/>
  <c r="K288" i="16" s="1"/>
  <c r="B89" i="16"/>
  <c r="G88" i="16"/>
  <c r="G89" i="16" s="1"/>
  <c r="K26" i="16"/>
  <c r="K27" i="16" s="1"/>
  <c r="K157" i="16"/>
  <c r="L227" i="16"/>
  <c r="L228" i="16" s="1"/>
  <c r="I277" i="16"/>
  <c r="I278" i="16" s="1"/>
  <c r="H16" i="16"/>
  <c r="H17" i="16" s="1"/>
  <c r="C217" i="16"/>
  <c r="C218" i="16" s="1"/>
  <c r="M78" i="16"/>
  <c r="M79" i="16" s="1"/>
  <c r="D217" i="16"/>
  <c r="D218" i="16" s="1"/>
  <c r="L78" i="16"/>
  <c r="L79" i="16" s="1"/>
  <c r="C157" i="16"/>
  <c r="I157" i="16"/>
  <c r="J78" i="16"/>
  <c r="J79" i="16" s="1"/>
  <c r="K277" i="16"/>
  <c r="K278" i="16" s="1"/>
  <c r="K78" i="16"/>
  <c r="K79" i="16" s="1"/>
  <c r="L217" i="16"/>
  <c r="L218" i="16" s="1"/>
  <c r="L16" i="16"/>
  <c r="L17" i="16" s="1"/>
  <c r="G16" i="16"/>
  <c r="G17" i="16" s="1"/>
  <c r="H277" i="16"/>
  <c r="H278" i="16" s="1"/>
  <c r="C277" i="16"/>
  <c r="C278" i="16" s="1"/>
  <c r="I116" i="61"/>
  <c r="C38" i="61"/>
  <c r="D88" i="48" s="1"/>
  <c r="O39" i="48"/>
  <c r="H28" i="24"/>
  <c r="H31" i="24" s="1"/>
  <c r="H30" i="24" s="1"/>
  <c r="E28" i="24"/>
  <c r="E31" i="24" s="1"/>
  <c r="E30" i="24" s="1"/>
  <c r="M70" i="24"/>
  <c r="M73" i="24" s="1"/>
  <c r="M72" i="24" s="1"/>
  <c r="E70" i="24"/>
  <c r="E73" i="24" s="1"/>
  <c r="E72" i="24" s="1"/>
  <c r="G56" i="24"/>
  <c r="G59" i="24" s="1"/>
  <c r="G58" i="24" s="1"/>
  <c r="E11" i="61"/>
  <c r="E13" i="61" s="1"/>
  <c r="F14" i="48" s="1"/>
  <c r="J63" i="61"/>
  <c r="K134" i="48" s="1"/>
  <c r="K141" i="61"/>
  <c r="K135" i="61"/>
  <c r="K136" i="61" s="1"/>
  <c r="K138" i="61" s="1"/>
  <c r="L289" i="48" s="1"/>
  <c r="K148" i="61"/>
  <c r="C67" i="61"/>
  <c r="C68" i="61" s="1"/>
  <c r="K74" i="61"/>
  <c r="K75" i="61" s="1"/>
  <c r="M41" i="61"/>
  <c r="M42" i="61" s="1"/>
  <c r="M43" i="61" s="1"/>
  <c r="C85" i="61"/>
  <c r="C86" i="61" s="1"/>
  <c r="C88" i="61" s="1"/>
  <c r="D185" i="48" s="1"/>
  <c r="E16" i="61"/>
  <c r="E23" i="61" s="1"/>
  <c r="E24" i="61" s="1"/>
  <c r="L123" i="61"/>
  <c r="L124" i="61" s="1"/>
  <c r="I16" i="61"/>
  <c r="C141" i="61"/>
  <c r="C135" i="61"/>
  <c r="C136" i="61" s="1"/>
  <c r="C138" i="61" s="1"/>
  <c r="D289" i="48" s="1"/>
  <c r="C148" i="61"/>
  <c r="C149" i="61" s="1"/>
  <c r="C150" i="61" s="1"/>
  <c r="G116" i="61"/>
  <c r="G117" i="61" s="1"/>
  <c r="G118" i="61" s="1"/>
  <c r="M88" i="61"/>
  <c r="N185" i="48" s="1"/>
  <c r="E100" i="61"/>
  <c r="D74" i="61"/>
  <c r="E141" i="61"/>
  <c r="E148" i="61"/>
  <c r="E149" i="61" s="1"/>
  <c r="E150" i="61" s="1"/>
  <c r="E135" i="61"/>
  <c r="E136" i="61" s="1"/>
  <c r="E138" i="61" s="1"/>
  <c r="F289" i="48" s="1"/>
  <c r="I135" i="61"/>
  <c r="I136" i="61" s="1"/>
  <c r="I138" i="61" s="1"/>
  <c r="J289" i="48" s="1"/>
  <c r="I148" i="61"/>
  <c r="I141" i="61"/>
  <c r="I142" i="61" s="1"/>
  <c r="I143" i="61" s="1"/>
  <c r="M148" i="61"/>
  <c r="M149" i="61" s="1"/>
  <c r="M150" i="61" s="1"/>
  <c r="M135" i="61"/>
  <c r="M136" i="61" s="1"/>
  <c r="M138" i="61" s="1"/>
  <c r="N289" i="48" s="1"/>
  <c r="M141" i="61"/>
  <c r="C122" i="18"/>
  <c r="B84" i="24"/>
  <c r="B85" i="24" s="1"/>
  <c r="J42" i="24"/>
  <c r="J45" i="24" s="1"/>
  <c r="J44" i="24" s="1"/>
  <c r="C42" i="24"/>
  <c r="C45" i="24" s="1"/>
  <c r="C48" i="24" s="1"/>
  <c r="D140" i="48" s="1"/>
  <c r="F56" i="24"/>
  <c r="F59" i="24" s="1"/>
  <c r="F58" i="24" s="1"/>
  <c r="F70" i="24"/>
  <c r="F73" i="24" s="1"/>
  <c r="F72" i="24" s="1"/>
  <c r="J28" i="24"/>
  <c r="J31" i="24" s="1"/>
  <c r="J34" i="24" s="1"/>
  <c r="K94" i="48" s="1"/>
  <c r="K56" i="24"/>
  <c r="K59" i="24" s="1"/>
  <c r="K58" i="24" s="1"/>
  <c r="D42" i="24"/>
  <c r="D45" i="24" s="1"/>
  <c r="D48" i="24" s="1"/>
  <c r="E140" i="48" s="1"/>
  <c r="C70" i="24"/>
  <c r="C73" i="24" s="1"/>
  <c r="C76" i="24" s="1"/>
  <c r="L84" i="18"/>
  <c r="L87" i="18" s="1"/>
  <c r="L89" i="18" s="1"/>
  <c r="M188" i="48" s="1"/>
  <c r="L36" i="18"/>
  <c r="L39" i="18" s="1"/>
  <c r="L44" i="18" s="1"/>
  <c r="G84" i="18"/>
  <c r="G87" i="18" s="1"/>
  <c r="G97" i="18" s="1"/>
  <c r="G99" i="18" s="1"/>
  <c r="H190" i="48" s="1"/>
  <c r="B57" i="24"/>
  <c r="B56" i="24" s="1"/>
  <c r="B59" i="24" s="1"/>
  <c r="B58" i="24" s="1"/>
  <c r="I43" i="24"/>
  <c r="I42" i="24" s="1"/>
  <c r="I45" i="24" s="1"/>
  <c r="I44" i="24" s="1"/>
  <c r="E43" i="24"/>
  <c r="E42" i="24" s="1"/>
  <c r="E45" i="24" s="1"/>
  <c r="H71" i="24"/>
  <c r="H70" i="24" s="1"/>
  <c r="H73" i="24" s="1"/>
  <c r="G43" i="24"/>
  <c r="G42" i="24" s="1"/>
  <c r="G45" i="24" s="1"/>
  <c r="G44" i="24" s="1"/>
  <c r="F84" i="18"/>
  <c r="F87" i="18" s="1"/>
  <c r="F97" i="18" s="1"/>
  <c r="F99" i="18" s="1"/>
  <c r="G190" i="48" s="1"/>
  <c r="F108" i="18"/>
  <c r="F111" i="18" s="1"/>
  <c r="F110" i="18" s="1"/>
  <c r="J71" i="24"/>
  <c r="J70" i="24" s="1"/>
  <c r="J73" i="24" s="1"/>
  <c r="J72" i="24" s="1"/>
  <c r="J60" i="18"/>
  <c r="J63" i="18" s="1"/>
  <c r="J62" i="18" s="1"/>
  <c r="D108" i="18"/>
  <c r="D111" i="18" s="1"/>
  <c r="D113" i="18" s="1"/>
  <c r="E240" i="48" s="1"/>
  <c r="I108" i="18"/>
  <c r="I111" i="18" s="1"/>
  <c r="I116" i="18" s="1"/>
  <c r="L43" i="24"/>
  <c r="L42" i="24" s="1"/>
  <c r="L45" i="24" s="1"/>
  <c r="L48" i="24" s="1"/>
  <c r="M140" i="48" s="1"/>
  <c r="F36" i="18"/>
  <c r="F39" i="18" s="1"/>
  <c r="F49" i="18" s="1"/>
  <c r="F51" i="18" s="1"/>
  <c r="G93" i="48" s="1"/>
  <c r="G17" i="63"/>
  <c r="G22" i="63" s="1"/>
  <c r="E86" i="14" s="1"/>
  <c r="E16" i="90" s="1"/>
  <c r="M17" i="63"/>
  <c r="M21" i="63" s="1"/>
  <c r="K61" i="14" s="1"/>
  <c r="K16" i="89" s="1"/>
  <c r="I17" i="63"/>
  <c r="I22" i="63" s="1"/>
  <c r="G86" i="14" s="1"/>
  <c r="G16" i="90" s="1"/>
  <c r="F17" i="63"/>
  <c r="B90" i="14"/>
  <c r="C182" i="48" s="1"/>
  <c r="B12" i="18"/>
  <c r="B15" i="18" s="1"/>
  <c r="C63" i="61"/>
  <c r="D134" i="48" s="1"/>
  <c r="H38" i="61"/>
  <c r="I88" i="48" s="1"/>
  <c r="F63" i="61"/>
  <c r="G134" i="48" s="1"/>
  <c r="L98" i="61"/>
  <c r="L99" i="61" s="1"/>
  <c r="B41" i="61"/>
  <c r="B42" i="61" s="1"/>
  <c r="B43" i="61" s="1"/>
  <c r="F48" i="61"/>
  <c r="F49" i="61" s="1"/>
  <c r="F50" i="61" s="1"/>
  <c r="G38" i="61"/>
  <c r="H88" i="48" s="1"/>
  <c r="C88" i="70"/>
  <c r="G88" i="70"/>
  <c r="G195" i="48"/>
  <c r="C71" i="70"/>
  <c r="F144" i="48"/>
  <c r="D98" i="48"/>
  <c r="N30" i="70"/>
  <c r="K37" i="70"/>
  <c r="B37" i="70"/>
  <c r="C14" i="70"/>
  <c r="C15" i="70" s="1"/>
  <c r="C17" i="70" s="1"/>
  <c r="J98" i="48"/>
  <c r="L98" i="48"/>
  <c r="N195" i="48"/>
  <c r="G37" i="70"/>
  <c r="M14" i="70"/>
  <c r="M15" i="70" s="1"/>
  <c r="M17" i="70" s="1"/>
  <c r="N58" i="48" s="1"/>
  <c r="I37" i="70"/>
  <c r="N81" i="70"/>
  <c r="E37" i="70"/>
  <c r="K88" i="70"/>
  <c r="F17" i="70"/>
  <c r="G58" i="48" s="1"/>
  <c r="F195" i="48"/>
  <c r="M195" i="48"/>
  <c r="D195" i="48"/>
  <c r="I71" i="70"/>
  <c r="B47" i="49"/>
  <c r="K11" i="49"/>
  <c r="K20" i="49" s="1"/>
  <c r="K21" i="49" s="1"/>
  <c r="I47" i="49"/>
  <c r="H30" i="49"/>
  <c r="E47" i="49"/>
  <c r="L18" i="61"/>
  <c r="M74" i="4"/>
  <c r="D20" i="48"/>
  <c r="J88" i="61"/>
  <c r="K185" i="48" s="1"/>
  <c r="G20" i="48"/>
  <c r="H89" i="18"/>
  <c r="I188" i="48" s="1"/>
  <c r="L11" i="61"/>
  <c r="L13" i="61" s="1"/>
  <c r="M14" i="48" s="1"/>
  <c r="M20" i="48"/>
  <c r="H20" i="48"/>
  <c r="N20" i="48"/>
  <c r="F88" i="61"/>
  <c r="G185" i="48" s="1"/>
  <c r="K20" i="48"/>
  <c r="F20" i="48"/>
  <c r="B272" i="4"/>
  <c r="J74" i="4"/>
  <c r="J210" i="4"/>
  <c r="F287" i="4"/>
  <c r="F291" i="4"/>
  <c r="F292" i="4" s="1"/>
  <c r="C74" i="4"/>
  <c r="C210" i="4"/>
  <c r="N72" i="4"/>
  <c r="D51" i="4"/>
  <c r="H143" i="4"/>
  <c r="F143" i="4"/>
  <c r="B212" i="4"/>
  <c r="B303" i="16"/>
  <c r="M143" i="4"/>
  <c r="G143" i="4"/>
  <c r="D300" i="4"/>
  <c r="D29" i="91" s="1"/>
  <c r="G210" i="4"/>
  <c r="I210" i="4"/>
  <c r="C316" i="16"/>
  <c r="C143" i="4"/>
  <c r="J186" i="4"/>
  <c r="M210" i="4"/>
  <c r="D186" i="4"/>
  <c r="D257" i="64"/>
  <c r="D256" i="16" s="1"/>
  <c r="L143" i="4"/>
  <c r="C216" i="4"/>
  <c r="C217" i="4" s="1"/>
  <c r="F147" i="4"/>
  <c r="F152" i="4" s="1"/>
  <c r="F153" i="4" s="1"/>
  <c r="M152" i="4"/>
  <c r="M157" i="4" s="1"/>
  <c r="M162" i="4" s="1"/>
  <c r="M167" i="4" s="1"/>
  <c r="M148" i="4"/>
  <c r="I281" i="4"/>
  <c r="I286" i="4" s="1"/>
  <c r="I287" i="4" s="1"/>
  <c r="I277" i="4"/>
  <c r="M282" i="4"/>
  <c r="L147" i="4"/>
  <c r="L148" i="4" s="1"/>
  <c r="F282" i="4"/>
  <c r="E276" i="4"/>
  <c r="E277" i="4" s="1"/>
  <c r="N277" i="64"/>
  <c r="E143" i="4"/>
  <c r="I216" i="4"/>
  <c r="I221" i="4" s="1"/>
  <c r="I226" i="4" s="1"/>
  <c r="I231" i="4" s="1"/>
  <c r="J143" i="4"/>
  <c r="H147" i="4"/>
  <c r="H152" i="4" s="1"/>
  <c r="J281" i="4"/>
  <c r="J277" i="4"/>
  <c r="C277" i="4"/>
  <c r="C281" i="4"/>
  <c r="C286" i="4" s="1"/>
  <c r="C287" i="4" s="1"/>
  <c r="K277" i="4"/>
  <c r="K281" i="4"/>
  <c r="N287" i="64"/>
  <c r="J217" i="4"/>
  <c r="J221" i="4"/>
  <c r="I143" i="4"/>
  <c r="I147" i="4"/>
  <c r="F217" i="4"/>
  <c r="F221" i="4"/>
  <c r="F222" i="4" s="1"/>
  <c r="I74" i="4"/>
  <c r="E88" i="4"/>
  <c r="E93" i="4" s="1"/>
  <c r="E94" i="4" s="1"/>
  <c r="N156" i="64"/>
  <c r="B216" i="4"/>
  <c r="E228" i="16"/>
  <c r="D22" i="4"/>
  <c r="D18" i="4"/>
  <c r="H291" i="4"/>
  <c r="H292" i="4" s="1"/>
  <c r="H287" i="4"/>
  <c r="B148" i="4"/>
  <c r="B152" i="4"/>
  <c r="B157" i="4" s="1"/>
  <c r="J152" i="4"/>
  <c r="J148" i="4"/>
  <c r="M217" i="4"/>
  <c r="M221" i="4"/>
  <c r="M226" i="4" s="1"/>
  <c r="G221" i="4"/>
  <c r="G222" i="4" s="1"/>
  <c r="G217" i="4"/>
  <c r="E231" i="4"/>
  <c r="E236" i="4" s="1"/>
  <c r="E227" i="4"/>
  <c r="K22" i="4"/>
  <c r="K18" i="4"/>
  <c r="L286" i="4"/>
  <c r="H282" i="4"/>
  <c r="D143" i="4"/>
  <c r="N77" i="64"/>
  <c r="N232" i="64"/>
  <c r="M22" i="4"/>
  <c r="M23" i="4" s="1"/>
  <c r="B286" i="4"/>
  <c r="B291" i="4" s="1"/>
  <c r="B296" i="4" s="1"/>
  <c r="B306" i="4" s="1"/>
  <c r="D74" i="4"/>
  <c r="B143" i="4"/>
  <c r="N282" i="64"/>
  <c r="M287" i="4"/>
  <c r="H217" i="4"/>
  <c r="B277" i="4"/>
  <c r="H277" i="4"/>
  <c r="G74" i="4"/>
  <c r="N292" i="64"/>
  <c r="N31" i="64"/>
  <c r="B163" i="16"/>
  <c r="G73" i="18"/>
  <c r="G75" i="18" s="1"/>
  <c r="H139" i="48" s="1"/>
  <c r="K84" i="18"/>
  <c r="K87" i="18" s="1"/>
  <c r="K89" i="18" s="1"/>
  <c r="L188" i="48" s="1"/>
  <c r="B146" i="18"/>
  <c r="N136" i="18"/>
  <c r="B141" i="18"/>
  <c r="B135" i="18"/>
  <c r="N135" i="18" s="1"/>
  <c r="B43" i="24"/>
  <c r="B42" i="24" s="1"/>
  <c r="B45" i="24" s="1"/>
  <c r="B44" i="24" s="1"/>
  <c r="N102" i="16"/>
  <c r="N102" i="64"/>
  <c r="N41" i="64"/>
  <c r="N286" i="16"/>
  <c r="B288" i="16"/>
  <c r="B278" i="16"/>
  <c r="F74" i="4"/>
  <c r="I255" i="4"/>
  <c r="I252" i="64" s="1"/>
  <c r="I251" i="16" s="1"/>
  <c r="B312" i="64"/>
  <c r="E74" i="4"/>
  <c r="K74" i="4"/>
  <c r="H74" i="4"/>
  <c r="N19" i="53"/>
  <c r="H75" i="48"/>
  <c r="J223" i="48"/>
  <c r="C223" i="48"/>
  <c r="K71" i="49"/>
  <c r="L193" i="48"/>
  <c r="B24" i="61"/>
  <c r="B25" i="61" s="1"/>
  <c r="B27" i="61" s="1"/>
  <c r="B63" i="61"/>
  <c r="C134" i="48" s="1"/>
  <c r="E35" i="61"/>
  <c r="E36" i="61" s="1"/>
  <c r="G110" i="61"/>
  <c r="G111" i="61" s="1"/>
  <c r="G113" i="61" s="1"/>
  <c r="H237" i="48" s="1"/>
  <c r="I35" i="61"/>
  <c r="I36" i="61" s="1"/>
  <c r="J68" i="61"/>
  <c r="J11" i="61"/>
  <c r="J16" i="61"/>
  <c r="C98" i="61"/>
  <c r="C99" i="61" s="1"/>
  <c r="C100" i="61" s="1"/>
  <c r="C81" i="49"/>
  <c r="L63" i="61"/>
  <c r="M134" i="48" s="1"/>
  <c r="E41" i="61"/>
  <c r="E42" i="61" s="1"/>
  <c r="E43" i="61" s="1"/>
  <c r="H60" i="61"/>
  <c r="H61" i="61" s="1"/>
  <c r="H63" i="61" s="1"/>
  <c r="I134" i="48" s="1"/>
  <c r="I48" i="61"/>
  <c r="I49" i="61" s="1"/>
  <c r="I50" i="61" s="1"/>
  <c r="K98" i="61"/>
  <c r="K99" i="61" s="1"/>
  <c r="L67" i="61"/>
  <c r="L68" i="61" s="1"/>
  <c r="G85" i="61"/>
  <c r="G86" i="61" s="1"/>
  <c r="G88" i="61" s="1"/>
  <c r="H185" i="48" s="1"/>
  <c r="L74" i="61"/>
  <c r="L75" i="61" s="1"/>
  <c r="C91" i="61"/>
  <c r="C92" i="61" s="1"/>
  <c r="C93" i="61" s="1"/>
  <c r="G91" i="61"/>
  <c r="L81" i="49"/>
  <c r="N84" i="61"/>
  <c r="D63" i="61"/>
  <c r="E134" i="48" s="1"/>
  <c r="G98" i="61"/>
  <c r="G99" i="61" s="1"/>
  <c r="G100" i="61" s="1"/>
  <c r="K85" i="61"/>
  <c r="K86" i="61" s="1"/>
  <c r="K88" i="61" s="1"/>
  <c r="L185" i="48" s="1"/>
  <c r="B64" i="49"/>
  <c r="H64" i="49"/>
  <c r="J64" i="49"/>
  <c r="K91" i="61"/>
  <c r="K92" i="61" s="1"/>
  <c r="K93" i="61" s="1"/>
  <c r="M11" i="49"/>
  <c r="M12" i="49" s="1"/>
  <c r="I11" i="49"/>
  <c r="I12" i="49" s="1"/>
  <c r="I13" i="49" s="1"/>
  <c r="I15" i="49" s="1"/>
  <c r="F30" i="49"/>
  <c r="C47" i="49"/>
  <c r="B30" i="49"/>
  <c r="H172" i="48"/>
  <c r="D75" i="48"/>
  <c r="H121" i="48"/>
  <c r="D121" i="48"/>
  <c r="D172" i="48"/>
  <c r="H275" i="48"/>
  <c r="D275" i="48"/>
  <c r="E223" i="48"/>
  <c r="E275" i="48"/>
  <c r="E121" i="48"/>
  <c r="E67" i="61"/>
  <c r="E68" i="61" s="1"/>
  <c r="C13" i="18"/>
  <c r="C118" i="61"/>
  <c r="E88" i="61"/>
  <c r="F185" i="48" s="1"/>
  <c r="B35" i="61"/>
  <c r="B36" i="61" s="1"/>
  <c r="L85" i="61"/>
  <c r="L86" i="61" s="1"/>
  <c r="L88" i="61" s="1"/>
  <c r="M185" i="48" s="1"/>
  <c r="M67" i="61"/>
  <c r="M68" i="61" s="1"/>
  <c r="F35" i="61"/>
  <c r="F36" i="61" s="1"/>
  <c r="L110" i="61"/>
  <c r="L111" i="61" s="1"/>
  <c r="L113" i="61" s="1"/>
  <c r="M237" i="48" s="1"/>
  <c r="E13" i="18"/>
  <c r="I13" i="18"/>
  <c r="M13" i="18"/>
  <c r="H13" i="18"/>
  <c r="E11" i="49"/>
  <c r="N34" i="61"/>
  <c r="M96" i="48"/>
  <c r="L116" i="61"/>
  <c r="L117" i="61" s="1"/>
  <c r="M60" i="61"/>
  <c r="M61" i="61" s="1"/>
  <c r="M63" i="61" s="1"/>
  <c r="N134" i="48" s="1"/>
  <c r="H85" i="61"/>
  <c r="H86" i="61" s="1"/>
  <c r="H88" i="61" s="1"/>
  <c r="I185" i="48" s="1"/>
  <c r="F13" i="18"/>
  <c r="J13" i="18"/>
  <c r="D30" i="49"/>
  <c r="C11" i="49"/>
  <c r="L13" i="18"/>
  <c r="K63" i="61"/>
  <c r="L134" i="48" s="1"/>
  <c r="L91" i="61"/>
  <c r="L92" i="61" s="1"/>
  <c r="L93" i="61" s="1"/>
  <c r="I60" i="61"/>
  <c r="I61" i="61" s="1"/>
  <c r="I63" i="61" s="1"/>
  <c r="J134" i="48" s="1"/>
  <c r="I74" i="61"/>
  <c r="I75" i="61" s="1"/>
  <c r="D13" i="18"/>
  <c r="G13" i="18"/>
  <c r="K13" i="18"/>
  <c r="E81" i="49"/>
  <c r="I81" i="49"/>
  <c r="K21" i="48"/>
  <c r="L65" i="18"/>
  <c r="M137" i="48" s="1"/>
  <c r="H43" i="24"/>
  <c r="H42" i="24" s="1"/>
  <c r="H45" i="24" s="1"/>
  <c r="H44" i="24" s="1"/>
  <c r="M36" i="18"/>
  <c r="M39" i="18" s="1"/>
  <c r="M49" i="18" s="1"/>
  <c r="M51" i="18" s="1"/>
  <c r="N93" i="48" s="1"/>
  <c r="J36" i="18"/>
  <c r="J39" i="18" s="1"/>
  <c r="J38" i="18" s="1"/>
  <c r="E36" i="18"/>
  <c r="E39" i="18" s="1"/>
  <c r="I36" i="18"/>
  <c r="I39" i="18" s="1"/>
  <c r="I44" i="18" s="1"/>
  <c r="B86" i="18"/>
  <c r="G36" i="18"/>
  <c r="G39" i="18" s="1"/>
  <c r="G49" i="18" s="1"/>
  <c r="G51" i="18" s="1"/>
  <c r="H93" i="48" s="1"/>
  <c r="M43" i="24"/>
  <c r="M42" i="24" s="1"/>
  <c r="M45" i="24" s="1"/>
  <c r="M44" i="24" s="1"/>
  <c r="E108" i="18"/>
  <c r="E111" i="18" s="1"/>
  <c r="E110" i="18" s="1"/>
  <c r="F60" i="18"/>
  <c r="F63" i="18" s="1"/>
  <c r="F62" i="18" s="1"/>
  <c r="D85" i="18"/>
  <c r="N61" i="18"/>
  <c r="D60" i="18"/>
  <c r="D63" i="18" s="1"/>
  <c r="K108" i="18"/>
  <c r="K111" i="18" s="1"/>
  <c r="K113" i="18" s="1"/>
  <c r="L240" i="48" s="1"/>
  <c r="M108" i="18"/>
  <c r="M111" i="18" s="1"/>
  <c r="M113" i="18" s="1"/>
  <c r="N240" i="48" s="1"/>
  <c r="C108" i="18"/>
  <c r="C111" i="18" s="1"/>
  <c r="C121" i="18" s="1"/>
  <c r="C123" i="18" s="1"/>
  <c r="D242" i="48" s="1"/>
  <c r="C60" i="18"/>
  <c r="C63" i="18" s="1"/>
  <c r="C68" i="18" s="1"/>
  <c r="G71" i="24"/>
  <c r="G70" i="24" s="1"/>
  <c r="G73" i="24" s="1"/>
  <c r="G72" i="24" s="1"/>
  <c r="H68" i="18"/>
  <c r="K43" i="24"/>
  <c r="K42" i="24" s="1"/>
  <c r="K45" i="24" s="1"/>
  <c r="K44" i="24" s="1"/>
  <c r="K60" i="18"/>
  <c r="K63" i="18" s="1"/>
  <c r="B68" i="18"/>
  <c r="C29" i="24"/>
  <c r="C28" i="24" s="1"/>
  <c r="C31" i="24" s="1"/>
  <c r="C36" i="18"/>
  <c r="C39" i="18" s="1"/>
  <c r="C44" i="18" s="1"/>
  <c r="J57" i="24"/>
  <c r="J56" i="24" s="1"/>
  <c r="J59" i="24" s="1"/>
  <c r="J58" i="24" s="1"/>
  <c r="J84" i="18"/>
  <c r="J87" i="18" s="1"/>
  <c r="J86" i="18" s="1"/>
  <c r="K36" i="18"/>
  <c r="K39" i="18" s="1"/>
  <c r="K29" i="24"/>
  <c r="K28" i="24" s="1"/>
  <c r="K31" i="24" s="1"/>
  <c r="K30" i="24" s="1"/>
  <c r="B36" i="18"/>
  <c r="B39" i="18" s="1"/>
  <c r="B41" i="18" s="1"/>
  <c r="C91" i="48" s="1"/>
  <c r="B29" i="24"/>
  <c r="B28" i="24" s="1"/>
  <c r="B31" i="24" s="1"/>
  <c r="B30" i="24" s="1"/>
  <c r="L68" i="18"/>
  <c r="H57" i="24"/>
  <c r="H56" i="24" s="1"/>
  <c r="H59" i="24" s="1"/>
  <c r="H58" i="24" s="1"/>
  <c r="H36" i="18"/>
  <c r="H39" i="18" s="1"/>
  <c r="H41" i="18" s="1"/>
  <c r="I91" i="48" s="1"/>
  <c r="I57" i="24"/>
  <c r="I56" i="24" s="1"/>
  <c r="I59" i="24" s="1"/>
  <c r="I58" i="24" s="1"/>
  <c r="H222" i="4"/>
  <c r="H226" i="4"/>
  <c r="H227" i="4" s="1"/>
  <c r="G110" i="18"/>
  <c r="G71" i="49"/>
  <c r="K74" i="48"/>
  <c r="K120" i="48"/>
  <c r="K217" i="4"/>
  <c r="K221" i="4"/>
  <c r="K222" i="4" s="1"/>
  <c r="F146" i="64"/>
  <c r="F141" i="16" s="1"/>
  <c r="N141" i="4"/>
  <c r="B212" i="16"/>
  <c r="F22" i="11"/>
  <c r="B222" i="16" s="1"/>
  <c r="B223" i="16" s="1"/>
  <c r="E28" i="4"/>
  <c r="I22" i="4"/>
  <c r="C195" i="48"/>
  <c r="F20" i="49"/>
  <c r="F21" i="49" s="1"/>
  <c r="F22" i="49" s="1"/>
  <c r="D88" i="49"/>
  <c r="E245" i="48"/>
  <c r="M277" i="4"/>
  <c r="D307" i="64"/>
  <c r="D306" i="16" s="1"/>
  <c r="A36" i="61"/>
  <c r="A50" i="61" s="1"/>
  <c r="A61" i="61" s="1"/>
  <c r="A25" i="61"/>
  <c r="A43" i="61" s="1"/>
  <c r="B51" i="61"/>
  <c r="E37" i="11"/>
  <c r="I20" i="70"/>
  <c r="I21" i="70" s="1"/>
  <c r="I22" i="70" s="1"/>
  <c r="I14" i="70"/>
  <c r="I15" i="70" s="1"/>
  <c r="I17" i="70" s="1"/>
  <c r="J58" i="48" s="1"/>
  <c r="E20" i="70"/>
  <c r="N13" i="70"/>
  <c r="M54" i="70"/>
  <c r="N64" i="70"/>
  <c r="E71" i="70"/>
  <c r="E88" i="70"/>
  <c r="F247" i="48"/>
  <c r="B12" i="4"/>
  <c r="B12" i="61"/>
  <c r="B14" i="49"/>
  <c r="J12" i="4"/>
  <c r="J17" i="4" s="1"/>
  <c r="J18" i="4" s="1"/>
  <c r="J12" i="61"/>
  <c r="F12" i="4"/>
  <c r="F17" i="4" s="1"/>
  <c r="F14" i="49"/>
  <c r="F277" i="4"/>
  <c r="K146" i="64"/>
  <c r="K141" i="16" s="1"/>
  <c r="K143" i="4"/>
  <c r="G13" i="49"/>
  <c r="G15" i="49" s="1"/>
  <c r="G20" i="49"/>
  <c r="D67" i="61"/>
  <c r="D68" i="61" s="1"/>
  <c r="C237" i="64"/>
  <c r="C236" i="16" s="1"/>
  <c r="D235" i="4"/>
  <c r="E23" i="4"/>
  <c r="C22" i="4"/>
  <c r="C27" i="4" s="1"/>
  <c r="C28" i="4" s="1"/>
  <c r="H60" i="24"/>
  <c r="H74" i="24" s="1"/>
  <c r="H89" i="24" s="1"/>
  <c r="H104" i="24" s="1"/>
  <c r="H106" i="24" s="1"/>
  <c r="I345" i="48" s="1"/>
  <c r="K152" i="4"/>
  <c r="C273" i="48"/>
  <c r="C119" i="48"/>
  <c r="C170" i="48"/>
  <c r="D37" i="18"/>
  <c r="D17" i="94" s="1"/>
  <c r="F23" i="61"/>
  <c r="F24" i="61" s="1"/>
  <c r="F25" i="61" s="1"/>
  <c r="F27" i="61" s="1"/>
  <c r="C247" i="64"/>
  <c r="C246" i="16" s="1"/>
  <c r="E15" i="16"/>
  <c r="N16" i="64"/>
  <c r="B20" i="16"/>
  <c r="N21" i="64"/>
  <c r="C25" i="16"/>
  <c r="N26" i="64"/>
  <c r="N30" i="16"/>
  <c r="B82" i="16"/>
  <c r="N82" i="16" s="1"/>
  <c r="N82" i="64"/>
  <c r="F92" i="16"/>
  <c r="N92" i="64"/>
  <c r="K97" i="16"/>
  <c r="N97" i="64"/>
  <c r="C107" i="16"/>
  <c r="N107" i="16" s="1"/>
  <c r="N107" i="64"/>
  <c r="M146" i="16"/>
  <c r="F146" i="16"/>
  <c r="N151" i="64"/>
  <c r="B186" i="16"/>
  <c r="N191" i="64"/>
  <c r="D276" i="4"/>
  <c r="D277" i="4" s="1"/>
  <c r="D10" i="61"/>
  <c r="D17" i="61" s="1"/>
  <c r="D16" i="61"/>
  <c r="D23" i="61" s="1"/>
  <c r="D24" i="61" s="1"/>
  <c r="D25" i="61" s="1"/>
  <c r="D27" i="61" s="1"/>
  <c r="H10" i="61"/>
  <c r="H17" i="61" s="1"/>
  <c r="H16" i="61"/>
  <c r="I110" i="61"/>
  <c r="I111" i="61" s="1"/>
  <c r="I113" i="61" s="1"/>
  <c r="J237" i="48" s="1"/>
  <c r="I123" i="61"/>
  <c r="I124" i="61" s="1"/>
  <c r="I125" i="61" s="1"/>
  <c r="M110" i="61"/>
  <c r="M111" i="61" s="1"/>
  <c r="M113" i="61" s="1"/>
  <c r="N237" i="48" s="1"/>
  <c r="M123" i="61"/>
  <c r="M116" i="61"/>
  <c r="E222" i="4"/>
  <c r="D87" i="16"/>
  <c r="N87" i="16" s="1"/>
  <c r="N87" i="64"/>
  <c r="E146" i="16"/>
  <c r="C317" i="64"/>
  <c r="C311" i="16" s="1"/>
  <c r="D315" i="4"/>
  <c r="D30" i="91" s="1"/>
  <c r="K88" i="16"/>
  <c r="K89" i="16" s="1"/>
  <c r="L287" i="16"/>
  <c r="L288" i="16" s="1"/>
  <c r="J227" i="16"/>
  <c r="J228" i="16" s="1"/>
  <c r="J287" i="16"/>
  <c r="J288" i="16" s="1"/>
  <c r="D88" i="16"/>
  <c r="B27" i="16"/>
  <c r="D287" i="16"/>
  <c r="D288" i="16" s="1"/>
  <c r="F26" i="16"/>
  <c r="F27" i="16" s="1"/>
  <c r="F88" i="16"/>
  <c r="F89" i="16" s="1"/>
  <c r="C287" i="16"/>
  <c r="C288" i="16" s="1"/>
  <c r="E287" i="16"/>
  <c r="E288" i="16" s="1"/>
  <c r="M88" i="16"/>
  <c r="M89" i="16" s="1"/>
  <c r="L157" i="16"/>
  <c r="I287" i="16"/>
  <c r="I288" i="16" s="1"/>
  <c r="J26" i="16"/>
  <c r="J27" i="16" s="1"/>
  <c r="J157" i="16"/>
  <c r="D26" i="16"/>
  <c r="D27" i="16" s="1"/>
  <c r="F157" i="16"/>
  <c r="E88" i="16"/>
  <c r="E89" i="16" s="1"/>
  <c r="H88" i="16"/>
  <c r="H89" i="16" s="1"/>
  <c r="H26" i="16"/>
  <c r="H27" i="16" s="1"/>
  <c r="M287" i="16"/>
  <c r="M288" i="16" s="1"/>
  <c r="I227" i="16"/>
  <c r="I228" i="16" s="1"/>
  <c r="I26" i="16"/>
  <c r="I27" i="16" s="1"/>
  <c r="C227" i="16"/>
  <c r="C228" i="16" s="1"/>
  <c r="G227" i="16"/>
  <c r="G228" i="16" s="1"/>
  <c r="D227" i="16"/>
  <c r="D228" i="16" s="1"/>
  <c r="H227" i="16"/>
  <c r="H228" i="16" s="1"/>
  <c r="I88" i="16"/>
  <c r="I89" i="16" s="1"/>
  <c r="C88" i="16"/>
  <c r="C89" i="16" s="1"/>
  <c r="N191" i="16"/>
  <c r="N196" i="64"/>
  <c r="E216" i="16"/>
  <c r="N216" i="16" s="1"/>
  <c r="N217" i="64"/>
  <c r="E221" i="16"/>
  <c r="N221" i="16" s="1"/>
  <c r="N222" i="64"/>
  <c r="F226" i="16"/>
  <c r="N227" i="64"/>
  <c r="N291" i="16"/>
  <c r="N281" i="16"/>
  <c r="M30" i="49"/>
  <c r="J47" i="49"/>
  <c r="H11" i="49"/>
  <c r="G55" i="48"/>
  <c r="O109" i="48"/>
  <c r="N9" i="20"/>
  <c r="C275" i="48"/>
  <c r="C75" i="48"/>
  <c r="C172" i="48"/>
  <c r="M10" i="61"/>
  <c r="M17" i="61" s="1"/>
  <c r="M16" i="61"/>
  <c r="D48" i="61"/>
  <c r="D49" i="61" s="1"/>
  <c r="D50" i="61" s="1"/>
  <c r="D35" i="61"/>
  <c r="D36" i="61" s="1"/>
  <c r="R34" i="61" s="1"/>
  <c r="D41" i="61"/>
  <c r="D42" i="61" s="1"/>
  <c r="D43" i="61" s="1"/>
  <c r="H41" i="61"/>
  <c r="H48" i="61"/>
  <c r="L36" i="61"/>
  <c r="L48" i="61"/>
  <c r="L49" i="61" s="1"/>
  <c r="L50" i="61" s="1"/>
  <c r="G74" i="61"/>
  <c r="G75" i="61" s="1"/>
  <c r="G60" i="61"/>
  <c r="G61" i="61" s="1"/>
  <c r="G63" i="61" s="1"/>
  <c r="H134" i="48" s="1"/>
  <c r="B85" i="61"/>
  <c r="B86" i="61" s="1"/>
  <c r="B88" i="61" s="1"/>
  <c r="C185" i="48" s="1"/>
  <c r="B98" i="61"/>
  <c r="F98" i="61"/>
  <c r="F99" i="61" s="1"/>
  <c r="F100" i="61" s="1"/>
  <c r="J98" i="61"/>
  <c r="J91" i="61"/>
  <c r="J92" i="61" s="1"/>
  <c r="J93" i="61" s="1"/>
  <c r="E110" i="61"/>
  <c r="E111" i="61" s="1"/>
  <c r="E113" i="61" s="1"/>
  <c r="F237" i="48" s="1"/>
  <c r="E116" i="61"/>
  <c r="E117" i="61" s="1"/>
  <c r="E118" i="61" s="1"/>
  <c r="E123" i="61"/>
  <c r="E124" i="61" s="1"/>
  <c r="E125" i="61" s="1"/>
  <c r="B142" i="16"/>
  <c r="E22" i="11"/>
  <c r="B152" i="16" s="1"/>
  <c r="B153" i="16" s="1"/>
  <c r="H11" i="16"/>
  <c r="F73" i="16"/>
  <c r="H73" i="16"/>
  <c r="L212" i="16"/>
  <c r="D142" i="16"/>
  <c r="G73" i="16"/>
  <c r="K142" i="16"/>
  <c r="M272" i="16"/>
  <c r="I73" i="16"/>
  <c r="F142" i="16"/>
  <c r="K73" i="16"/>
  <c r="D73" i="16"/>
  <c r="H212" i="16"/>
  <c r="D210" i="4"/>
  <c r="D32" i="90" s="1"/>
  <c r="K210" i="4"/>
  <c r="H210" i="4"/>
  <c r="H32" i="90" s="1"/>
  <c r="F210" i="4"/>
  <c r="F32" i="90" s="1"/>
  <c r="E210" i="4"/>
  <c r="E32" i="90" s="1"/>
  <c r="N10" i="69"/>
  <c r="N69" i="24"/>
  <c r="H232" i="16"/>
  <c r="H233" i="16" s="1"/>
  <c r="J242" i="16"/>
  <c r="B167" i="16"/>
  <c r="C187" i="16"/>
  <c r="G93" i="16"/>
  <c r="G94" i="16" s="1"/>
  <c r="E242" i="16"/>
  <c r="B257" i="16"/>
  <c r="B262" i="16" s="1"/>
  <c r="M46" i="16"/>
  <c r="D232" i="16"/>
  <c r="D233" i="16" s="1"/>
  <c r="L312" i="16"/>
  <c r="L317" i="16" s="1"/>
  <c r="G98" i="16"/>
  <c r="G99" i="16" s="1"/>
  <c r="K93" i="16"/>
  <c r="K94" i="16" s="1"/>
  <c r="I257" i="16"/>
  <c r="I262" i="16" s="1"/>
  <c r="I263" i="16" s="1"/>
  <c r="F162" i="16"/>
  <c r="F163" i="16" s="1"/>
  <c r="L257" i="16"/>
  <c r="L262" i="16" s="1"/>
  <c r="L263" i="16" s="1"/>
  <c r="K36" i="16"/>
  <c r="H41" i="16"/>
  <c r="H42" i="16" s="1"/>
  <c r="F41" i="16"/>
  <c r="F42" i="16" s="1"/>
  <c r="H31" i="16"/>
  <c r="H32" i="16" s="1"/>
  <c r="G187" i="16"/>
  <c r="G192" i="16" s="1"/>
  <c r="B242" i="16"/>
  <c r="K242" i="16"/>
  <c r="G257" i="16"/>
  <c r="G262" i="16" s="1"/>
  <c r="G263" i="16" s="1"/>
  <c r="C98" i="16"/>
  <c r="C99" i="16" s="1"/>
  <c r="H93" i="16"/>
  <c r="H94" i="16" s="1"/>
  <c r="J103" i="16"/>
  <c r="H242" i="16"/>
  <c r="J167" i="16"/>
  <c r="J177" i="16" s="1"/>
  <c r="J182" i="16" s="1"/>
  <c r="B312" i="16"/>
  <c r="K31" i="16"/>
  <c r="K32" i="16" s="1"/>
  <c r="F46" i="16"/>
  <c r="D46" i="16"/>
  <c r="H162" i="16"/>
  <c r="H163" i="16" s="1"/>
  <c r="F312" i="16"/>
  <c r="F317" i="16" s="1"/>
  <c r="J237" i="16"/>
  <c r="J247" i="16" s="1"/>
  <c r="J252" i="16" s="1"/>
  <c r="F31" i="16"/>
  <c r="F32" i="16" s="1"/>
  <c r="G162" i="16"/>
  <c r="G163" i="16" s="1"/>
  <c r="H312" i="16"/>
  <c r="H317" i="16" s="1"/>
  <c r="H98" i="16"/>
  <c r="H99" i="16" s="1"/>
  <c r="J31" i="16"/>
  <c r="J32" i="16" s="1"/>
  <c r="K187" i="16"/>
  <c r="C103" i="16"/>
  <c r="L93" i="16"/>
  <c r="L94" i="16" s="1"/>
  <c r="F242" i="16"/>
  <c r="B237" i="16"/>
  <c r="B103" i="16"/>
  <c r="M187" i="16"/>
  <c r="F103" i="16"/>
  <c r="E257" i="16"/>
  <c r="E262" i="16" s="1"/>
  <c r="E263" i="16" s="1"/>
  <c r="I46" i="16"/>
  <c r="G46" i="16"/>
  <c r="D31" i="16"/>
  <c r="D32" i="16" s="1"/>
  <c r="B98" i="16"/>
  <c r="B99" i="16" s="1"/>
  <c r="K162" i="16"/>
  <c r="K163" i="16" s="1"/>
  <c r="C232" i="16"/>
  <c r="C233" i="16" s="1"/>
  <c r="L162" i="16"/>
  <c r="I292" i="16"/>
  <c r="I293" i="16" s="1"/>
  <c r="K167" i="16"/>
  <c r="K177" i="16" s="1"/>
  <c r="K182" i="16" s="1"/>
  <c r="J93" i="16"/>
  <c r="J94" i="16" s="1"/>
  <c r="H237" i="16"/>
  <c r="H247" i="16" s="1"/>
  <c r="H252" i="16" s="1"/>
  <c r="H253" i="16" s="1"/>
  <c r="M31" i="16"/>
  <c r="M32" i="16" s="1"/>
  <c r="H46" i="16"/>
  <c r="E36" i="16"/>
  <c r="B41" i="16"/>
  <c r="B42" i="16" s="1"/>
  <c r="B109" i="18"/>
  <c r="B17" i="91" s="1"/>
  <c r="C117" i="16"/>
  <c r="C117" i="64"/>
  <c r="B293" i="16"/>
  <c r="D47" i="49"/>
  <c r="L47" i="49"/>
  <c r="J11" i="49"/>
  <c r="G30" i="49"/>
  <c r="F81" i="49"/>
  <c r="D120" i="48"/>
  <c r="D274" i="48"/>
  <c r="D222" i="48"/>
  <c r="D279" i="48"/>
  <c r="I279" i="48"/>
  <c r="E227" i="48"/>
  <c r="M227" i="48"/>
  <c r="I176" i="48"/>
  <c r="E125" i="48"/>
  <c r="M125" i="48"/>
  <c r="I79" i="48"/>
  <c r="E279" i="48"/>
  <c r="M279" i="48"/>
  <c r="I227" i="48"/>
  <c r="E176" i="48"/>
  <c r="M176" i="48"/>
  <c r="I125" i="48"/>
  <c r="E79" i="48"/>
  <c r="M79" i="48"/>
  <c r="G79" i="48"/>
  <c r="C176" i="48"/>
  <c r="K227" i="48"/>
  <c r="G279" i="48"/>
  <c r="B10" i="61"/>
  <c r="B17" i="61" s="1"/>
  <c r="B18" i="61" s="1"/>
  <c r="F10" i="61"/>
  <c r="F17" i="61" s="1"/>
  <c r="F18" i="61" s="1"/>
  <c r="C22" i="11"/>
  <c r="B21" i="16" s="1"/>
  <c r="D102" i="4"/>
  <c r="G11" i="16"/>
  <c r="D22" i="11"/>
  <c r="B83" i="16" s="1"/>
  <c r="B73" i="16"/>
  <c r="F20" i="11"/>
  <c r="F23" i="11" s="1"/>
  <c r="C167" i="64"/>
  <c r="G167" i="64"/>
  <c r="K167" i="64"/>
  <c r="E167" i="64"/>
  <c r="I167" i="64"/>
  <c r="M167" i="64"/>
  <c r="H167" i="64"/>
  <c r="D167" i="64"/>
  <c r="L167" i="64"/>
  <c r="F167" i="64"/>
  <c r="B167" i="64"/>
  <c r="J167" i="64"/>
  <c r="B261" i="16"/>
  <c r="N261" i="16" s="1"/>
  <c r="N262" i="64"/>
  <c r="H14" i="49"/>
  <c r="H12" i="4"/>
  <c r="H17" i="4" s="1"/>
  <c r="H22" i="4" s="1"/>
  <c r="K16" i="61"/>
  <c r="K10" i="61"/>
  <c r="J35" i="61"/>
  <c r="J36" i="61" s="1"/>
  <c r="J41" i="61"/>
  <c r="J42" i="61" s="1"/>
  <c r="J43" i="61" s="1"/>
  <c r="E60" i="61"/>
  <c r="E61" i="61" s="1"/>
  <c r="E63" i="61" s="1"/>
  <c r="F134" i="48" s="1"/>
  <c r="D98" i="61"/>
  <c r="D91" i="61"/>
  <c r="D92" i="61" s="1"/>
  <c r="D85" i="61"/>
  <c r="D86" i="61" s="1"/>
  <c r="D88" i="61" s="1"/>
  <c r="E185" i="48" s="1"/>
  <c r="H98" i="61"/>
  <c r="D17" i="11"/>
  <c r="E27" i="64"/>
  <c r="I27" i="64"/>
  <c r="C27" i="64"/>
  <c r="G27" i="64"/>
  <c r="K27" i="64"/>
  <c r="J27" i="64"/>
  <c r="F27" i="64"/>
  <c r="M27" i="64"/>
  <c r="L27" i="64"/>
  <c r="B27" i="64"/>
  <c r="D27" i="64"/>
  <c r="H27" i="64"/>
  <c r="E23" i="11"/>
  <c r="E26" i="11" s="1"/>
  <c r="E29" i="11" s="1"/>
  <c r="E73" i="64"/>
  <c r="I73" i="64"/>
  <c r="M73" i="64"/>
  <c r="M74" i="64" s="1"/>
  <c r="C73" i="64"/>
  <c r="G73" i="64"/>
  <c r="K73" i="64"/>
  <c r="J73" i="64"/>
  <c r="F73" i="64"/>
  <c r="B73" i="64"/>
  <c r="B74" i="64" s="1"/>
  <c r="D73" i="64"/>
  <c r="H73" i="64"/>
  <c r="L73" i="64"/>
  <c r="L74" i="64" s="1"/>
  <c r="D64" i="49"/>
  <c r="L64" i="49"/>
  <c r="K47" i="49"/>
  <c r="L17" i="63"/>
  <c r="L25" i="63" s="1"/>
  <c r="J161" i="14" s="1"/>
  <c r="J16" i="93" s="1"/>
  <c r="J23" i="93" s="1"/>
  <c r="N27" i="24"/>
  <c r="B81" i="49"/>
  <c r="O35" i="48"/>
  <c r="O33" i="48"/>
  <c r="O24" i="48"/>
  <c r="O34" i="48"/>
  <c r="E22" i="48"/>
  <c r="H54" i="49"/>
  <c r="B96" i="14"/>
  <c r="C96" i="14" s="1"/>
  <c r="D96" i="14" s="1"/>
  <c r="E96" i="14" s="1"/>
  <c r="F96" i="14" s="1"/>
  <c r="G96" i="14" s="1"/>
  <c r="H96" i="14" s="1"/>
  <c r="I96" i="14" s="1"/>
  <c r="J96" i="14" s="1"/>
  <c r="K96" i="14" s="1"/>
  <c r="L96" i="14" s="1"/>
  <c r="M96" i="14" s="1"/>
  <c r="G29" i="11"/>
  <c r="B36" i="14"/>
  <c r="B16" i="94" s="1"/>
  <c r="I65" i="18"/>
  <c r="J46" i="4"/>
  <c r="K46" i="4" s="1"/>
  <c r="L46" i="4" s="1"/>
  <c r="M46" i="4" s="1"/>
  <c r="J171" i="48"/>
  <c r="J222" i="48"/>
  <c r="J120" i="48"/>
  <c r="J274" i="48"/>
  <c r="J74" i="48"/>
  <c r="D148" i="4"/>
  <c r="D152" i="4"/>
  <c r="E68" i="18"/>
  <c r="E18" i="4"/>
  <c r="G18" i="4"/>
  <c r="H113" i="18"/>
  <c r="I240" i="48" s="1"/>
  <c r="N11" i="60"/>
  <c r="J116" i="18"/>
  <c r="I30" i="49"/>
  <c r="G27" i="4"/>
  <c r="G28" i="4" s="1"/>
  <c r="G23" i="4"/>
  <c r="G68" i="18"/>
  <c r="H88" i="49"/>
  <c r="I245" i="48"/>
  <c r="K274" i="48"/>
  <c r="K29" i="48"/>
  <c r="K222" i="48"/>
  <c r="K171" i="48"/>
  <c r="J75" i="48"/>
  <c r="J172" i="48"/>
  <c r="J121" i="48"/>
  <c r="J30" i="48"/>
  <c r="C148" i="4"/>
  <c r="C152" i="4"/>
  <c r="C71" i="49"/>
  <c r="D193" i="48"/>
  <c r="C171" i="64"/>
  <c r="D166" i="4"/>
  <c r="B73" i="18"/>
  <c r="B75" i="18" s="1"/>
  <c r="C139" i="48" s="1"/>
  <c r="L22" i="4"/>
  <c r="C57" i="24"/>
  <c r="C56" i="24" s="1"/>
  <c r="C59" i="24" s="1"/>
  <c r="C58" i="24" s="1"/>
  <c r="H121" i="18"/>
  <c r="H75" i="61"/>
  <c r="G152" i="4"/>
  <c r="G148" i="4"/>
  <c r="E14" i="60"/>
  <c r="F14" i="60" s="1"/>
  <c r="G14" i="60" s="1"/>
  <c r="H14" i="60" s="1"/>
  <c r="I14" i="60" s="1"/>
  <c r="J14" i="60" s="1"/>
  <c r="K14" i="60" s="1"/>
  <c r="L14" i="60" s="1"/>
  <c r="M14" i="60" s="1"/>
  <c r="G281" i="4"/>
  <c r="G277" i="4"/>
  <c r="E148" i="4"/>
  <c r="E152" i="4"/>
  <c r="N40" i="16"/>
  <c r="H29" i="11"/>
  <c r="B142" i="18" s="1"/>
  <c r="B121" i="14"/>
  <c r="C121" i="14" s="1"/>
  <c r="D121" i="14" s="1"/>
  <c r="E121" i="14" s="1"/>
  <c r="F121" i="14" s="1"/>
  <c r="L19" i="63"/>
  <c r="J11" i="14" s="1"/>
  <c r="I71" i="49"/>
  <c r="D20" i="49"/>
  <c r="D21" i="49" s="1"/>
  <c r="F54" i="49"/>
  <c r="E217" i="4"/>
  <c r="N12" i="60"/>
  <c r="M61" i="64"/>
  <c r="N61" i="64" s="1"/>
  <c r="I146" i="64"/>
  <c r="D117" i="16"/>
  <c r="D117" i="64"/>
  <c r="E107" i="4"/>
  <c r="D297" i="64"/>
  <c r="C297" i="64"/>
  <c r="J21" i="63"/>
  <c r="H61" i="14" s="1"/>
  <c r="H16" i="89" s="1"/>
  <c r="I61" i="14"/>
  <c r="I16" i="89" s="1"/>
  <c r="N21" i="63"/>
  <c r="L61" i="14" s="1"/>
  <c r="L16" i="89" s="1"/>
  <c r="B118" i="14"/>
  <c r="B112" i="14"/>
  <c r="B125" i="14"/>
  <c r="M38" i="61"/>
  <c r="D119" i="48"/>
  <c r="H55" i="16"/>
  <c r="C38" i="11"/>
  <c r="K146" i="16"/>
  <c r="C156" i="16"/>
  <c r="N161" i="64"/>
  <c r="L161" i="16"/>
  <c r="N166" i="64"/>
  <c r="N55" i="48"/>
  <c r="N21" i="48"/>
  <c r="J55" i="48"/>
  <c r="L216" i="4"/>
  <c r="C16" i="61"/>
  <c r="C10" i="61"/>
  <c r="N9" i="61"/>
  <c r="G16" i="61"/>
  <c r="G10" i="61"/>
  <c r="G17" i="61" s="1"/>
  <c r="C123" i="61"/>
  <c r="C110" i="61"/>
  <c r="C111" i="61" s="1"/>
  <c r="K110" i="61"/>
  <c r="K111" i="61" s="1"/>
  <c r="K113" i="61" s="1"/>
  <c r="K123" i="61"/>
  <c r="K116" i="61"/>
  <c r="N151" i="16"/>
  <c r="D10" i="60"/>
  <c r="B46" i="14"/>
  <c r="C46" i="14" s="1"/>
  <c r="D46" i="14" s="1"/>
  <c r="E46" i="14" s="1"/>
  <c r="F46" i="14" s="1"/>
  <c r="G46" i="14" s="1"/>
  <c r="H46" i="14" s="1"/>
  <c r="E11" i="16"/>
  <c r="I11" i="16"/>
  <c r="L73" i="16"/>
  <c r="K272" i="16"/>
  <c r="D272" i="16"/>
  <c r="C142" i="16"/>
  <c r="F11" i="16"/>
  <c r="H272" i="16"/>
  <c r="J73" i="16"/>
  <c r="E17" i="63"/>
  <c r="E25" i="63" s="1"/>
  <c r="K17" i="63"/>
  <c r="P16" i="63"/>
  <c r="J22" i="63"/>
  <c r="H86" i="14" s="1"/>
  <c r="H16" i="90" s="1"/>
  <c r="I86" i="14"/>
  <c r="I16" i="90" s="1"/>
  <c r="N22" i="63"/>
  <c r="L86" i="14" s="1"/>
  <c r="L16" i="90" s="1"/>
  <c r="L109" i="18"/>
  <c r="L17" i="91" s="1"/>
  <c r="N19" i="63"/>
  <c r="L11" i="14" s="1"/>
  <c r="I11" i="14"/>
  <c r="J19" i="63"/>
  <c r="H11" i="14" s="1"/>
  <c r="B62" i="14"/>
  <c r="B63" i="14" s="1"/>
  <c r="B65" i="14" s="1"/>
  <c r="C131" i="48" s="1"/>
  <c r="B68" i="14"/>
  <c r="J23" i="63"/>
  <c r="H111" i="14" s="1"/>
  <c r="H16" i="91" s="1"/>
  <c r="N23" i="63"/>
  <c r="L111" i="14" s="1"/>
  <c r="L16" i="91" s="1"/>
  <c r="I111" i="14"/>
  <c r="I16" i="91" s="1"/>
  <c r="B11" i="64"/>
  <c r="B66" i="64" s="1"/>
  <c r="L21" i="70"/>
  <c r="L22" i="70" s="1"/>
  <c r="B26" i="14"/>
  <c r="B27" i="14" s="1"/>
  <c r="B29" i="14" s="1"/>
  <c r="C47" i="48" s="1"/>
  <c r="B12" i="14"/>
  <c r="B13" i="14" s="1"/>
  <c r="B18" i="14"/>
  <c r="B19" i="14" s="1"/>
  <c r="B20" i="14" s="1"/>
  <c r="I36" i="14"/>
  <c r="I16" i="94" s="1"/>
  <c r="N20" i="63"/>
  <c r="L36" i="14" s="1"/>
  <c r="L16" i="94" s="1"/>
  <c r="J20" i="63"/>
  <c r="H36" i="14" s="1"/>
  <c r="H16" i="94" s="1"/>
  <c r="B93" i="14"/>
  <c r="B94" i="14" s="1"/>
  <c r="B100" i="14"/>
  <c r="M257" i="16"/>
  <c r="M262" i="16" s="1"/>
  <c r="M263" i="16" s="1"/>
  <c r="I36" i="16"/>
  <c r="L31" i="16"/>
  <c r="L32" i="16" s="1"/>
  <c r="C312" i="16"/>
  <c r="G312" i="16"/>
  <c r="G317" i="16" s="1"/>
  <c r="D257" i="16"/>
  <c r="J312" i="16"/>
  <c r="J317" i="16" s="1"/>
  <c r="I242" i="16"/>
  <c r="L292" i="16"/>
  <c r="L293" i="16" s="1"/>
  <c r="I312" i="16"/>
  <c r="I317" i="16" s="1"/>
  <c r="C41" i="16"/>
  <c r="C42" i="16" s="1"/>
  <c r="G167" i="16"/>
  <c r="G177" i="16" s="1"/>
  <c r="F292" i="16"/>
  <c r="F293" i="16" s="1"/>
  <c r="F167" i="16"/>
  <c r="F177" i="16" s="1"/>
  <c r="K18" i="24"/>
  <c r="K32" i="24" s="1"/>
  <c r="E18" i="24"/>
  <c r="H17" i="63"/>
  <c r="H25" i="63" s="1"/>
  <c r="F161" i="14" s="1"/>
  <c r="F16" i="93" s="1"/>
  <c r="F23" i="93" s="1"/>
  <c r="O17" i="63"/>
  <c r="O25" i="63" s="1"/>
  <c r="M161" i="14" s="1"/>
  <c r="M16" i="93" s="1"/>
  <c r="M23" i="93" s="1"/>
  <c r="B212" i="64"/>
  <c r="K55" i="48"/>
  <c r="L55" i="48"/>
  <c r="H55" i="48"/>
  <c r="D55" i="48"/>
  <c r="C55" i="48"/>
  <c r="M55" i="48"/>
  <c r="I55" i="48"/>
  <c r="E55" i="48"/>
  <c r="N41" i="24"/>
  <c r="N55" i="24"/>
  <c r="K81" i="49"/>
  <c r="N79" i="48"/>
  <c r="J79" i="48"/>
  <c r="F79" i="48"/>
  <c r="N125" i="48"/>
  <c r="J125" i="48"/>
  <c r="F125" i="48"/>
  <c r="N176" i="48"/>
  <c r="J176" i="48"/>
  <c r="F176" i="48"/>
  <c r="N227" i="48"/>
  <c r="J227" i="48"/>
  <c r="F227" i="48"/>
  <c r="N279" i="48"/>
  <c r="J279" i="48"/>
  <c r="F279" i="48"/>
  <c r="L79" i="48"/>
  <c r="H79" i="48"/>
  <c r="D79" i="48"/>
  <c r="L125" i="48"/>
  <c r="H125" i="48"/>
  <c r="D125" i="48"/>
  <c r="L176" i="48"/>
  <c r="H176" i="48"/>
  <c r="D176" i="48"/>
  <c r="L227" i="48"/>
  <c r="H227" i="48"/>
  <c r="D227" i="48"/>
  <c r="L279" i="48"/>
  <c r="H279" i="48"/>
  <c r="F74" i="24"/>
  <c r="M292" i="4"/>
  <c r="M296" i="4"/>
  <c r="L21" i="49"/>
  <c r="L22" i="49" s="1"/>
  <c r="G121" i="14"/>
  <c r="E33" i="4"/>
  <c r="E37" i="4"/>
  <c r="C92" i="18"/>
  <c r="C89" i="18"/>
  <c r="K61" i="24"/>
  <c r="K75" i="24" s="1"/>
  <c r="K90" i="24" s="1"/>
  <c r="K105" i="24" s="1"/>
  <c r="G54" i="49"/>
  <c r="F13" i="49"/>
  <c r="H142" i="48"/>
  <c r="J193" i="48"/>
  <c r="L12" i="49"/>
  <c r="L13" i="49" s="1"/>
  <c r="L15" i="49" s="1"/>
  <c r="K37" i="49"/>
  <c r="M84" i="18"/>
  <c r="E57" i="24"/>
  <c r="E56" i="24" s="1"/>
  <c r="E59" i="24" s="1"/>
  <c r="L277" i="4"/>
  <c r="K21" i="70"/>
  <c r="N276" i="16"/>
  <c r="N231" i="16"/>
  <c r="I272" i="16"/>
  <c r="B77" i="16"/>
  <c r="B146" i="16"/>
  <c r="E255" i="4" l="1"/>
  <c r="M65" i="18"/>
  <c r="N137" i="48" s="1"/>
  <c r="N17" i="94"/>
  <c r="C86" i="18"/>
  <c r="J110" i="18"/>
  <c r="E97" i="18"/>
  <c r="E99" i="18" s="1"/>
  <c r="F190" i="48" s="1"/>
  <c r="M62" i="18"/>
  <c r="J121" i="18"/>
  <c r="I92" i="18"/>
  <c r="H73" i="18"/>
  <c r="H75" i="18" s="1"/>
  <c r="I139" i="48" s="1"/>
  <c r="B97" i="18"/>
  <c r="B99" i="18" s="1"/>
  <c r="C190" i="48" s="1"/>
  <c r="E62" i="18"/>
  <c r="I86" i="18"/>
  <c r="D170" i="48"/>
  <c r="M73" i="18"/>
  <c r="M75" i="18" s="1"/>
  <c r="N139" i="48" s="1"/>
  <c r="G116" i="18"/>
  <c r="H65" i="18"/>
  <c r="I137" i="48" s="1"/>
  <c r="C183" i="16"/>
  <c r="G56" i="49"/>
  <c r="G55" i="49" s="1"/>
  <c r="J38" i="61"/>
  <c r="K88" i="48" s="1"/>
  <c r="X34" i="61"/>
  <c r="K212" i="4"/>
  <c r="K32" i="90"/>
  <c r="L38" i="61"/>
  <c r="M88" i="48" s="1"/>
  <c r="Z34" i="61"/>
  <c r="M12" i="94"/>
  <c r="M34" i="49"/>
  <c r="N96" i="48" s="1"/>
  <c r="M32" i="49"/>
  <c r="M31" i="49" s="1"/>
  <c r="M56" i="70"/>
  <c r="M55" i="70" s="1"/>
  <c r="E85" i="49"/>
  <c r="F245" i="48" s="1"/>
  <c r="E83" i="49"/>
  <c r="E82" i="49" s="1"/>
  <c r="F38" i="61"/>
  <c r="G88" i="48" s="1"/>
  <c r="T34" i="61"/>
  <c r="B32" i="49"/>
  <c r="B31" i="49" s="1"/>
  <c r="B34" i="49"/>
  <c r="C96" i="48" s="1"/>
  <c r="B12" i="90"/>
  <c r="B68" i="49"/>
  <c r="B66" i="49"/>
  <c r="B65" i="49" s="1"/>
  <c r="C12" i="91"/>
  <c r="C85" i="49"/>
  <c r="C83" i="49"/>
  <c r="C82" i="49" s="1"/>
  <c r="G212" i="64"/>
  <c r="G211" i="16" s="1"/>
  <c r="G213" i="16" s="1"/>
  <c r="G32" i="90"/>
  <c r="H34" i="49"/>
  <c r="I96" i="48" s="1"/>
  <c r="H32" i="49"/>
  <c r="H31" i="49" s="1"/>
  <c r="I73" i="70"/>
  <c r="I72" i="70" s="1"/>
  <c r="D56" i="70"/>
  <c r="D55" i="70" s="1"/>
  <c r="B90" i="70"/>
  <c r="B89" i="70" s="1"/>
  <c r="L143" i="14"/>
  <c r="L144" i="14" s="1"/>
  <c r="L145" i="14" s="1"/>
  <c r="L16" i="92"/>
  <c r="L23" i="92" s="1"/>
  <c r="I56" i="70"/>
  <c r="I55" i="70" s="1"/>
  <c r="J56" i="70"/>
  <c r="J55" i="70" s="1"/>
  <c r="M73" i="70"/>
  <c r="M72" i="70" s="1"/>
  <c r="H39" i="70"/>
  <c r="H38" i="70" s="1"/>
  <c r="C39" i="49"/>
  <c r="C38" i="49" s="1"/>
  <c r="G73" i="70"/>
  <c r="G72" i="70" s="1"/>
  <c r="C39" i="70"/>
  <c r="C38" i="70" s="1"/>
  <c r="E73" i="49"/>
  <c r="E72" i="49" s="1"/>
  <c r="H23" i="91"/>
  <c r="C171" i="14"/>
  <c r="D171" i="14" s="1"/>
  <c r="E171" i="14" s="1"/>
  <c r="F171" i="14" s="1"/>
  <c r="G171" i="14" s="1"/>
  <c r="H171" i="14" s="1"/>
  <c r="I171" i="14" s="1"/>
  <c r="B172" i="14"/>
  <c r="D22" i="85"/>
  <c r="C23" i="85"/>
  <c r="D67" i="48" s="1"/>
  <c r="K39" i="49"/>
  <c r="K38" i="49" s="1"/>
  <c r="G20" i="63"/>
  <c r="E36" i="14" s="1"/>
  <c r="E16" i="94" s="1"/>
  <c r="G21" i="63"/>
  <c r="E61" i="14" s="1"/>
  <c r="E16" i="89" s="1"/>
  <c r="F56" i="49"/>
  <c r="F55" i="49" s="1"/>
  <c r="H86" i="18"/>
  <c r="E89" i="18"/>
  <c r="F188" i="48" s="1"/>
  <c r="I89" i="18"/>
  <c r="J188" i="48" s="1"/>
  <c r="E65" i="18"/>
  <c r="I62" i="18"/>
  <c r="K12" i="89"/>
  <c r="K51" i="49"/>
  <c r="K49" i="49"/>
  <c r="K48" i="49" s="1"/>
  <c r="L12" i="89"/>
  <c r="L51" i="49"/>
  <c r="L49" i="49"/>
  <c r="L48" i="49" s="1"/>
  <c r="D90" i="49"/>
  <c r="D89" i="49" s="1"/>
  <c r="B92" i="18"/>
  <c r="H92" i="18"/>
  <c r="G113" i="18"/>
  <c r="H240" i="48" s="1"/>
  <c r="B62" i="18"/>
  <c r="D84" i="18"/>
  <c r="D87" i="18" s="1"/>
  <c r="D86" i="18" s="1"/>
  <c r="D17" i="90"/>
  <c r="N17" i="90" s="1"/>
  <c r="B38" i="61"/>
  <c r="C88" i="48" s="1"/>
  <c r="P34" i="61"/>
  <c r="C12" i="89"/>
  <c r="C51" i="49"/>
  <c r="C49" i="49"/>
  <c r="C48" i="49" s="1"/>
  <c r="L85" i="49"/>
  <c r="L83" i="49"/>
  <c r="L82" i="49" s="1"/>
  <c r="I38" i="61"/>
  <c r="J88" i="48" s="1"/>
  <c r="W34" i="61"/>
  <c r="E186" i="4"/>
  <c r="D30" i="90"/>
  <c r="D30" i="89"/>
  <c r="I12" i="89"/>
  <c r="I49" i="49"/>
  <c r="I48" i="49" s="1"/>
  <c r="I51" i="49"/>
  <c r="J142" i="48" s="1"/>
  <c r="I39" i="70"/>
  <c r="I38" i="70" s="1"/>
  <c r="B39" i="70"/>
  <c r="B38" i="70" s="1"/>
  <c r="H183" i="16"/>
  <c r="J39" i="70"/>
  <c r="J38" i="70" s="1"/>
  <c r="L73" i="70"/>
  <c r="L72" i="70" s="1"/>
  <c r="D370" i="48"/>
  <c r="D73" i="48"/>
  <c r="B320" i="4"/>
  <c r="B32" i="91"/>
  <c r="I186" i="64"/>
  <c r="I181" i="16" s="1"/>
  <c r="I30" i="90"/>
  <c r="I30" i="89"/>
  <c r="L39" i="70"/>
  <c r="L38" i="70" s="1"/>
  <c r="M39" i="70"/>
  <c r="M38" i="70" s="1"/>
  <c r="E39" i="49"/>
  <c r="E38" i="49" s="1"/>
  <c r="F73" i="70"/>
  <c r="F72" i="70" s="1"/>
  <c r="H73" i="70"/>
  <c r="H72" i="70" s="1"/>
  <c r="B167" i="18"/>
  <c r="C142" i="18"/>
  <c r="C73" i="49"/>
  <c r="C72" i="49" s="1"/>
  <c r="H90" i="49"/>
  <c r="H89" i="49" s="1"/>
  <c r="I12" i="94"/>
  <c r="I34" i="49"/>
  <c r="I32" i="49"/>
  <c r="I31" i="49" s="1"/>
  <c r="H56" i="49"/>
  <c r="H55" i="49" s="1"/>
  <c r="B85" i="49"/>
  <c r="B83" i="49"/>
  <c r="B82" i="49" s="1"/>
  <c r="L12" i="90"/>
  <c r="L68" i="49"/>
  <c r="M193" i="48" s="1"/>
  <c r="L66" i="49"/>
  <c r="L65" i="49" s="1"/>
  <c r="F12" i="91"/>
  <c r="F85" i="49"/>
  <c r="F83" i="49"/>
  <c r="F82" i="49" s="1"/>
  <c r="D12" i="89"/>
  <c r="D51" i="49"/>
  <c r="E142" i="48" s="1"/>
  <c r="D49" i="49"/>
  <c r="D48" i="49" s="1"/>
  <c r="O17" i="91"/>
  <c r="N17" i="91"/>
  <c r="E73" i="70"/>
  <c r="E72" i="70" s="1"/>
  <c r="G73" i="49"/>
  <c r="G72" i="49" s="1"/>
  <c r="D12" i="94"/>
  <c r="D34" i="49"/>
  <c r="E96" i="48" s="1"/>
  <c r="D32" i="49"/>
  <c r="D31" i="49" s="1"/>
  <c r="F34" i="49"/>
  <c r="F32" i="49"/>
  <c r="F31" i="49" s="1"/>
  <c r="J68" i="49"/>
  <c r="K193" i="48" s="1"/>
  <c r="J66" i="49"/>
  <c r="J65" i="49" s="1"/>
  <c r="B143" i="18"/>
  <c r="M212" i="4"/>
  <c r="M32" i="90"/>
  <c r="C212" i="4"/>
  <c r="C32" i="90"/>
  <c r="J212" i="64"/>
  <c r="J211" i="16" s="1"/>
  <c r="J32" i="90"/>
  <c r="C73" i="70"/>
  <c r="C72" i="70" s="1"/>
  <c r="C56" i="70"/>
  <c r="C55" i="70" s="1"/>
  <c r="B56" i="70"/>
  <c r="B55" i="70" s="1"/>
  <c r="L212" i="64"/>
  <c r="L211" i="16" s="1"/>
  <c r="L213" i="16" s="1"/>
  <c r="L32" i="90"/>
  <c r="B73" i="70"/>
  <c r="B72" i="70" s="1"/>
  <c r="M56" i="49"/>
  <c r="M55" i="49" s="1"/>
  <c r="G56" i="70"/>
  <c r="G55" i="70" s="1"/>
  <c r="D39" i="70"/>
  <c r="D38" i="70" s="1"/>
  <c r="L39" i="49"/>
  <c r="L38" i="49" s="1"/>
  <c r="F39" i="70"/>
  <c r="F38" i="70" s="1"/>
  <c r="J90" i="49"/>
  <c r="J89" i="49" s="1"/>
  <c r="K73" i="70"/>
  <c r="K72" i="70" s="1"/>
  <c r="J39" i="49"/>
  <c r="J38" i="49" s="1"/>
  <c r="B33" i="90"/>
  <c r="C33" i="90"/>
  <c r="C29" i="90"/>
  <c r="C29" i="89"/>
  <c r="C33" i="89" s="1"/>
  <c r="C176" i="64"/>
  <c r="C171" i="16" s="1"/>
  <c r="K12" i="91"/>
  <c r="K85" i="49"/>
  <c r="K83" i="49"/>
  <c r="K82" i="49" s="1"/>
  <c r="G23" i="63"/>
  <c r="E111" i="14" s="1"/>
  <c r="E16" i="91" s="1"/>
  <c r="G19" i="63"/>
  <c r="E11" i="14" s="1"/>
  <c r="E295" i="4"/>
  <c r="E28" i="91" s="1"/>
  <c r="I73" i="49"/>
  <c r="I72" i="49" s="1"/>
  <c r="E92" i="18"/>
  <c r="H110" i="18"/>
  <c r="D28" i="90"/>
  <c r="D28" i="89"/>
  <c r="G65" i="18"/>
  <c r="H137" i="48" s="1"/>
  <c r="D12" i="90"/>
  <c r="D68" i="49"/>
  <c r="E193" i="48" s="1"/>
  <c r="D66" i="49"/>
  <c r="D65" i="49" s="1"/>
  <c r="D136" i="4"/>
  <c r="D27" i="94"/>
  <c r="D31" i="94" s="1"/>
  <c r="D171" i="4"/>
  <c r="G12" i="94"/>
  <c r="G34" i="49"/>
  <c r="H96" i="48" s="1"/>
  <c r="G32" i="49"/>
  <c r="G31" i="49" s="1"/>
  <c r="J12" i="89"/>
  <c r="J51" i="49"/>
  <c r="J49" i="49"/>
  <c r="J48" i="49" s="1"/>
  <c r="I68" i="18"/>
  <c r="L73" i="18"/>
  <c r="L75" i="18" s="1"/>
  <c r="M139" i="48" s="1"/>
  <c r="I12" i="91"/>
  <c r="I83" i="49"/>
  <c r="I82" i="49" s="1"/>
  <c r="I85" i="49"/>
  <c r="H68" i="49"/>
  <c r="I193" i="48" s="1"/>
  <c r="H66" i="49"/>
  <c r="H65" i="49" s="1"/>
  <c r="E38" i="61"/>
  <c r="F88" i="48" s="1"/>
  <c r="S34" i="61"/>
  <c r="K73" i="49"/>
  <c r="K72" i="49" s="1"/>
  <c r="C88" i="4"/>
  <c r="C89" i="4" s="1"/>
  <c r="J186" i="64"/>
  <c r="J181" i="16" s="1"/>
  <c r="J183" i="16" s="1"/>
  <c r="J30" i="90"/>
  <c r="J30" i="89"/>
  <c r="I212" i="64"/>
  <c r="I211" i="16" s="1"/>
  <c r="I213" i="16" s="1"/>
  <c r="I32" i="90"/>
  <c r="E12" i="89"/>
  <c r="E49" i="49"/>
  <c r="E48" i="49" s="1"/>
  <c r="E51" i="49"/>
  <c r="F142" i="48" s="1"/>
  <c r="B12" i="89"/>
  <c r="B51" i="49"/>
  <c r="B49" i="49"/>
  <c r="B48" i="49" s="1"/>
  <c r="E39" i="70"/>
  <c r="E38" i="70" s="1"/>
  <c r="G39" i="70"/>
  <c r="G38" i="70" s="1"/>
  <c r="K39" i="70"/>
  <c r="K38" i="70" s="1"/>
  <c r="H56" i="70"/>
  <c r="H55" i="70" s="1"/>
  <c r="D73" i="70"/>
  <c r="D72" i="70" s="1"/>
  <c r="L56" i="70"/>
  <c r="L55" i="70" s="1"/>
  <c r="E56" i="70"/>
  <c r="E55" i="70" s="1"/>
  <c r="F56" i="70"/>
  <c r="F55" i="70" s="1"/>
  <c r="K56" i="70"/>
  <c r="K55" i="70" s="1"/>
  <c r="M90" i="49"/>
  <c r="M89" i="49" s="1"/>
  <c r="M73" i="49"/>
  <c r="M72" i="49" s="1"/>
  <c r="J73" i="70"/>
  <c r="J72" i="70" s="1"/>
  <c r="C146" i="14"/>
  <c r="D146" i="14" s="1"/>
  <c r="E146" i="14" s="1"/>
  <c r="F146" i="14" s="1"/>
  <c r="G146" i="14" s="1"/>
  <c r="H146" i="14" s="1"/>
  <c r="I146" i="14" s="1"/>
  <c r="B147" i="14"/>
  <c r="O17" i="94"/>
  <c r="C67" i="48"/>
  <c r="C31" i="94"/>
  <c r="M90" i="70"/>
  <c r="M89" i="70" s="1"/>
  <c r="L90" i="70"/>
  <c r="L89" i="70" s="1"/>
  <c r="K90" i="70"/>
  <c r="K89" i="70" s="1"/>
  <c r="J90" i="70"/>
  <c r="J89" i="70" s="1"/>
  <c r="I90" i="70"/>
  <c r="I89" i="70" s="1"/>
  <c r="H90" i="70"/>
  <c r="H89" i="70" s="1"/>
  <c r="G90" i="70"/>
  <c r="G89" i="70" s="1"/>
  <c r="F90" i="70"/>
  <c r="F89" i="70" s="1"/>
  <c r="E90" i="70"/>
  <c r="E89" i="70" s="1"/>
  <c r="D90" i="70"/>
  <c r="D89" i="70" s="1"/>
  <c r="C90" i="70"/>
  <c r="C89" i="70" s="1"/>
  <c r="L88" i="49"/>
  <c r="L12" i="91"/>
  <c r="F37" i="49"/>
  <c r="F12" i="94"/>
  <c r="J12" i="90"/>
  <c r="O13" i="91"/>
  <c r="N13" i="91"/>
  <c r="N13" i="94"/>
  <c r="E88" i="49"/>
  <c r="E12" i="91"/>
  <c r="H12" i="90"/>
  <c r="B88" i="49"/>
  <c r="B12" i="91"/>
  <c r="B37" i="49"/>
  <c r="B12" i="94"/>
  <c r="H12" i="94"/>
  <c r="O13" i="94"/>
  <c r="O13" i="90"/>
  <c r="N13" i="90"/>
  <c r="C427" i="16"/>
  <c r="C428" i="16" s="1"/>
  <c r="C423" i="16"/>
  <c r="M427" i="16"/>
  <c r="M428" i="16" s="1"/>
  <c r="M423" i="16"/>
  <c r="B407" i="16"/>
  <c r="B403" i="16"/>
  <c r="K427" i="16"/>
  <c r="K428" i="16" s="1"/>
  <c r="K423" i="16"/>
  <c r="E427" i="16"/>
  <c r="E428" i="16" s="1"/>
  <c r="E423" i="16"/>
  <c r="C407" i="16"/>
  <c r="C403" i="16"/>
  <c r="H427" i="16"/>
  <c r="H428" i="16" s="1"/>
  <c r="H423" i="16"/>
  <c r="G288" i="64"/>
  <c r="G289" i="64" s="1"/>
  <c r="M408" i="64"/>
  <c r="M409" i="64" s="1"/>
  <c r="I408" i="64"/>
  <c r="I409" i="64" s="1"/>
  <c r="E408" i="64"/>
  <c r="E409" i="64" s="1"/>
  <c r="J408" i="64"/>
  <c r="J409" i="64" s="1"/>
  <c r="F408" i="64"/>
  <c r="F409" i="64" s="1"/>
  <c r="B408" i="64"/>
  <c r="H408" i="64"/>
  <c r="H409" i="64" s="1"/>
  <c r="D408" i="64"/>
  <c r="D409" i="64" s="1"/>
  <c r="G408" i="64"/>
  <c r="G409" i="64" s="1"/>
  <c r="L408" i="64"/>
  <c r="L409" i="64" s="1"/>
  <c r="K408" i="64"/>
  <c r="K409" i="64" s="1"/>
  <c r="C408" i="64"/>
  <c r="C409" i="64" s="1"/>
  <c r="L392" i="16"/>
  <c r="L393" i="16" s="1"/>
  <c r="H392" i="16"/>
  <c r="H393" i="16" s="1"/>
  <c r="D392" i="16"/>
  <c r="D393" i="16" s="1"/>
  <c r="K392" i="16"/>
  <c r="K393" i="16" s="1"/>
  <c r="C392" i="16"/>
  <c r="C393" i="16" s="1"/>
  <c r="M392" i="16"/>
  <c r="M393" i="16" s="1"/>
  <c r="I392" i="16"/>
  <c r="I393" i="16" s="1"/>
  <c r="E392" i="16"/>
  <c r="E393" i="16" s="1"/>
  <c r="G392" i="16"/>
  <c r="G393" i="16" s="1"/>
  <c r="J392" i="16"/>
  <c r="J393" i="16" s="1"/>
  <c r="F392" i="16"/>
  <c r="F393" i="16" s="1"/>
  <c r="B392" i="16"/>
  <c r="B393" i="16" s="1"/>
  <c r="F427" i="16"/>
  <c r="F428" i="16" s="1"/>
  <c r="F423" i="16"/>
  <c r="B427" i="16"/>
  <c r="B428" i="16" s="1"/>
  <c r="B423" i="16"/>
  <c r="G427" i="16"/>
  <c r="G428" i="16" s="1"/>
  <c r="G423" i="16"/>
  <c r="D427" i="16"/>
  <c r="D428" i="16" s="1"/>
  <c r="D423" i="16"/>
  <c r="N388" i="16"/>
  <c r="J427" i="16"/>
  <c r="J428" i="16" s="1"/>
  <c r="J423" i="16"/>
  <c r="I427" i="16"/>
  <c r="I428" i="16" s="1"/>
  <c r="I423" i="16"/>
  <c r="L427" i="16"/>
  <c r="L428" i="16" s="1"/>
  <c r="L423" i="16"/>
  <c r="N398" i="16"/>
  <c r="E15" i="24"/>
  <c r="E14" i="24" s="1"/>
  <c r="O17" i="89"/>
  <c r="K15" i="24"/>
  <c r="K14" i="24" s="1"/>
  <c r="K17" i="24" s="1"/>
  <c r="K16" i="24" s="1"/>
  <c r="I54" i="49"/>
  <c r="J54" i="49"/>
  <c r="O13" i="89"/>
  <c r="N13" i="89"/>
  <c r="E54" i="49"/>
  <c r="K158" i="16"/>
  <c r="M19" i="63"/>
  <c r="K11" i="14" s="1"/>
  <c r="K18" i="14" s="1"/>
  <c r="E19" i="63"/>
  <c r="L150" i="14"/>
  <c r="L151" i="14" s="1"/>
  <c r="L152" i="14" s="1"/>
  <c r="L154" i="14" s="1"/>
  <c r="M13" i="48" s="1"/>
  <c r="L137" i="14"/>
  <c r="L138" i="14" s="1"/>
  <c r="L140" i="14" s="1"/>
  <c r="M11" i="48" s="1"/>
  <c r="L162" i="14"/>
  <c r="L163" i="14" s="1"/>
  <c r="L165" i="14" s="1"/>
  <c r="L168" i="14"/>
  <c r="L169" i="14" s="1"/>
  <c r="L170" i="14" s="1"/>
  <c r="L175" i="14"/>
  <c r="L176" i="14" s="1"/>
  <c r="L177" i="14" s="1"/>
  <c r="L179" i="14" s="1"/>
  <c r="M338" i="48" s="1"/>
  <c r="M175" i="14"/>
  <c r="M176" i="14" s="1"/>
  <c r="M177" i="14" s="1"/>
  <c r="M179" i="14" s="1"/>
  <c r="N338" i="48" s="1"/>
  <c r="M168" i="14"/>
  <c r="M169" i="14" s="1"/>
  <c r="M170" i="14" s="1"/>
  <c r="M162" i="14"/>
  <c r="M163" i="14" s="1"/>
  <c r="M165" i="14" s="1"/>
  <c r="C161" i="14"/>
  <c r="C16" i="93" s="1"/>
  <c r="F24" i="63"/>
  <c r="D136" i="14" s="1"/>
  <c r="F25" i="63"/>
  <c r="D161" i="14" s="1"/>
  <c r="D16" i="93" s="1"/>
  <c r="D23" i="93" s="1"/>
  <c r="J24" i="63"/>
  <c r="H136" i="14" s="1"/>
  <c r="J25" i="63"/>
  <c r="H161" i="14" s="1"/>
  <c r="H16" i="93" s="1"/>
  <c r="H23" i="93" s="1"/>
  <c r="F168" i="14"/>
  <c r="F169" i="14" s="1"/>
  <c r="F170" i="14" s="1"/>
  <c r="F162" i="14"/>
  <c r="F163" i="14" s="1"/>
  <c r="F165" i="14" s="1"/>
  <c r="F175" i="14"/>
  <c r="F176" i="14" s="1"/>
  <c r="F177" i="14" s="1"/>
  <c r="F179" i="14" s="1"/>
  <c r="G338" i="48" s="1"/>
  <c r="I24" i="63"/>
  <c r="G136" i="14" s="1"/>
  <c r="I25" i="63"/>
  <c r="G161" i="14" s="1"/>
  <c r="G16" i="93" s="1"/>
  <c r="G23" i="93" s="1"/>
  <c r="I23" i="63"/>
  <c r="G111" i="14" s="1"/>
  <c r="M24" i="63"/>
  <c r="K136" i="14" s="1"/>
  <c r="M25" i="63"/>
  <c r="K161" i="14" s="1"/>
  <c r="K16" i="93" s="1"/>
  <c r="K23" i="93" s="1"/>
  <c r="M20" i="63"/>
  <c r="K36" i="14" s="1"/>
  <c r="M22" i="63"/>
  <c r="K86" i="14" s="1"/>
  <c r="J168" i="14"/>
  <c r="J169" i="14" s="1"/>
  <c r="J170" i="14" s="1"/>
  <c r="J162" i="14"/>
  <c r="J163" i="14" s="1"/>
  <c r="J165" i="14" s="1"/>
  <c r="J175" i="14"/>
  <c r="J176" i="14" s="1"/>
  <c r="J177" i="14" s="1"/>
  <c r="J179" i="14" s="1"/>
  <c r="K338" i="48" s="1"/>
  <c r="G24" i="63"/>
  <c r="E136" i="14" s="1"/>
  <c r="G25" i="63"/>
  <c r="E161" i="14" s="1"/>
  <c r="E16" i="93" s="1"/>
  <c r="E23" i="93" s="1"/>
  <c r="C345" i="48"/>
  <c r="M50" i="48"/>
  <c r="C44" i="24"/>
  <c r="H22" i="63"/>
  <c r="F86" i="14" s="1"/>
  <c r="H24" i="63"/>
  <c r="F136" i="14" s="1"/>
  <c r="F16" i="92" s="1"/>
  <c r="F23" i="92" s="1"/>
  <c r="L20" i="63"/>
  <c r="J36" i="14" s="1"/>
  <c r="L24" i="63"/>
  <c r="J136" i="14" s="1"/>
  <c r="J16" i="92" s="1"/>
  <c r="J23" i="92" s="1"/>
  <c r="E21" i="63"/>
  <c r="C61" i="14" s="1"/>
  <c r="C16" i="89" s="1"/>
  <c r="E24" i="63"/>
  <c r="L21" i="63"/>
  <c r="J61" i="14" s="1"/>
  <c r="J68" i="14" s="1"/>
  <c r="O21" i="63"/>
  <c r="M61" i="14" s="1"/>
  <c r="O24" i="63"/>
  <c r="M136" i="14" s="1"/>
  <c r="M16" i="92" s="1"/>
  <c r="M23" i="92" s="1"/>
  <c r="L23" i="63"/>
  <c r="J111" i="14" s="1"/>
  <c r="L22" i="63"/>
  <c r="J86" i="14" s="1"/>
  <c r="E23" i="63"/>
  <c r="C72" i="24"/>
  <c r="J22" i="70"/>
  <c r="N20" i="70"/>
  <c r="B71" i="49"/>
  <c r="C193" i="48"/>
  <c r="E198" i="16"/>
  <c r="E201" i="16"/>
  <c r="E202" i="16" s="1"/>
  <c r="E158" i="16"/>
  <c r="D158" i="16"/>
  <c r="I183" i="16"/>
  <c r="J88" i="4"/>
  <c r="J89" i="4" s="1"/>
  <c r="D67" i="4"/>
  <c r="L83" i="4"/>
  <c r="L84" i="4" s="1"/>
  <c r="L79" i="4"/>
  <c r="J158" i="16"/>
  <c r="L212" i="4"/>
  <c r="H88" i="4"/>
  <c r="H89" i="4" s="1"/>
  <c r="G158" i="16"/>
  <c r="F79" i="4"/>
  <c r="F83" i="4"/>
  <c r="B79" i="4"/>
  <c r="B83" i="4"/>
  <c r="H158" i="16"/>
  <c r="B325" i="4"/>
  <c r="D270" i="4"/>
  <c r="F270" i="4"/>
  <c r="F32" i="91" s="1"/>
  <c r="C270" i="4"/>
  <c r="E270" i="4"/>
  <c r="E32" i="91" s="1"/>
  <c r="B272" i="64"/>
  <c r="B271" i="16" s="1"/>
  <c r="B273" i="16" s="1"/>
  <c r="M158" i="16"/>
  <c r="J141" i="16"/>
  <c r="J143" i="16" s="1"/>
  <c r="D74" i="64"/>
  <c r="F158" i="16"/>
  <c r="B158" i="16"/>
  <c r="L158" i="16"/>
  <c r="I158" i="16"/>
  <c r="O329" i="48"/>
  <c r="B189" i="75" s="1"/>
  <c r="D189" i="75" s="1"/>
  <c r="E189" i="75" s="1"/>
  <c r="E25" i="61"/>
  <c r="E27" i="61" s="1"/>
  <c r="F16" i="48" s="1"/>
  <c r="J48" i="48"/>
  <c r="E18" i="61"/>
  <c r="H21" i="70"/>
  <c r="H22" i="70" s="1"/>
  <c r="N32" i="70"/>
  <c r="D16" i="60"/>
  <c r="M76" i="24"/>
  <c r="N243" i="48" s="1"/>
  <c r="G62" i="24"/>
  <c r="H191" i="48" s="1"/>
  <c r="G89" i="18"/>
  <c r="H188" i="48" s="1"/>
  <c r="F48" i="24"/>
  <c r="G140" i="48" s="1"/>
  <c r="G34" i="24"/>
  <c r="H94" i="48" s="1"/>
  <c r="H34" i="24"/>
  <c r="I94" i="48" s="1"/>
  <c r="J30" i="24"/>
  <c r="F41" i="18"/>
  <c r="G91" i="48" s="1"/>
  <c r="L92" i="18"/>
  <c r="M62" i="24"/>
  <c r="N191" i="48" s="1"/>
  <c r="F74" i="64"/>
  <c r="J74" i="64"/>
  <c r="C72" i="16"/>
  <c r="C74" i="16" s="1"/>
  <c r="C141" i="64"/>
  <c r="H72" i="16"/>
  <c r="H74" i="16" s="1"/>
  <c r="I72" i="16"/>
  <c r="I74" i="16" s="1"/>
  <c r="E72" i="16"/>
  <c r="E74" i="16" s="1"/>
  <c r="K72" i="16"/>
  <c r="K74" i="16" s="1"/>
  <c r="G72" i="16"/>
  <c r="G74" i="16" s="1"/>
  <c r="B136" i="16"/>
  <c r="C136" i="16"/>
  <c r="M74" i="16"/>
  <c r="L143" i="16"/>
  <c r="J21" i="16"/>
  <c r="J22" i="16" s="1"/>
  <c r="B337" i="16"/>
  <c r="B338" i="16" s="1"/>
  <c r="B352" i="16"/>
  <c r="B348" i="16"/>
  <c r="G143" i="16"/>
  <c r="H74" i="64"/>
  <c r="C37" i="16"/>
  <c r="C74" i="64"/>
  <c r="D143" i="16"/>
  <c r="K74" i="64"/>
  <c r="I74" i="64"/>
  <c r="M143" i="16"/>
  <c r="H143" i="16"/>
  <c r="G74" i="64"/>
  <c r="N72" i="64"/>
  <c r="C243" i="16"/>
  <c r="E41" i="4"/>
  <c r="D37" i="16"/>
  <c r="E74" i="64"/>
  <c r="D242" i="64"/>
  <c r="D241" i="16" s="1"/>
  <c r="D243" i="16" s="1"/>
  <c r="M153" i="4"/>
  <c r="J74" i="16"/>
  <c r="M48" i="48"/>
  <c r="E17" i="24"/>
  <c r="J48" i="24"/>
  <c r="K140" i="48" s="1"/>
  <c r="I72" i="24"/>
  <c r="I34" i="24"/>
  <c r="J94" i="48" s="1"/>
  <c r="D226" i="4"/>
  <c r="D231" i="4" s="1"/>
  <c r="N83" i="70"/>
  <c r="N71" i="70"/>
  <c r="N65" i="70"/>
  <c r="N37" i="70"/>
  <c r="B54" i="49"/>
  <c r="M245" i="48"/>
  <c r="C288" i="64"/>
  <c r="C289" i="64" s="1"/>
  <c r="L74" i="16"/>
  <c r="I228" i="64"/>
  <c r="I229" i="64" s="1"/>
  <c r="E228" i="64"/>
  <c r="E229" i="64" s="1"/>
  <c r="D74" i="16"/>
  <c r="K228" i="64"/>
  <c r="K229" i="64" s="1"/>
  <c r="H193" i="16"/>
  <c r="H197" i="16"/>
  <c r="D297" i="16"/>
  <c r="E297" i="16" s="1"/>
  <c r="F297" i="16" s="1"/>
  <c r="D193" i="16"/>
  <c r="D197" i="16"/>
  <c r="L193" i="16"/>
  <c r="L197" i="16"/>
  <c r="I193" i="16"/>
  <c r="I197" i="16"/>
  <c r="B193" i="16"/>
  <c r="B197" i="16"/>
  <c r="G193" i="16"/>
  <c r="G197" i="16"/>
  <c r="J193" i="16"/>
  <c r="J197" i="16"/>
  <c r="F193" i="16"/>
  <c r="F197" i="16"/>
  <c r="H282" i="16"/>
  <c r="H283" i="16" s="1"/>
  <c r="C248" i="16"/>
  <c r="K124" i="16"/>
  <c r="K128" i="16"/>
  <c r="H124" i="16"/>
  <c r="H128" i="16"/>
  <c r="I124" i="16"/>
  <c r="I128" i="16"/>
  <c r="I104" i="16"/>
  <c r="H104" i="16"/>
  <c r="I109" i="16"/>
  <c r="M124" i="16"/>
  <c r="M128" i="16"/>
  <c r="D124" i="16"/>
  <c r="D128" i="16"/>
  <c r="L124" i="16"/>
  <c r="L128" i="16"/>
  <c r="F148" i="16"/>
  <c r="H109" i="16"/>
  <c r="L51" i="16"/>
  <c r="K51" i="16"/>
  <c r="B47" i="16"/>
  <c r="J51" i="16"/>
  <c r="E188" i="16"/>
  <c r="I253" i="16"/>
  <c r="M148" i="16"/>
  <c r="E104" i="16"/>
  <c r="L188" i="16"/>
  <c r="C238" i="16"/>
  <c r="C293" i="16"/>
  <c r="N293" i="16" s="1"/>
  <c r="C303" i="16"/>
  <c r="C307" i="16"/>
  <c r="C308" i="16" s="1"/>
  <c r="F152" i="16"/>
  <c r="F153" i="16" s="1"/>
  <c r="E83" i="16"/>
  <c r="E84" i="16" s="1"/>
  <c r="H152" i="16"/>
  <c r="H153" i="16" s="1"/>
  <c r="H188" i="16"/>
  <c r="E282" i="16"/>
  <c r="E283" i="16" s="1"/>
  <c r="G222" i="16"/>
  <c r="G223" i="16" s="1"/>
  <c r="F282" i="16"/>
  <c r="F283" i="16" s="1"/>
  <c r="E148" i="16"/>
  <c r="B143" i="16"/>
  <c r="I188" i="16"/>
  <c r="F188" i="16"/>
  <c r="B74" i="16"/>
  <c r="L104" i="16"/>
  <c r="K109" i="16"/>
  <c r="G109" i="16"/>
  <c r="E17" i="16"/>
  <c r="N17" i="16" s="1"/>
  <c r="C178" i="16"/>
  <c r="K104" i="16"/>
  <c r="D253" i="16"/>
  <c r="F94" i="16"/>
  <c r="N94" i="16" s="1"/>
  <c r="L109" i="16"/>
  <c r="G104" i="16"/>
  <c r="E288" i="64"/>
  <c r="E289" i="64" s="1"/>
  <c r="K288" i="64"/>
  <c r="K289" i="64" s="1"/>
  <c r="D288" i="64"/>
  <c r="D289" i="64" s="1"/>
  <c r="L228" i="64"/>
  <c r="L229" i="64" s="1"/>
  <c r="H228" i="64"/>
  <c r="H229" i="64" s="1"/>
  <c r="J348" i="64"/>
  <c r="J349" i="64" s="1"/>
  <c r="F348" i="64"/>
  <c r="F349" i="64" s="1"/>
  <c r="B348" i="64"/>
  <c r="M348" i="64"/>
  <c r="M349" i="64" s="1"/>
  <c r="I348" i="64"/>
  <c r="I349" i="64" s="1"/>
  <c r="E348" i="64"/>
  <c r="E349" i="64" s="1"/>
  <c r="L348" i="64"/>
  <c r="L349" i="64" s="1"/>
  <c r="H348" i="64"/>
  <c r="H349" i="64" s="1"/>
  <c r="D348" i="64"/>
  <c r="D349" i="64" s="1"/>
  <c r="G348" i="64"/>
  <c r="G349" i="64" s="1"/>
  <c r="C348" i="64"/>
  <c r="C349" i="64" s="1"/>
  <c r="K348" i="64"/>
  <c r="K349" i="64" s="1"/>
  <c r="C258" i="16"/>
  <c r="C27" i="16"/>
  <c r="N27" i="16" s="1"/>
  <c r="M104" i="16"/>
  <c r="D104" i="16"/>
  <c r="H51" i="16"/>
  <c r="I51" i="16"/>
  <c r="C51" i="16"/>
  <c r="L163" i="16"/>
  <c r="N163" i="16" s="1"/>
  <c r="D188" i="16"/>
  <c r="M109" i="16"/>
  <c r="B51" i="16"/>
  <c r="D51" i="16"/>
  <c r="M51" i="16"/>
  <c r="E51" i="16"/>
  <c r="C47" i="16"/>
  <c r="G51" i="16"/>
  <c r="F51" i="16"/>
  <c r="J213" i="16"/>
  <c r="D109" i="16"/>
  <c r="J188" i="16"/>
  <c r="D372" i="16"/>
  <c r="D373" i="16" s="1"/>
  <c r="D368" i="16"/>
  <c r="J372" i="16"/>
  <c r="J373" i="16" s="1"/>
  <c r="J368" i="16"/>
  <c r="L152" i="16"/>
  <c r="L153" i="16" s="1"/>
  <c r="G83" i="16"/>
  <c r="G84" i="16" s="1"/>
  <c r="C282" i="16"/>
  <c r="C283" i="16" s="1"/>
  <c r="F21" i="16"/>
  <c r="F22" i="16" s="1"/>
  <c r="F83" i="16"/>
  <c r="F84" i="16" s="1"/>
  <c r="H368" i="16"/>
  <c r="H372" i="16"/>
  <c r="H373" i="16" s="1"/>
  <c r="I372" i="16"/>
  <c r="I373" i="16" s="1"/>
  <c r="I368" i="16"/>
  <c r="C372" i="16"/>
  <c r="C373" i="16" s="1"/>
  <c r="C368" i="16"/>
  <c r="L372" i="16"/>
  <c r="L373" i="16" s="1"/>
  <c r="L368" i="16"/>
  <c r="D152" i="16"/>
  <c r="D153" i="16" s="1"/>
  <c r="F222" i="16"/>
  <c r="F223" i="16" s="1"/>
  <c r="L21" i="16"/>
  <c r="L22" i="16" s="1"/>
  <c r="E152" i="16"/>
  <c r="E153" i="16" s="1"/>
  <c r="D21" i="16"/>
  <c r="D22" i="16" s="1"/>
  <c r="M152" i="16"/>
  <c r="M153" i="16" s="1"/>
  <c r="M83" i="16"/>
  <c r="M84" i="16" s="1"/>
  <c r="C352" i="16"/>
  <c r="C348" i="16"/>
  <c r="M372" i="16"/>
  <c r="M373" i="16" s="1"/>
  <c r="M368" i="16"/>
  <c r="G372" i="16"/>
  <c r="G373" i="16" s="1"/>
  <c r="G368" i="16"/>
  <c r="B372" i="16"/>
  <c r="B373" i="16" s="1"/>
  <c r="B368" i="16"/>
  <c r="L337" i="16"/>
  <c r="L338" i="16" s="1"/>
  <c r="H337" i="16"/>
  <c r="H338" i="16" s="1"/>
  <c r="D337" i="16"/>
  <c r="D338" i="16" s="1"/>
  <c r="K337" i="16"/>
  <c r="K338" i="16" s="1"/>
  <c r="C337" i="16"/>
  <c r="C338" i="16" s="1"/>
  <c r="J337" i="16"/>
  <c r="J338" i="16" s="1"/>
  <c r="M337" i="16"/>
  <c r="M338" i="16" s="1"/>
  <c r="I337" i="16"/>
  <c r="I338" i="16" s="1"/>
  <c r="E337" i="16"/>
  <c r="E338" i="16" s="1"/>
  <c r="G337" i="16"/>
  <c r="G338" i="16" s="1"/>
  <c r="F337" i="16"/>
  <c r="F338" i="16" s="1"/>
  <c r="E372" i="16"/>
  <c r="E373" i="16" s="1"/>
  <c r="E368" i="16"/>
  <c r="K282" i="16"/>
  <c r="K283" i="16" s="1"/>
  <c r="C83" i="16"/>
  <c r="C84" i="16" s="1"/>
  <c r="D222" i="16"/>
  <c r="D223" i="16" s="1"/>
  <c r="B22" i="16"/>
  <c r="L222" i="16"/>
  <c r="L223" i="16" s="1"/>
  <c r="C152" i="16"/>
  <c r="C153" i="16" s="1"/>
  <c r="M282" i="16"/>
  <c r="M283" i="16" s="1"/>
  <c r="I222" i="16"/>
  <c r="I223" i="16" s="1"/>
  <c r="I83" i="16"/>
  <c r="I84" i="16" s="1"/>
  <c r="M21" i="16"/>
  <c r="M22" i="16" s="1"/>
  <c r="N343" i="16"/>
  <c r="K372" i="16"/>
  <c r="K373" i="16" s="1"/>
  <c r="K368" i="16"/>
  <c r="F372" i="16"/>
  <c r="F373" i="16" s="1"/>
  <c r="F368" i="16"/>
  <c r="N333" i="16"/>
  <c r="J71" i="49"/>
  <c r="N14" i="60"/>
  <c r="D221" i="48"/>
  <c r="D273" i="48"/>
  <c r="F34" i="24"/>
  <c r="G94" i="48" s="1"/>
  <c r="L58" i="24"/>
  <c r="N138" i="18"/>
  <c r="C292" i="48"/>
  <c r="J243" i="48"/>
  <c r="L38" i="18"/>
  <c r="M34" i="24"/>
  <c r="N94" i="48" s="1"/>
  <c r="L41" i="18"/>
  <c r="M91" i="48" s="1"/>
  <c r="D75" i="61"/>
  <c r="L118" i="61"/>
  <c r="I117" i="61"/>
  <c r="I118" i="61" s="1"/>
  <c r="O155" i="48"/>
  <c r="L30" i="24"/>
  <c r="J62" i="24"/>
  <c r="K191" i="48" s="1"/>
  <c r="D76" i="24"/>
  <c r="H141" i="61"/>
  <c r="H142" i="61" s="1"/>
  <c r="H143" i="61" s="1"/>
  <c r="H148" i="61"/>
  <c r="H135" i="61"/>
  <c r="H136" i="61" s="1"/>
  <c r="H138" i="61" s="1"/>
  <c r="I289" i="48" s="1"/>
  <c r="F48" i="48"/>
  <c r="K142" i="61"/>
  <c r="K143" i="61" s="1"/>
  <c r="F148" i="61"/>
  <c r="F149" i="61" s="1"/>
  <c r="F150" i="61" s="1"/>
  <c r="F141" i="61"/>
  <c r="F142" i="61" s="1"/>
  <c r="F143" i="61" s="1"/>
  <c r="F135" i="61"/>
  <c r="F136" i="61" s="1"/>
  <c r="F138" i="61" s="1"/>
  <c r="G289" i="48" s="1"/>
  <c r="M142" i="61"/>
  <c r="M143" i="61" s="1"/>
  <c r="I23" i="61"/>
  <c r="I24" i="61" s="1"/>
  <c r="I25" i="61" s="1"/>
  <c r="I27" i="61" s="1"/>
  <c r="I18" i="61"/>
  <c r="K149" i="61"/>
  <c r="K150" i="61" s="1"/>
  <c r="G148" i="61"/>
  <c r="G149" i="61" s="1"/>
  <c r="G150" i="61" s="1"/>
  <c r="G135" i="61"/>
  <c r="G136" i="61" s="1"/>
  <c r="G138" i="61" s="1"/>
  <c r="H289" i="48" s="1"/>
  <c r="G141" i="61"/>
  <c r="I149" i="61"/>
  <c r="I150" i="61" s="1"/>
  <c r="L141" i="61"/>
  <c r="L135" i="61"/>
  <c r="L136" i="61" s="1"/>
  <c r="L138" i="61" s="1"/>
  <c r="M289" i="48" s="1"/>
  <c r="L148" i="61"/>
  <c r="D141" i="61"/>
  <c r="D135" i="61"/>
  <c r="D136" i="61" s="1"/>
  <c r="D138" i="61" s="1"/>
  <c r="E289" i="48" s="1"/>
  <c r="D148" i="61"/>
  <c r="J148" i="61"/>
  <c r="J141" i="61"/>
  <c r="J142" i="61" s="1"/>
  <c r="J143" i="61" s="1"/>
  <c r="J135" i="61"/>
  <c r="J136" i="61" s="1"/>
  <c r="J138" i="61" s="1"/>
  <c r="K289" i="48" s="1"/>
  <c r="E142" i="61"/>
  <c r="E143" i="61" s="1"/>
  <c r="C142" i="61"/>
  <c r="C143" i="61" s="1"/>
  <c r="L125" i="61"/>
  <c r="B141" i="61"/>
  <c r="B135" i="61"/>
  <c r="N134" i="61"/>
  <c r="B148" i="61"/>
  <c r="B88" i="24"/>
  <c r="F62" i="24"/>
  <c r="G191" i="48" s="1"/>
  <c r="F89" i="18"/>
  <c r="G188" i="48" s="1"/>
  <c r="D44" i="24"/>
  <c r="D122" i="18"/>
  <c r="C84" i="24"/>
  <c r="C85" i="24" s="1"/>
  <c r="C88" i="24" s="1"/>
  <c r="E121" i="18"/>
  <c r="F38" i="18"/>
  <c r="C116" i="18"/>
  <c r="L86" i="18"/>
  <c r="L97" i="18"/>
  <c r="L99" i="18" s="1"/>
  <c r="M190" i="48" s="1"/>
  <c r="D110" i="18"/>
  <c r="L49" i="18"/>
  <c r="L51" i="18" s="1"/>
  <c r="M93" i="48" s="1"/>
  <c r="E116" i="18"/>
  <c r="G92" i="18"/>
  <c r="G48" i="24"/>
  <c r="H140" i="48" s="1"/>
  <c r="G86" i="18"/>
  <c r="J73" i="18"/>
  <c r="J75" i="18" s="1"/>
  <c r="K139" i="48" s="1"/>
  <c r="F44" i="18"/>
  <c r="J68" i="18"/>
  <c r="B62" i="24"/>
  <c r="C191" i="48" s="1"/>
  <c r="J65" i="18"/>
  <c r="K137" i="48" s="1"/>
  <c r="I48" i="24"/>
  <c r="J140" i="48" s="1"/>
  <c r="J97" i="18"/>
  <c r="J99" i="18" s="1"/>
  <c r="K190" i="48" s="1"/>
  <c r="E113" i="18"/>
  <c r="F240" i="48" s="1"/>
  <c r="F92" i="18"/>
  <c r="H62" i="24"/>
  <c r="I191" i="48" s="1"/>
  <c r="E12" i="18"/>
  <c r="E15" i="18" s="1"/>
  <c r="E25" i="18" s="1"/>
  <c r="E27" i="18" s="1"/>
  <c r="F53" i="48" s="1"/>
  <c r="B48" i="24"/>
  <c r="C140" i="48" s="1"/>
  <c r="M41" i="18"/>
  <c r="N91" i="48" s="1"/>
  <c r="F86" i="18"/>
  <c r="F116" i="18"/>
  <c r="I49" i="18"/>
  <c r="I51" i="18" s="1"/>
  <c r="J93" i="48" s="1"/>
  <c r="G38" i="18"/>
  <c r="F113" i="18"/>
  <c r="G240" i="48" s="1"/>
  <c r="J76" i="24"/>
  <c r="H48" i="24"/>
  <c r="I140" i="48" s="1"/>
  <c r="F73" i="18"/>
  <c r="F75" i="18" s="1"/>
  <c r="C73" i="18"/>
  <c r="C75" i="18" s="1"/>
  <c r="D139" i="48" s="1"/>
  <c r="K92" i="18"/>
  <c r="F121" i="18"/>
  <c r="L44" i="24"/>
  <c r="B17" i="24"/>
  <c r="B16" i="24" s="1"/>
  <c r="G41" i="18"/>
  <c r="H91" i="48" s="1"/>
  <c r="N85" i="18"/>
  <c r="B14" i="18"/>
  <c r="B25" i="18"/>
  <c r="B27" i="18" s="1"/>
  <c r="B20" i="18"/>
  <c r="I121" i="18"/>
  <c r="C65" i="18"/>
  <c r="D137" i="48" s="1"/>
  <c r="N42" i="24"/>
  <c r="I110" i="18"/>
  <c r="D116" i="18"/>
  <c r="G44" i="18"/>
  <c r="I113" i="18"/>
  <c r="J240" i="48" s="1"/>
  <c r="C62" i="18"/>
  <c r="D121" i="18"/>
  <c r="F21" i="63"/>
  <c r="D61" i="14" s="1"/>
  <c r="F19" i="63"/>
  <c r="D11" i="14" s="1"/>
  <c r="D18" i="14" s="1"/>
  <c r="I21" i="63"/>
  <c r="G61" i="14" s="1"/>
  <c r="F20" i="63"/>
  <c r="D36" i="14" s="1"/>
  <c r="M23" i="63"/>
  <c r="K111" i="14" s="1"/>
  <c r="K16" i="91" s="1"/>
  <c r="I20" i="63"/>
  <c r="G36" i="14" s="1"/>
  <c r="F23" i="63"/>
  <c r="D111" i="14" s="1"/>
  <c r="I19" i="63"/>
  <c r="G11" i="14" s="1"/>
  <c r="G12" i="14" s="1"/>
  <c r="G13" i="14" s="1"/>
  <c r="G15" i="14" s="1"/>
  <c r="H45" i="48" s="1"/>
  <c r="F22" i="63"/>
  <c r="D86" i="14" s="1"/>
  <c r="O65" i="48"/>
  <c r="B21" i="75" s="1"/>
  <c r="D21" i="75" s="1"/>
  <c r="E21" i="75" s="1"/>
  <c r="K100" i="61"/>
  <c r="N91" i="61"/>
  <c r="L100" i="61"/>
  <c r="B17" i="18"/>
  <c r="C51" i="48" s="1"/>
  <c r="N66" i="70"/>
  <c r="N48" i="70"/>
  <c r="N49" i="70"/>
  <c r="N31" i="70"/>
  <c r="O98" i="48"/>
  <c r="O195" i="48"/>
  <c r="O247" i="48"/>
  <c r="C54" i="49"/>
  <c r="D142" i="48"/>
  <c r="N47" i="49"/>
  <c r="G96" i="48"/>
  <c r="K12" i="49"/>
  <c r="K13" i="49" s="1"/>
  <c r="K15" i="49" s="1"/>
  <c r="H37" i="49"/>
  <c r="H71" i="49"/>
  <c r="N85" i="70"/>
  <c r="N13" i="18"/>
  <c r="E20" i="68"/>
  <c r="N34" i="70"/>
  <c r="L20" i="48"/>
  <c r="O20" i="48" s="1"/>
  <c r="J41" i="18"/>
  <c r="K91" i="48" s="1"/>
  <c r="F76" i="24"/>
  <c r="F89" i="24"/>
  <c r="F104" i="24" s="1"/>
  <c r="F106" i="24" s="1"/>
  <c r="G345" i="48" s="1"/>
  <c r="K97" i="18"/>
  <c r="K99" i="18" s="1"/>
  <c r="L190" i="48" s="1"/>
  <c r="N82" i="70"/>
  <c r="K86" i="18"/>
  <c r="J13" i="61"/>
  <c r="K48" i="48" s="1"/>
  <c r="M13" i="49"/>
  <c r="M15" i="49" s="1"/>
  <c r="N22" i="48" s="1"/>
  <c r="N14" i="70"/>
  <c r="N61" i="61"/>
  <c r="B297" i="4"/>
  <c r="E281" i="4"/>
  <c r="E286" i="4" s="1"/>
  <c r="K88" i="4"/>
  <c r="K89" i="4" s="1"/>
  <c r="D186" i="64"/>
  <c r="D181" i="16" s="1"/>
  <c r="H296" i="4"/>
  <c r="H301" i="4" s="1"/>
  <c r="F226" i="4"/>
  <c r="F231" i="4" s="1"/>
  <c r="F236" i="4" s="1"/>
  <c r="L152" i="4"/>
  <c r="L157" i="4" s="1"/>
  <c r="L162" i="4" s="1"/>
  <c r="B301" i="4"/>
  <c r="B302" i="4" s="1"/>
  <c r="C265" i="4"/>
  <c r="I217" i="4"/>
  <c r="I222" i="4"/>
  <c r="G212" i="4"/>
  <c r="J212" i="4"/>
  <c r="B287" i="4"/>
  <c r="C212" i="64"/>
  <c r="C211" i="16" s="1"/>
  <c r="M212" i="64"/>
  <c r="M211" i="16" s="1"/>
  <c r="M213" i="16" s="1"/>
  <c r="F296" i="4"/>
  <c r="F301" i="4" s="1"/>
  <c r="F157" i="4"/>
  <c r="F162" i="4" s="1"/>
  <c r="C312" i="64"/>
  <c r="D316" i="16"/>
  <c r="C221" i="4"/>
  <c r="J255" i="4"/>
  <c r="J252" i="64" s="1"/>
  <c r="J251" i="16" s="1"/>
  <c r="J253" i="16" s="1"/>
  <c r="K186" i="4"/>
  <c r="K186" i="64" s="1"/>
  <c r="K181" i="16" s="1"/>
  <c r="K183" i="16" s="1"/>
  <c r="B153" i="4"/>
  <c r="D181" i="64"/>
  <c r="D176" i="16" s="1"/>
  <c r="D178" i="16" s="1"/>
  <c r="I212" i="4"/>
  <c r="D46" i="64"/>
  <c r="D45" i="16" s="1"/>
  <c r="E51" i="4"/>
  <c r="G226" i="4"/>
  <c r="G231" i="4" s="1"/>
  <c r="D302" i="64"/>
  <c r="D301" i="16" s="1"/>
  <c r="D303" i="16" s="1"/>
  <c r="E300" i="4"/>
  <c r="E29" i="91" s="1"/>
  <c r="M227" i="4"/>
  <c r="M231" i="4"/>
  <c r="M236" i="4" s="1"/>
  <c r="I282" i="4"/>
  <c r="F148" i="4"/>
  <c r="M222" i="4"/>
  <c r="E218" i="16"/>
  <c r="N218" i="16" s="1"/>
  <c r="M163" i="4"/>
  <c r="B292" i="4"/>
  <c r="C23" i="4"/>
  <c r="K226" i="4"/>
  <c r="K227" i="4" s="1"/>
  <c r="M88" i="4"/>
  <c r="M93" i="4" s="1"/>
  <c r="M27" i="4"/>
  <c r="M32" i="4" s="1"/>
  <c r="M37" i="4" s="1"/>
  <c r="M52" i="4" s="1"/>
  <c r="D88" i="4"/>
  <c r="D93" i="4" s="1"/>
  <c r="H148" i="4"/>
  <c r="H231" i="4"/>
  <c r="H232" i="4" s="1"/>
  <c r="C282" i="4"/>
  <c r="I291" i="4"/>
  <c r="I292" i="4" s="1"/>
  <c r="H18" i="4"/>
  <c r="N278" i="16"/>
  <c r="I232" i="4"/>
  <c r="I236" i="4"/>
  <c r="I246" i="4" s="1"/>
  <c r="I251" i="4" s="1"/>
  <c r="E89" i="4"/>
  <c r="I227" i="4"/>
  <c r="J286" i="4"/>
  <c r="J282" i="4"/>
  <c r="E232" i="4"/>
  <c r="E98" i="4"/>
  <c r="E99" i="4" s="1"/>
  <c r="I152" i="4"/>
  <c r="I148" i="4"/>
  <c r="J222" i="4"/>
  <c r="J226" i="4"/>
  <c r="K282" i="4"/>
  <c r="K286" i="4"/>
  <c r="C291" i="4"/>
  <c r="C292" i="4" s="1"/>
  <c r="C32" i="4"/>
  <c r="C37" i="4" s="1"/>
  <c r="M158" i="4"/>
  <c r="B217" i="4"/>
  <c r="B221" i="4"/>
  <c r="H23" i="4"/>
  <c r="H27" i="4"/>
  <c r="H32" i="4" s="1"/>
  <c r="G88" i="4"/>
  <c r="D23" i="4"/>
  <c r="D27" i="4"/>
  <c r="N74" i="4"/>
  <c r="D89" i="16"/>
  <c r="N89" i="16" s="1"/>
  <c r="N143" i="4"/>
  <c r="L287" i="4"/>
  <c r="L291" i="4"/>
  <c r="K27" i="4"/>
  <c r="K23" i="4"/>
  <c r="J153" i="4"/>
  <c r="J157" i="4"/>
  <c r="N141" i="18"/>
  <c r="N146" i="18"/>
  <c r="B148" i="18"/>
  <c r="C294" i="48" s="1"/>
  <c r="J49" i="18"/>
  <c r="J51" i="18" s="1"/>
  <c r="N20" i="47"/>
  <c r="B84" i="16"/>
  <c r="N25" i="16"/>
  <c r="G32" i="4"/>
  <c r="G33" i="4" s="1"/>
  <c r="C143" i="16"/>
  <c r="J22" i="4"/>
  <c r="J23" i="4" s="1"/>
  <c r="K212" i="64"/>
  <c r="K211" i="16" s="1"/>
  <c r="N288" i="16"/>
  <c r="N210" i="4"/>
  <c r="N233" i="16"/>
  <c r="O21" i="48"/>
  <c r="K22" i="49"/>
  <c r="N60" i="61"/>
  <c r="N85" i="61"/>
  <c r="N86" i="61" s="1"/>
  <c r="N30" i="49"/>
  <c r="M20" i="49"/>
  <c r="M21" i="49" s="1"/>
  <c r="M22" i="49" s="1"/>
  <c r="C88" i="49"/>
  <c r="D245" i="48"/>
  <c r="N48" i="61"/>
  <c r="D18" i="61"/>
  <c r="K12" i="18"/>
  <c r="K15" i="18" s="1"/>
  <c r="K20" i="18" s="1"/>
  <c r="I20" i="49"/>
  <c r="I21" i="49" s="1"/>
  <c r="I22" i="49" s="1"/>
  <c r="J23" i="61"/>
  <c r="J24" i="61" s="1"/>
  <c r="J25" i="61" s="1"/>
  <c r="J27" i="61" s="1"/>
  <c r="K50" i="48" s="1"/>
  <c r="J18" i="61"/>
  <c r="N16" i="61"/>
  <c r="N63" i="61"/>
  <c r="N67" i="61"/>
  <c r="G92" i="61"/>
  <c r="N92" i="61" s="1"/>
  <c r="N68" i="61"/>
  <c r="C20" i="49"/>
  <c r="C21" i="49" s="1"/>
  <c r="C22" i="49" s="1"/>
  <c r="C12" i="49"/>
  <c r="C13" i="49" s="1"/>
  <c r="C15" i="49" s="1"/>
  <c r="H15" i="24"/>
  <c r="H14" i="24" s="1"/>
  <c r="H12" i="18"/>
  <c r="H15" i="18" s="1"/>
  <c r="I15" i="24"/>
  <c r="I14" i="24" s="1"/>
  <c r="I12" i="18"/>
  <c r="I15" i="18" s="1"/>
  <c r="F11" i="61"/>
  <c r="F13" i="61" s="1"/>
  <c r="G48" i="48" s="1"/>
  <c r="M11" i="61"/>
  <c r="M13" i="61" s="1"/>
  <c r="N48" i="48" s="1"/>
  <c r="D15" i="24"/>
  <c r="D14" i="24" s="1"/>
  <c r="D12" i="18"/>
  <c r="D15" i="18" s="1"/>
  <c r="D37" i="49"/>
  <c r="F15" i="24"/>
  <c r="F14" i="24" s="1"/>
  <c r="F12" i="18"/>
  <c r="F15" i="18" s="1"/>
  <c r="J245" i="48"/>
  <c r="I88" i="49"/>
  <c r="E12" i="49"/>
  <c r="E13" i="49" s="1"/>
  <c r="E15" i="49" s="1"/>
  <c r="F56" i="48" s="1"/>
  <c r="E20" i="49"/>
  <c r="M15" i="24"/>
  <c r="M14" i="24" s="1"/>
  <c r="M12" i="18"/>
  <c r="M15" i="18" s="1"/>
  <c r="J56" i="48"/>
  <c r="J22" i="48"/>
  <c r="B11" i="61"/>
  <c r="B13" i="61" s="1"/>
  <c r="N36" i="61"/>
  <c r="G12" i="18"/>
  <c r="G15" i="18" s="1"/>
  <c r="G15" i="24"/>
  <c r="G14" i="24" s="1"/>
  <c r="L12" i="18"/>
  <c r="L15" i="18" s="1"/>
  <c r="L15" i="24"/>
  <c r="L14" i="24" s="1"/>
  <c r="J15" i="24"/>
  <c r="J14" i="24" s="1"/>
  <c r="J12" i="18"/>
  <c r="J15" i="18" s="1"/>
  <c r="C15" i="24"/>
  <c r="C14" i="24" s="1"/>
  <c r="C12" i="18"/>
  <c r="C15" i="18" s="1"/>
  <c r="C113" i="18"/>
  <c r="D240" i="48" s="1"/>
  <c r="K116" i="18"/>
  <c r="K110" i="18"/>
  <c r="F68" i="18"/>
  <c r="M48" i="24"/>
  <c r="N140" i="48" s="1"/>
  <c r="N60" i="18"/>
  <c r="N43" i="24"/>
  <c r="E49" i="18"/>
  <c r="E51" i="18" s="1"/>
  <c r="F93" i="48" s="1"/>
  <c r="E44" i="18"/>
  <c r="J44" i="18"/>
  <c r="E38" i="18"/>
  <c r="E41" i="18"/>
  <c r="F91" i="48" s="1"/>
  <c r="I41" i="18"/>
  <c r="J91" i="48" s="1"/>
  <c r="I38" i="18"/>
  <c r="M38" i="18"/>
  <c r="M44" i="18"/>
  <c r="B34" i="24"/>
  <c r="C94" i="48" s="1"/>
  <c r="C62" i="24"/>
  <c r="D191" i="48" s="1"/>
  <c r="F65" i="18"/>
  <c r="G137" i="48" s="1"/>
  <c r="C110" i="18"/>
  <c r="J92" i="18"/>
  <c r="C49" i="18"/>
  <c r="C51" i="18" s="1"/>
  <c r="D93" i="48" s="1"/>
  <c r="K121" i="18"/>
  <c r="D57" i="24"/>
  <c r="D56" i="24" s="1"/>
  <c r="D59" i="24" s="1"/>
  <c r="D58" i="24" s="1"/>
  <c r="M110" i="18"/>
  <c r="M116" i="18"/>
  <c r="M121" i="18"/>
  <c r="G76" i="24"/>
  <c r="K41" i="18"/>
  <c r="L91" i="48" s="1"/>
  <c r="K44" i="18"/>
  <c r="K38" i="18"/>
  <c r="K49" i="18"/>
  <c r="K51" i="18" s="1"/>
  <c r="L93" i="48" s="1"/>
  <c r="K62" i="18"/>
  <c r="K68" i="18"/>
  <c r="K73" i="18"/>
  <c r="K75" i="18" s="1"/>
  <c r="L139" i="48" s="1"/>
  <c r="K65" i="18"/>
  <c r="L137" i="48" s="1"/>
  <c r="N63" i="18"/>
  <c r="C38" i="18"/>
  <c r="J89" i="18"/>
  <c r="K188" i="48" s="1"/>
  <c r="B49" i="18"/>
  <c r="B51" i="18" s="1"/>
  <c r="C93" i="48" s="1"/>
  <c r="B44" i="18"/>
  <c r="B38" i="18"/>
  <c r="I62" i="24"/>
  <c r="J191" i="48" s="1"/>
  <c r="C41" i="18"/>
  <c r="D91" i="48" s="1"/>
  <c r="H49" i="18"/>
  <c r="H51" i="18" s="1"/>
  <c r="I93" i="48" s="1"/>
  <c r="H38" i="18"/>
  <c r="H44" i="18"/>
  <c r="C34" i="24"/>
  <c r="D94" i="48" s="1"/>
  <c r="C30" i="24"/>
  <c r="H56" i="48"/>
  <c r="H22" i="48"/>
  <c r="D71" i="49"/>
  <c r="H110" i="61"/>
  <c r="H111" i="61" s="1"/>
  <c r="H113" i="61" s="1"/>
  <c r="I237" i="48" s="1"/>
  <c r="H116" i="61"/>
  <c r="H123" i="61"/>
  <c r="D116" i="61"/>
  <c r="D123" i="61"/>
  <c r="D124" i="61" s="1"/>
  <c r="D125" i="61" s="1"/>
  <c r="D110" i="61"/>
  <c r="D111" i="61" s="1"/>
  <c r="D113" i="61" s="1"/>
  <c r="E237" i="48" s="1"/>
  <c r="K23" i="61"/>
  <c r="K24" i="61" s="1"/>
  <c r="K25" i="61" s="1"/>
  <c r="K27" i="61" s="1"/>
  <c r="D112" i="16"/>
  <c r="D127" i="64" s="1"/>
  <c r="D141" i="64" s="1"/>
  <c r="E102" i="4"/>
  <c r="F88" i="49"/>
  <c r="G245" i="48"/>
  <c r="D54" i="49"/>
  <c r="B108" i="16"/>
  <c r="B104" i="16"/>
  <c r="C108" i="16"/>
  <c r="C113" i="16" s="1"/>
  <c r="C104" i="16"/>
  <c r="J108" i="16"/>
  <c r="J104" i="16"/>
  <c r="E212" i="64"/>
  <c r="E212" i="4"/>
  <c r="D212" i="64"/>
  <c r="D265" i="4"/>
  <c r="D212" i="4"/>
  <c r="B110" i="61"/>
  <c r="B111" i="61" s="1"/>
  <c r="B113" i="61" s="1"/>
  <c r="C237" i="48" s="1"/>
  <c r="B116" i="61"/>
  <c r="B123" i="61"/>
  <c r="B124" i="61" s="1"/>
  <c r="B125" i="61" s="1"/>
  <c r="N109" i="61"/>
  <c r="M124" i="61"/>
  <c r="M125" i="61" s="1"/>
  <c r="H11" i="61"/>
  <c r="H13" i="61" s="1"/>
  <c r="G188" i="16"/>
  <c r="K99" i="16"/>
  <c r="N99" i="16" s="1"/>
  <c r="N97" i="16"/>
  <c r="G16" i="48"/>
  <c r="G50" i="48"/>
  <c r="D237" i="64"/>
  <c r="D236" i="16" s="1"/>
  <c r="D238" i="16" s="1"/>
  <c r="E235" i="4"/>
  <c r="E237" i="4" s="1"/>
  <c r="B13" i="4"/>
  <c r="B17" i="4"/>
  <c r="F37" i="11"/>
  <c r="B76" i="61"/>
  <c r="I88" i="4"/>
  <c r="N92" i="16"/>
  <c r="I288" i="64"/>
  <c r="I289" i="64" s="1"/>
  <c r="L288" i="64"/>
  <c r="L289" i="64" s="1"/>
  <c r="J288" i="64"/>
  <c r="J289" i="64" s="1"/>
  <c r="M288" i="64"/>
  <c r="M289" i="64" s="1"/>
  <c r="F228" i="64"/>
  <c r="F229" i="64" s="1"/>
  <c r="N88" i="61"/>
  <c r="N20" i="16"/>
  <c r="N15" i="16"/>
  <c r="D281" i="4"/>
  <c r="D282" i="4" s="1"/>
  <c r="N46" i="4"/>
  <c r="D20" i="68"/>
  <c r="B288" i="64"/>
  <c r="M228" i="64"/>
  <c r="M229" i="64" s="1"/>
  <c r="J228" i="64"/>
  <c r="J229" i="64" s="1"/>
  <c r="F288" i="64"/>
  <c r="F289" i="64" s="1"/>
  <c r="L142" i="48"/>
  <c r="K54" i="49"/>
  <c r="C162" i="64"/>
  <c r="C163" i="64" s="1"/>
  <c r="G162" i="64"/>
  <c r="G163" i="64" s="1"/>
  <c r="K162" i="64"/>
  <c r="K163" i="64" s="1"/>
  <c r="E162" i="64"/>
  <c r="E163" i="64" s="1"/>
  <c r="I162" i="64"/>
  <c r="I163" i="64" s="1"/>
  <c r="M162" i="64"/>
  <c r="M163" i="64" s="1"/>
  <c r="D162" i="64"/>
  <c r="D163" i="64" s="1"/>
  <c r="L162" i="64"/>
  <c r="L163" i="64" s="1"/>
  <c r="H162" i="64"/>
  <c r="H163" i="64" s="1"/>
  <c r="J162" i="64"/>
  <c r="J163" i="64" s="1"/>
  <c r="F162" i="64"/>
  <c r="F163" i="64" s="1"/>
  <c r="B162" i="64"/>
  <c r="G37" i="49"/>
  <c r="B71" i="24"/>
  <c r="B70" i="24" s="1"/>
  <c r="B73" i="24" s="1"/>
  <c r="B108" i="18"/>
  <c r="B111" i="18" s="1"/>
  <c r="B247" i="16"/>
  <c r="B238" i="16"/>
  <c r="K192" i="16"/>
  <c r="K188" i="16"/>
  <c r="B313" i="16"/>
  <c r="B317" i="16"/>
  <c r="B318" i="16" s="1"/>
  <c r="F212" i="64"/>
  <c r="F212" i="4"/>
  <c r="F110" i="61"/>
  <c r="F111" i="61" s="1"/>
  <c r="F113" i="61" s="1"/>
  <c r="G237" i="48" s="1"/>
  <c r="F123" i="61"/>
  <c r="F124" i="61" s="1"/>
  <c r="F125" i="61" s="1"/>
  <c r="F116" i="61"/>
  <c r="F117" i="61" s="1"/>
  <c r="F118" i="61" s="1"/>
  <c r="H49" i="61"/>
  <c r="N49" i="61" s="1"/>
  <c r="M37" i="49"/>
  <c r="F74" i="16"/>
  <c r="F20" i="68"/>
  <c r="H18" i="61"/>
  <c r="H23" i="61"/>
  <c r="H24" i="61" s="1"/>
  <c r="H25" i="61" s="1"/>
  <c r="H27" i="61" s="1"/>
  <c r="I50" i="48" s="1"/>
  <c r="D247" i="64"/>
  <c r="D246" i="16" s="1"/>
  <c r="D248" i="16" s="1"/>
  <c r="E21" i="70"/>
  <c r="C51" i="61"/>
  <c r="B52" i="61"/>
  <c r="E307" i="64"/>
  <c r="E306" i="16" s="1"/>
  <c r="B162" i="4"/>
  <c r="B158" i="4"/>
  <c r="I27" i="4"/>
  <c r="I23" i="4"/>
  <c r="D20" i="11"/>
  <c r="E93" i="64"/>
  <c r="E94" i="64" s="1"/>
  <c r="I93" i="64"/>
  <c r="I94" i="64" s="1"/>
  <c r="M93" i="64"/>
  <c r="M94" i="64" s="1"/>
  <c r="E32" i="64"/>
  <c r="E42" i="64" s="1"/>
  <c r="I32" i="64"/>
  <c r="I42" i="64" s="1"/>
  <c r="M32" i="64"/>
  <c r="M42" i="64" s="1"/>
  <c r="C93" i="64"/>
  <c r="C94" i="64" s="1"/>
  <c r="G93" i="64"/>
  <c r="G94" i="64" s="1"/>
  <c r="K93" i="64"/>
  <c r="K94" i="64" s="1"/>
  <c r="C32" i="64"/>
  <c r="C42" i="64" s="1"/>
  <c r="G32" i="64"/>
  <c r="G42" i="64" s="1"/>
  <c r="K32" i="64"/>
  <c r="K42" i="64" s="1"/>
  <c r="J93" i="64"/>
  <c r="J94" i="64" s="1"/>
  <c r="F32" i="64"/>
  <c r="F42" i="64" s="1"/>
  <c r="B32" i="64"/>
  <c r="G238" i="64" s="1"/>
  <c r="F93" i="64"/>
  <c r="F94" i="64" s="1"/>
  <c r="B93" i="64"/>
  <c r="B94" i="64" s="1"/>
  <c r="J32" i="64"/>
  <c r="J42" i="64" s="1"/>
  <c r="D93" i="64"/>
  <c r="D94" i="64" s="1"/>
  <c r="H32" i="64"/>
  <c r="H42" i="64" s="1"/>
  <c r="H93" i="64"/>
  <c r="H94" i="64" s="1"/>
  <c r="L32" i="64"/>
  <c r="L42" i="64" s="1"/>
  <c r="D32" i="64"/>
  <c r="D42" i="64" s="1"/>
  <c r="L93" i="64"/>
  <c r="L94" i="64" s="1"/>
  <c r="E74" i="61"/>
  <c r="N74" i="61" s="1"/>
  <c r="J20" i="49"/>
  <c r="J21" i="49" s="1"/>
  <c r="J22" i="49" s="1"/>
  <c r="J12" i="49"/>
  <c r="J13" i="49" s="1"/>
  <c r="J15" i="49" s="1"/>
  <c r="F108" i="16"/>
  <c r="F104" i="16"/>
  <c r="C192" i="16"/>
  <c r="C188" i="16"/>
  <c r="H212" i="64"/>
  <c r="H212" i="4"/>
  <c r="J99" i="61"/>
  <c r="J100" i="61" s="1"/>
  <c r="B99" i="61"/>
  <c r="N98" i="61"/>
  <c r="H42" i="61"/>
  <c r="N42" i="61" s="1"/>
  <c r="D317" i="64"/>
  <c r="D311" i="16" s="1"/>
  <c r="D313" i="16" s="1"/>
  <c r="E315" i="4"/>
  <c r="E30" i="91" s="1"/>
  <c r="E193" i="16"/>
  <c r="N41" i="61"/>
  <c r="M117" i="61"/>
  <c r="M118" i="61" s="1"/>
  <c r="B188" i="16"/>
  <c r="N186" i="16"/>
  <c r="E109" i="16"/>
  <c r="E113" i="16"/>
  <c r="E118" i="16" s="1"/>
  <c r="E123" i="16" s="1"/>
  <c r="N35" i="61"/>
  <c r="G21" i="49"/>
  <c r="G22" i="49" s="1"/>
  <c r="D38" i="61"/>
  <c r="E88" i="48" s="1"/>
  <c r="F143" i="16"/>
  <c r="N15" i="70"/>
  <c r="B28" i="64"/>
  <c r="D228" i="64"/>
  <c r="D229" i="64" s="1"/>
  <c r="C228" i="64"/>
  <c r="C229" i="64" s="1"/>
  <c r="N42" i="16"/>
  <c r="N32" i="16"/>
  <c r="K142" i="48"/>
  <c r="H288" i="64"/>
  <c r="H289" i="64" s="1"/>
  <c r="G228" i="64"/>
  <c r="G229" i="64" s="1"/>
  <c r="L71" i="49"/>
  <c r="H99" i="61"/>
  <c r="H100" i="61" s="1"/>
  <c r="D99" i="61"/>
  <c r="D100" i="61" s="1"/>
  <c r="K17" i="61"/>
  <c r="K18" i="61" s="1"/>
  <c r="K11" i="61"/>
  <c r="K13" i="61" s="1"/>
  <c r="F26" i="11"/>
  <c r="F29" i="11" s="1"/>
  <c r="C152" i="64"/>
  <c r="G152" i="64"/>
  <c r="K152" i="64"/>
  <c r="E152" i="64"/>
  <c r="I152" i="64"/>
  <c r="M152" i="64"/>
  <c r="D152" i="64"/>
  <c r="L152" i="64"/>
  <c r="H152" i="64"/>
  <c r="F152" i="64"/>
  <c r="J152" i="64"/>
  <c r="B152" i="64"/>
  <c r="B157" i="64" s="1"/>
  <c r="D282" i="16"/>
  <c r="D283" i="16" s="1"/>
  <c r="I282" i="16"/>
  <c r="I283" i="16" s="1"/>
  <c r="K152" i="16"/>
  <c r="K153" i="16" s="1"/>
  <c r="D83" i="16"/>
  <c r="D84" i="16" s="1"/>
  <c r="L83" i="16"/>
  <c r="L84" i="16" s="1"/>
  <c r="G282" i="16"/>
  <c r="G283" i="16" s="1"/>
  <c r="J152" i="16"/>
  <c r="J153" i="16" s="1"/>
  <c r="M222" i="16"/>
  <c r="M223" i="16" s="1"/>
  <c r="K83" i="16"/>
  <c r="K84" i="16" s="1"/>
  <c r="G152" i="16"/>
  <c r="G153" i="16" s="1"/>
  <c r="I21" i="16"/>
  <c r="I22" i="16" s="1"/>
  <c r="H222" i="16"/>
  <c r="H223" i="16" s="1"/>
  <c r="J222" i="16"/>
  <c r="J223" i="16" s="1"/>
  <c r="K222" i="16"/>
  <c r="K223" i="16" s="1"/>
  <c r="G21" i="16"/>
  <c r="G22" i="16" s="1"/>
  <c r="H21" i="16"/>
  <c r="H22" i="16" s="1"/>
  <c r="C21" i="16"/>
  <c r="C22" i="16" s="1"/>
  <c r="E222" i="16"/>
  <c r="E223" i="16" s="1"/>
  <c r="E21" i="16"/>
  <c r="E22" i="16" s="1"/>
  <c r="J282" i="16"/>
  <c r="J283" i="16" s="1"/>
  <c r="H83" i="16"/>
  <c r="H84" i="16" s="1"/>
  <c r="K21" i="16"/>
  <c r="K22" i="16" s="1"/>
  <c r="I152" i="16"/>
  <c r="I153" i="16" s="1"/>
  <c r="J83" i="16"/>
  <c r="J84" i="16" s="1"/>
  <c r="L282" i="16"/>
  <c r="L283" i="16" s="1"/>
  <c r="C222" i="16"/>
  <c r="C223" i="16" s="1"/>
  <c r="L54" i="49"/>
  <c r="M142" i="48"/>
  <c r="M192" i="16"/>
  <c r="M188" i="16"/>
  <c r="B263" i="16"/>
  <c r="B177" i="16"/>
  <c r="B172" i="16"/>
  <c r="B168" i="16"/>
  <c r="J110" i="61"/>
  <c r="J111" i="61" s="1"/>
  <c r="J113" i="61" s="1"/>
  <c r="K237" i="48" s="1"/>
  <c r="J123" i="61"/>
  <c r="J116" i="61"/>
  <c r="J117" i="61" s="1"/>
  <c r="J118" i="61" s="1"/>
  <c r="M18" i="61"/>
  <c r="M23" i="61"/>
  <c r="H12" i="49"/>
  <c r="H13" i="49" s="1"/>
  <c r="H15" i="49" s="1"/>
  <c r="H20" i="49"/>
  <c r="F228" i="16"/>
  <c r="N228" i="16" s="1"/>
  <c r="N226" i="16"/>
  <c r="E252" i="64"/>
  <c r="F255" i="4"/>
  <c r="D11" i="61"/>
  <c r="D13" i="61" s="1"/>
  <c r="D29" i="24"/>
  <c r="D36" i="18"/>
  <c r="N37" i="18"/>
  <c r="B258" i="16"/>
  <c r="N88" i="70"/>
  <c r="K157" i="4"/>
  <c r="K153" i="4"/>
  <c r="K143" i="16"/>
  <c r="F18" i="4"/>
  <c r="F22" i="4"/>
  <c r="N54" i="70"/>
  <c r="A68" i="61"/>
  <c r="A75" i="61"/>
  <c r="A86" i="61" s="1"/>
  <c r="O134" i="48"/>
  <c r="B146" i="75"/>
  <c r="D146" i="75" s="1"/>
  <c r="E146" i="75" s="1"/>
  <c r="O125" i="48"/>
  <c r="O79" i="48"/>
  <c r="B32" i="75" s="1"/>
  <c r="D32" i="75" s="1"/>
  <c r="E32" i="75" s="1"/>
  <c r="O185" i="48"/>
  <c r="B52" i="75"/>
  <c r="D52" i="75" s="1"/>
  <c r="E52" i="75" s="1"/>
  <c r="C113" i="61"/>
  <c r="L237" i="48"/>
  <c r="G81" i="49"/>
  <c r="H20" i="68"/>
  <c r="B211" i="16"/>
  <c r="E50" i="48"/>
  <c r="E16" i="48"/>
  <c r="B95" i="14"/>
  <c r="H43" i="14"/>
  <c r="H37" i="14"/>
  <c r="H38" i="14" s="1"/>
  <c r="H40" i="14" s="1"/>
  <c r="I85" i="48" s="1"/>
  <c r="H50" i="14"/>
  <c r="H51" i="14" s="1"/>
  <c r="H52" i="14" s="1"/>
  <c r="H54" i="14" s="1"/>
  <c r="I87" i="48" s="1"/>
  <c r="B45" i="18"/>
  <c r="E32" i="11"/>
  <c r="K117" i="61"/>
  <c r="G23" i="61"/>
  <c r="G18" i="61"/>
  <c r="C23" i="61"/>
  <c r="B126" i="14"/>
  <c r="B127" i="14" s="1"/>
  <c r="I68" i="14"/>
  <c r="I75" i="14"/>
  <c r="I76" i="14" s="1"/>
  <c r="I77" i="14" s="1"/>
  <c r="I79" i="14" s="1"/>
  <c r="J133" i="48" s="1"/>
  <c r="I62" i="14"/>
  <c r="I63" i="14" s="1"/>
  <c r="I65" i="14" s="1"/>
  <c r="E68" i="14"/>
  <c r="E62" i="14"/>
  <c r="E63" i="14" s="1"/>
  <c r="E65" i="14" s="1"/>
  <c r="F131" i="48" s="1"/>
  <c r="D296" i="16"/>
  <c r="D119" i="16"/>
  <c r="D58" i="48"/>
  <c r="O58" i="48" s="1"/>
  <c r="N17" i="70"/>
  <c r="G100" i="14"/>
  <c r="G87" i="14"/>
  <c r="G88" i="14" s="1"/>
  <c r="G90" i="14" s="1"/>
  <c r="H182" i="48" s="1"/>
  <c r="G93" i="14"/>
  <c r="G94" i="14" s="1"/>
  <c r="G95" i="14" s="1"/>
  <c r="G97" i="14" s="1"/>
  <c r="H183" i="48" s="1"/>
  <c r="L274" i="48"/>
  <c r="L120" i="48"/>
  <c r="L29" i="48"/>
  <c r="L222" i="48"/>
  <c r="L171" i="48"/>
  <c r="L74" i="48"/>
  <c r="I37" i="49"/>
  <c r="J96" i="48"/>
  <c r="D153" i="4"/>
  <c r="D157" i="4"/>
  <c r="B20" i="49"/>
  <c r="B12" i="49"/>
  <c r="B13" i="49" s="1"/>
  <c r="N11" i="49"/>
  <c r="B307" i="4"/>
  <c r="B311" i="4"/>
  <c r="O176" i="48"/>
  <c r="H19" i="63"/>
  <c r="F11" i="14" s="1"/>
  <c r="O19" i="63"/>
  <c r="M11" i="14" s="1"/>
  <c r="L245" i="48"/>
  <c r="K88" i="49"/>
  <c r="G182" i="16"/>
  <c r="G183" i="16" s="1"/>
  <c r="C317" i="16"/>
  <c r="C318" i="16" s="1"/>
  <c r="C313" i="16"/>
  <c r="B101" i="14"/>
  <c r="B15" i="14"/>
  <c r="F64" i="49"/>
  <c r="G20" i="68"/>
  <c r="I18" i="14"/>
  <c r="I19" i="14" s="1"/>
  <c r="I20" i="14" s="1"/>
  <c r="I25" i="14"/>
  <c r="I26" i="14" s="1"/>
  <c r="I27" i="14" s="1"/>
  <c r="I29" i="14" s="1"/>
  <c r="J47" i="48" s="1"/>
  <c r="I12" i="14"/>
  <c r="I13" i="14" s="1"/>
  <c r="I15" i="14" s="1"/>
  <c r="L25" i="14"/>
  <c r="L18" i="14"/>
  <c r="L19" i="14" s="1"/>
  <c r="L20" i="14" s="1"/>
  <c r="L12" i="14"/>
  <c r="L13" i="14" s="1"/>
  <c r="L15" i="14" s="1"/>
  <c r="E100" i="14"/>
  <c r="E101" i="14" s="1"/>
  <c r="E102" i="14" s="1"/>
  <c r="E104" i="14" s="1"/>
  <c r="F184" i="48" s="1"/>
  <c r="E87" i="14"/>
  <c r="E88" i="14" s="1"/>
  <c r="E90" i="14" s="1"/>
  <c r="E93" i="14"/>
  <c r="E94" i="14" s="1"/>
  <c r="E95" i="14" s="1"/>
  <c r="E97" i="14" s="1"/>
  <c r="F183" i="48" s="1"/>
  <c r="L100" i="14"/>
  <c r="L93" i="14"/>
  <c r="L87" i="14"/>
  <c r="L88" i="14" s="1"/>
  <c r="L90" i="14" s="1"/>
  <c r="M182" i="48" s="1"/>
  <c r="H93" i="14"/>
  <c r="H87" i="14"/>
  <c r="H88" i="14" s="1"/>
  <c r="H90" i="14" s="1"/>
  <c r="H100" i="14"/>
  <c r="H101" i="14" s="1"/>
  <c r="H102" i="14" s="1"/>
  <c r="H104" i="14" s="1"/>
  <c r="I184" i="48" s="1"/>
  <c r="E22" i="63"/>
  <c r="E20" i="63"/>
  <c r="N10" i="61"/>
  <c r="C17" i="61"/>
  <c r="O244" i="48"/>
  <c r="O192" i="48"/>
  <c r="O141" i="48"/>
  <c r="O95" i="48"/>
  <c r="F55" i="48"/>
  <c r="O55" i="48" s="1"/>
  <c r="B16" i="75" s="1"/>
  <c r="C158" i="16"/>
  <c r="N156" i="16"/>
  <c r="I55" i="16"/>
  <c r="N88" i="48"/>
  <c r="L68" i="14"/>
  <c r="L69" i="14" s="1"/>
  <c r="L70" i="14" s="1"/>
  <c r="L62" i="14"/>
  <c r="L63" i="14" s="1"/>
  <c r="L65" i="14" s="1"/>
  <c r="L75" i="14"/>
  <c r="H75" i="14"/>
  <c r="H68" i="14"/>
  <c r="H62" i="14"/>
  <c r="H63" i="14" s="1"/>
  <c r="H65" i="14" s="1"/>
  <c r="H32" i="11"/>
  <c r="B117" i="18"/>
  <c r="G282" i="4"/>
  <c r="G286" i="4"/>
  <c r="C166" i="16"/>
  <c r="J137" i="48"/>
  <c r="G32" i="11"/>
  <c r="B93" i="18"/>
  <c r="O279" i="48"/>
  <c r="G11" i="61"/>
  <c r="G13" i="61" s="1"/>
  <c r="D93" i="61"/>
  <c r="N68" i="70"/>
  <c r="H21" i="63"/>
  <c r="F61" i="14" s="1"/>
  <c r="F16" i="89" s="1"/>
  <c r="K34" i="24"/>
  <c r="L94" i="48" s="1"/>
  <c r="K46" i="24"/>
  <c r="E50" i="14"/>
  <c r="C11" i="64"/>
  <c r="C66" i="64" s="1"/>
  <c r="C13" i="4"/>
  <c r="L112" i="14"/>
  <c r="L113" i="14" s="1"/>
  <c r="L115" i="14" s="1"/>
  <c r="M234" i="48" s="1"/>
  <c r="L125" i="14"/>
  <c r="L126" i="14" s="1"/>
  <c r="L127" i="14" s="1"/>
  <c r="L129" i="14" s="1"/>
  <c r="L118" i="14"/>
  <c r="H125" i="14"/>
  <c r="H112" i="14"/>
  <c r="H113" i="14" s="1"/>
  <c r="H115" i="14" s="1"/>
  <c r="I234" i="48" s="1"/>
  <c r="H118" i="14"/>
  <c r="B69" i="14"/>
  <c r="B70" i="14" s="1"/>
  <c r="E12" i="14"/>
  <c r="E13" i="14" s="1"/>
  <c r="E15" i="14" s="1"/>
  <c r="E18" i="14"/>
  <c r="E25" i="14"/>
  <c r="E26" i="14" s="1"/>
  <c r="E27" i="14" s="1"/>
  <c r="E29" i="14" s="1"/>
  <c r="F47" i="48" s="1"/>
  <c r="L108" i="18"/>
  <c r="N109" i="18"/>
  <c r="L71" i="24"/>
  <c r="I93" i="14"/>
  <c r="I94" i="14" s="1"/>
  <c r="I95" i="14" s="1"/>
  <c r="I97" i="14" s="1"/>
  <c r="J183" i="48" s="1"/>
  <c r="I100" i="14"/>
  <c r="I101" i="14" s="1"/>
  <c r="I102" i="14" s="1"/>
  <c r="I104" i="14" s="1"/>
  <c r="J184" i="48" s="1"/>
  <c r="I87" i="14"/>
  <c r="I88" i="14" s="1"/>
  <c r="I90" i="14" s="1"/>
  <c r="B119" i="14"/>
  <c r="B120" i="14" s="1"/>
  <c r="K68" i="14"/>
  <c r="K69" i="14" s="1"/>
  <c r="K70" i="14" s="1"/>
  <c r="K75" i="14"/>
  <c r="K62" i="14"/>
  <c r="K63" i="14" s="1"/>
  <c r="K65" i="14" s="1"/>
  <c r="C296" i="16"/>
  <c r="E117" i="16"/>
  <c r="E117" i="64"/>
  <c r="F107" i="4"/>
  <c r="I141" i="16"/>
  <c r="E157" i="4"/>
  <c r="E153" i="4"/>
  <c r="M177" i="4"/>
  <c r="M182" i="4" s="1"/>
  <c r="M187" i="4" s="1"/>
  <c r="M172" i="4"/>
  <c r="L23" i="4"/>
  <c r="L27" i="4"/>
  <c r="D171" i="64"/>
  <c r="E166" i="4"/>
  <c r="E143" i="16"/>
  <c r="C153" i="4"/>
  <c r="C157" i="4"/>
  <c r="F137" i="48"/>
  <c r="B43" i="14"/>
  <c r="B50" i="14"/>
  <c r="B37" i="14"/>
  <c r="H20" i="63"/>
  <c r="F36" i="14" s="1"/>
  <c r="F16" i="94" s="1"/>
  <c r="O23" i="63"/>
  <c r="M111" i="14" s="1"/>
  <c r="M16" i="91" s="1"/>
  <c r="M23" i="91" s="1"/>
  <c r="E32" i="24"/>
  <c r="F182" i="16"/>
  <c r="D262" i="16"/>
  <c r="D263" i="16" s="1"/>
  <c r="D258" i="16"/>
  <c r="L50" i="14"/>
  <c r="L51" i="14" s="1"/>
  <c r="L52" i="14" s="1"/>
  <c r="L54" i="14" s="1"/>
  <c r="M87" i="48" s="1"/>
  <c r="L43" i="14"/>
  <c r="L44" i="14" s="1"/>
  <c r="L45" i="14" s="1"/>
  <c r="L37" i="14"/>
  <c r="L38" i="14" s="1"/>
  <c r="L40" i="14" s="1"/>
  <c r="M85" i="48" s="1"/>
  <c r="I43" i="14"/>
  <c r="I50" i="14"/>
  <c r="I51" i="14" s="1"/>
  <c r="I52" i="14" s="1"/>
  <c r="I54" i="14" s="1"/>
  <c r="J87" i="48" s="1"/>
  <c r="I37" i="14"/>
  <c r="I38" i="14" s="1"/>
  <c r="I40" i="14" s="1"/>
  <c r="J85" i="48" s="1"/>
  <c r="B10" i="16"/>
  <c r="B65" i="16" s="1"/>
  <c r="I118" i="14"/>
  <c r="I112" i="14"/>
  <c r="I113" i="14" s="1"/>
  <c r="I115" i="14" s="1"/>
  <c r="J234" i="48" s="1"/>
  <c r="I125" i="14"/>
  <c r="I126" i="14" s="1"/>
  <c r="I127" i="14" s="1"/>
  <c r="I129" i="14" s="1"/>
  <c r="E125" i="14"/>
  <c r="H18" i="14"/>
  <c r="H19" i="14" s="1"/>
  <c r="H20" i="14" s="1"/>
  <c r="H12" i="14"/>
  <c r="H13" i="14" s="1"/>
  <c r="H15" i="14" s="1"/>
  <c r="H25" i="14"/>
  <c r="H26" i="14" s="1"/>
  <c r="H27" i="14" s="1"/>
  <c r="H29" i="14" s="1"/>
  <c r="I47" i="48" s="1"/>
  <c r="E10" i="60"/>
  <c r="K124" i="61"/>
  <c r="K125" i="61" s="1"/>
  <c r="C124" i="61"/>
  <c r="C125" i="61" s="1"/>
  <c r="L221" i="4"/>
  <c r="L217" i="4"/>
  <c r="N161" i="16"/>
  <c r="K148" i="16"/>
  <c r="B113" i="14"/>
  <c r="B115" i="14" s="1"/>
  <c r="B79" i="14"/>
  <c r="E186" i="64"/>
  <c r="E181" i="16" s="1"/>
  <c r="E183" i="16" s="1"/>
  <c r="F186" i="4"/>
  <c r="J12" i="14"/>
  <c r="J13" i="14" s="1"/>
  <c r="J15" i="14" s="1"/>
  <c r="K45" i="48" s="1"/>
  <c r="J18" i="14"/>
  <c r="J19" i="14" s="1"/>
  <c r="J20" i="14" s="1"/>
  <c r="J25" i="14"/>
  <c r="J26" i="14" s="1"/>
  <c r="J27" i="14" s="1"/>
  <c r="J29" i="14" s="1"/>
  <c r="K47" i="48" s="1"/>
  <c r="G157" i="4"/>
  <c r="G153" i="4"/>
  <c r="D65" i="18"/>
  <c r="D73" i="18"/>
  <c r="D75" i="18" s="1"/>
  <c r="E139" i="48" s="1"/>
  <c r="D68" i="18"/>
  <c r="D62" i="18"/>
  <c r="H157" i="4"/>
  <c r="H153" i="4"/>
  <c r="K223" i="48"/>
  <c r="K172" i="48"/>
  <c r="K121" i="48"/>
  <c r="K30" i="48"/>
  <c r="K75" i="48"/>
  <c r="K275" i="48"/>
  <c r="E241" i="4"/>
  <c r="E246" i="4"/>
  <c r="O227" i="48"/>
  <c r="O20" i="63"/>
  <c r="M36" i="14" s="1"/>
  <c r="M16" i="94" s="1"/>
  <c r="H23" i="63"/>
  <c r="F111" i="14" s="1"/>
  <c r="F16" i="91" s="1"/>
  <c r="O22" i="63"/>
  <c r="M86" i="14" s="1"/>
  <c r="M16" i="90" s="1"/>
  <c r="C11" i="61"/>
  <c r="N146" i="64"/>
  <c r="M56" i="48"/>
  <c r="M22" i="48"/>
  <c r="G118" i="16"/>
  <c r="G123" i="16" s="1"/>
  <c r="M87" i="18"/>
  <c r="N84" i="18"/>
  <c r="J190" i="48"/>
  <c r="E47" i="4"/>
  <c r="E48" i="4" s="1"/>
  <c r="E52" i="4"/>
  <c r="E42" i="4"/>
  <c r="E38" i="4"/>
  <c r="J168" i="64"/>
  <c r="I168" i="64"/>
  <c r="H258" i="64"/>
  <c r="G168" i="64"/>
  <c r="M168" i="64"/>
  <c r="M318" i="64"/>
  <c r="H238" i="64"/>
  <c r="L168" i="64"/>
  <c r="E168" i="64"/>
  <c r="D168" i="64"/>
  <c r="F168" i="64"/>
  <c r="K168" i="64"/>
  <c r="C168" i="64"/>
  <c r="K313" i="64"/>
  <c r="H168" i="64"/>
  <c r="E58" i="24"/>
  <c r="H72" i="24"/>
  <c r="H76" i="24"/>
  <c r="C99" i="18"/>
  <c r="D243" i="48"/>
  <c r="K22" i="70"/>
  <c r="B79" i="16"/>
  <c r="N77" i="16"/>
  <c r="D188" i="48"/>
  <c r="C50" i="48"/>
  <c r="C16" i="48"/>
  <c r="H121" i="14"/>
  <c r="M306" i="4"/>
  <c r="M301" i="4"/>
  <c r="I46" i="14"/>
  <c r="D22" i="49"/>
  <c r="B148" i="16"/>
  <c r="N146" i="16"/>
  <c r="C28" i="64"/>
  <c r="F15" i="49"/>
  <c r="E44" i="24"/>
  <c r="N45" i="24"/>
  <c r="N277" i="4"/>
  <c r="O17" i="90" l="1"/>
  <c r="E112" i="14"/>
  <c r="E113" i="14" s="1"/>
  <c r="E115" i="14" s="1"/>
  <c r="C206" i="16"/>
  <c r="C207" i="64"/>
  <c r="E43" i="14"/>
  <c r="E44" i="14" s="1"/>
  <c r="E45" i="14" s="1"/>
  <c r="E47" i="14" s="1"/>
  <c r="F86" i="48" s="1"/>
  <c r="F295" i="4"/>
  <c r="F28" i="91" s="1"/>
  <c r="D92" i="18"/>
  <c r="D97" i="18"/>
  <c r="D99" i="18" s="1"/>
  <c r="E190" i="48" s="1"/>
  <c r="N32" i="90"/>
  <c r="K23" i="91"/>
  <c r="E118" i="14"/>
  <c r="E119" i="14" s="1"/>
  <c r="E120" i="14" s="1"/>
  <c r="E122" i="14" s="1"/>
  <c r="E37" i="14"/>
  <c r="E38" i="14" s="1"/>
  <c r="E40" i="14" s="1"/>
  <c r="D89" i="18"/>
  <c r="E188" i="48" s="1"/>
  <c r="C93" i="4"/>
  <c r="C98" i="4" s="1"/>
  <c r="C103" i="4" s="1"/>
  <c r="C113" i="4" s="1"/>
  <c r="C118" i="4" s="1"/>
  <c r="C119" i="4" s="1"/>
  <c r="E67" i="4"/>
  <c r="N38" i="70"/>
  <c r="N72" i="70"/>
  <c r="K90" i="49"/>
  <c r="K89" i="49" s="1"/>
  <c r="M39" i="49"/>
  <c r="M38" i="49" s="1"/>
  <c r="D320" i="4"/>
  <c r="D32" i="91"/>
  <c r="D33" i="91" s="1"/>
  <c r="J93" i="14"/>
  <c r="J94" i="14" s="1"/>
  <c r="J95" i="14" s="1"/>
  <c r="J97" i="14" s="1"/>
  <c r="K183" i="48" s="1"/>
  <c r="J16" i="90"/>
  <c r="F100" i="14"/>
  <c r="F101" i="14" s="1"/>
  <c r="F102" i="14" s="1"/>
  <c r="F104" i="14" s="1"/>
  <c r="F16" i="90"/>
  <c r="K150" i="14"/>
  <c r="K151" i="14" s="1"/>
  <c r="K152" i="14" s="1"/>
  <c r="K154" i="14" s="1"/>
  <c r="K16" i="92"/>
  <c r="K23" i="92" s="1"/>
  <c r="H143" i="14"/>
  <c r="H144" i="14" s="1"/>
  <c r="H145" i="14" s="1"/>
  <c r="H147" i="14" s="1"/>
  <c r="I287" i="48" s="1"/>
  <c r="H16" i="92"/>
  <c r="H23" i="92" s="1"/>
  <c r="C337" i="48"/>
  <c r="B181" i="14"/>
  <c r="B62" i="95"/>
  <c r="B63" i="87"/>
  <c r="B62" i="86"/>
  <c r="B58" i="84"/>
  <c r="B56" i="79"/>
  <c r="C56" i="79" s="1"/>
  <c r="D56" i="79" s="1"/>
  <c r="E56" i="79" s="1"/>
  <c r="F56" i="79" s="1"/>
  <c r="G56" i="79" s="1"/>
  <c r="H56" i="79" s="1"/>
  <c r="I56" i="79" s="1"/>
  <c r="J56" i="79" s="1"/>
  <c r="K56" i="79" s="1"/>
  <c r="L56" i="79" s="1"/>
  <c r="M56" i="79" s="1"/>
  <c r="I39" i="49"/>
  <c r="I38" i="49" s="1"/>
  <c r="G12" i="91"/>
  <c r="O12" i="91" s="1"/>
  <c r="G85" i="49"/>
  <c r="G83" i="49"/>
  <c r="G82" i="49" s="1"/>
  <c r="N82" i="49" s="1"/>
  <c r="K56" i="49"/>
  <c r="K55" i="49" s="1"/>
  <c r="F90" i="49"/>
  <c r="F89" i="49" s="1"/>
  <c r="H73" i="49"/>
  <c r="H72" i="49" s="1"/>
  <c r="G37" i="14"/>
  <c r="G38" i="14" s="1"/>
  <c r="G40" i="14" s="1"/>
  <c r="G16" i="94"/>
  <c r="E323" i="48"/>
  <c r="E370" i="48"/>
  <c r="E73" i="48"/>
  <c r="J125" i="14"/>
  <c r="J16" i="91"/>
  <c r="J23" i="91" s="1"/>
  <c r="K93" i="14"/>
  <c r="K94" i="14" s="1"/>
  <c r="K95" i="14" s="1"/>
  <c r="K97" i="14" s="1"/>
  <c r="K16" i="90"/>
  <c r="F39" i="49"/>
  <c r="F38" i="49" s="1"/>
  <c r="E33" i="91"/>
  <c r="F186" i="64"/>
  <c r="F181" i="16" s="1"/>
  <c r="F30" i="90"/>
  <c r="F30" i="89"/>
  <c r="E28" i="90"/>
  <c r="E28" i="89"/>
  <c r="E297" i="64"/>
  <c r="F12" i="90"/>
  <c r="O12" i="90" s="1"/>
  <c r="F68" i="49"/>
  <c r="F66" i="49"/>
  <c r="F65" i="49" s="1"/>
  <c r="N65" i="49" s="1"/>
  <c r="E75" i="14"/>
  <c r="E76" i="14" s="1"/>
  <c r="E77" i="14" s="1"/>
  <c r="E79" i="14" s="1"/>
  <c r="E136" i="4"/>
  <c r="E27" i="94"/>
  <c r="E171" i="4"/>
  <c r="E205" i="4" s="1"/>
  <c r="AB34" i="61"/>
  <c r="I90" i="49"/>
  <c r="I89" i="49" s="1"/>
  <c r="D39" i="49"/>
  <c r="D38" i="49" s="1"/>
  <c r="C90" i="49"/>
  <c r="C89" i="49" s="1"/>
  <c r="L186" i="4"/>
  <c r="K30" i="90"/>
  <c r="K30" i="89"/>
  <c r="H39" i="49"/>
  <c r="H38" i="49" s="1"/>
  <c r="D100" i="14"/>
  <c r="D16" i="90"/>
  <c r="B56" i="49"/>
  <c r="B55" i="49" s="1"/>
  <c r="C320" i="4"/>
  <c r="C32" i="91"/>
  <c r="C33" i="91" s="1"/>
  <c r="B73" i="49"/>
  <c r="B72" i="49" s="1"/>
  <c r="J43" i="14"/>
  <c r="J44" i="14" s="1"/>
  <c r="J45" i="14" s="1"/>
  <c r="J16" i="94"/>
  <c r="K37" i="14"/>
  <c r="K38" i="14" s="1"/>
  <c r="K40" i="14" s="1"/>
  <c r="L85" i="48" s="1"/>
  <c r="K16" i="94"/>
  <c r="F172" i="14"/>
  <c r="G337" i="48" s="1"/>
  <c r="D143" i="14"/>
  <c r="D144" i="14" s="1"/>
  <c r="D145" i="14" s="1"/>
  <c r="D147" i="14" s="1"/>
  <c r="D16" i="92"/>
  <c r="D23" i="92" s="1"/>
  <c r="J56" i="49"/>
  <c r="J55" i="49" s="1"/>
  <c r="E90" i="49"/>
  <c r="E89" i="49" s="1"/>
  <c r="C287" i="48"/>
  <c r="B156" i="14"/>
  <c r="C12" i="48"/>
  <c r="C167" i="18"/>
  <c r="B168" i="18"/>
  <c r="L23" i="91"/>
  <c r="E23" i="91"/>
  <c r="B33" i="91"/>
  <c r="E30" i="90"/>
  <c r="E30" i="89"/>
  <c r="B85" i="95"/>
  <c r="B86" i="87"/>
  <c r="B85" i="86"/>
  <c r="B75" i="84"/>
  <c r="B73" i="79"/>
  <c r="C73" i="79" s="1"/>
  <c r="D73" i="79" s="1"/>
  <c r="E73" i="79" s="1"/>
  <c r="F73" i="79" s="1"/>
  <c r="G73" i="79" s="1"/>
  <c r="H73" i="79" s="1"/>
  <c r="I73" i="79" s="1"/>
  <c r="J73" i="79" s="1"/>
  <c r="K73" i="79" s="1"/>
  <c r="L73" i="79" s="1"/>
  <c r="M73" i="79" s="1"/>
  <c r="B108" i="49"/>
  <c r="L56" i="49"/>
  <c r="L55" i="49" s="1"/>
  <c r="D73" i="49"/>
  <c r="D72" i="49" s="1"/>
  <c r="D118" i="14"/>
  <c r="D16" i="91"/>
  <c r="D23" i="91" s="1"/>
  <c r="J73" i="49"/>
  <c r="J72" i="49" s="1"/>
  <c r="D29" i="90"/>
  <c r="D33" i="90" s="1"/>
  <c r="D29" i="89"/>
  <c r="D176" i="64"/>
  <c r="D171" i="16" s="1"/>
  <c r="L73" i="49"/>
  <c r="L72" i="49" s="1"/>
  <c r="B32" i="92"/>
  <c r="B380" i="4"/>
  <c r="B375" i="4"/>
  <c r="E143" i="14"/>
  <c r="E144" i="14" s="1"/>
  <c r="E145" i="14" s="1"/>
  <c r="E147" i="14" s="1"/>
  <c r="E16" i="92"/>
  <c r="E23" i="92" s="1"/>
  <c r="G118" i="14"/>
  <c r="G119" i="14" s="1"/>
  <c r="G120" i="14" s="1"/>
  <c r="G122" i="14" s="1"/>
  <c r="H235" i="48" s="1"/>
  <c r="G16" i="91"/>
  <c r="B39" i="49"/>
  <c r="B38" i="49" s="1"/>
  <c r="D142" i="18"/>
  <c r="C143" i="18"/>
  <c r="F23" i="91"/>
  <c r="J171" i="14"/>
  <c r="K171" i="14" s="1"/>
  <c r="L171" i="14" s="1"/>
  <c r="M171" i="14" s="1"/>
  <c r="M172" i="14" s="1"/>
  <c r="I172" i="14"/>
  <c r="B22" i="95"/>
  <c r="B23" i="87"/>
  <c r="B22" i="86"/>
  <c r="B24" i="84"/>
  <c r="B22" i="79"/>
  <c r="C22" i="79" s="1"/>
  <c r="D22" i="79" s="1"/>
  <c r="E22" i="79" s="1"/>
  <c r="F22" i="79" s="1"/>
  <c r="G22" i="79" s="1"/>
  <c r="H22" i="79" s="1"/>
  <c r="I22" i="79" s="1"/>
  <c r="J22" i="79" s="1"/>
  <c r="K22" i="79" s="1"/>
  <c r="L22" i="79" s="1"/>
  <c r="M22" i="79" s="1"/>
  <c r="G39" i="49"/>
  <c r="G38" i="49" s="1"/>
  <c r="D56" i="49"/>
  <c r="D55" i="49" s="1"/>
  <c r="C56" i="49"/>
  <c r="C55" i="49" s="1"/>
  <c r="D50" i="14"/>
  <c r="D51" i="14" s="1"/>
  <c r="D52" i="14" s="1"/>
  <c r="D54" i="14" s="1"/>
  <c r="D16" i="94"/>
  <c r="D123" i="18"/>
  <c r="D205" i="4"/>
  <c r="G137" i="14"/>
  <c r="G138" i="14" s="1"/>
  <c r="G140" i="14" s="1"/>
  <c r="H286" i="48" s="1"/>
  <c r="G16" i="92"/>
  <c r="G23" i="92" s="1"/>
  <c r="O16" i="93"/>
  <c r="O23" i="93" s="1"/>
  <c r="N16" i="93"/>
  <c r="N23" i="93" s="1"/>
  <c r="C23" i="93"/>
  <c r="E56" i="49"/>
  <c r="E55" i="49" s="1"/>
  <c r="I56" i="49"/>
  <c r="I55" i="49" s="1"/>
  <c r="B90" i="49"/>
  <c r="B89" i="49" s="1"/>
  <c r="L90" i="49"/>
  <c r="L89" i="49" s="1"/>
  <c r="J146" i="14"/>
  <c r="K146" i="14" s="1"/>
  <c r="L146" i="14" s="1"/>
  <c r="M146" i="14" s="1"/>
  <c r="I147" i="14"/>
  <c r="O32" i="90"/>
  <c r="E22" i="85"/>
  <c r="D23" i="85"/>
  <c r="I23" i="91"/>
  <c r="N89" i="70"/>
  <c r="N12" i="94"/>
  <c r="O12" i="94"/>
  <c r="N423" i="16"/>
  <c r="N393" i="16"/>
  <c r="N403" i="16"/>
  <c r="H313" i="64"/>
  <c r="K438" i="64"/>
  <c r="G438" i="64"/>
  <c r="C438" i="64"/>
  <c r="J433" i="64"/>
  <c r="J434" i="64" s="1"/>
  <c r="F433" i="64"/>
  <c r="F434" i="64" s="1"/>
  <c r="K413" i="64"/>
  <c r="K414" i="64" s="1"/>
  <c r="G413" i="64"/>
  <c r="G414" i="64" s="1"/>
  <c r="C413" i="64"/>
  <c r="C414" i="64" s="1"/>
  <c r="L438" i="64"/>
  <c r="H438" i="64"/>
  <c r="D438" i="64"/>
  <c r="K433" i="64"/>
  <c r="K434" i="64" s="1"/>
  <c r="G433" i="64"/>
  <c r="G434" i="64" s="1"/>
  <c r="C433" i="64"/>
  <c r="C434" i="64" s="1"/>
  <c r="L413" i="64"/>
  <c r="L414" i="64" s="1"/>
  <c r="H413" i="64"/>
  <c r="H414" i="64" s="1"/>
  <c r="D413" i="64"/>
  <c r="D414" i="64" s="1"/>
  <c r="F438" i="64"/>
  <c r="M433" i="64"/>
  <c r="M434" i="64" s="1"/>
  <c r="E433" i="64"/>
  <c r="E434" i="64" s="1"/>
  <c r="F413" i="64"/>
  <c r="F414" i="64" s="1"/>
  <c r="I433" i="64"/>
  <c r="I434" i="64" s="1"/>
  <c r="J413" i="64"/>
  <c r="J414" i="64" s="1"/>
  <c r="I438" i="64"/>
  <c r="H433" i="64"/>
  <c r="H434" i="64" s="1"/>
  <c r="M438" i="64"/>
  <c r="E438" i="64"/>
  <c r="L433" i="64"/>
  <c r="L434" i="64" s="1"/>
  <c r="D433" i="64"/>
  <c r="D434" i="64" s="1"/>
  <c r="M413" i="64"/>
  <c r="M414" i="64" s="1"/>
  <c r="E413" i="64"/>
  <c r="E414" i="64" s="1"/>
  <c r="J438" i="64"/>
  <c r="I413" i="64"/>
  <c r="I414" i="64" s="1"/>
  <c r="N428" i="16"/>
  <c r="B412" i="16"/>
  <c r="B413" i="16" s="1"/>
  <c r="B408" i="16"/>
  <c r="B417" i="16"/>
  <c r="B418" i="16" s="1"/>
  <c r="B413" i="64"/>
  <c r="B409" i="64"/>
  <c r="N409" i="64" s="1"/>
  <c r="C417" i="16"/>
  <c r="C418" i="16" s="1"/>
  <c r="C412" i="16"/>
  <c r="C408" i="16"/>
  <c r="D407" i="16"/>
  <c r="M68" i="14"/>
  <c r="M69" i="14" s="1"/>
  <c r="M70" i="14" s="1"/>
  <c r="M16" i="89"/>
  <c r="D68" i="14"/>
  <c r="D69" i="14" s="1"/>
  <c r="D70" i="14" s="1"/>
  <c r="D16" i="89"/>
  <c r="N17" i="89"/>
  <c r="G75" i="14"/>
  <c r="G76" i="14" s="1"/>
  <c r="G77" i="14" s="1"/>
  <c r="G79" i="14" s="1"/>
  <c r="H133" i="48" s="1"/>
  <c r="G16" i="89"/>
  <c r="J75" i="14"/>
  <c r="J76" i="14" s="1"/>
  <c r="J77" i="14" s="1"/>
  <c r="J79" i="14" s="1"/>
  <c r="K133" i="48" s="1"/>
  <c r="J16" i="89"/>
  <c r="K50" i="14"/>
  <c r="K51" i="14" s="1"/>
  <c r="K52" i="14" s="1"/>
  <c r="K54" i="14" s="1"/>
  <c r="L87" i="48" s="1"/>
  <c r="O12" i="89"/>
  <c r="N12" i="89"/>
  <c r="K12" i="14"/>
  <c r="K13" i="14" s="1"/>
  <c r="K15" i="14" s="1"/>
  <c r="L45" i="48" s="1"/>
  <c r="N21" i="70"/>
  <c r="K25" i="14"/>
  <c r="E137" i="14"/>
  <c r="E138" i="14" s="1"/>
  <c r="E140" i="14" s="1"/>
  <c r="F286" i="48" s="1"/>
  <c r="F87" i="14"/>
  <c r="F88" i="14" s="1"/>
  <c r="F90" i="14" s="1"/>
  <c r="G182" i="48" s="1"/>
  <c r="M288" i="48"/>
  <c r="F50" i="48"/>
  <c r="M286" i="48"/>
  <c r="K100" i="14"/>
  <c r="K101" i="14" s="1"/>
  <c r="K102" i="14" s="1"/>
  <c r="K104" i="14" s="1"/>
  <c r="L184" i="48" s="1"/>
  <c r="G112" i="14"/>
  <c r="G113" i="14" s="1"/>
  <c r="G115" i="14" s="1"/>
  <c r="H234" i="48" s="1"/>
  <c r="E150" i="14"/>
  <c r="E151" i="14" s="1"/>
  <c r="E152" i="14" s="1"/>
  <c r="E154" i="14" s="1"/>
  <c r="F13" i="48" s="1"/>
  <c r="J100" i="14"/>
  <c r="J101" i="14" s="1"/>
  <c r="J102" i="14" s="1"/>
  <c r="J104" i="14" s="1"/>
  <c r="K184" i="48" s="1"/>
  <c r="K143" i="14"/>
  <c r="K144" i="14" s="1"/>
  <c r="K145" i="14" s="1"/>
  <c r="G143" i="14"/>
  <c r="G144" i="14" s="1"/>
  <c r="G145" i="14" s="1"/>
  <c r="G147" i="14" s="1"/>
  <c r="H287" i="48" s="1"/>
  <c r="J62" i="14"/>
  <c r="J63" i="14" s="1"/>
  <c r="J65" i="14" s="1"/>
  <c r="K131" i="48" s="1"/>
  <c r="D62" i="14"/>
  <c r="D63" i="14" s="1"/>
  <c r="D65" i="14" s="1"/>
  <c r="E131" i="48" s="1"/>
  <c r="J87" i="14"/>
  <c r="J88" i="14" s="1"/>
  <c r="J90" i="14" s="1"/>
  <c r="K182" i="48" s="1"/>
  <c r="K43" i="14"/>
  <c r="K44" i="14" s="1"/>
  <c r="K45" i="14" s="1"/>
  <c r="D150" i="14"/>
  <c r="D151" i="14" s="1"/>
  <c r="D152" i="14" s="1"/>
  <c r="D154" i="14" s="1"/>
  <c r="E288" i="48" s="1"/>
  <c r="G150" i="14"/>
  <c r="G151" i="14" s="1"/>
  <c r="G152" i="14" s="1"/>
  <c r="G154" i="14" s="1"/>
  <c r="H288" i="48" s="1"/>
  <c r="D137" i="14"/>
  <c r="D138" i="14" s="1"/>
  <c r="D140" i="14" s="1"/>
  <c r="E11" i="48" s="1"/>
  <c r="C162" i="14"/>
  <c r="C163" i="14" s="1"/>
  <c r="C175" i="14"/>
  <c r="C168" i="14"/>
  <c r="N161" i="14"/>
  <c r="P161" i="14" s="1"/>
  <c r="K137" i="14"/>
  <c r="K138" i="14" s="1"/>
  <c r="K140" i="14" s="1"/>
  <c r="L286" i="48" s="1"/>
  <c r="H137" i="14"/>
  <c r="H138" i="14" s="1"/>
  <c r="H140" i="14" s="1"/>
  <c r="I286" i="48" s="1"/>
  <c r="F181" i="14"/>
  <c r="G336" i="48"/>
  <c r="K87" i="14"/>
  <c r="K88" i="14" s="1"/>
  <c r="K90" i="14" s="1"/>
  <c r="L182" i="48" s="1"/>
  <c r="D87" i="14"/>
  <c r="D88" i="14" s="1"/>
  <c r="D90" i="14" s="1"/>
  <c r="E182" i="48" s="1"/>
  <c r="G125" i="14"/>
  <c r="G126" i="14" s="1"/>
  <c r="G127" i="14" s="1"/>
  <c r="G129" i="14" s="1"/>
  <c r="F93" i="14"/>
  <c r="F94" i="14" s="1"/>
  <c r="F95" i="14" s="1"/>
  <c r="F97" i="14" s="1"/>
  <c r="G183" i="48" s="1"/>
  <c r="H150" i="14"/>
  <c r="H151" i="14" s="1"/>
  <c r="H152" i="14" s="1"/>
  <c r="H154" i="14" s="1"/>
  <c r="I13" i="48" s="1"/>
  <c r="K336" i="48"/>
  <c r="K168" i="14"/>
  <c r="K169" i="14" s="1"/>
  <c r="K170" i="14" s="1"/>
  <c r="K162" i="14"/>
  <c r="K163" i="14" s="1"/>
  <c r="K165" i="14" s="1"/>
  <c r="K175" i="14"/>
  <c r="K176" i="14" s="1"/>
  <c r="K177" i="14" s="1"/>
  <c r="K179" i="14" s="1"/>
  <c r="L338" i="48" s="1"/>
  <c r="H175" i="14"/>
  <c r="H176" i="14" s="1"/>
  <c r="H177" i="14" s="1"/>
  <c r="H179" i="14" s="1"/>
  <c r="I338" i="48" s="1"/>
  <c r="H162" i="14"/>
  <c r="H163" i="14" s="1"/>
  <c r="H165" i="14" s="1"/>
  <c r="H168" i="14"/>
  <c r="H169" i="14" s="1"/>
  <c r="H170" i="14" s="1"/>
  <c r="H172" i="14" s="1"/>
  <c r="I337" i="48" s="1"/>
  <c r="P25" i="63"/>
  <c r="E168" i="14"/>
  <c r="E169" i="14" s="1"/>
  <c r="E170" i="14" s="1"/>
  <c r="E172" i="14" s="1"/>
  <c r="F337" i="48" s="1"/>
  <c r="E175" i="14"/>
  <c r="E176" i="14" s="1"/>
  <c r="E177" i="14" s="1"/>
  <c r="E179" i="14" s="1"/>
  <c r="F338" i="48" s="1"/>
  <c r="E162" i="14"/>
  <c r="E163" i="14" s="1"/>
  <c r="E165" i="14" s="1"/>
  <c r="D162" i="14"/>
  <c r="D163" i="14" s="1"/>
  <c r="D165" i="14" s="1"/>
  <c r="D168" i="14"/>
  <c r="D169" i="14" s="1"/>
  <c r="D170" i="14" s="1"/>
  <c r="D172" i="14" s="1"/>
  <c r="E337" i="48" s="1"/>
  <c r="D175" i="14"/>
  <c r="D176" i="14" s="1"/>
  <c r="D177" i="14" s="1"/>
  <c r="D179" i="14" s="1"/>
  <c r="E338" i="48" s="1"/>
  <c r="N336" i="48"/>
  <c r="G162" i="14"/>
  <c r="G163" i="14" s="1"/>
  <c r="G165" i="14" s="1"/>
  <c r="G168" i="14"/>
  <c r="G169" i="14" s="1"/>
  <c r="G170" i="14" s="1"/>
  <c r="G172" i="14" s="1"/>
  <c r="H337" i="48" s="1"/>
  <c r="G175" i="14"/>
  <c r="G176" i="14" s="1"/>
  <c r="G177" i="14" s="1"/>
  <c r="G179" i="14" s="1"/>
  <c r="H338" i="48" s="1"/>
  <c r="M336" i="48"/>
  <c r="L88" i="4"/>
  <c r="M62" i="14"/>
  <c r="M63" i="14" s="1"/>
  <c r="M65" i="14" s="1"/>
  <c r="N131" i="48" s="1"/>
  <c r="M75" i="14"/>
  <c r="M76" i="14" s="1"/>
  <c r="M77" i="14" s="1"/>
  <c r="M79" i="14" s="1"/>
  <c r="J37" i="14"/>
  <c r="J38" i="14" s="1"/>
  <c r="J40" i="14" s="1"/>
  <c r="K85" i="48" s="1"/>
  <c r="J50" i="14"/>
  <c r="J51" i="14" s="1"/>
  <c r="J52" i="14" s="1"/>
  <c r="J54" i="14" s="1"/>
  <c r="K87" i="48" s="1"/>
  <c r="D75" i="14"/>
  <c r="D76" i="14" s="1"/>
  <c r="D77" i="14" s="1"/>
  <c r="D79" i="14" s="1"/>
  <c r="E133" i="48" s="1"/>
  <c r="D93" i="14"/>
  <c r="D94" i="14" s="1"/>
  <c r="D95" i="14" s="1"/>
  <c r="D97" i="14" s="1"/>
  <c r="E183" i="48" s="1"/>
  <c r="J112" i="14"/>
  <c r="J113" i="14" s="1"/>
  <c r="J115" i="14" s="1"/>
  <c r="K234" i="48" s="1"/>
  <c r="M137" i="14"/>
  <c r="M138" i="14" s="1"/>
  <c r="M140" i="14" s="1"/>
  <c r="M143" i="14"/>
  <c r="M144" i="14" s="1"/>
  <c r="M145" i="14" s="1"/>
  <c r="M147" i="14" s="1"/>
  <c r="M150" i="14"/>
  <c r="M151" i="14" s="1"/>
  <c r="M152" i="14" s="1"/>
  <c r="M154" i="14" s="1"/>
  <c r="L288" i="48"/>
  <c r="L13" i="48"/>
  <c r="C136" i="14"/>
  <c r="C16" i="92" s="1"/>
  <c r="P24" i="63"/>
  <c r="J118" i="14"/>
  <c r="J119" i="14" s="1"/>
  <c r="J120" i="14" s="1"/>
  <c r="P19" i="63"/>
  <c r="F137" i="14"/>
  <c r="F138" i="14" s="1"/>
  <c r="F140" i="14" s="1"/>
  <c r="F143" i="14"/>
  <c r="F150" i="14"/>
  <c r="F151" i="14" s="1"/>
  <c r="F152" i="14" s="1"/>
  <c r="F154" i="14" s="1"/>
  <c r="E287" i="48"/>
  <c r="E12" i="48"/>
  <c r="J137" i="14"/>
  <c r="J138" i="14" s="1"/>
  <c r="J140" i="14" s="1"/>
  <c r="J150" i="14"/>
  <c r="J151" i="14" s="1"/>
  <c r="J152" i="14" s="1"/>
  <c r="J154" i="14" s="1"/>
  <c r="J143" i="14"/>
  <c r="O11" i="14"/>
  <c r="B198" i="16"/>
  <c r="B201" i="16"/>
  <c r="B202" i="16" s="1"/>
  <c r="J198" i="16"/>
  <c r="J201" i="16"/>
  <c r="J202" i="16" s="1"/>
  <c r="L198" i="16"/>
  <c r="L201" i="16"/>
  <c r="L202" i="16" s="1"/>
  <c r="H198" i="16"/>
  <c r="H201" i="16"/>
  <c r="H202" i="16" s="1"/>
  <c r="F198" i="16"/>
  <c r="F201" i="16"/>
  <c r="F202" i="16" s="1"/>
  <c r="G198" i="16"/>
  <c r="G201" i="16"/>
  <c r="G202" i="16" s="1"/>
  <c r="I198" i="16"/>
  <c r="I201" i="16"/>
  <c r="I202" i="16" s="1"/>
  <c r="D198" i="16"/>
  <c r="D201" i="16"/>
  <c r="D202" i="16" s="1"/>
  <c r="J93" i="4"/>
  <c r="J94" i="4" s="1"/>
  <c r="H93" i="4"/>
  <c r="B84" i="4"/>
  <c r="B88" i="4"/>
  <c r="B327" i="64"/>
  <c r="B321" i="16"/>
  <c r="F84" i="4"/>
  <c r="F88" i="4"/>
  <c r="N79" i="4"/>
  <c r="C272" i="64"/>
  <c r="C271" i="16" s="1"/>
  <c r="C273" i="16" s="1"/>
  <c r="C272" i="4"/>
  <c r="F272" i="64"/>
  <c r="F271" i="16" s="1"/>
  <c r="F273" i="16" s="1"/>
  <c r="F272" i="4"/>
  <c r="G270" i="4"/>
  <c r="G32" i="91" s="1"/>
  <c r="D272" i="64"/>
  <c r="D271" i="16" s="1"/>
  <c r="D273" i="16" s="1"/>
  <c r="D272" i="4"/>
  <c r="E272" i="64"/>
  <c r="E271" i="16" s="1"/>
  <c r="E273" i="16" s="1"/>
  <c r="E272" i="4"/>
  <c r="B326" i="16"/>
  <c r="B332" i="64"/>
  <c r="D325" i="4"/>
  <c r="D32" i="92" s="1"/>
  <c r="D33" i="92" s="1"/>
  <c r="B327" i="4"/>
  <c r="C325" i="4"/>
  <c r="C32" i="92" s="1"/>
  <c r="C33" i="92" s="1"/>
  <c r="F325" i="4"/>
  <c r="F32" i="92" s="1"/>
  <c r="F33" i="92" s="1"/>
  <c r="F36" i="92" s="1"/>
  <c r="E325" i="4"/>
  <c r="E32" i="92" s="1"/>
  <c r="E33" i="92" s="1"/>
  <c r="N158" i="16"/>
  <c r="E22" i="70"/>
  <c r="N22" i="70" s="1"/>
  <c r="E16" i="60"/>
  <c r="M251" i="48"/>
  <c r="M236" i="48"/>
  <c r="J251" i="48"/>
  <c r="J236" i="48"/>
  <c r="H251" i="48"/>
  <c r="F235" i="48"/>
  <c r="D243" i="64"/>
  <c r="H243" i="64"/>
  <c r="F313" i="64"/>
  <c r="C293" i="64"/>
  <c r="C294" i="64" s="1"/>
  <c r="N72" i="16"/>
  <c r="M233" i="64"/>
  <c r="M234" i="64" s="1"/>
  <c r="E313" i="64"/>
  <c r="D136" i="16"/>
  <c r="I129" i="16"/>
  <c r="I132" i="16"/>
  <c r="I133" i="16" s="1"/>
  <c r="D129" i="16"/>
  <c r="D132" i="16"/>
  <c r="D133" i="16" s="1"/>
  <c r="K129" i="16"/>
  <c r="K132" i="16"/>
  <c r="K133" i="16" s="1"/>
  <c r="H129" i="16"/>
  <c r="H132" i="16"/>
  <c r="H133" i="16" s="1"/>
  <c r="L129" i="16"/>
  <c r="L132" i="16"/>
  <c r="L133" i="16" s="1"/>
  <c r="M129" i="16"/>
  <c r="M132" i="16"/>
  <c r="M133" i="16" s="1"/>
  <c r="N348" i="16"/>
  <c r="D52" i="16"/>
  <c r="D56" i="16"/>
  <c r="D57" i="16" s="1"/>
  <c r="H52" i="16"/>
  <c r="H56" i="16"/>
  <c r="H61" i="16" s="1"/>
  <c r="H62" i="16" s="1"/>
  <c r="J52" i="16"/>
  <c r="J56" i="16"/>
  <c r="J61" i="16" s="1"/>
  <c r="J62" i="16" s="1"/>
  <c r="E52" i="16"/>
  <c r="E56" i="16"/>
  <c r="B52" i="16"/>
  <c r="B56" i="16"/>
  <c r="C52" i="16"/>
  <c r="C56" i="16"/>
  <c r="G52" i="16"/>
  <c r="G56" i="16"/>
  <c r="G61" i="16" s="1"/>
  <c r="G62" i="16" s="1"/>
  <c r="L52" i="16"/>
  <c r="L56" i="16"/>
  <c r="L61" i="16" s="1"/>
  <c r="L62" i="16" s="1"/>
  <c r="F52" i="16"/>
  <c r="F56" i="16"/>
  <c r="F57" i="16" s="1"/>
  <c r="M52" i="16"/>
  <c r="M56" i="16"/>
  <c r="M61" i="16" s="1"/>
  <c r="M62" i="16" s="1"/>
  <c r="I52" i="16"/>
  <c r="I56" i="16"/>
  <c r="I61" i="16" s="1"/>
  <c r="I62" i="16" s="1"/>
  <c r="K52" i="16"/>
  <c r="K56" i="16"/>
  <c r="K61" i="16" s="1"/>
  <c r="K62" i="16" s="1"/>
  <c r="B357" i="16"/>
  <c r="B358" i="16" s="1"/>
  <c r="B353" i="16"/>
  <c r="B362" i="16"/>
  <c r="B363" i="16" s="1"/>
  <c r="D244" i="64"/>
  <c r="N74" i="64"/>
  <c r="E43" i="4"/>
  <c r="E242" i="64"/>
  <c r="E241" i="16" s="1"/>
  <c r="E243" i="16" s="1"/>
  <c r="F41" i="4"/>
  <c r="E35" i="16"/>
  <c r="D318" i="16"/>
  <c r="K93" i="4"/>
  <c r="K94" i="4" s="1"/>
  <c r="B320" i="16"/>
  <c r="C272" i="48" s="1"/>
  <c r="D227" i="4"/>
  <c r="O292" i="48"/>
  <c r="K16" i="48"/>
  <c r="D125" i="14"/>
  <c r="D126" i="14" s="1"/>
  <c r="D127" i="14" s="1"/>
  <c r="D129" i="14" s="1"/>
  <c r="E236" i="48" s="1"/>
  <c r="D25" i="14"/>
  <c r="D26" i="14" s="1"/>
  <c r="D27" i="14" s="1"/>
  <c r="D29" i="14" s="1"/>
  <c r="E47" i="48" s="1"/>
  <c r="G68" i="14"/>
  <c r="G69" i="14" s="1"/>
  <c r="G70" i="14" s="1"/>
  <c r="G50" i="14"/>
  <c r="G51" i="14" s="1"/>
  <c r="G52" i="14" s="1"/>
  <c r="G54" i="14" s="1"/>
  <c r="G25" i="14"/>
  <c r="G26" i="14" s="1"/>
  <c r="G27" i="14" s="1"/>
  <c r="G29" i="14" s="1"/>
  <c r="H47" i="48" s="1"/>
  <c r="G18" i="14"/>
  <c r="G19" i="14" s="1"/>
  <c r="G20" i="14" s="1"/>
  <c r="D12" i="14"/>
  <c r="D13" i="14" s="1"/>
  <c r="D15" i="14" s="1"/>
  <c r="E45" i="48" s="1"/>
  <c r="G43" i="14"/>
  <c r="G44" i="14" s="1"/>
  <c r="G45" i="14" s="1"/>
  <c r="G47" i="14" s="1"/>
  <c r="H86" i="48" s="1"/>
  <c r="N14" i="24"/>
  <c r="E16" i="24"/>
  <c r="E20" i="24"/>
  <c r="F54" i="48" s="1"/>
  <c r="G17" i="24"/>
  <c r="M17" i="24"/>
  <c r="H17" i="24"/>
  <c r="J17" i="24"/>
  <c r="K20" i="24"/>
  <c r="L54" i="48" s="1"/>
  <c r="L17" i="24"/>
  <c r="L16" i="24" s="1"/>
  <c r="F17" i="24"/>
  <c r="F16" i="24" s="1"/>
  <c r="D17" i="24"/>
  <c r="D16" i="24" s="1"/>
  <c r="I17" i="24"/>
  <c r="I20" i="24" s="1"/>
  <c r="J54" i="48" s="1"/>
  <c r="B20" i="24"/>
  <c r="C54" i="48" s="1"/>
  <c r="C233" i="64"/>
  <c r="C234" i="64" s="1"/>
  <c r="J238" i="64"/>
  <c r="J248" i="64" s="1"/>
  <c r="E233" i="64"/>
  <c r="E234" i="64" s="1"/>
  <c r="N141" i="16"/>
  <c r="H233" i="64"/>
  <c r="H234" i="64" s="1"/>
  <c r="M243" i="64"/>
  <c r="G258" i="64"/>
  <c r="G263" i="64" s="1"/>
  <c r="G264" i="64" s="1"/>
  <c r="E307" i="16"/>
  <c r="E308" i="16" s="1"/>
  <c r="D307" i="16"/>
  <c r="D308" i="16" s="1"/>
  <c r="K193" i="16"/>
  <c r="K197" i="16"/>
  <c r="M193" i="16"/>
  <c r="M197" i="16"/>
  <c r="D114" i="16"/>
  <c r="C193" i="16"/>
  <c r="C197" i="16"/>
  <c r="E124" i="16"/>
  <c r="E128" i="16"/>
  <c r="G124" i="16"/>
  <c r="G128" i="16"/>
  <c r="D47" i="16"/>
  <c r="B42" i="64"/>
  <c r="B98" i="64" s="1"/>
  <c r="J378" i="64"/>
  <c r="F378" i="64"/>
  <c r="K373" i="64"/>
  <c r="K374" i="64" s="1"/>
  <c r="G373" i="64"/>
  <c r="G374" i="64" s="1"/>
  <c r="C373" i="64"/>
  <c r="C374" i="64" s="1"/>
  <c r="L353" i="64"/>
  <c r="L354" i="64" s="1"/>
  <c r="H353" i="64"/>
  <c r="H354" i="64" s="1"/>
  <c r="D353" i="64"/>
  <c r="D354" i="64" s="1"/>
  <c r="H378" i="64"/>
  <c r="E373" i="64"/>
  <c r="E374" i="64" s="1"/>
  <c r="F353" i="64"/>
  <c r="F354" i="64" s="1"/>
  <c r="M378" i="64"/>
  <c r="I378" i="64"/>
  <c r="E378" i="64"/>
  <c r="J373" i="64"/>
  <c r="J374" i="64" s="1"/>
  <c r="F373" i="64"/>
  <c r="F374" i="64" s="1"/>
  <c r="K353" i="64"/>
  <c r="K354" i="64" s="1"/>
  <c r="G353" i="64"/>
  <c r="G354" i="64" s="1"/>
  <c r="C353" i="64"/>
  <c r="C354" i="64" s="1"/>
  <c r="L378" i="64"/>
  <c r="D378" i="64"/>
  <c r="M373" i="64"/>
  <c r="M374" i="64" s="1"/>
  <c r="I373" i="64"/>
  <c r="I374" i="64" s="1"/>
  <c r="J353" i="64"/>
  <c r="J354" i="64" s="1"/>
  <c r="L373" i="64"/>
  <c r="L374" i="64" s="1"/>
  <c r="I353" i="64"/>
  <c r="I354" i="64" s="1"/>
  <c r="G378" i="64"/>
  <c r="D373" i="64"/>
  <c r="D374" i="64" s="1"/>
  <c r="C378" i="64"/>
  <c r="M353" i="64"/>
  <c r="M354" i="64" s="1"/>
  <c r="K378" i="64"/>
  <c r="H373" i="64"/>
  <c r="H374" i="64" s="1"/>
  <c r="E353" i="64"/>
  <c r="E354" i="64" s="1"/>
  <c r="B353" i="64"/>
  <c r="B349" i="64"/>
  <c r="N349" i="64" s="1"/>
  <c r="C109" i="16"/>
  <c r="N373" i="16"/>
  <c r="N338" i="16"/>
  <c r="C357" i="16"/>
  <c r="D352" i="16"/>
  <c r="C362" i="16"/>
  <c r="C363" i="16" s="1"/>
  <c r="C353" i="16"/>
  <c r="N368" i="16"/>
  <c r="C293" i="48"/>
  <c r="I243" i="48"/>
  <c r="G243" i="48"/>
  <c r="K243" i="48"/>
  <c r="H243" i="48"/>
  <c r="E243" i="48"/>
  <c r="E20" i="18"/>
  <c r="N14" i="48"/>
  <c r="I16" i="48"/>
  <c r="O206" i="48"/>
  <c r="B114" i="75" s="1"/>
  <c r="J149" i="61"/>
  <c r="J150" i="61" s="1"/>
  <c r="D142" i="61"/>
  <c r="D143" i="61" s="1"/>
  <c r="L142" i="61"/>
  <c r="L143" i="61" s="1"/>
  <c r="H149" i="61"/>
  <c r="H150" i="61" s="1"/>
  <c r="N135" i="61"/>
  <c r="B149" i="61"/>
  <c r="N148" i="61"/>
  <c r="G142" i="61"/>
  <c r="G143" i="61" s="1"/>
  <c r="J16" i="48"/>
  <c r="J50" i="48"/>
  <c r="N93" i="61"/>
  <c r="B136" i="61"/>
  <c r="B142" i="61"/>
  <c r="B143" i="61" s="1"/>
  <c r="N141" i="61"/>
  <c r="D149" i="61"/>
  <c r="D150" i="61" s="1"/>
  <c r="L149" i="61"/>
  <c r="L150" i="61" s="1"/>
  <c r="C87" i="24"/>
  <c r="C91" i="24"/>
  <c r="D295" i="48" s="1"/>
  <c r="B91" i="24"/>
  <c r="C295" i="48" s="1"/>
  <c r="B87" i="24"/>
  <c r="E122" i="18"/>
  <c r="D84" i="24"/>
  <c r="D85" i="24" s="1"/>
  <c r="D88" i="24" s="1"/>
  <c r="E17" i="18"/>
  <c r="F51" i="48" s="1"/>
  <c r="E14" i="18"/>
  <c r="N44" i="24"/>
  <c r="D112" i="14"/>
  <c r="D113" i="14" s="1"/>
  <c r="D115" i="14" s="1"/>
  <c r="E234" i="48" s="1"/>
  <c r="D37" i="14"/>
  <c r="D38" i="14" s="1"/>
  <c r="D40" i="14" s="1"/>
  <c r="E85" i="48" s="1"/>
  <c r="G62" i="14"/>
  <c r="G63" i="14" s="1"/>
  <c r="G65" i="14" s="1"/>
  <c r="H131" i="48" s="1"/>
  <c r="D43" i="14"/>
  <c r="D44" i="14" s="1"/>
  <c r="D45" i="14" s="1"/>
  <c r="D47" i="14" s="1"/>
  <c r="E86" i="48" s="1"/>
  <c r="K118" i="14"/>
  <c r="K119" i="14" s="1"/>
  <c r="K120" i="14" s="1"/>
  <c r="K112" i="14"/>
  <c r="K113" i="14" s="1"/>
  <c r="K115" i="14" s="1"/>
  <c r="L234" i="48" s="1"/>
  <c r="K125" i="14"/>
  <c r="K126" i="14" s="1"/>
  <c r="K127" i="14" s="1"/>
  <c r="K129" i="14" s="1"/>
  <c r="G14" i="48"/>
  <c r="N90" i="70"/>
  <c r="N56" i="70"/>
  <c r="N37" i="49"/>
  <c r="N56" i="48"/>
  <c r="L56" i="48"/>
  <c r="L22" i="48"/>
  <c r="N54" i="49"/>
  <c r="K25" i="18"/>
  <c r="K27" i="18" s="1"/>
  <c r="L53" i="48" s="1"/>
  <c r="N55" i="70"/>
  <c r="K14" i="48"/>
  <c r="N17" i="61"/>
  <c r="N62" i="18"/>
  <c r="G93" i="61"/>
  <c r="C267" i="64"/>
  <c r="E282" i="4"/>
  <c r="N282" i="4" s="1"/>
  <c r="L158" i="4"/>
  <c r="L153" i="4"/>
  <c r="G227" i="4"/>
  <c r="K255" i="4"/>
  <c r="L255" i="4" s="1"/>
  <c r="I296" i="4"/>
  <c r="I301" i="4" s="1"/>
  <c r="I241" i="4"/>
  <c r="H306" i="4"/>
  <c r="H311" i="4" s="1"/>
  <c r="H316" i="4" s="1"/>
  <c r="F232" i="4"/>
  <c r="F227" i="4"/>
  <c r="K231" i="4"/>
  <c r="K232" i="4" s="1"/>
  <c r="D89" i="4"/>
  <c r="C104" i="4"/>
  <c r="M47" i="4"/>
  <c r="M48" i="4" s="1"/>
  <c r="F158" i="4"/>
  <c r="F306" i="4"/>
  <c r="F311" i="4" s="1"/>
  <c r="F316" i="4" s="1"/>
  <c r="C94" i="4"/>
  <c r="M232" i="4"/>
  <c r="C108" i="4"/>
  <c r="C109" i="4" s="1"/>
  <c r="C296" i="4"/>
  <c r="C306" i="4" s="1"/>
  <c r="F300" i="4"/>
  <c r="F29" i="91" s="1"/>
  <c r="E302" i="64"/>
  <c r="E301" i="16" s="1"/>
  <c r="E303" i="16" s="1"/>
  <c r="H28" i="4"/>
  <c r="E181" i="64"/>
  <c r="E176" i="16" s="1"/>
  <c r="E178" i="16" s="1"/>
  <c r="D312" i="64"/>
  <c r="E316" i="16"/>
  <c r="E318" i="16" s="1"/>
  <c r="C222" i="4"/>
  <c r="C226" i="4"/>
  <c r="M38" i="4"/>
  <c r="E257" i="64"/>
  <c r="E256" i="16" s="1"/>
  <c r="E258" i="16" s="1"/>
  <c r="F51" i="4"/>
  <c r="F67" i="4" s="1"/>
  <c r="E46" i="64"/>
  <c r="E45" i="16" s="1"/>
  <c r="D286" i="4"/>
  <c r="D291" i="4" s="1"/>
  <c r="N153" i="16"/>
  <c r="C33" i="4"/>
  <c r="N217" i="4"/>
  <c r="M33" i="4"/>
  <c r="M183" i="4"/>
  <c r="M42" i="4"/>
  <c r="M89" i="4"/>
  <c r="M28" i="4"/>
  <c r="E242" i="4"/>
  <c r="N148" i="4"/>
  <c r="H236" i="4"/>
  <c r="H241" i="4" s="1"/>
  <c r="K291" i="4"/>
  <c r="K287" i="4"/>
  <c r="J27" i="4"/>
  <c r="J32" i="4" s="1"/>
  <c r="N22" i="16"/>
  <c r="N283" i="16"/>
  <c r="I153" i="4"/>
  <c r="I157" i="4"/>
  <c r="B226" i="4"/>
  <c r="B222" i="4"/>
  <c r="J231" i="4"/>
  <c r="J227" i="4"/>
  <c r="E108" i="4"/>
  <c r="E109" i="4" s="1"/>
  <c r="E103" i="4"/>
  <c r="E113" i="4" s="1"/>
  <c r="E114" i="4" s="1"/>
  <c r="J287" i="4"/>
  <c r="J291" i="4"/>
  <c r="K28" i="4"/>
  <c r="K32" i="4"/>
  <c r="G37" i="4"/>
  <c r="G47" i="4" s="1"/>
  <c r="G48" i="4" s="1"/>
  <c r="J158" i="4"/>
  <c r="J162" i="4"/>
  <c r="L292" i="4"/>
  <c r="L296" i="4"/>
  <c r="G93" i="4"/>
  <c r="G89" i="4"/>
  <c r="D32" i="4"/>
  <c r="D28" i="4"/>
  <c r="O294" i="48"/>
  <c r="B169" i="75" s="1"/>
  <c r="D169" i="75" s="1"/>
  <c r="E169" i="75" s="1"/>
  <c r="N68" i="18"/>
  <c r="N148" i="18"/>
  <c r="B150" i="18"/>
  <c r="N212" i="4"/>
  <c r="N223" i="16"/>
  <c r="N84" i="16"/>
  <c r="N188" i="16"/>
  <c r="N12" i="18"/>
  <c r="K17" i="18"/>
  <c r="L51" i="48" s="1"/>
  <c r="K14" i="18"/>
  <c r="G20" i="18"/>
  <c r="G25" i="18"/>
  <c r="G27" i="18" s="1"/>
  <c r="H53" i="48" s="1"/>
  <c r="G14" i="18"/>
  <c r="G17" i="18"/>
  <c r="H51" i="48" s="1"/>
  <c r="C17" i="18"/>
  <c r="D51" i="48" s="1"/>
  <c r="N15" i="18"/>
  <c r="C14" i="18"/>
  <c r="C20" i="18"/>
  <c r="C25" i="18"/>
  <c r="C27" i="18" s="1"/>
  <c r="D53" i="48" s="1"/>
  <c r="E21" i="49"/>
  <c r="E22" i="49" s="1"/>
  <c r="H25" i="18"/>
  <c r="H27" i="18" s="1"/>
  <c r="I53" i="48" s="1"/>
  <c r="H14" i="18"/>
  <c r="H20" i="18"/>
  <c r="H17" i="18"/>
  <c r="I51" i="48" s="1"/>
  <c r="N15" i="24"/>
  <c r="L17" i="18"/>
  <c r="M51" i="48" s="1"/>
  <c r="L20" i="18"/>
  <c r="L14" i="18"/>
  <c r="L25" i="18"/>
  <c r="L27" i="18" s="1"/>
  <c r="M53" i="48" s="1"/>
  <c r="C48" i="48"/>
  <c r="C14" i="48"/>
  <c r="H43" i="61"/>
  <c r="N43" i="61" s="1"/>
  <c r="E75" i="61"/>
  <c r="N75" i="61" s="1"/>
  <c r="J14" i="18"/>
  <c r="J20" i="18"/>
  <c r="J17" i="18"/>
  <c r="K51" i="48" s="1"/>
  <c r="J25" i="18"/>
  <c r="J27" i="18" s="1"/>
  <c r="K53" i="48" s="1"/>
  <c r="M25" i="18"/>
  <c r="M27" i="18" s="1"/>
  <c r="N53" i="48" s="1"/>
  <c r="M17" i="18"/>
  <c r="N51" i="48" s="1"/>
  <c r="M20" i="18"/>
  <c r="M14" i="18"/>
  <c r="F20" i="18"/>
  <c r="F14" i="18"/>
  <c r="F25" i="18"/>
  <c r="F27" i="18" s="1"/>
  <c r="G53" i="48" s="1"/>
  <c r="F17" i="18"/>
  <c r="G51" i="48" s="1"/>
  <c r="D25" i="18"/>
  <c r="D27" i="18" s="1"/>
  <c r="E53" i="48" s="1"/>
  <c r="D14" i="18"/>
  <c r="D17" i="18"/>
  <c r="E51" i="48" s="1"/>
  <c r="D20" i="18"/>
  <c r="I20" i="18"/>
  <c r="I25" i="18"/>
  <c r="I27" i="18" s="1"/>
  <c r="J53" i="48" s="1"/>
  <c r="I14" i="18"/>
  <c r="I17" i="18"/>
  <c r="J51" i="48" s="1"/>
  <c r="D22" i="48"/>
  <c r="D56" i="48"/>
  <c r="N56" i="24"/>
  <c r="N59" i="24"/>
  <c r="D62" i="24"/>
  <c r="E191" i="48" s="1"/>
  <c r="N58" i="24"/>
  <c r="N57" i="24"/>
  <c r="N73" i="18"/>
  <c r="N65" i="18"/>
  <c r="C266" i="16"/>
  <c r="C213" i="16"/>
  <c r="C265" i="16" s="1"/>
  <c r="D220" i="48" s="1"/>
  <c r="D28" i="24"/>
  <c r="N29" i="24"/>
  <c r="I22" i="48"/>
  <c r="I56" i="48"/>
  <c r="C172" i="16"/>
  <c r="G98" i="64"/>
  <c r="G47" i="64"/>
  <c r="D51" i="61"/>
  <c r="C52" i="61"/>
  <c r="D90" i="48" s="1"/>
  <c r="M192" i="4"/>
  <c r="F238" i="64"/>
  <c r="F248" i="64" s="1"/>
  <c r="I238" i="64"/>
  <c r="I248" i="64" s="1"/>
  <c r="G293" i="64"/>
  <c r="G294" i="64" s="1"/>
  <c r="G318" i="64"/>
  <c r="G323" i="64" s="1"/>
  <c r="G324" i="64" s="1"/>
  <c r="E318" i="64"/>
  <c r="E323" i="64" s="1"/>
  <c r="E324" i="64" s="1"/>
  <c r="D238" i="64"/>
  <c r="D248" i="64" s="1"/>
  <c r="K243" i="64"/>
  <c r="L233" i="64"/>
  <c r="L234" i="64" s="1"/>
  <c r="M313" i="64"/>
  <c r="B33" i="64"/>
  <c r="G233" i="64"/>
  <c r="G234" i="64" s="1"/>
  <c r="D313" i="64"/>
  <c r="N123" i="61"/>
  <c r="K118" i="61"/>
  <c r="E48" i="48"/>
  <c r="E14" i="48"/>
  <c r="L157" i="64"/>
  <c r="L158" i="64" s="1"/>
  <c r="L153" i="64"/>
  <c r="F32" i="11"/>
  <c r="B71" i="14"/>
  <c r="C71" i="14" s="1"/>
  <c r="D71" i="14" s="1"/>
  <c r="E71" i="14" s="1"/>
  <c r="F71" i="14" s="1"/>
  <c r="G71" i="14" s="1"/>
  <c r="H71" i="14" s="1"/>
  <c r="I71" i="14" s="1"/>
  <c r="J71" i="14" s="1"/>
  <c r="K71" i="14" s="1"/>
  <c r="L71" i="14" s="1"/>
  <c r="M71" i="14" s="1"/>
  <c r="B69" i="18"/>
  <c r="J98" i="64"/>
  <c r="J47" i="64"/>
  <c r="M98" i="64"/>
  <c r="M47" i="64"/>
  <c r="H50" i="61"/>
  <c r="B113" i="18"/>
  <c r="C240" i="48" s="1"/>
  <c r="B121" i="18"/>
  <c r="B123" i="18" s="1"/>
  <c r="C242" i="48" s="1"/>
  <c r="B116" i="18"/>
  <c r="B118" i="18" s="1"/>
  <c r="B110" i="18"/>
  <c r="G232" i="4"/>
  <c r="G236" i="4"/>
  <c r="B117" i="61"/>
  <c r="B118" i="61" s="1"/>
  <c r="N116" i="61"/>
  <c r="E211" i="16"/>
  <c r="E213" i="16" s="1"/>
  <c r="C118" i="16"/>
  <c r="C114" i="16"/>
  <c r="E112" i="16"/>
  <c r="E136" i="16" s="1"/>
  <c r="F102" i="4"/>
  <c r="H117" i="61"/>
  <c r="H118" i="61" s="1"/>
  <c r="N48" i="49"/>
  <c r="L293" i="64"/>
  <c r="L294" i="64" s="1"/>
  <c r="L318" i="64"/>
  <c r="L323" i="64" s="1"/>
  <c r="L324" i="64" s="1"/>
  <c r="H318" i="64"/>
  <c r="H323" i="64" s="1"/>
  <c r="H324" i="64" s="1"/>
  <c r="G243" i="64"/>
  <c r="I293" i="64"/>
  <c r="I294" i="64" s="1"/>
  <c r="D318" i="64"/>
  <c r="D323" i="64" s="1"/>
  <c r="D324" i="64" s="1"/>
  <c r="N74" i="16"/>
  <c r="N38" i="61"/>
  <c r="N110" i="61"/>
  <c r="N111" i="61"/>
  <c r="E291" i="4"/>
  <c r="E287" i="4"/>
  <c r="F252" i="64"/>
  <c r="F251" i="16" s="1"/>
  <c r="F253" i="16" s="1"/>
  <c r="J157" i="64"/>
  <c r="J158" i="64" s="1"/>
  <c r="J153" i="64"/>
  <c r="D157" i="64"/>
  <c r="D158" i="64" s="1"/>
  <c r="D153" i="64"/>
  <c r="K157" i="64"/>
  <c r="K158" i="64" s="1"/>
  <c r="K153" i="64"/>
  <c r="L14" i="48"/>
  <c r="L48" i="48"/>
  <c r="D236" i="4"/>
  <c r="D232" i="4"/>
  <c r="E317" i="64"/>
  <c r="E311" i="16" s="1"/>
  <c r="E313" i="16" s="1"/>
  <c r="F315" i="4"/>
  <c r="F30" i="91" s="1"/>
  <c r="F113" i="16"/>
  <c r="F118" i="16" s="1"/>
  <c r="F123" i="16" s="1"/>
  <c r="F109" i="16"/>
  <c r="I98" i="64"/>
  <c r="I47" i="64"/>
  <c r="E247" i="64"/>
  <c r="E246" i="16" s="1"/>
  <c r="E248" i="16" s="1"/>
  <c r="F211" i="16"/>
  <c r="F213" i="16" s="1"/>
  <c r="B76" i="24"/>
  <c r="B72" i="24"/>
  <c r="G37" i="11"/>
  <c r="B101" i="61"/>
  <c r="C101" i="61" s="1"/>
  <c r="D211" i="16"/>
  <c r="D267" i="64"/>
  <c r="N104" i="16"/>
  <c r="H157" i="64"/>
  <c r="H158" i="64" s="1"/>
  <c r="H153" i="64"/>
  <c r="I157" i="64"/>
  <c r="I158" i="64" s="1"/>
  <c r="I153" i="64"/>
  <c r="C157" i="64"/>
  <c r="C158" i="64" s="1"/>
  <c r="C153" i="64"/>
  <c r="B100" i="61"/>
  <c r="N99" i="61"/>
  <c r="H211" i="16"/>
  <c r="H213" i="16" s="1"/>
  <c r="D98" i="64"/>
  <c r="D47" i="64"/>
  <c r="F167" i="4"/>
  <c r="F163" i="4"/>
  <c r="B252" i="16"/>
  <c r="B253" i="16" s="1"/>
  <c r="B248" i="16"/>
  <c r="B289" i="64"/>
  <c r="N289" i="64" s="1"/>
  <c r="B293" i="64"/>
  <c r="I93" i="4"/>
  <c r="I89" i="4"/>
  <c r="E237" i="64"/>
  <c r="E236" i="16" s="1"/>
  <c r="E238" i="16" s="1"/>
  <c r="F235" i="4"/>
  <c r="H124" i="61"/>
  <c r="F318" i="64"/>
  <c r="F323" i="64" s="1"/>
  <c r="F324" i="64" s="1"/>
  <c r="I258" i="64"/>
  <c r="I263" i="64" s="1"/>
  <c r="I264" i="64" s="1"/>
  <c r="C318" i="64"/>
  <c r="C323" i="64" s="1"/>
  <c r="C324" i="64" s="1"/>
  <c r="F293" i="64"/>
  <c r="F294" i="64" s="1"/>
  <c r="D293" i="64"/>
  <c r="D294" i="64" s="1"/>
  <c r="C313" i="64"/>
  <c r="C314" i="64" s="1"/>
  <c r="I233" i="64"/>
  <c r="I234" i="64" s="1"/>
  <c r="J258" i="64"/>
  <c r="J263" i="64" s="1"/>
  <c r="J264" i="64" s="1"/>
  <c r="N212" i="64"/>
  <c r="M24" i="61"/>
  <c r="M25" i="61" s="1"/>
  <c r="M27" i="61" s="1"/>
  <c r="J124" i="61"/>
  <c r="J125" i="61" s="1"/>
  <c r="B182" i="16"/>
  <c r="B183" i="16" s="1"/>
  <c r="B178" i="16"/>
  <c r="E157" i="64"/>
  <c r="E158" i="64" s="1"/>
  <c r="E153" i="64"/>
  <c r="L98" i="64"/>
  <c r="L47" i="64"/>
  <c r="F98" i="64"/>
  <c r="F47" i="64"/>
  <c r="C98" i="64"/>
  <c r="C47" i="64"/>
  <c r="F307" i="64"/>
  <c r="F306" i="16" s="1"/>
  <c r="C76" i="61"/>
  <c r="B77" i="61"/>
  <c r="M186" i="4"/>
  <c r="N12" i="49"/>
  <c r="F243" i="64"/>
  <c r="M258" i="64"/>
  <c r="M263" i="64" s="1"/>
  <c r="M264" i="64" s="1"/>
  <c r="K293" i="64"/>
  <c r="K294" i="64" s="1"/>
  <c r="M293" i="64"/>
  <c r="M294" i="64" s="1"/>
  <c r="L313" i="64"/>
  <c r="F258" i="64"/>
  <c r="F263" i="64" s="1"/>
  <c r="F264" i="64" s="1"/>
  <c r="D233" i="64"/>
  <c r="D234" i="64" s="1"/>
  <c r="J233" i="64"/>
  <c r="J234" i="64" s="1"/>
  <c r="E238" i="64"/>
  <c r="E248" i="64" s="1"/>
  <c r="J313" i="64"/>
  <c r="I313" i="64"/>
  <c r="E243" i="64"/>
  <c r="N31" i="49"/>
  <c r="M238" i="64"/>
  <c r="M248" i="64" s="1"/>
  <c r="F233" i="64"/>
  <c r="F234" i="64" s="1"/>
  <c r="I318" i="64"/>
  <c r="I323" i="64" s="1"/>
  <c r="I324" i="64" s="1"/>
  <c r="C238" i="64"/>
  <c r="C239" i="64" s="1"/>
  <c r="E258" i="64"/>
  <c r="E263" i="64" s="1"/>
  <c r="E264" i="64" s="1"/>
  <c r="C243" i="64"/>
  <c r="C244" i="64" s="1"/>
  <c r="K318" i="64"/>
  <c r="K323" i="64" s="1"/>
  <c r="K324" i="64" s="1"/>
  <c r="L243" i="64"/>
  <c r="J293" i="64"/>
  <c r="J294" i="64" s="1"/>
  <c r="L238" i="64"/>
  <c r="L248" i="64" s="1"/>
  <c r="I243" i="64"/>
  <c r="H293" i="64"/>
  <c r="H294" i="64" s="1"/>
  <c r="K258" i="64"/>
  <c r="K263" i="64" s="1"/>
  <c r="K264" i="64" s="1"/>
  <c r="C258" i="64"/>
  <c r="C263" i="64" s="1"/>
  <c r="C264" i="64" s="1"/>
  <c r="K238" i="64"/>
  <c r="K248" i="64" s="1"/>
  <c r="B37" i="64"/>
  <c r="B38" i="64" s="1"/>
  <c r="K233" i="64"/>
  <c r="K234" i="64" s="1"/>
  <c r="J318" i="64"/>
  <c r="J323" i="64" s="1"/>
  <c r="J324" i="64" s="1"/>
  <c r="D258" i="64"/>
  <c r="D259" i="64" s="1"/>
  <c r="L258" i="64"/>
  <c r="L263" i="64" s="1"/>
  <c r="L264" i="64" s="1"/>
  <c r="G313" i="64"/>
  <c r="J243" i="64"/>
  <c r="E293" i="64"/>
  <c r="E294" i="64" s="1"/>
  <c r="A93" i="61"/>
  <c r="A100" i="61"/>
  <c r="A111" i="61" s="1"/>
  <c r="F27" i="4"/>
  <c r="F23" i="4"/>
  <c r="K158" i="4"/>
  <c r="K162" i="4"/>
  <c r="D39" i="18"/>
  <c r="N36" i="18"/>
  <c r="E251" i="16"/>
  <c r="H21" i="49"/>
  <c r="H22" i="49" s="1"/>
  <c r="F157" i="64"/>
  <c r="F158" i="64" s="1"/>
  <c r="F153" i="64"/>
  <c r="M157" i="64"/>
  <c r="M158" i="64" s="1"/>
  <c r="M153" i="64"/>
  <c r="G157" i="64"/>
  <c r="G158" i="64" s="1"/>
  <c r="G153" i="64"/>
  <c r="K252" i="64"/>
  <c r="K251" i="16" s="1"/>
  <c r="K253" i="16" s="1"/>
  <c r="K22" i="48"/>
  <c r="K56" i="48"/>
  <c r="H98" i="64"/>
  <c r="H47" i="64"/>
  <c r="K98" i="64"/>
  <c r="K47" i="64"/>
  <c r="E98" i="64"/>
  <c r="E47" i="64"/>
  <c r="D23" i="11"/>
  <c r="C12" i="64"/>
  <c r="C13" i="64" s="1"/>
  <c r="G12" i="64"/>
  <c r="K12" i="64"/>
  <c r="E12" i="64"/>
  <c r="I12" i="64"/>
  <c r="M12" i="64"/>
  <c r="H12" i="64"/>
  <c r="J12" i="64"/>
  <c r="B12" i="64"/>
  <c r="D12" i="64"/>
  <c r="L12" i="64"/>
  <c r="F12" i="64"/>
  <c r="I32" i="4"/>
  <c r="I28" i="4"/>
  <c r="B167" i="4"/>
  <c r="B163" i="4"/>
  <c r="C90" i="48"/>
  <c r="B18" i="4"/>
  <c r="N18" i="4" s="1"/>
  <c r="B22" i="4"/>
  <c r="N144" i="48"/>
  <c r="O144" i="48" s="1"/>
  <c r="N51" i="70"/>
  <c r="I48" i="48"/>
  <c r="I14" i="48"/>
  <c r="E265" i="4"/>
  <c r="J109" i="16"/>
  <c r="J113" i="16"/>
  <c r="J118" i="16" s="1"/>
  <c r="J123" i="16" s="1"/>
  <c r="B109" i="16"/>
  <c r="B113" i="16"/>
  <c r="L50" i="48"/>
  <c r="L16" i="48"/>
  <c r="D117" i="61"/>
  <c r="D118" i="61" s="1"/>
  <c r="N94" i="64"/>
  <c r="B62" i="75"/>
  <c r="D62" i="75" s="1"/>
  <c r="E62" i="75" s="1"/>
  <c r="O88" i="48"/>
  <c r="B82" i="75"/>
  <c r="D82" i="75" s="1"/>
  <c r="E82" i="75" s="1"/>
  <c r="B45" i="75"/>
  <c r="D45" i="75" s="1"/>
  <c r="E45" i="75" s="1"/>
  <c r="I131" i="48"/>
  <c r="M131" i="48"/>
  <c r="I182" i="48"/>
  <c r="H85" i="48"/>
  <c r="J45" i="48"/>
  <c r="B15" i="49"/>
  <c r="N15" i="49" s="1"/>
  <c r="N13" i="49"/>
  <c r="D16" i="75"/>
  <c r="E16" i="75" s="1"/>
  <c r="M93" i="14"/>
  <c r="M100" i="14"/>
  <c r="M87" i="14"/>
  <c r="M88" i="14" s="1"/>
  <c r="M90" i="14" s="1"/>
  <c r="B75" i="75"/>
  <c r="D75" i="75" s="1"/>
  <c r="E75" i="75" s="1"/>
  <c r="G158" i="4"/>
  <c r="G162" i="4"/>
  <c r="F10" i="60"/>
  <c r="I45" i="48"/>
  <c r="E126" i="14"/>
  <c r="E127" i="14" s="1"/>
  <c r="E129" i="14" s="1"/>
  <c r="F236" i="48" s="1"/>
  <c r="I44" i="14"/>
  <c r="I45" i="14" s="1"/>
  <c r="I47" i="14" s="1"/>
  <c r="E171" i="64"/>
  <c r="F166" i="4"/>
  <c r="I143" i="16"/>
  <c r="K76" i="14"/>
  <c r="K77" i="14" s="1"/>
  <c r="K79" i="14" s="1"/>
  <c r="K19" i="14"/>
  <c r="K20" i="14" s="1"/>
  <c r="D11" i="64"/>
  <c r="D66" i="64" s="1"/>
  <c r="D13" i="4"/>
  <c r="F75" i="14"/>
  <c r="F68" i="14"/>
  <c r="F69" i="14" s="1"/>
  <c r="F70" i="14" s="1"/>
  <c r="F62" i="14"/>
  <c r="F63" i="14" s="1"/>
  <c r="F65" i="14" s="1"/>
  <c r="C117" i="18"/>
  <c r="L76" i="14"/>
  <c r="L77" i="14" s="1"/>
  <c r="L79" i="14" s="1"/>
  <c r="M133" i="48" s="1"/>
  <c r="C36" i="14"/>
  <c r="C16" i="94" s="1"/>
  <c r="P20" i="63"/>
  <c r="O36" i="14"/>
  <c r="F182" i="48"/>
  <c r="E106" i="14"/>
  <c r="L26" i="14"/>
  <c r="L27" i="14" s="1"/>
  <c r="L29" i="14" s="1"/>
  <c r="D119" i="14"/>
  <c r="D120" i="14" s="1"/>
  <c r="D122" i="14" s="1"/>
  <c r="B102" i="14"/>
  <c r="C111" i="14"/>
  <c r="C16" i="91" s="1"/>
  <c r="P23" i="63"/>
  <c r="O111" i="14"/>
  <c r="H98" i="4"/>
  <c r="H94" i="4"/>
  <c r="D98" i="4"/>
  <c r="D94" i="4"/>
  <c r="D19" i="14"/>
  <c r="D20" i="14" s="1"/>
  <c r="J126" i="14"/>
  <c r="J127" i="14" s="1"/>
  <c r="J129" i="14" s="1"/>
  <c r="H44" i="14"/>
  <c r="H45" i="14" s="1"/>
  <c r="H47" i="14" s="1"/>
  <c r="G88" i="49"/>
  <c r="N81" i="49"/>
  <c r="D237" i="48"/>
  <c r="O237" i="48" s="1"/>
  <c r="N113" i="61"/>
  <c r="C18" i="61"/>
  <c r="M37" i="14"/>
  <c r="M38" i="14" s="1"/>
  <c r="M40" i="14" s="1"/>
  <c r="N85" i="48" s="1"/>
  <c r="M43" i="14"/>
  <c r="M44" i="14" s="1"/>
  <c r="M45" i="14" s="1"/>
  <c r="M50" i="14"/>
  <c r="B126" i="75"/>
  <c r="D126" i="75" s="1"/>
  <c r="E126" i="75" s="1"/>
  <c r="E251" i="4"/>
  <c r="E247" i="4"/>
  <c r="J69" i="14"/>
  <c r="J70" i="14" s="1"/>
  <c r="C234" i="48"/>
  <c r="E221" i="48"/>
  <c r="E170" i="48"/>
  <c r="E119" i="48"/>
  <c r="E273" i="48"/>
  <c r="I119" i="14"/>
  <c r="I120" i="14" s="1"/>
  <c r="B12" i="16"/>
  <c r="B139" i="75"/>
  <c r="D139" i="75" s="1"/>
  <c r="E139" i="75" s="1"/>
  <c r="B44" i="14"/>
  <c r="B45" i="14" s="1"/>
  <c r="L163" i="4"/>
  <c r="L167" i="4"/>
  <c r="L28" i="4"/>
  <c r="L32" i="4"/>
  <c r="L93" i="4"/>
  <c r="L89" i="4"/>
  <c r="F117" i="64"/>
  <c r="F117" i="16"/>
  <c r="G107" i="4"/>
  <c r="L131" i="48"/>
  <c r="B122" i="14"/>
  <c r="C235" i="48" s="1"/>
  <c r="L70" i="24"/>
  <c r="N71" i="24"/>
  <c r="K26" i="14"/>
  <c r="K27" i="14" s="1"/>
  <c r="K29" i="14" s="1"/>
  <c r="F45" i="48"/>
  <c r="H119" i="14"/>
  <c r="H120" i="14" s="1"/>
  <c r="H122" i="14" s="1"/>
  <c r="I235" i="48" s="1"/>
  <c r="L119" i="14"/>
  <c r="L120" i="14" s="1"/>
  <c r="E51" i="14"/>
  <c r="E52" i="14" s="1"/>
  <c r="E54" i="14" s="1"/>
  <c r="B158" i="75"/>
  <c r="B74" i="70"/>
  <c r="G35" i="11"/>
  <c r="B57" i="73"/>
  <c r="C57" i="73" s="1"/>
  <c r="G38" i="11"/>
  <c r="B119" i="61" s="1"/>
  <c r="B91" i="49"/>
  <c r="B92" i="49" s="1"/>
  <c r="E296" i="16"/>
  <c r="H76" i="14"/>
  <c r="H77" i="14" s="1"/>
  <c r="H79" i="14" s="1"/>
  <c r="I133" i="48" s="1"/>
  <c r="H94" i="14"/>
  <c r="H95" i="14" s="1"/>
  <c r="H97" i="14" s="1"/>
  <c r="C45" i="48"/>
  <c r="F18" i="14"/>
  <c r="F12" i="14"/>
  <c r="F13" i="14" s="1"/>
  <c r="F15" i="14" s="1"/>
  <c r="G45" i="48" s="1"/>
  <c r="F25" i="14"/>
  <c r="B94" i="75"/>
  <c r="D94" i="75" s="1"/>
  <c r="E94" i="75" s="1"/>
  <c r="D298" i="16"/>
  <c r="J131" i="48"/>
  <c r="B129" i="14"/>
  <c r="C236" i="48" s="1"/>
  <c r="G24" i="61"/>
  <c r="G25" i="61" s="1"/>
  <c r="G27" i="61" s="1"/>
  <c r="C45" i="18"/>
  <c r="B46" i="18"/>
  <c r="P18" i="63"/>
  <c r="Q18" i="63" s="1"/>
  <c r="P21" i="63"/>
  <c r="C13" i="61"/>
  <c r="N11" i="61"/>
  <c r="F112" i="14"/>
  <c r="F113" i="14" s="1"/>
  <c r="F115" i="14" s="1"/>
  <c r="F118" i="14"/>
  <c r="F125" i="14"/>
  <c r="F126" i="14" s="1"/>
  <c r="F127" i="14" s="1"/>
  <c r="F129" i="14" s="1"/>
  <c r="G236" i="48" s="1"/>
  <c r="K213" i="16"/>
  <c r="C133" i="48"/>
  <c r="F234" i="48"/>
  <c r="M118" i="14"/>
  <c r="M112" i="14"/>
  <c r="M113" i="14" s="1"/>
  <c r="M115" i="14" s="1"/>
  <c r="N234" i="48" s="1"/>
  <c r="M125" i="14"/>
  <c r="M126" i="14" s="1"/>
  <c r="M127" i="14" s="1"/>
  <c r="M129" i="14" s="1"/>
  <c r="B51" i="14"/>
  <c r="C162" i="4"/>
  <c r="C158" i="4"/>
  <c r="D166" i="16"/>
  <c r="D206" i="16" s="1"/>
  <c r="M98" i="4"/>
  <c r="M94" i="4"/>
  <c r="C53" i="48"/>
  <c r="E158" i="4"/>
  <c r="E162" i="4"/>
  <c r="C298" i="16"/>
  <c r="E19" i="14"/>
  <c r="E20" i="14" s="1"/>
  <c r="H126" i="14"/>
  <c r="H127" i="14" s="1"/>
  <c r="H129" i="14" s="1"/>
  <c r="F85" i="48"/>
  <c r="B107" i="75"/>
  <c r="D107" i="75" s="1"/>
  <c r="E107" i="75" s="1"/>
  <c r="C93" i="18"/>
  <c r="B94" i="18"/>
  <c r="C168" i="16"/>
  <c r="F297" i="64"/>
  <c r="F297" i="4"/>
  <c r="H69" i="14"/>
  <c r="H70" i="14" s="1"/>
  <c r="O86" i="14"/>
  <c r="P22" i="63"/>
  <c r="C86" i="14"/>
  <c r="C16" i="90" s="1"/>
  <c r="L101" i="14"/>
  <c r="L102" i="14" s="1"/>
  <c r="L104" i="14" s="1"/>
  <c r="M45" i="48"/>
  <c r="M18" i="14"/>
  <c r="M19" i="14" s="1"/>
  <c r="M20" i="14" s="1"/>
  <c r="M25" i="14"/>
  <c r="M12" i="14"/>
  <c r="M13" i="14" s="1"/>
  <c r="M15" i="14" s="1"/>
  <c r="B312" i="4"/>
  <c r="B316" i="4"/>
  <c r="B317" i="4" s="1"/>
  <c r="D158" i="4"/>
  <c r="D162" i="4"/>
  <c r="M120" i="48"/>
  <c r="M29" i="48"/>
  <c r="M222" i="48"/>
  <c r="M171" i="48"/>
  <c r="M74" i="48"/>
  <c r="M274" i="48"/>
  <c r="E242" i="48"/>
  <c r="G101" i="14"/>
  <c r="G102" i="14" s="1"/>
  <c r="G104" i="14" s="1"/>
  <c r="G297" i="16"/>
  <c r="F307" i="16"/>
  <c r="F57" i="49"/>
  <c r="J57" i="49"/>
  <c r="B57" i="49"/>
  <c r="E35" i="11"/>
  <c r="E57" i="49"/>
  <c r="E58" i="49" s="1"/>
  <c r="I57" i="49"/>
  <c r="I58" i="49" s="1"/>
  <c r="M57" i="49"/>
  <c r="B23" i="73"/>
  <c r="C23" i="73" s="1"/>
  <c r="C57" i="49"/>
  <c r="C58" i="49" s="1"/>
  <c r="G57" i="49"/>
  <c r="G58" i="49" s="1"/>
  <c r="K57" i="49"/>
  <c r="K58" i="49" s="1"/>
  <c r="B40" i="70"/>
  <c r="B41" i="70" s="1"/>
  <c r="H57" i="49"/>
  <c r="D57" i="49"/>
  <c r="L57" i="49"/>
  <c r="L58" i="49" s="1"/>
  <c r="E38" i="11"/>
  <c r="B69" i="61" s="1"/>
  <c r="B97" i="14"/>
  <c r="N263" i="16"/>
  <c r="F183" i="16"/>
  <c r="O61" i="14"/>
  <c r="L275" i="48"/>
  <c r="L223" i="48"/>
  <c r="L75" i="48"/>
  <c r="L121" i="48"/>
  <c r="L30" i="48"/>
  <c r="L172" i="48"/>
  <c r="H158" i="4"/>
  <c r="H162" i="4"/>
  <c r="E137" i="48"/>
  <c r="O137" i="48" s="1"/>
  <c r="L222" i="4"/>
  <c r="L226" i="4"/>
  <c r="E46" i="24"/>
  <c r="E34" i="24"/>
  <c r="F43" i="14"/>
  <c r="F44" i="14" s="1"/>
  <c r="F45" i="14" s="1"/>
  <c r="F47" i="14" s="1"/>
  <c r="F50" i="14"/>
  <c r="F51" i="14" s="1"/>
  <c r="F52" i="14" s="1"/>
  <c r="F54" i="14" s="1"/>
  <c r="G87" i="48" s="1"/>
  <c r="F37" i="14"/>
  <c r="F38" i="14" s="1"/>
  <c r="F40" i="14" s="1"/>
  <c r="G85" i="48" s="1"/>
  <c r="B38" i="14"/>
  <c r="E119" i="16"/>
  <c r="J182" i="48"/>
  <c r="I106" i="14"/>
  <c r="D101" i="14"/>
  <c r="D102" i="14" s="1"/>
  <c r="D104" i="14" s="1"/>
  <c r="E184" i="48" s="1"/>
  <c r="L111" i="18"/>
  <c r="N108" i="18"/>
  <c r="C10" i="16"/>
  <c r="C65" i="16" s="1"/>
  <c r="K60" i="24"/>
  <c r="K48" i="24"/>
  <c r="L140" i="48" s="1"/>
  <c r="H48" i="48"/>
  <c r="H14" i="48"/>
  <c r="G291" i="4"/>
  <c r="G287" i="4"/>
  <c r="B74" i="73"/>
  <c r="C74" i="73" s="1"/>
  <c r="H35" i="11"/>
  <c r="B91" i="70"/>
  <c r="B92" i="70" s="1"/>
  <c r="H38" i="11"/>
  <c r="J55" i="16"/>
  <c r="C11" i="14"/>
  <c r="L94" i="14"/>
  <c r="L95" i="14" s="1"/>
  <c r="L97" i="14" s="1"/>
  <c r="M183" i="48" s="1"/>
  <c r="F71" i="49"/>
  <c r="N64" i="49"/>
  <c r="B21" i="49"/>
  <c r="N20" i="49"/>
  <c r="D183" i="16"/>
  <c r="E69" i="14"/>
  <c r="E70" i="14" s="1"/>
  <c r="I69" i="14"/>
  <c r="I70" i="14" s="1"/>
  <c r="C24" i="61"/>
  <c r="N23" i="61"/>
  <c r="B213" i="16"/>
  <c r="C62" i="14"/>
  <c r="C63" i="14" s="1"/>
  <c r="C65" i="14" s="1"/>
  <c r="N61" i="14"/>
  <c r="C68" i="14"/>
  <c r="C75" i="14"/>
  <c r="N39" i="70"/>
  <c r="G22" i="48"/>
  <c r="G56" i="48"/>
  <c r="N49" i="49"/>
  <c r="D28" i="64"/>
  <c r="J46" i="14"/>
  <c r="C33" i="64"/>
  <c r="G248" i="64"/>
  <c r="M323" i="64"/>
  <c r="M324" i="64" s="1"/>
  <c r="M57" i="4"/>
  <c r="C114" i="4"/>
  <c r="I256" i="4"/>
  <c r="N148" i="16"/>
  <c r="G139" i="48"/>
  <c r="O139" i="48" s="1"/>
  <c r="N75" i="18"/>
  <c r="N79" i="16"/>
  <c r="N32" i="49"/>
  <c r="M246" i="4"/>
  <c r="M241" i="4"/>
  <c r="F237" i="4"/>
  <c r="F246" i="4"/>
  <c r="F241" i="4"/>
  <c r="M311" i="4"/>
  <c r="N73" i="70"/>
  <c r="H248" i="64"/>
  <c r="H263" i="64"/>
  <c r="H264" i="64" s="1"/>
  <c r="H37" i="4"/>
  <c r="H33" i="4"/>
  <c r="K93" i="48"/>
  <c r="C47" i="4"/>
  <c r="C48" i="4" s="1"/>
  <c r="C38" i="4"/>
  <c r="C52" i="4"/>
  <c r="C42" i="4"/>
  <c r="C43" i="4" s="1"/>
  <c r="I121" i="14"/>
  <c r="D190" i="48"/>
  <c r="E57" i="4"/>
  <c r="E53" i="4"/>
  <c r="M86" i="18"/>
  <c r="N86" i="18" s="1"/>
  <c r="M92" i="18"/>
  <c r="M89" i="18"/>
  <c r="M97" i="18"/>
  <c r="N87" i="18"/>
  <c r="D207" i="64" l="1"/>
  <c r="N12" i="90"/>
  <c r="E36" i="91"/>
  <c r="H11" i="48"/>
  <c r="D36" i="91"/>
  <c r="I12" i="48"/>
  <c r="K172" i="14"/>
  <c r="L337" i="48" s="1"/>
  <c r="J172" i="14"/>
  <c r="C123" i="4"/>
  <c r="G295" i="4"/>
  <c r="G28" i="91" s="1"/>
  <c r="C99" i="4"/>
  <c r="N337" i="48"/>
  <c r="M181" i="14"/>
  <c r="M58" i="49"/>
  <c r="N143" i="48" s="1"/>
  <c r="G90" i="49"/>
  <c r="G89" i="49" s="1"/>
  <c r="N89" i="49" s="1"/>
  <c r="O16" i="91"/>
  <c r="N16" i="91"/>
  <c r="N16" i="94"/>
  <c r="O16" i="94"/>
  <c r="O16" i="92"/>
  <c r="O23" i="92" s="1"/>
  <c r="N16" i="92"/>
  <c r="N23" i="92" s="1"/>
  <c r="C23" i="92"/>
  <c r="C36" i="92" s="1"/>
  <c r="C23" i="91"/>
  <c r="C36" i="91" s="1"/>
  <c r="C24" i="84"/>
  <c r="B25" i="84"/>
  <c r="E36" i="92"/>
  <c r="B32" i="93"/>
  <c r="B381" i="16"/>
  <c r="B392" i="64"/>
  <c r="E380" i="4"/>
  <c r="F380" i="4"/>
  <c r="D380" i="4"/>
  <c r="B382" i="4"/>
  <c r="C380" i="4"/>
  <c r="B430" i="4"/>
  <c r="B125" i="49"/>
  <c r="C108" i="49"/>
  <c r="B109" i="49"/>
  <c r="C86" i="87"/>
  <c r="B87" i="87"/>
  <c r="L30" i="90"/>
  <c r="L30" i="89"/>
  <c r="E31" i="94"/>
  <c r="G23" i="91"/>
  <c r="C62" i="95"/>
  <c r="B63" i="95"/>
  <c r="E72" i="14"/>
  <c r="F132" i="48" s="1"/>
  <c r="J143" i="48"/>
  <c r="C74" i="70"/>
  <c r="C75" i="70" s="1"/>
  <c r="D196" i="48" s="1"/>
  <c r="B75" i="70"/>
  <c r="C196" i="48" s="1"/>
  <c r="K147" i="14"/>
  <c r="L12" i="48" s="1"/>
  <c r="J287" i="48"/>
  <c r="I156" i="14"/>
  <c r="J12" i="48"/>
  <c r="C22" i="86"/>
  <c r="B23" i="86"/>
  <c r="B33" i="92"/>
  <c r="B36" i="92" s="1"/>
  <c r="C85" i="95"/>
  <c r="B86" i="95"/>
  <c r="B175" i="18"/>
  <c r="C343" i="48"/>
  <c r="D33" i="89"/>
  <c r="J58" i="49"/>
  <c r="K143" i="48" s="1"/>
  <c r="C58" i="84"/>
  <c r="B59" i="84"/>
  <c r="L172" i="14"/>
  <c r="H58" i="49"/>
  <c r="I143" i="48" s="1"/>
  <c r="F143" i="48"/>
  <c r="F58" i="49"/>
  <c r="G143" i="48" s="1"/>
  <c r="M186" i="64"/>
  <c r="M181" i="16" s="1"/>
  <c r="M183" i="16" s="1"/>
  <c r="M30" i="90"/>
  <c r="M30" i="89"/>
  <c r="B176" i="61"/>
  <c r="B151" i="61"/>
  <c r="C151" i="61" s="1"/>
  <c r="E67" i="48"/>
  <c r="C23" i="87"/>
  <c r="B24" i="87"/>
  <c r="J337" i="48"/>
  <c r="I181" i="14"/>
  <c r="D293" i="48"/>
  <c r="C150" i="18"/>
  <c r="C75" i="84"/>
  <c r="B76" i="84"/>
  <c r="L147" i="14"/>
  <c r="D167" i="18"/>
  <c r="C168" i="18"/>
  <c r="D36" i="92"/>
  <c r="B58" i="49"/>
  <c r="C143" i="48" s="1"/>
  <c r="C62" i="86"/>
  <c r="B63" i="86"/>
  <c r="F73" i="49"/>
  <c r="F72" i="49" s="1"/>
  <c r="N72" i="49" s="1"/>
  <c r="B154" i="95"/>
  <c r="B108" i="95"/>
  <c r="B131" i="95"/>
  <c r="B154" i="86"/>
  <c r="B156" i="85"/>
  <c r="B109" i="87"/>
  <c r="B155" i="87"/>
  <c r="B132" i="87"/>
  <c r="B108" i="86"/>
  <c r="B131" i="86"/>
  <c r="B132" i="85"/>
  <c r="B107" i="84"/>
  <c r="B91" i="84"/>
  <c r="B144" i="61"/>
  <c r="B91" i="73"/>
  <c r="C91" i="73" s="1"/>
  <c r="B89" i="79"/>
  <c r="C89" i="79" s="1"/>
  <c r="D89" i="79" s="1"/>
  <c r="E89" i="79" s="1"/>
  <c r="F89" i="79" s="1"/>
  <c r="H89" i="79" s="1"/>
  <c r="B108" i="70"/>
  <c r="O16" i="90"/>
  <c r="N16" i="90"/>
  <c r="F28" i="90"/>
  <c r="F28" i="89"/>
  <c r="L186" i="64"/>
  <c r="L181" i="16" s="1"/>
  <c r="L183" i="16" s="1"/>
  <c r="L72" i="14"/>
  <c r="M132" i="48" s="1"/>
  <c r="F136" i="4"/>
  <c r="F27" i="94"/>
  <c r="F31" i="94" s="1"/>
  <c r="F171" i="4"/>
  <c r="B39" i="95"/>
  <c r="B40" i="87"/>
  <c r="B39" i="86"/>
  <c r="B41" i="84"/>
  <c r="B39" i="79"/>
  <c r="C39" i="79" s="1"/>
  <c r="D39" i="79" s="1"/>
  <c r="E39" i="79" s="1"/>
  <c r="F39" i="79" s="1"/>
  <c r="G39" i="79" s="1"/>
  <c r="H39" i="79" s="1"/>
  <c r="I39" i="79" s="1"/>
  <c r="J39" i="79" s="1"/>
  <c r="K39" i="79" s="1"/>
  <c r="L39" i="79" s="1"/>
  <c r="M39" i="79" s="1"/>
  <c r="F323" i="48"/>
  <c r="F370" i="48"/>
  <c r="F73" i="48"/>
  <c r="N12" i="91"/>
  <c r="F22" i="85"/>
  <c r="E23" i="85"/>
  <c r="F67" i="48" s="1"/>
  <c r="D58" i="49"/>
  <c r="E143" i="48" s="1"/>
  <c r="C22" i="95"/>
  <c r="B23" i="95"/>
  <c r="E142" i="18"/>
  <c r="D143" i="18"/>
  <c r="F33" i="91"/>
  <c r="F36" i="91" s="1"/>
  <c r="C85" i="86"/>
  <c r="B86" i="86"/>
  <c r="E29" i="90"/>
  <c r="E33" i="90" s="1"/>
  <c r="E29" i="89"/>
  <c r="E176" i="64"/>
  <c r="E171" i="16" s="1"/>
  <c r="C63" i="87"/>
  <c r="B64" i="87"/>
  <c r="O30" i="89"/>
  <c r="J393" i="64"/>
  <c r="F393" i="64"/>
  <c r="K393" i="64"/>
  <c r="G393" i="64"/>
  <c r="C393" i="64"/>
  <c r="H393" i="64"/>
  <c r="L393" i="64"/>
  <c r="M393" i="64"/>
  <c r="E393" i="64"/>
  <c r="D393" i="64"/>
  <c r="I393" i="64"/>
  <c r="G72" i="14"/>
  <c r="H132" i="48" s="1"/>
  <c r="M72" i="14"/>
  <c r="N132" i="48" s="1"/>
  <c r="J72" i="14"/>
  <c r="K132" i="48" s="1"/>
  <c r="B418" i="64"/>
  <c r="B414" i="64"/>
  <c r="N414" i="64" s="1"/>
  <c r="L443" i="64"/>
  <c r="L444" i="64" s="1"/>
  <c r="L439" i="64"/>
  <c r="K443" i="64"/>
  <c r="K444" i="64" s="1"/>
  <c r="K439" i="64"/>
  <c r="E443" i="64"/>
  <c r="E444" i="64" s="1"/>
  <c r="E439" i="64"/>
  <c r="D443" i="64"/>
  <c r="D444" i="64" s="1"/>
  <c r="D439" i="64"/>
  <c r="C443" i="64"/>
  <c r="C444" i="64" s="1"/>
  <c r="C439" i="64"/>
  <c r="F72" i="14"/>
  <c r="G132" i="48" s="1"/>
  <c r="C413" i="16"/>
  <c r="D412" i="16"/>
  <c r="M443" i="64"/>
  <c r="M444" i="64" s="1"/>
  <c r="M439" i="64"/>
  <c r="F439" i="64"/>
  <c r="F443" i="64"/>
  <c r="F444" i="64" s="1"/>
  <c r="H443" i="64"/>
  <c r="H444" i="64" s="1"/>
  <c r="H439" i="64"/>
  <c r="G439" i="64"/>
  <c r="G443" i="64"/>
  <c r="G444" i="64" s="1"/>
  <c r="I72" i="14"/>
  <c r="J132" i="48" s="1"/>
  <c r="H72" i="14"/>
  <c r="I132" i="48" s="1"/>
  <c r="D72" i="14"/>
  <c r="E132" i="48" s="1"/>
  <c r="B72" i="14"/>
  <c r="B81" i="14" s="1"/>
  <c r="E407" i="16"/>
  <c r="D417" i="16"/>
  <c r="D418" i="16" s="1"/>
  <c r="D408" i="16"/>
  <c r="J443" i="64"/>
  <c r="J444" i="64" s="1"/>
  <c r="J439" i="64"/>
  <c r="I443" i="64"/>
  <c r="I444" i="64" s="1"/>
  <c r="I439" i="64"/>
  <c r="N16" i="89"/>
  <c r="O16" i="89"/>
  <c r="F288" i="48"/>
  <c r="J106" i="14"/>
  <c r="E286" i="48"/>
  <c r="I288" i="48"/>
  <c r="G131" i="14"/>
  <c r="G156" i="14"/>
  <c r="H236" i="48"/>
  <c r="H12" i="48"/>
  <c r="D156" i="14"/>
  <c r="H13" i="48"/>
  <c r="E13" i="48"/>
  <c r="Q25" i="63"/>
  <c r="L11" i="48"/>
  <c r="D181" i="14"/>
  <c r="E336" i="48"/>
  <c r="N168" i="14"/>
  <c r="C169" i="14"/>
  <c r="N169" i="14" s="1"/>
  <c r="I11" i="48"/>
  <c r="E181" i="14"/>
  <c r="F336" i="48"/>
  <c r="K181" i="14"/>
  <c r="L336" i="48"/>
  <c r="C176" i="14"/>
  <c r="N176" i="14" s="1"/>
  <c r="N175" i="14"/>
  <c r="H156" i="14"/>
  <c r="I336" i="48"/>
  <c r="H181" i="14"/>
  <c r="N163" i="14"/>
  <c r="C165" i="14"/>
  <c r="N162" i="14"/>
  <c r="G181" i="14"/>
  <c r="H336" i="48"/>
  <c r="J98" i="4"/>
  <c r="J99" i="4" s="1"/>
  <c r="K98" i="4"/>
  <c r="K103" i="4" s="1"/>
  <c r="K113" i="4" s="1"/>
  <c r="K118" i="4" s="1"/>
  <c r="K119" i="4" s="1"/>
  <c r="G286" i="48"/>
  <c r="G11" i="48"/>
  <c r="K286" i="48"/>
  <c r="K11" i="48"/>
  <c r="F287" i="48"/>
  <c r="F12" i="48"/>
  <c r="E156" i="14"/>
  <c r="N286" i="48"/>
  <c r="M156" i="14"/>
  <c r="N11" i="48"/>
  <c r="J144" i="14"/>
  <c r="J145" i="14" s="1"/>
  <c r="J147" i="14" s="1"/>
  <c r="G288" i="48"/>
  <c r="G13" i="48"/>
  <c r="C143" i="14"/>
  <c r="C137" i="14"/>
  <c r="N137" i="14" s="1"/>
  <c r="N136" i="14"/>
  <c r="P136" i="14" s="1"/>
  <c r="C150" i="14"/>
  <c r="N287" i="48"/>
  <c r="N12" i="48"/>
  <c r="N288" i="48"/>
  <c r="N13" i="48"/>
  <c r="Q24" i="63"/>
  <c r="K288" i="48"/>
  <c r="K13" i="48"/>
  <c r="F144" i="14"/>
  <c r="F145" i="14" s="1"/>
  <c r="F147" i="14" s="1"/>
  <c r="D321" i="16"/>
  <c r="D327" i="64"/>
  <c r="M198" i="16"/>
  <c r="M201" i="16"/>
  <c r="M202" i="16" s="1"/>
  <c r="C198" i="16"/>
  <c r="C201" i="16"/>
  <c r="C202" i="16" s="1"/>
  <c r="K198" i="16"/>
  <c r="K201" i="16"/>
  <c r="K202" i="16" s="1"/>
  <c r="C321" i="16"/>
  <c r="C320" i="16"/>
  <c r="D272" i="48" s="1"/>
  <c r="N84" i="4"/>
  <c r="B93" i="4"/>
  <c r="B89" i="4"/>
  <c r="F89" i="4"/>
  <c r="F93" i="4"/>
  <c r="E332" i="64"/>
  <c r="E387" i="64" s="1"/>
  <c r="E326" i="16"/>
  <c r="E327" i="4"/>
  <c r="E374" i="4" s="1"/>
  <c r="F320" i="48" s="1"/>
  <c r="E375" i="4"/>
  <c r="G325" i="4"/>
  <c r="G32" i="92" s="1"/>
  <c r="G33" i="92" s="1"/>
  <c r="G36" i="92" s="1"/>
  <c r="F326" i="16"/>
  <c r="F327" i="4"/>
  <c r="F374" i="4" s="1"/>
  <c r="G320" i="48" s="1"/>
  <c r="F332" i="64"/>
  <c r="F387" i="64" s="1"/>
  <c r="F375" i="4"/>
  <c r="B387" i="64"/>
  <c r="C327" i="64"/>
  <c r="D332" i="64"/>
  <c r="D387" i="64" s="1"/>
  <c r="D327" i="4"/>
  <c r="D374" i="4" s="1"/>
  <c r="E320" i="48" s="1"/>
  <c r="D326" i="16"/>
  <c r="D376" i="16" s="1"/>
  <c r="D375" i="4"/>
  <c r="C327" i="4"/>
  <c r="C374" i="4" s="1"/>
  <c r="D320" i="48" s="1"/>
  <c r="C332" i="64"/>
  <c r="C387" i="64" s="1"/>
  <c r="C326" i="16"/>
  <c r="C328" i="16" s="1"/>
  <c r="C375" i="4"/>
  <c r="B328" i="16"/>
  <c r="B375" i="16" s="1"/>
  <c r="C322" i="48" s="1"/>
  <c r="B376" i="16"/>
  <c r="H270" i="4"/>
  <c r="H32" i="91" s="1"/>
  <c r="G272" i="64"/>
  <c r="G271" i="16" s="1"/>
  <c r="G273" i="16" s="1"/>
  <c r="G272" i="4"/>
  <c r="B374" i="4"/>
  <c r="F16" i="60"/>
  <c r="N251" i="48"/>
  <c r="N236" i="48"/>
  <c r="I251" i="48"/>
  <c r="I236" i="48"/>
  <c r="K251" i="48"/>
  <c r="K236" i="48"/>
  <c r="E235" i="48"/>
  <c r="L251" i="48"/>
  <c r="L236" i="48"/>
  <c r="F20" i="24"/>
  <c r="G54" i="48" s="1"/>
  <c r="D263" i="64"/>
  <c r="D264" i="64" s="1"/>
  <c r="B47" i="64"/>
  <c r="B103" i="64" s="1"/>
  <c r="I57" i="16"/>
  <c r="F61" i="16"/>
  <c r="F62" i="16" s="1"/>
  <c r="G57" i="16"/>
  <c r="D135" i="16"/>
  <c r="E118" i="48" s="1"/>
  <c r="D61" i="16"/>
  <c r="D62" i="16" s="1"/>
  <c r="E129" i="16"/>
  <c r="E132" i="16"/>
  <c r="E133" i="16" s="1"/>
  <c r="G129" i="16"/>
  <c r="G132" i="16"/>
  <c r="G133" i="16" s="1"/>
  <c r="N52" i="16"/>
  <c r="H57" i="16"/>
  <c r="E244" i="64"/>
  <c r="F317" i="4"/>
  <c r="G41" i="4"/>
  <c r="F35" i="16"/>
  <c r="E56" i="64"/>
  <c r="E37" i="16"/>
  <c r="F242" i="64"/>
  <c r="F241" i="16" s="1"/>
  <c r="F243" i="16" s="1"/>
  <c r="E127" i="64"/>
  <c r="E141" i="64" s="1"/>
  <c r="I16" i="24"/>
  <c r="L20" i="24"/>
  <c r="M54" i="48" s="1"/>
  <c r="D20" i="24"/>
  <c r="E54" i="48" s="1"/>
  <c r="M16" i="24"/>
  <c r="M20" i="24"/>
  <c r="N54" i="48" s="1"/>
  <c r="G20" i="24"/>
  <c r="H54" i="48" s="1"/>
  <c r="G16" i="24"/>
  <c r="J20" i="24"/>
  <c r="K54" i="48" s="1"/>
  <c r="J16" i="24"/>
  <c r="H16" i="24"/>
  <c r="H20" i="24"/>
  <c r="I54" i="48" s="1"/>
  <c r="D320" i="16"/>
  <c r="E272" i="48" s="1"/>
  <c r="N143" i="16"/>
  <c r="N193" i="16"/>
  <c r="F124" i="16"/>
  <c r="F128" i="16"/>
  <c r="J124" i="16"/>
  <c r="J128" i="16"/>
  <c r="C57" i="16"/>
  <c r="C61" i="16"/>
  <c r="C62" i="16" s="1"/>
  <c r="E57" i="16"/>
  <c r="E61" i="16"/>
  <c r="E62" i="16" s="1"/>
  <c r="B57" i="16"/>
  <c r="B61" i="16"/>
  <c r="B62" i="16" s="1"/>
  <c r="E114" i="16"/>
  <c r="D239" i="64"/>
  <c r="D319" i="64"/>
  <c r="E47" i="16"/>
  <c r="C119" i="16"/>
  <c r="C123" i="16"/>
  <c r="C37" i="64"/>
  <c r="D37" i="64" s="1"/>
  <c r="C259" i="64"/>
  <c r="C248" i="64"/>
  <c r="C253" i="64" s="1"/>
  <c r="C254" i="64" s="1"/>
  <c r="C319" i="64"/>
  <c r="B358" i="64"/>
  <c r="B354" i="64"/>
  <c r="N354" i="64" s="1"/>
  <c r="E383" i="64"/>
  <c r="E384" i="64" s="1"/>
  <c r="E379" i="64"/>
  <c r="F383" i="64"/>
  <c r="F384" i="64" s="1"/>
  <c r="F379" i="64"/>
  <c r="C383" i="64"/>
  <c r="C384" i="64" s="1"/>
  <c r="C379" i="64"/>
  <c r="D383" i="64"/>
  <c r="D384" i="64" s="1"/>
  <c r="D379" i="64"/>
  <c r="I383" i="64"/>
  <c r="I384" i="64" s="1"/>
  <c r="I379" i="64"/>
  <c r="H383" i="64"/>
  <c r="H384" i="64" s="1"/>
  <c r="H379" i="64"/>
  <c r="J383" i="64"/>
  <c r="J384" i="64" s="1"/>
  <c r="J379" i="64"/>
  <c r="M333" i="64"/>
  <c r="I333" i="64"/>
  <c r="E333" i="64"/>
  <c r="K333" i="64"/>
  <c r="C333" i="64"/>
  <c r="L333" i="64"/>
  <c r="H333" i="64"/>
  <c r="D333" i="64"/>
  <c r="G333" i="64"/>
  <c r="J333" i="64"/>
  <c r="F333" i="64"/>
  <c r="L383" i="64"/>
  <c r="L384" i="64" s="1"/>
  <c r="L379" i="64"/>
  <c r="M383" i="64"/>
  <c r="M384" i="64" s="1"/>
  <c r="M379" i="64"/>
  <c r="K383" i="64"/>
  <c r="K384" i="64" s="1"/>
  <c r="K379" i="64"/>
  <c r="G383" i="64"/>
  <c r="G384" i="64" s="1"/>
  <c r="G379" i="64"/>
  <c r="D353" i="16"/>
  <c r="D362" i="16"/>
  <c r="D363" i="16" s="1"/>
  <c r="E352" i="16"/>
  <c r="D357" i="16"/>
  <c r="C358" i="16"/>
  <c r="D143" i="48"/>
  <c r="C243" i="48"/>
  <c r="N149" i="61"/>
  <c r="B145" i="61"/>
  <c r="N143" i="61"/>
  <c r="B150" i="61"/>
  <c r="N136" i="61"/>
  <c r="B138" i="61"/>
  <c r="C289" i="48" s="1"/>
  <c r="O289" i="48" s="1"/>
  <c r="N142" i="61"/>
  <c r="D87" i="24"/>
  <c r="D91" i="24"/>
  <c r="E295" i="48" s="1"/>
  <c r="F122" i="18"/>
  <c r="E84" i="24"/>
  <c r="E123" i="18"/>
  <c r="F242" i="48" s="1"/>
  <c r="Q21" i="63"/>
  <c r="Q19" i="63"/>
  <c r="I86" i="48"/>
  <c r="H56" i="14"/>
  <c r="O51" i="48"/>
  <c r="M193" i="4"/>
  <c r="M197" i="4"/>
  <c r="C124" i="4"/>
  <c r="C128" i="4"/>
  <c r="J103" i="4"/>
  <c r="J113" i="4" s="1"/>
  <c r="J118" i="4" s="1"/>
  <c r="J119" i="4" s="1"/>
  <c r="N153" i="4"/>
  <c r="J108" i="4"/>
  <c r="E58" i="4"/>
  <c r="E62" i="4"/>
  <c r="E63" i="4" s="1"/>
  <c r="C301" i="4"/>
  <c r="C302" i="4" s="1"/>
  <c r="M58" i="4"/>
  <c r="M62" i="4"/>
  <c r="M63" i="4" s="1"/>
  <c r="I306" i="4"/>
  <c r="I311" i="4" s="1"/>
  <c r="E123" i="4"/>
  <c r="E118" i="4"/>
  <c r="E119" i="4" s="1"/>
  <c r="E104" i="4"/>
  <c r="F308" i="16"/>
  <c r="F307" i="4"/>
  <c r="C297" i="4"/>
  <c r="D314" i="64"/>
  <c r="K236" i="4"/>
  <c r="K241" i="4" s="1"/>
  <c r="F242" i="4"/>
  <c r="D287" i="4"/>
  <c r="N287" i="4" s="1"/>
  <c r="F257" i="64"/>
  <c r="G51" i="4"/>
  <c r="F46" i="64"/>
  <c r="F45" i="16" s="1"/>
  <c r="E259" i="64"/>
  <c r="F302" i="64"/>
  <c r="F301" i="16" s="1"/>
  <c r="F303" i="16" s="1"/>
  <c r="G300" i="4"/>
  <c r="G29" i="91" s="1"/>
  <c r="F302" i="4"/>
  <c r="E312" i="64"/>
  <c r="E314" i="64" s="1"/>
  <c r="F316" i="16"/>
  <c r="F318" i="16" s="1"/>
  <c r="E320" i="4"/>
  <c r="C227" i="4"/>
  <c r="C231" i="4"/>
  <c r="F181" i="64"/>
  <c r="F176" i="16" s="1"/>
  <c r="F178" i="16" s="1"/>
  <c r="H246" i="4"/>
  <c r="H251" i="4" s="1"/>
  <c r="H256" i="4" s="1"/>
  <c r="H257" i="4" s="1"/>
  <c r="E319" i="64"/>
  <c r="G38" i="4"/>
  <c r="G52" i="4"/>
  <c r="G57" i="4" s="1"/>
  <c r="B227" i="4"/>
  <c r="B231" i="4"/>
  <c r="J296" i="4"/>
  <c r="J292" i="4"/>
  <c r="J28" i="4"/>
  <c r="J232" i="4"/>
  <c r="J236" i="4"/>
  <c r="I158" i="4"/>
  <c r="I162" i="4"/>
  <c r="K292" i="4"/>
  <c r="K296" i="4"/>
  <c r="D33" i="4"/>
  <c r="D37" i="4"/>
  <c r="G42" i="4"/>
  <c r="N109" i="16"/>
  <c r="K37" i="4"/>
  <c r="K33" i="4"/>
  <c r="L301" i="4"/>
  <c r="L306" i="4"/>
  <c r="L311" i="4" s="1"/>
  <c r="L316" i="4" s="1"/>
  <c r="G94" i="4"/>
  <c r="G98" i="4"/>
  <c r="J163" i="4"/>
  <c r="J167" i="4"/>
  <c r="E266" i="16"/>
  <c r="N21" i="49"/>
  <c r="N27" i="18"/>
  <c r="N124" i="61"/>
  <c r="N25" i="18"/>
  <c r="C17" i="24"/>
  <c r="O53" i="48"/>
  <c r="N20" i="18"/>
  <c r="N17" i="18"/>
  <c r="N14" i="18"/>
  <c r="N56" i="49"/>
  <c r="F87" i="48"/>
  <c r="E56" i="14"/>
  <c r="L47" i="48"/>
  <c r="B118" i="16"/>
  <c r="B114" i="16"/>
  <c r="I37" i="4"/>
  <c r="I33" i="4"/>
  <c r="D273" i="64"/>
  <c r="D274" i="64" s="1"/>
  <c r="E273" i="64"/>
  <c r="E274" i="64" s="1"/>
  <c r="K273" i="64"/>
  <c r="L273" i="64"/>
  <c r="M273" i="64"/>
  <c r="F273" i="64"/>
  <c r="F274" i="64" s="1"/>
  <c r="I273" i="64"/>
  <c r="J273" i="64"/>
  <c r="C273" i="64"/>
  <c r="C274" i="64" s="1"/>
  <c r="H273" i="64"/>
  <c r="G273" i="64"/>
  <c r="B13" i="64"/>
  <c r="K103" i="64"/>
  <c r="K57" i="64"/>
  <c r="K62" i="64" s="1"/>
  <c r="K118" i="64" s="1"/>
  <c r="K167" i="4"/>
  <c r="K163" i="4"/>
  <c r="G307" i="64"/>
  <c r="G306" i="16" s="1"/>
  <c r="F103" i="64"/>
  <c r="F57" i="64"/>
  <c r="F62" i="64" s="1"/>
  <c r="F118" i="64" s="1"/>
  <c r="N16" i="48"/>
  <c r="N50" i="48"/>
  <c r="F172" i="4"/>
  <c r="F173" i="4" s="1"/>
  <c r="F177" i="4"/>
  <c r="D172" i="64"/>
  <c r="D99" i="64"/>
  <c r="B102" i="61"/>
  <c r="N100" i="61"/>
  <c r="F247" i="64"/>
  <c r="F246" i="16" s="1"/>
  <c r="F248" i="16" s="1"/>
  <c r="I172" i="64"/>
  <c r="I99" i="64"/>
  <c r="E292" i="4"/>
  <c r="E296" i="4"/>
  <c r="N50" i="61"/>
  <c r="J172" i="64"/>
  <c r="J99" i="64"/>
  <c r="F35" i="11"/>
  <c r="B57" i="70"/>
  <c r="B58" i="70" s="1"/>
  <c r="B40" i="73"/>
  <c r="C40" i="73" s="1"/>
  <c r="B74" i="49"/>
  <c r="B75" i="49" s="1"/>
  <c r="F38" i="11"/>
  <c r="B94" i="61" s="1"/>
  <c r="G172" i="64"/>
  <c r="G99" i="64"/>
  <c r="N117" i="61"/>
  <c r="E239" i="64"/>
  <c r="B22" i="49"/>
  <c r="N186" i="4"/>
  <c r="M143" i="48"/>
  <c r="L143" i="48"/>
  <c r="B27" i="4"/>
  <c r="B23" i="4"/>
  <c r="D26" i="11"/>
  <c r="E78" i="64"/>
  <c r="I78" i="64"/>
  <c r="M78" i="64"/>
  <c r="C78" i="64"/>
  <c r="G78" i="64"/>
  <c r="K78" i="64"/>
  <c r="F78" i="64"/>
  <c r="B78" i="64"/>
  <c r="C17" i="64"/>
  <c r="G17" i="64"/>
  <c r="G22" i="64" s="1"/>
  <c r="K17" i="64"/>
  <c r="K22" i="64" s="1"/>
  <c r="J78" i="64"/>
  <c r="E17" i="64"/>
  <c r="I17" i="64"/>
  <c r="I22" i="64" s="1"/>
  <c r="M17" i="64"/>
  <c r="M22" i="64" s="1"/>
  <c r="D17" i="64"/>
  <c r="L17" i="64"/>
  <c r="L22" i="64" s="1"/>
  <c r="D78" i="64"/>
  <c r="F17" i="64"/>
  <c r="B17" i="64"/>
  <c r="J17" i="64"/>
  <c r="J22" i="64" s="1"/>
  <c r="H78" i="64"/>
  <c r="H17" i="64"/>
  <c r="H22" i="64" s="1"/>
  <c r="L78" i="64"/>
  <c r="K172" i="64"/>
  <c r="K99" i="64"/>
  <c r="E253" i="16"/>
  <c r="E265" i="16" s="1"/>
  <c r="F220" i="48" s="1"/>
  <c r="F28" i="4"/>
  <c r="F32" i="4"/>
  <c r="N38" i="49"/>
  <c r="F172" i="64"/>
  <c r="F99" i="64"/>
  <c r="H125" i="61"/>
  <c r="N125" i="61" s="1"/>
  <c r="D213" i="16"/>
  <c r="D265" i="16" s="1"/>
  <c r="E220" i="48" s="1"/>
  <c r="D266" i="16"/>
  <c r="G102" i="4"/>
  <c r="F112" i="16"/>
  <c r="F136" i="16" s="1"/>
  <c r="N118" i="61"/>
  <c r="M103" i="64"/>
  <c r="M57" i="64"/>
  <c r="M62" i="64" s="1"/>
  <c r="M118" i="64" s="1"/>
  <c r="K72" i="14"/>
  <c r="L132" i="48" s="1"/>
  <c r="P61" i="14"/>
  <c r="Q22" i="63"/>
  <c r="B172" i="4"/>
  <c r="B173" i="4" s="1"/>
  <c r="B177" i="4"/>
  <c r="B168" i="4"/>
  <c r="E103" i="64"/>
  <c r="E57" i="64"/>
  <c r="E62" i="64" s="1"/>
  <c r="E118" i="64" s="1"/>
  <c r="E128" i="64" s="1"/>
  <c r="H103" i="64"/>
  <c r="H57" i="64"/>
  <c r="H62" i="64" s="1"/>
  <c r="H118" i="64" s="1"/>
  <c r="L252" i="64"/>
  <c r="M255" i="4"/>
  <c r="M252" i="64" s="1"/>
  <c r="M251" i="16" s="1"/>
  <c r="M253" i="16" s="1"/>
  <c r="A118" i="61"/>
  <c r="A125" i="61"/>
  <c r="A136" i="61" s="1"/>
  <c r="C136" i="48"/>
  <c r="C103" i="64"/>
  <c r="C57" i="64"/>
  <c r="C62" i="64" s="1"/>
  <c r="C118" i="64" s="1"/>
  <c r="C128" i="64" s="1"/>
  <c r="C129" i="64" s="1"/>
  <c r="L103" i="64"/>
  <c r="L57" i="64"/>
  <c r="L62" i="64" s="1"/>
  <c r="L118" i="64" s="1"/>
  <c r="I94" i="4"/>
  <c r="I98" i="4"/>
  <c r="B172" i="64"/>
  <c r="B99" i="64"/>
  <c r="D101" i="61"/>
  <c r="C102" i="61"/>
  <c r="D187" i="48" s="1"/>
  <c r="D246" i="4"/>
  <c r="D241" i="4"/>
  <c r="D242" i="4" s="1"/>
  <c r="D237" i="4"/>
  <c r="G246" i="4"/>
  <c r="G251" i="4" s="1"/>
  <c r="G241" i="4"/>
  <c r="M172" i="64"/>
  <c r="M99" i="64"/>
  <c r="C69" i="18"/>
  <c r="B70" i="18"/>
  <c r="E51" i="61"/>
  <c r="D52" i="61"/>
  <c r="M188" i="4"/>
  <c r="N62" i="14"/>
  <c r="N63" i="14" s="1"/>
  <c r="N211" i="16"/>
  <c r="N24" i="61"/>
  <c r="F119" i="16"/>
  <c r="E172" i="64"/>
  <c r="E99" i="64"/>
  <c r="H172" i="64"/>
  <c r="H99" i="64"/>
  <c r="D49" i="18"/>
  <c r="D41" i="18"/>
  <c r="D38" i="18"/>
  <c r="N38" i="18" s="1"/>
  <c r="D44" i="18"/>
  <c r="N44" i="18" s="1"/>
  <c r="N39" i="18"/>
  <c r="N55" i="49"/>
  <c r="D76" i="61"/>
  <c r="C77" i="61"/>
  <c r="D136" i="48" s="1"/>
  <c r="C172" i="64"/>
  <c r="C99" i="64"/>
  <c r="L172" i="64"/>
  <c r="L99" i="64"/>
  <c r="F237" i="64"/>
  <c r="G235" i="4"/>
  <c r="F265" i="4"/>
  <c r="B298" i="64"/>
  <c r="B294" i="64"/>
  <c r="N294" i="64" s="1"/>
  <c r="D103" i="64"/>
  <c r="D57" i="64"/>
  <c r="D62" i="64" s="1"/>
  <c r="D118" i="64" s="1"/>
  <c r="D128" i="64" s="1"/>
  <c r="D129" i="64" s="1"/>
  <c r="H37" i="11"/>
  <c r="B126" i="61"/>
  <c r="I103" i="64"/>
  <c r="I57" i="64"/>
  <c r="I62" i="64" s="1"/>
  <c r="I118" i="64" s="1"/>
  <c r="G315" i="4"/>
  <c r="G30" i="91" s="1"/>
  <c r="F317" i="64"/>
  <c r="E267" i="64"/>
  <c r="J103" i="64"/>
  <c r="J57" i="64"/>
  <c r="J62" i="64" s="1"/>
  <c r="J118" i="64" s="1"/>
  <c r="G103" i="64"/>
  <c r="G57" i="64"/>
  <c r="G62" i="64" s="1"/>
  <c r="G118" i="64" s="1"/>
  <c r="D172" i="16"/>
  <c r="C173" i="16"/>
  <c r="D31" i="24"/>
  <c r="N28" i="24"/>
  <c r="H50" i="48"/>
  <c r="H16" i="48"/>
  <c r="M47" i="48"/>
  <c r="G131" i="48"/>
  <c r="E87" i="48"/>
  <c r="D56" i="14"/>
  <c r="F133" i="48"/>
  <c r="H184" i="48"/>
  <c r="G106" i="14"/>
  <c r="K106" i="14"/>
  <c r="L183" i="48"/>
  <c r="G234" i="48"/>
  <c r="B47" i="14"/>
  <c r="C86" i="48" s="1"/>
  <c r="N133" i="48"/>
  <c r="G184" i="48"/>
  <c r="F106" i="14"/>
  <c r="H143" i="48"/>
  <c r="N182" i="48"/>
  <c r="H87" i="48"/>
  <c r="G56" i="14"/>
  <c r="I183" i="48"/>
  <c r="H106" i="14"/>
  <c r="L133" i="48"/>
  <c r="E131" i="14"/>
  <c r="C18" i="14"/>
  <c r="C25" i="14"/>
  <c r="C12" i="14"/>
  <c r="N11" i="14"/>
  <c r="P11" i="14" s="1"/>
  <c r="C12" i="16"/>
  <c r="L110" i="18"/>
  <c r="N110" i="18" s="1"/>
  <c r="L116" i="18"/>
  <c r="N111" i="18"/>
  <c r="L121" i="18"/>
  <c r="L113" i="18"/>
  <c r="E60" i="24"/>
  <c r="E48" i="24"/>
  <c r="M223" i="48"/>
  <c r="M121" i="48"/>
  <c r="M172" i="48"/>
  <c r="M75" i="48"/>
  <c r="M275" i="48"/>
  <c r="M30" i="48"/>
  <c r="C183" i="48"/>
  <c r="D163" i="4"/>
  <c r="D167" i="4"/>
  <c r="N45" i="48"/>
  <c r="M184" i="48"/>
  <c r="L106" i="14"/>
  <c r="G297" i="64"/>
  <c r="C189" i="48"/>
  <c r="B101" i="18"/>
  <c r="D45" i="18"/>
  <c r="C46" i="18"/>
  <c r="L33" i="4"/>
  <c r="L37" i="4"/>
  <c r="D296" i="4"/>
  <c r="D292" i="4"/>
  <c r="E252" i="4"/>
  <c r="E256" i="4"/>
  <c r="B104" i="14"/>
  <c r="C43" i="14"/>
  <c r="C50" i="14"/>
  <c r="C37" i="14"/>
  <c r="N37" i="14" s="1"/>
  <c r="N36" i="14"/>
  <c r="P36" i="14" s="1"/>
  <c r="D117" i="18"/>
  <c r="C118" i="18"/>
  <c r="E11" i="64"/>
  <c r="E13" i="4"/>
  <c r="G167" i="4"/>
  <c r="G163" i="4"/>
  <c r="D131" i="48"/>
  <c r="N65" i="14"/>
  <c r="K55" i="16"/>
  <c r="J57" i="16"/>
  <c r="C91" i="70"/>
  <c r="C92" i="70" s="1"/>
  <c r="G292" i="4"/>
  <c r="G296" i="4"/>
  <c r="K74" i="24"/>
  <c r="K62" i="24"/>
  <c r="L191" i="48" s="1"/>
  <c r="F94" i="48"/>
  <c r="E163" i="4"/>
  <c r="E167" i="4"/>
  <c r="D168" i="16"/>
  <c r="B52" i="14"/>
  <c r="F119" i="14"/>
  <c r="F120" i="14" s="1"/>
  <c r="F122" i="14" s="1"/>
  <c r="G235" i="48" s="1"/>
  <c r="D48" i="48"/>
  <c r="O48" i="48" s="1"/>
  <c r="D14" i="48"/>
  <c r="O14" i="48" s="1"/>
  <c r="N13" i="61"/>
  <c r="C92" i="48"/>
  <c r="B53" i="18"/>
  <c r="F26" i="14"/>
  <c r="D57" i="73"/>
  <c r="G117" i="64"/>
  <c r="G117" i="16"/>
  <c r="G119" i="16" s="1"/>
  <c r="H107" i="4"/>
  <c r="L98" i="4"/>
  <c r="L94" i="4"/>
  <c r="M51" i="14"/>
  <c r="M52" i="14" s="1"/>
  <c r="M54" i="14" s="1"/>
  <c r="N87" i="48" s="1"/>
  <c r="D103" i="4"/>
  <c r="D108" i="4"/>
  <c r="D109" i="4" s="1"/>
  <c r="D99" i="4"/>
  <c r="C241" i="48"/>
  <c r="B125" i="18"/>
  <c r="E166" i="16"/>
  <c r="M94" i="14"/>
  <c r="M95" i="14" s="1"/>
  <c r="M97" i="14" s="1"/>
  <c r="N183" i="48" s="1"/>
  <c r="C25" i="61"/>
  <c r="B319" i="4"/>
  <c r="Q20" i="63"/>
  <c r="C69" i="14"/>
  <c r="N68" i="14"/>
  <c r="B40" i="14"/>
  <c r="F56" i="14"/>
  <c r="G86" i="48"/>
  <c r="N222" i="4"/>
  <c r="H167" i="4"/>
  <c r="H163" i="4"/>
  <c r="C119" i="61"/>
  <c r="B120" i="61"/>
  <c r="L177" i="4"/>
  <c r="L182" i="4" s="1"/>
  <c r="L172" i="4"/>
  <c r="C118" i="14"/>
  <c r="C112" i="14"/>
  <c r="C125" i="14"/>
  <c r="N111" i="14"/>
  <c r="P111" i="14" s="1"/>
  <c r="F76" i="14"/>
  <c r="F77" i="14" s="1"/>
  <c r="F79" i="14" s="1"/>
  <c r="G133" i="48" s="1"/>
  <c r="J37" i="4"/>
  <c r="J33" i="4"/>
  <c r="F171" i="64"/>
  <c r="G166" i="4"/>
  <c r="F168" i="4"/>
  <c r="G10" i="60"/>
  <c r="M101" i="14"/>
  <c r="M102" i="14" s="1"/>
  <c r="M104" i="14" s="1"/>
  <c r="C56" i="48"/>
  <c r="O56" i="48" s="1"/>
  <c r="C22" i="48"/>
  <c r="O22" i="48" s="1"/>
  <c r="D131" i="14"/>
  <c r="C76" i="14"/>
  <c r="N75" i="14"/>
  <c r="N71" i="49"/>
  <c r="D74" i="73"/>
  <c r="L227" i="4"/>
  <c r="L231" i="4"/>
  <c r="C69" i="61"/>
  <c r="B70" i="61"/>
  <c r="C40" i="70"/>
  <c r="C41" i="70" s="1"/>
  <c r="C99" i="48"/>
  <c r="D23" i="73"/>
  <c r="G307" i="16"/>
  <c r="H297" i="16"/>
  <c r="N120" i="48"/>
  <c r="O120" i="48" s="1"/>
  <c r="N222" i="48"/>
  <c r="O222" i="48" s="1"/>
  <c r="N274" i="48"/>
  <c r="O274" i="48" s="1"/>
  <c r="N74" i="48"/>
  <c r="O74" i="48" s="1"/>
  <c r="N171" i="48"/>
  <c r="O171" i="48" s="1"/>
  <c r="N29" i="48"/>
  <c r="O29" i="48" s="1"/>
  <c r="P9" i="12"/>
  <c r="M26" i="14"/>
  <c r="M27" i="14" s="1"/>
  <c r="M29" i="14" s="1"/>
  <c r="C93" i="14"/>
  <c r="C100" i="14"/>
  <c r="C87" i="14"/>
  <c r="N86" i="14"/>
  <c r="P86" i="14" s="1"/>
  <c r="F296" i="16"/>
  <c r="D93" i="18"/>
  <c r="C94" i="18"/>
  <c r="M108" i="4"/>
  <c r="M103" i="4"/>
  <c r="M113" i="4" s="1"/>
  <c r="M118" i="4" s="1"/>
  <c r="M119" i="4" s="1"/>
  <c r="M99" i="4"/>
  <c r="C163" i="4"/>
  <c r="C167" i="4"/>
  <c r="M119" i="14"/>
  <c r="M120" i="14" s="1"/>
  <c r="F19" i="14"/>
  <c r="F20" i="14" s="1"/>
  <c r="E321" i="16"/>
  <c r="E298" i="16"/>
  <c r="E320" i="16" s="1"/>
  <c r="F272" i="48" s="1"/>
  <c r="C91" i="49"/>
  <c r="C92" i="49" s="1"/>
  <c r="D74" i="70"/>
  <c r="D75" i="70" s="1"/>
  <c r="L73" i="24"/>
  <c r="N70" i="24"/>
  <c r="N18" i="61"/>
  <c r="N88" i="49"/>
  <c r="H99" i="4"/>
  <c r="H103" i="4"/>
  <c r="H113" i="4" s="1"/>
  <c r="H118" i="4" s="1"/>
  <c r="H119" i="4" s="1"/>
  <c r="H108" i="4"/>
  <c r="D10" i="16"/>
  <c r="D65" i="16" s="1"/>
  <c r="D13" i="64"/>
  <c r="F119" i="48"/>
  <c r="F273" i="48"/>
  <c r="F221" i="48"/>
  <c r="F170" i="48"/>
  <c r="B131" i="14"/>
  <c r="Q23" i="63"/>
  <c r="D106" i="14"/>
  <c r="N92" i="18"/>
  <c r="M253" i="64"/>
  <c r="J121" i="14"/>
  <c r="I122" i="14"/>
  <c r="J235" i="48" s="1"/>
  <c r="E249" i="64"/>
  <c r="E253" i="64"/>
  <c r="E254" i="64" s="1"/>
  <c r="M316" i="4"/>
  <c r="F247" i="4"/>
  <c r="F251" i="4"/>
  <c r="C311" i="4"/>
  <c r="C307" i="4"/>
  <c r="N39" i="49"/>
  <c r="D33" i="64"/>
  <c r="J86" i="48"/>
  <c r="I56" i="14"/>
  <c r="N188" i="48"/>
  <c r="N89" i="18"/>
  <c r="B43" i="64"/>
  <c r="K253" i="64"/>
  <c r="K254" i="64" s="1"/>
  <c r="C57" i="4"/>
  <c r="C53" i="4"/>
  <c r="I253" i="64"/>
  <c r="I254" i="64" s="1"/>
  <c r="D96" i="48"/>
  <c r="N34" i="49"/>
  <c r="J47" i="14"/>
  <c r="K46" i="14"/>
  <c r="M99" i="18"/>
  <c r="N97" i="18"/>
  <c r="J253" i="64"/>
  <c r="J254" i="64" s="1"/>
  <c r="F253" i="64"/>
  <c r="F254" i="64" s="1"/>
  <c r="I261" i="4"/>
  <c r="I262" i="4" s="1"/>
  <c r="I257" i="4"/>
  <c r="L253" i="64"/>
  <c r="H131" i="14"/>
  <c r="H42" i="4"/>
  <c r="H47" i="4"/>
  <c r="H48" i="4" s="1"/>
  <c r="H52" i="4"/>
  <c r="H38" i="4"/>
  <c r="H253" i="64"/>
  <c r="H254" i="64" s="1"/>
  <c r="M251" i="4"/>
  <c r="D253" i="64"/>
  <c r="D254" i="64" s="1"/>
  <c r="D249" i="64"/>
  <c r="B73" i="75"/>
  <c r="D73" i="75" s="1"/>
  <c r="E73" i="75" s="1"/>
  <c r="C245" i="48"/>
  <c r="G253" i="64"/>
  <c r="G254" i="64" s="1"/>
  <c r="E28" i="64"/>
  <c r="C142" i="48"/>
  <c r="N51" i="49"/>
  <c r="O30" i="90" l="1"/>
  <c r="N198" i="16"/>
  <c r="K337" i="48"/>
  <c r="J181" i="14"/>
  <c r="N183" i="16"/>
  <c r="E206" i="16"/>
  <c r="E334" i="64"/>
  <c r="C132" i="48"/>
  <c r="E81" i="14"/>
  <c r="N181" i="16"/>
  <c r="N30" i="89"/>
  <c r="H295" i="4"/>
  <c r="H28" i="91" s="1"/>
  <c r="K108" i="4"/>
  <c r="G67" i="4"/>
  <c r="G323" i="48"/>
  <c r="G370" i="48"/>
  <c r="G73" i="48"/>
  <c r="C211" i="48"/>
  <c r="F142" i="18"/>
  <c r="E143" i="18"/>
  <c r="C39" i="95"/>
  <c r="B40" i="95"/>
  <c r="B125" i="70"/>
  <c r="C108" i="70"/>
  <c r="B109" i="70"/>
  <c r="C91" i="84"/>
  <c r="B92" i="84"/>
  <c r="C108" i="86"/>
  <c r="B109" i="86"/>
  <c r="C156" i="85"/>
  <c r="B157" i="85"/>
  <c r="C154" i="95"/>
  <c r="B155" i="95"/>
  <c r="C363" i="48" s="1"/>
  <c r="M287" i="48"/>
  <c r="M12" i="48"/>
  <c r="L156" i="14"/>
  <c r="D23" i="87"/>
  <c r="C24" i="87"/>
  <c r="M337" i="48"/>
  <c r="L181" i="14"/>
  <c r="D85" i="95"/>
  <c r="C86" i="95"/>
  <c r="C69" i="48"/>
  <c r="C208" i="48"/>
  <c r="B126" i="49"/>
  <c r="C125" i="49"/>
  <c r="B429" i="4"/>
  <c r="B447" i="64"/>
  <c r="G33" i="91"/>
  <c r="G36" i="91" s="1"/>
  <c r="L81" i="14"/>
  <c r="G28" i="90"/>
  <c r="G28" i="89"/>
  <c r="K99" i="4"/>
  <c r="K156" i="14"/>
  <c r="L287" i="48"/>
  <c r="C157" i="48"/>
  <c r="D85" i="86"/>
  <c r="C86" i="86"/>
  <c r="D211" i="48" s="1"/>
  <c r="G22" i="85"/>
  <c r="F23" i="85"/>
  <c r="G67" i="48" s="1"/>
  <c r="C41" i="84"/>
  <c r="B42" i="84"/>
  <c r="F29" i="90"/>
  <c r="F33" i="90" s="1"/>
  <c r="F29" i="89"/>
  <c r="F33" i="89" s="1"/>
  <c r="F176" i="64"/>
  <c r="F171" i="16" s="1"/>
  <c r="F205" i="4"/>
  <c r="I89" i="79"/>
  <c r="H90" i="79"/>
  <c r="I252" i="48" s="1"/>
  <c r="C107" i="84"/>
  <c r="B108" i="84"/>
  <c r="C132" i="87"/>
  <c r="B133" i="87"/>
  <c r="C154" i="86"/>
  <c r="B155" i="86"/>
  <c r="C160" i="48"/>
  <c r="D22" i="86"/>
  <c r="C23" i="86"/>
  <c r="D69" i="48" s="1"/>
  <c r="C163" i="48"/>
  <c r="D86" i="87"/>
  <c r="C87" i="87"/>
  <c r="D208" i="48" s="1"/>
  <c r="D32" i="93"/>
  <c r="D33" i="93" s="1"/>
  <c r="D36" i="93" s="1"/>
  <c r="D392" i="64"/>
  <c r="D447" i="64" s="1"/>
  <c r="D381" i="16"/>
  <c r="D382" i="4"/>
  <c r="D429" i="4" s="1"/>
  <c r="E367" i="48" s="1"/>
  <c r="D430" i="4"/>
  <c r="B431" i="16"/>
  <c r="B383" i="16"/>
  <c r="D24" i="84"/>
  <c r="C25" i="84"/>
  <c r="F207" i="64"/>
  <c r="D63" i="87"/>
  <c r="C64" i="87"/>
  <c r="D157" i="48" s="1"/>
  <c r="D22" i="95"/>
  <c r="C23" i="95"/>
  <c r="C39" i="86"/>
  <c r="B40" i="86"/>
  <c r="D91" i="73"/>
  <c r="C92" i="73"/>
  <c r="C132" i="85"/>
  <c r="B133" i="85"/>
  <c r="C155" i="87"/>
  <c r="B156" i="87"/>
  <c r="C131" i="95"/>
  <c r="B132" i="95"/>
  <c r="D62" i="86"/>
  <c r="C63" i="86"/>
  <c r="D160" i="48" s="1"/>
  <c r="D343" i="48"/>
  <c r="C175" i="18"/>
  <c r="D75" i="84"/>
  <c r="C76" i="84"/>
  <c r="D151" i="61"/>
  <c r="C152" i="61"/>
  <c r="D58" i="84"/>
  <c r="C59" i="84"/>
  <c r="D62" i="95"/>
  <c r="C63" i="95"/>
  <c r="D163" i="48" s="1"/>
  <c r="C298" i="48"/>
  <c r="F32" i="93"/>
  <c r="F33" i="93" s="1"/>
  <c r="F36" i="93" s="1"/>
  <c r="F381" i="16"/>
  <c r="F392" i="64"/>
  <c r="F447" i="64" s="1"/>
  <c r="F382" i="4"/>
  <c r="F429" i="4" s="1"/>
  <c r="G367" i="48" s="1"/>
  <c r="G380" i="4"/>
  <c r="F430" i="4"/>
  <c r="B33" i="93"/>
  <c r="B36" i="93" s="1"/>
  <c r="I81" i="14"/>
  <c r="N186" i="64"/>
  <c r="G136" i="4"/>
  <c r="G27" i="94"/>
  <c r="G31" i="94" s="1"/>
  <c r="G171" i="4"/>
  <c r="E293" i="48"/>
  <c r="D150" i="18"/>
  <c r="C40" i="87"/>
  <c r="B41" i="87"/>
  <c r="B169" i="61"/>
  <c r="C144" i="61"/>
  <c r="C131" i="86"/>
  <c r="B132" i="86"/>
  <c r="C109" i="87"/>
  <c r="B110" i="87"/>
  <c r="C108" i="95"/>
  <c r="B109" i="95"/>
  <c r="E167" i="18"/>
  <c r="D168" i="18"/>
  <c r="C176" i="61"/>
  <c r="B177" i="61"/>
  <c r="C214" i="48"/>
  <c r="E33" i="89"/>
  <c r="N30" i="90"/>
  <c r="D108" i="49"/>
  <c r="C109" i="49"/>
  <c r="D298" i="48" s="1"/>
  <c r="C32" i="93"/>
  <c r="C33" i="93" s="1"/>
  <c r="C36" i="93" s="1"/>
  <c r="C381" i="16"/>
  <c r="C392" i="64"/>
  <c r="C447" i="64" s="1"/>
  <c r="C382" i="4"/>
  <c r="C429" i="4" s="1"/>
  <c r="D367" i="48" s="1"/>
  <c r="C430" i="4"/>
  <c r="E382" i="4"/>
  <c r="E429" i="4" s="1"/>
  <c r="F367" i="48" s="1"/>
  <c r="E32" i="93"/>
  <c r="E33" i="93" s="1"/>
  <c r="E36" i="93" s="1"/>
  <c r="E392" i="64"/>
  <c r="E447" i="64" s="1"/>
  <c r="E381" i="16"/>
  <c r="E430" i="4"/>
  <c r="E207" i="64"/>
  <c r="G81" i="14"/>
  <c r="D413" i="16"/>
  <c r="E412" i="16"/>
  <c r="H81" i="14"/>
  <c r="K398" i="64"/>
  <c r="K399" i="64" s="1"/>
  <c r="G398" i="64"/>
  <c r="G399" i="64" s="1"/>
  <c r="C398" i="64"/>
  <c r="C399" i="64" s="1"/>
  <c r="L398" i="64"/>
  <c r="L399" i="64" s="1"/>
  <c r="H398" i="64"/>
  <c r="H399" i="64" s="1"/>
  <c r="D398" i="64"/>
  <c r="D399" i="64" s="1"/>
  <c r="M398" i="64"/>
  <c r="M399" i="64" s="1"/>
  <c r="E398" i="64"/>
  <c r="E399" i="64" s="1"/>
  <c r="J398" i="64"/>
  <c r="J399" i="64" s="1"/>
  <c r="I398" i="64"/>
  <c r="I399" i="64" s="1"/>
  <c r="F398" i="64"/>
  <c r="F399" i="64" s="1"/>
  <c r="J81" i="14"/>
  <c r="E408" i="16"/>
  <c r="F407" i="16"/>
  <c r="E417" i="16"/>
  <c r="E418" i="16" s="1"/>
  <c r="D81" i="14"/>
  <c r="M81" i="14"/>
  <c r="B423" i="64"/>
  <c r="C418" i="64"/>
  <c r="B419" i="64"/>
  <c r="B428" i="64"/>
  <c r="B429" i="64" s="1"/>
  <c r="N165" i="14"/>
  <c r="D336" i="48"/>
  <c r="O336" i="48" s="1"/>
  <c r="C177" i="14"/>
  <c r="C170" i="14"/>
  <c r="K287" i="48"/>
  <c r="K12" i="48"/>
  <c r="J156" i="14"/>
  <c r="N150" i="14"/>
  <c r="C151" i="14"/>
  <c r="N151" i="14" s="1"/>
  <c r="G287" i="48"/>
  <c r="G12" i="48"/>
  <c r="F156" i="14"/>
  <c r="C138" i="14"/>
  <c r="N143" i="14"/>
  <c r="C144" i="14"/>
  <c r="N144" i="14" s="1"/>
  <c r="F334" i="64"/>
  <c r="D334" i="64"/>
  <c r="N202" i="16"/>
  <c r="C205" i="16"/>
  <c r="D169" i="48" s="1"/>
  <c r="N89" i="4"/>
  <c r="G43" i="4"/>
  <c r="D328" i="16"/>
  <c r="B94" i="4"/>
  <c r="B98" i="4"/>
  <c r="G274" i="64"/>
  <c r="F98" i="4"/>
  <c r="F94" i="4"/>
  <c r="C334" i="64"/>
  <c r="E66" i="4"/>
  <c r="F70" i="48" s="1"/>
  <c r="C320" i="48"/>
  <c r="H325" i="4"/>
  <c r="H32" i="92" s="1"/>
  <c r="G332" i="64"/>
  <c r="G387" i="64" s="1"/>
  <c r="G326" i="16"/>
  <c r="G327" i="4"/>
  <c r="G374" i="4" s="1"/>
  <c r="H320" i="48" s="1"/>
  <c r="G375" i="4"/>
  <c r="M198" i="4"/>
  <c r="M201" i="4"/>
  <c r="M202" i="4" s="1"/>
  <c r="I270" i="4"/>
  <c r="I32" i="91" s="1"/>
  <c r="H272" i="64"/>
  <c r="H271" i="16" s="1"/>
  <c r="H273" i="16" s="1"/>
  <c r="H272" i="4"/>
  <c r="C376" i="16"/>
  <c r="C270" i="48"/>
  <c r="N158" i="4"/>
  <c r="G16" i="60"/>
  <c r="B57" i="64"/>
  <c r="B62" i="64" s="1"/>
  <c r="B118" i="64" s="1"/>
  <c r="B119" i="64" s="1"/>
  <c r="E135" i="16"/>
  <c r="F118" i="48" s="1"/>
  <c r="B64" i="16"/>
  <c r="C72" i="48" s="1"/>
  <c r="F129" i="16"/>
  <c r="F132" i="16"/>
  <c r="F133" i="16" s="1"/>
  <c r="J129" i="16"/>
  <c r="J132" i="16"/>
  <c r="J133" i="16" s="1"/>
  <c r="C64" i="16"/>
  <c r="D72" i="48" s="1"/>
  <c r="C129" i="4"/>
  <c r="C132" i="4"/>
  <c r="C133" i="4" s="1"/>
  <c r="I242" i="64"/>
  <c r="H242" i="64"/>
  <c r="H241" i="16" s="1"/>
  <c r="G242" i="4"/>
  <c r="F56" i="64"/>
  <c r="F37" i="16"/>
  <c r="E66" i="64"/>
  <c r="H41" i="4"/>
  <c r="G35" i="16"/>
  <c r="G242" i="64"/>
  <c r="G244" i="64" s="1"/>
  <c r="E129" i="64"/>
  <c r="J123" i="4"/>
  <c r="J124" i="4" s="1"/>
  <c r="F127" i="64"/>
  <c r="F141" i="64" s="1"/>
  <c r="G296" i="16"/>
  <c r="G298" i="16" s="1"/>
  <c r="B14" i="75"/>
  <c r="D14" i="75" s="1"/>
  <c r="E14" i="75" s="1"/>
  <c r="C290" i="48"/>
  <c r="C38" i="64"/>
  <c r="J123" i="64"/>
  <c r="J124" i="64" s="1"/>
  <c r="J128" i="64"/>
  <c r="H123" i="64"/>
  <c r="H124" i="64" s="1"/>
  <c r="H128" i="64"/>
  <c r="M123" i="64"/>
  <c r="M124" i="64" s="1"/>
  <c r="M128" i="64"/>
  <c r="K123" i="64"/>
  <c r="K124" i="64" s="1"/>
  <c r="K128" i="64"/>
  <c r="I123" i="64"/>
  <c r="I124" i="64" s="1"/>
  <c r="I128" i="64"/>
  <c r="C249" i="64"/>
  <c r="G123" i="64"/>
  <c r="G124" i="64" s="1"/>
  <c r="G128" i="64"/>
  <c r="F123" i="64"/>
  <c r="F124" i="64" s="1"/>
  <c r="F128" i="64"/>
  <c r="L123" i="64"/>
  <c r="L124" i="64" s="1"/>
  <c r="L128" i="64"/>
  <c r="C124" i="16"/>
  <c r="C128" i="16"/>
  <c r="N62" i="16"/>
  <c r="F114" i="16"/>
  <c r="F119" i="64"/>
  <c r="D119" i="64"/>
  <c r="D123" i="64"/>
  <c r="D124" i="64" s="1"/>
  <c r="E119" i="64"/>
  <c r="E123" i="64"/>
  <c r="E124" i="64" s="1"/>
  <c r="C119" i="64"/>
  <c r="C123" i="64"/>
  <c r="C124" i="64" s="1"/>
  <c r="B119" i="16"/>
  <c r="B123" i="16"/>
  <c r="F47" i="16"/>
  <c r="G18" i="64"/>
  <c r="K338" i="64"/>
  <c r="K339" i="64" s="1"/>
  <c r="G338" i="64"/>
  <c r="G339" i="64" s="1"/>
  <c r="C338" i="64"/>
  <c r="C339" i="64" s="1"/>
  <c r="E338" i="64"/>
  <c r="E339" i="64" s="1"/>
  <c r="J338" i="64"/>
  <c r="J339" i="64" s="1"/>
  <c r="F338" i="64"/>
  <c r="F339" i="64" s="1"/>
  <c r="M338" i="64"/>
  <c r="M339" i="64" s="1"/>
  <c r="I338" i="64"/>
  <c r="I339" i="64" s="1"/>
  <c r="D338" i="64"/>
  <c r="D339" i="64" s="1"/>
  <c r="L338" i="64"/>
  <c r="L339" i="64" s="1"/>
  <c r="H338" i="64"/>
  <c r="H339" i="64" s="1"/>
  <c r="B368" i="64"/>
  <c r="B369" i="64" s="1"/>
  <c r="C358" i="64"/>
  <c r="B359" i="64"/>
  <c r="B363" i="64"/>
  <c r="G119" i="64"/>
  <c r="E362" i="16"/>
  <c r="E363" i="16" s="1"/>
  <c r="F352" i="16"/>
  <c r="E353" i="16"/>
  <c r="C375" i="16"/>
  <c r="D322" i="48" s="1"/>
  <c r="D358" i="16"/>
  <c r="E357" i="16"/>
  <c r="B152" i="61"/>
  <c r="N150" i="61"/>
  <c r="N138" i="61"/>
  <c r="A143" i="61"/>
  <c r="A150" i="61"/>
  <c r="A161" i="61" s="1"/>
  <c r="E85" i="24"/>
  <c r="G122" i="18"/>
  <c r="F84" i="24"/>
  <c r="F85" i="24" s="1"/>
  <c r="F88" i="24" s="1"/>
  <c r="F123" i="18"/>
  <c r="G242" i="48" s="1"/>
  <c r="N76" i="14"/>
  <c r="O131" i="48"/>
  <c r="J114" i="4"/>
  <c r="K76" i="24"/>
  <c r="K89" i="24"/>
  <c r="K104" i="24" s="1"/>
  <c r="K106" i="24" s="1"/>
  <c r="L345" i="48" s="1"/>
  <c r="N66" i="49"/>
  <c r="E124" i="4"/>
  <c r="E128" i="4"/>
  <c r="N23" i="4"/>
  <c r="K246" i="4"/>
  <c r="K251" i="4" s="1"/>
  <c r="K256" i="4" s="1"/>
  <c r="K261" i="4" s="1"/>
  <c r="K262" i="4" s="1"/>
  <c r="H242" i="4"/>
  <c r="G58" i="4"/>
  <c r="G62" i="4"/>
  <c r="G63" i="4" s="1"/>
  <c r="C58" i="4"/>
  <c r="C62" i="4"/>
  <c r="C63" i="4" s="1"/>
  <c r="H261" i="4"/>
  <c r="H262" i="4" s="1"/>
  <c r="G181" i="64"/>
  <c r="G176" i="16" s="1"/>
  <c r="G178" i="16" s="1"/>
  <c r="H300" i="4"/>
  <c r="H29" i="91" s="1"/>
  <c r="G302" i="64"/>
  <c r="G301" i="16" s="1"/>
  <c r="G303" i="16" s="1"/>
  <c r="G257" i="64"/>
  <c r="H252" i="4"/>
  <c r="N227" i="4"/>
  <c r="E327" i="64"/>
  <c r="C232" i="4"/>
  <c r="C236" i="4"/>
  <c r="G316" i="16"/>
  <c r="G318" i="16" s="1"/>
  <c r="F312" i="64"/>
  <c r="F314" i="64" s="1"/>
  <c r="F312" i="4"/>
  <c r="F319" i="4" s="1"/>
  <c r="G270" i="48" s="1"/>
  <c r="F320" i="4"/>
  <c r="G46" i="64"/>
  <c r="G45" i="16" s="1"/>
  <c r="H51" i="4"/>
  <c r="F259" i="64"/>
  <c r="F256" i="16"/>
  <c r="F258" i="16" s="1"/>
  <c r="F244" i="64"/>
  <c r="G53" i="4"/>
  <c r="F249" i="64"/>
  <c r="K306" i="4"/>
  <c r="K311" i="4" s="1"/>
  <c r="K301" i="4"/>
  <c r="L254" i="64"/>
  <c r="J301" i="4"/>
  <c r="J306" i="4"/>
  <c r="J311" i="4" s="1"/>
  <c r="B232" i="4"/>
  <c r="B236" i="4"/>
  <c r="J241" i="4"/>
  <c r="J246" i="4"/>
  <c r="J251" i="4" s="1"/>
  <c r="J256" i="4" s="1"/>
  <c r="J261" i="4" s="1"/>
  <c r="J262" i="4" s="1"/>
  <c r="I167" i="4"/>
  <c r="I163" i="4"/>
  <c r="N163" i="4" s="1"/>
  <c r="J172" i="4"/>
  <c r="J177" i="4"/>
  <c r="J182" i="4" s="1"/>
  <c r="G108" i="4"/>
  <c r="G109" i="4" s="1"/>
  <c r="G99" i="4"/>
  <c r="G103" i="4"/>
  <c r="G113" i="4" s="1"/>
  <c r="G118" i="4" s="1"/>
  <c r="G119" i="4" s="1"/>
  <c r="K47" i="4"/>
  <c r="K48" i="4" s="1"/>
  <c r="K38" i="4"/>
  <c r="K52" i="4"/>
  <c r="K57" i="4" s="1"/>
  <c r="K42" i="4"/>
  <c r="D52" i="4"/>
  <c r="D47" i="4"/>
  <c r="D48" i="4" s="1"/>
  <c r="D42" i="4"/>
  <c r="D43" i="4" s="1"/>
  <c r="D38" i="4"/>
  <c r="G308" i="16"/>
  <c r="M254" i="64"/>
  <c r="O143" i="48"/>
  <c r="C16" i="24"/>
  <c r="N16" i="24" s="1"/>
  <c r="C20" i="24"/>
  <c r="N17" i="24"/>
  <c r="K81" i="14"/>
  <c r="E172" i="16"/>
  <c r="D173" i="16"/>
  <c r="D205" i="16" s="1"/>
  <c r="J108" i="64"/>
  <c r="J147" i="64"/>
  <c r="J148" i="64" s="1"/>
  <c r="J104" i="64"/>
  <c r="L177" i="64"/>
  <c r="L182" i="64"/>
  <c r="L187" i="64" s="1"/>
  <c r="L192" i="64" s="1"/>
  <c r="E76" i="61"/>
  <c r="D77" i="61"/>
  <c r="C138" i="48"/>
  <c r="B77" i="18"/>
  <c r="D251" i="4"/>
  <c r="D247" i="4"/>
  <c r="M108" i="64"/>
  <c r="M147" i="64"/>
  <c r="M148" i="64" s="1"/>
  <c r="M104" i="64"/>
  <c r="H102" i="4"/>
  <c r="G112" i="16"/>
  <c r="G136" i="16" s="1"/>
  <c r="B108" i="64"/>
  <c r="B147" i="64"/>
  <c r="B148" i="64" s="1"/>
  <c r="B104" i="64"/>
  <c r="F22" i="64"/>
  <c r="F23" i="64" s="1"/>
  <c r="F18" i="64"/>
  <c r="F83" i="64"/>
  <c r="F84" i="64" s="1"/>
  <c r="F79" i="64"/>
  <c r="M83" i="64"/>
  <c r="M84" i="64" s="1"/>
  <c r="M79" i="64"/>
  <c r="G182" i="64"/>
  <c r="G177" i="64"/>
  <c r="C57" i="70"/>
  <c r="C58" i="70" s="1"/>
  <c r="C145" i="48"/>
  <c r="F178" i="4"/>
  <c r="F182" i="4"/>
  <c r="C77" i="14"/>
  <c r="C79" i="14" s="1"/>
  <c r="N58" i="49"/>
  <c r="I108" i="64"/>
  <c r="I147" i="64"/>
  <c r="I148" i="64" s="1"/>
  <c r="I104" i="64"/>
  <c r="D147" i="64"/>
  <c r="D148" i="64" s="1"/>
  <c r="D108" i="64"/>
  <c r="D104" i="64"/>
  <c r="G237" i="64"/>
  <c r="H235" i="4"/>
  <c r="G237" i="4"/>
  <c r="G265" i="4"/>
  <c r="H177" i="64"/>
  <c r="H182" i="64"/>
  <c r="D69" i="18"/>
  <c r="C70" i="18"/>
  <c r="G252" i="4"/>
  <c r="G256" i="4"/>
  <c r="L147" i="64"/>
  <c r="L148" i="64" s="1"/>
  <c r="L108" i="64"/>
  <c r="L104" i="64"/>
  <c r="L251" i="16"/>
  <c r="N252" i="64"/>
  <c r="E108" i="64"/>
  <c r="E147" i="64"/>
  <c r="E148" i="64" s="1"/>
  <c r="E104" i="64"/>
  <c r="F33" i="4"/>
  <c r="F37" i="4"/>
  <c r="H83" i="64"/>
  <c r="H84" i="64" s="1"/>
  <c r="H79" i="64"/>
  <c r="D83" i="64"/>
  <c r="D84" i="64" s="1"/>
  <c r="D79" i="64"/>
  <c r="K83" i="64"/>
  <c r="K84" i="64" s="1"/>
  <c r="K79" i="64"/>
  <c r="I83" i="64"/>
  <c r="I84" i="64" s="1"/>
  <c r="I79" i="64"/>
  <c r="B28" i="4"/>
  <c r="B32" i="4"/>
  <c r="B95" i="61"/>
  <c r="C94" i="61"/>
  <c r="I182" i="64"/>
  <c r="I187" i="64" s="1"/>
  <c r="I192" i="64" s="1"/>
  <c r="I177" i="64"/>
  <c r="C187" i="48"/>
  <c r="F108" i="64"/>
  <c r="F147" i="64"/>
  <c r="F148" i="64" s="1"/>
  <c r="F104" i="64"/>
  <c r="K172" i="4"/>
  <c r="K177" i="4"/>
  <c r="K182" i="4" s="1"/>
  <c r="I52" i="4"/>
  <c r="I38" i="4"/>
  <c r="I42" i="4"/>
  <c r="I47" i="4"/>
  <c r="I48" i="4" s="1"/>
  <c r="D34" i="24"/>
  <c r="D30" i="24"/>
  <c r="N30" i="24" s="1"/>
  <c r="N31" i="24"/>
  <c r="G147" i="64"/>
  <c r="G148" i="64" s="1"/>
  <c r="G108" i="64"/>
  <c r="G104" i="64"/>
  <c r="F311" i="16"/>
  <c r="F313" i="16" s="1"/>
  <c r="F319" i="64"/>
  <c r="C126" i="61"/>
  <c r="B127" i="61"/>
  <c r="C239" i="48" s="1"/>
  <c r="F236" i="16"/>
  <c r="F267" i="64"/>
  <c r="F239" i="64"/>
  <c r="C182" i="64"/>
  <c r="C177" i="64"/>
  <c r="C178" i="64" s="1"/>
  <c r="C173" i="64"/>
  <c r="E91" i="48"/>
  <c r="O91" i="48" s="1"/>
  <c r="N41" i="18"/>
  <c r="E90" i="48"/>
  <c r="E101" i="61"/>
  <c r="D102" i="61"/>
  <c r="E187" i="48" s="1"/>
  <c r="I99" i="4"/>
  <c r="I108" i="4"/>
  <c r="I103" i="4"/>
  <c r="I113" i="4" s="1"/>
  <c r="I118" i="4" s="1"/>
  <c r="I119" i="4" s="1"/>
  <c r="K182" i="64"/>
  <c r="K187" i="64" s="1"/>
  <c r="K192" i="64" s="1"/>
  <c r="K177" i="64"/>
  <c r="E22" i="64"/>
  <c r="E23" i="64" s="1"/>
  <c r="E18" i="64"/>
  <c r="C22" i="64"/>
  <c r="C23" i="64" s="1"/>
  <c r="C18" i="64"/>
  <c r="G83" i="64"/>
  <c r="G84" i="64" s="1"/>
  <c r="G79" i="64"/>
  <c r="E83" i="64"/>
  <c r="E84" i="64" s="1"/>
  <c r="E79" i="64"/>
  <c r="C74" i="49"/>
  <c r="C75" i="49" s="1"/>
  <c r="C194" i="48"/>
  <c r="E301" i="4"/>
  <c r="E302" i="4" s="1"/>
  <c r="E297" i="4"/>
  <c r="E306" i="4"/>
  <c r="G247" i="4"/>
  <c r="G247" i="64"/>
  <c r="N90" i="49"/>
  <c r="N213" i="16"/>
  <c r="G317" i="64"/>
  <c r="H315" i="4"/>
  <c r="H30" i="91" s="1"/>
  <c r="B299" i="64"/>
  <c r="B308" i="64"/>
  <c r="B309" i="64" s="1"/>
  <c r="C298" i="64"/>
  <c r="B303" i="64"/>
  <c r="D51" i="18"/>
  <c r="N49" i="18"/>
  <c r="E182" i="64"/>
  <c r="E177" i="64"/>
  <c r="E178" i="64" s="1"/>
  <c r="E173" i="64"/>
  <c r="F51" i="61"/>
  <c r="E52" i="61"/>
  <c r="F90" i="48" s="1"/>
  <c r="M182" i="64"/>
  <c r="M187" i="64" s="1"/>
  <c r="M192" i="64" s="1"/>
  <c r="M177" i="64"/>
  <c r="N99" i="64"/>
  <c r="C147" i="64"/>
  <c r="C148" i="64" s="1"/>
  <c r="C108" i="64"/>
  <c r="C104" i="64"/>
  <c r="H147" i="64"/>
  <c r="H148" i="64" s="1"/>
  <c r="H108" i="64"/>
  <c r="H104" i="64"/>
  <c r="B178" i="4"/>
  <c r="B182" i="4"/>
  <c r="N83" i="49"/>
  <c r="F177" i="64"/>
  <c r="F178" i="64" s="1"/>
  <c r="F182" i="64"/>
  <c r="L83" i="64"/>
  <c r="L84" i="64" s="1"/>
  <c r="L79" i="64"/>
  <c r="B22" i="64"/>
  <c r="D218" i="64"/>
  <c r="D219" i="64" s="1"/>
  <c r="H218" i="64"/>
  <c r="H219" i="64" s="1"/>
  <c r="C218" i="64"/>
  <c r="C219" i="64" s="1"/>
  <c r="J218" i="64"/>
  <c r="J219" i="64" s="1"/>
  <c r="C278" i="64"/>
  <c r="C279" i="64" s="1"/>
  <c r="D278" i="64"/>
  <c r="D279" i="64" s="1"/>
  <c r="E218" i="64"/>
  <c r="E219" i="64" s="1"/>
  <c r="E278" i="64"/>
  <c r="E279" i="64" s="1"/>
  <c r="J278" i="64"/>
  <c r="J279" i="64" s="1"/>
  <c r="F278" i="64"/>
  <c r="F279" i="64" s="1"/>
  <c r="B18" i="64"/>
  <c r="H278" i="64"/>
  <c r="H279" i="64" s="1"/>
  <c r="L278" i="64"/>
  <c r="L279" i="64" s="1"/>
  <c r="F218" i="64"/>
  <c r="F219" i="64" s="1"/>
  <c r="K218" i="64"/>
  <c r="K219" i="64" s="1"/>
  <c r="I278" i="64"/>
  <c r="I279" i="64" s="1"/>
  <c r="G218" i="64"/>
  <c r="G219" i="64" s="1"/>
  <c r="G278" i="64"/>
  <c r="G279" i="64" s="1"/>
  <c r="I218" i="64"/>
  <c r="I219" i="64" s="1"/>
  <c r="L218" i="64"/>
  <c r="L219" i="64" s="1"/>
  <c r="M278" i="64"/>
  <c r="M279" i="64" s="1"/>
  <c r="M218" i="64"/>
  <c r="M219" i="64" s="1"/>
  <c r="K278" i="64"/>
  <c r="K279" i="64" s="1"/>
  <c r="D22" i="64"/>
  <c r="D23" i="64" s="1"/>
  <c r="D18" i="64"/>
  <c r="J83" i="64"/>
  <c r="J84" i="64" s="1"/>
  <c r="J79" i="64"/>
  <c r="B83" i="64"/>
  <c r="B84" i="64" s="1"/>
  <c r="B79" i="64"/>
  <c r="C83" i="64"/>
  <c r="C84" i="64" s="1"/>
  <c r="C79" i="64"/>
  <c r="E88" i="64"/>
  <c r="E89" i="64" s="1"/>
  <c r="I88" i="64"/>
  <c r="I89" i="64" s="1"/>
  <c r="M88" i="64"/>
  <c r="M89" i="64" s="1"/>
  <c r="C88" i="64"/>
  <c r="C89" i="64" s="1"/>
  <c r="G88" i="64"/>
  <c r="G89" i="64" s="1"/>
  <c r="K88" i="64"/>
  <c r="K89" i="64" s="1"/>
  <c r="F88" i="64"/>
  <c r="F89" i="64" s="1"/>
  <c r="B88" i="64"/>
  <c r="B89" i="64" s="1"/>
  <c r="J88" i="64"/>
  <c r="J89" i="64" s="1"/>
  <c r="H88" i="64"/>
  <c r="H89" i="64" s="1"/>
  <c r="L88" i="64"/>
  <c r="L89" i="64" s="1"/>
  <c r="D88" i="64"/>
  <c r="D89" i="64" s="1"/>
  <c r="B21" i="14"/>
  <c r="D29" i="11"/>
  <c r="N22" i="49"/>
  <c r="D40" i="73"/>
  <c r="J177" i="64"/>
  <c r="J182" i="64"/>
  <c r="J187" i="64" s="1"/>
  <c r="J192" i="64" s="1"/>
  <c r="D177" i="64"/>
  <c r="D178" i="64" s="1"/>
  <c r="D182" i="64"/>
  <c r="D173" i="64"/>
  <c r="H307" i="4"/>
  <c r="H307" i="64"/>
  <c r="H306" i="16" s="1"/>
  <c r="K147" i="64"/>
  <c r="K148" i="64" s="1"/>
  <c r="K108" i="64"/>
  <c r="K104" i="64"/>
  <c r="N255" i="4"/>
  <c r="N47" i="48"/>
  <c r="F131" i="14"/>
  <c r="N184" i="48"/>
  <c r="M106" i="14"/>
  <c r="D91" i="49"/>
  <c r="D92" i="49" s="1"/>
  <c r="D246" i="48"/>
  <c r="M114" i="4"/>
  <c r="M123" i="4"/>
  <c r="C101" i="18"/>
  <c r="D189" i="48"/>
  <c r="C88" i="14"/>
  <c r="N87" i="14"/>
  <c r="I297" i="16"/>
  <c r="H307" i="16"/>
  <c r="G221" i="48"/>
  <c r="G170" i="48"/>
  <c r="G273" i="48"/>
  <c r="G119" i="48"/>
  <c r="G171" i="64"/>
  <c r="H166" i="4"/>
  <c r="G168" i="4"/>
  <c r="C113" i="14"/>
  <c r="N112" i="14"/>
  <c r="H18" i="64"/>
  <c r="C85" i="48"/>
  <c r="C27" i="61"/>
  <c r="N25" i="61"/>
  <c r="D104" i="4"/>
  <c r="D113" i="4"/>
  <c r="D118" i="4" s="1"/>
  <c r="D119" i="4" s="1"/>
  <c r="B54" i="14"/>
  <c r="B56" i="14" s="1"/>
  <c r="C248" i="48"/>
  <c r="F11" i="64"/>
  <c r="F13" i="4"/>
  <c r="C44" i="14"/>
  <c r="N43" i="14"/>
  <c r="E257" i="4"/>
  <c r="E261" i="4"/>
  <c r="E262" i="4" s="1"/>
  <c r="D92" i="48"/>
  <c r="C53" i="18"/>
  <c r="N223" i="48"/>
  <c r="O223" i="48" s="1"/>
  <c r="B122" i="75" s="1"/>
  <c r="D122" i="75" s="1"/>
  <c r="E122" i="75" s="1"/>
  <c r="N30" i="48"/>
  <c r="O30" i="48" s="1"/>
  <c r="N172" i="48"/>
  <c r="O172" i="48" s="1"/>
  <c r="N75" i="48"/>
  <c r="O75" i="48" s="1"/>
  <c r="N121" i="48"/>
  <c r="O121" i="48" s="1"/>
  <c r="B58" i="75" s="1"/>
  <c r="D58" i="75" s="1"/>
  <c r="E58" i="75" s="1"/>
  <c r="N275" i="48"/>
  <c r="O275" i="48" s="1"/>
  <c r="N48" i="24"/>
  <c r="F140" i="48"/>
  <c r="O140" i="48" s="1"/>
  <c r="K123" i="4"/>
  <c r="K114" i="4"/>
  <c r="N116" i="18"/>
  <c r="C19" i="14"/>
  <c r="N19" i="14" s="1"/>
  <c r="N18" i="14"/>
  <c r="D12" i="16"/>
  <c r="D64" i="16" s="1"/>
  <c r="E72" i="48" s="1"/>
  <c r="C246" i="48"/>
  <c r="E23" i="73"/>
  <c r="D69" i="61"/>
  <c r="C70" i="61"/>
  <c r="J42" i="4"/>
  <c r="J52" i="4"/>
  <c r="J47" i="4"/>
  <c r="J48" i="4" s="1"/>
  <c r="J38" i="4"/>
  <c r="C126" i="14"/>
  <c r="N125" i="14"/>
  <c r="L192" i="4"/>
  <c r="L183" i="4"/>
  <c r="L187" i="4"/>
  <c r="L188" i="4" s="1"/>
  <c r="H177" i="4"/>
  <c r="H172" i="4"/>
  <c r="C70" i="14"/>
  <c r="C72" i="14" s="1"/>
  <c r="N69" i="14"/>
  <c r="N70" i="14" s="1"/>
  <c r="E168" i="16"/>
  <c r="H117" i="16"/>
  <c r="H119" i="16" s="1"/>
  <c r="H117" i="64"/>
  <c r="I107" i="4"/>
  <c r="H109" i="4"/>
  <c r="L55" i="16"/>
  <c r="K57" i="16"/>
  <c r="G172" i="4"/>
  <c r="G173" i="4" s="1"/>
  <c r="G177" i="4"/>
  <c r="E10" i="16"/>
  <c r="E65" i="16" s="1"/>
  <c r="E13" i="64"/>
  <c r="E117" i="18"/>
  <c r="D118" i="18"/>
  <c r="C51" i="14"/>
  <c r="N50" i="14"/>
  <c r="D301" i="4"/>
  <c r="D302" i="4" s="1"/>
  <c r="D306" i="4"/>
  <c r="D297" i="4"/>
  <c r="D172" i="4"/>
  <c r="D173" i="4" s="1"/>
  <c r="D177" i="4"/>
  <c r="D168" i="4"/>
  <c r="C26" i="14"/>
  <c r="N26" i="14" s="1"/>
  <c r="N25" i="14"/>
  <c r="H123" i="4"/>
  <c r="H114" i="4"/>
  <c r="L76" i="24"/>
  <c r="L72" i="24"/>
  <c r="N72" i="24" s="1"/>
  <c r="N73" i="24"/>
  <c r="E74" i="70"/>
  <c r="E75" i="70" s="1"/>
  <c r="F298" i="16"/>
  <c r="C94" i="14"/>
  <c r="N94" i="14" s="1"/>
  <c r="N93" i="14"/>
  <c r="C135" i="48"/>
  <c r="B79" i="61"/>
  <c r="L232" i="4"/>
  <c r="L236" i="4"/>
  <c r="D119" i="61"/>
  <c r="C120" i="61"/>
  <c r="J242" i="64"/>
  <c r="I242" i="4"/>
  <c r="G297" i="4"/>
  <c r="G306" i="4"/>
  <c r="G301" i="4"/>
  <c r="G302" i="4" s="1"/>
  <c r="D241" i="48"/>
  <c r="C125" i="18"/>
  <c r="C184" i="48"/>
  <c r="B106" i="14"/>
  <c r="L47" i="4"/>
  <c r="L48" i="4" s="1"/>
  <c r="L52" i="4"/>
  <c r="L57" i="4" s="1"/>
  <c r="L38" i="4"/>
  <c r="L42" i="4"/>
  <c r="N121" i="18"/>
  <c r="C13" i="14"/>
  <c r="N12" i="14"/>
  <c r="G193" i="48"/>
  <c r="O193" i="48" s="1"/>
  <c r="N68" i="49"/>
  <c r="N292" i="4"/>
  <c r="C177" i="4"/>
  <c r="C172" i="4"/>
  <c r="C173" i="4" s="1"/>
  <c r="C168" i="4"/>
  <c r="E93" i="18"/>
  <c r="D94" i="18"/>
  <c r="C101" i="14"/>
  <c r="N101" i="14" s="1"/>
  <c r="N100" i="14"/>
  <c r="D40" i="70"/>
  <c r="D41" i="70" s="1"/>
  <c r="E74" i="73"/>
  <c r="H10" i="60"/>
  <c r="F166" i="16"/>
  <c r="F206" i="16" s="1"/>
  <c r="F173" i="64"/>
  <c r="C119" i="14"/>
  <c r="N118" i="14"/>
  <c r="C238" i="48"/>
  <c r="L103" i="4"/>
  <c r="L113" i="4" s="1"/>
  <c r="L118" i="4" s="1"/>
  <c r="L119" i="4" s="1"/>
  <c r="L108" i="4"/>
  <c r="L99" i="4"/>
  <c r="E57" i="73"/>
  <c r="E177" i="4"/>
  <c r="E172" i="4"/>
  <c r="E173" i="4" s="1"/>
  <c r="E168" i="4"/>
  <c r="D91" i="70"/>
  <c r="D92" i="70" s="1"/>
  <c r="D248" i="48"/>
  <c r="E45" i="18"/>
  <c r="D46" i="18"/>
  <c r="H297" i="64"/>
  <c r="I295" i="4"/>
  <c r="I28" i="91" s="1"/>
  <c r="H297" i="4"/>
  <c r="E74" i="24"/>
  <c r="E62" i="24"/>
  <c r="M240" i="48"/>
  <c r="O240" i="48" s="1"/>
  <c r="N113" i="18"/>
  <c r="F27" i="14"/>
  <c r="F29" i="14" s="1"/>
  <c r="C38" i="14"/>
  <c r="F81" i="14"/>
  <c r="F28" i="64"/>
  <c r="H57" i="4"/>
  <c r="B153" i="64"/>
  <c r="N153" i="64" s="1"/>
  <c r="L46" i="14"/>
  <c r="K47" i="14"/>
  <c r="O96" i="48"/>
  <c r="B48" i="64"/>
  <c r="O188" i="48"/>
  <c r="K121" i="14"/>
  <c r="J122" i="14"/>
  <c r="K235" i="48" s="1"/>
  <c r="N190" i="48"/>
  <c r="O190" i="48" s="1"/>
  <c r="N99" i="18"/>
  <c r="E33" i="64"/>
  <c r="I131" i="14"/>
  <c r="O142" i="48"/>
  <c r="I316" i="4"/>
  <c r="M256" i="4"/>
  <c r="C312" i="4"/>
  <c r="C316" i="4"/>
  <c r="C317" i="4" s="1"/>
  <c r="D38" i="64"/>
  <c r="E37" i="64"/>
  <c r="K86" i="48"/>
  <c r="J56" i="14"/>
  <c r="C43" i="64"/>
  <c r="F256" i="4"/>
  <c r="F252" i="4"/>
  <c r="C394" i="64" l="1"/>
  <c r="H33" i="91"/>
  <c r="H36" i="91" s="1"/>
  <c r="C27" i="48"/>
  <c r="C341" i="48"/>
  <c r="E343" i="48"/>
  <c r="D175" i="18"/>
  <c r="D108" i="95"/>
  <c r="C109" i="95"/>
  <c r="D266" i="48" s="1"/>
  <c r="D131" i="86"/>
  <c r="C132" i="86"/>
  <c r="D313" i="48" s="1"/>
  <c r="C111" i="48"/>
  <c r="G29" i="90"/>
  <c r="G33" i="90" s="1"/>
  <c r="G29" i="89"/>
  <c r="G176" i="64"/>
  <c r="G171" i="16" s="1"/>
  <c r="E151" i="61"/>
  <c r="D152" i="61"/>
  <c r="C316" i="48"/>
  <c r="C306" i="48"/>
  <c r="C114" i="48"/>
  <c r="E22" i="95"/>
  <c r="D23" i="95"/>
  <c r="E24" i="84"/>
  <c r="D25" i="84"/>
  <c r="E22" i="86"/>
  <c r="D23" i="86"/>
  <c r="E69" i="48" s="1"/>
  <c r="C310" i="48"/>
  <c r="E85" i="86"/>
  <c r="D86" i="86"/>
  <c r="G33" i="89"/>
  <c r="C126" i="49"/>
  <c r="D348" i="48" s="1"/>
  <c r="D125" i="49"/>
  <c r="E85" i="95"/>
  <c r="D86" i="95"/>
  <c r="E23" i="87"/>
  <c r="D24" i="87"/>
  <c r="C263" i="48"/>
  <c r="C300" i="48"/>
  <c r="F293" i="48"/>
  <c r="E150" i="18"/>
  <c r="H136" i="4"/>
  <c r="H27" i="94"/>
  <c r="H171" i="4"/>
  <c r="H173" i="4" s="1"/>
  <c r="H323" i="48"/>
  <c r="H370" i="48"/>
  <c r="H73" i="48"/>
  <c r="E108" i="49"/>
  <c r="D109" i="49"/>
  <c r="E298" i="48" s="1"/>
  <c r="D176" i="61"/>
  <c r="C177" i="61"/>
  <c r="F167" i="18"/>
  <c r="E168" i="18"/>
  <c r="C260" i="48"/>
  <c r="D144" i="61"/>
  <c r="C145" i="61"/>
  <c r="C154" i="61" s="1"/>
  <c r="D40" i="87"/>
  <c r="C41" i="87"/>
  <c r="D111" i="48" s="1"/>
  <c r="F431" i="16"/>
  <c r="F383" i="16"/>
  <c r="D131" i="95"/>
  <c r="C132" i="95"/>
  <c r="D316" i="48" s="1"/>
  <c r="D132" i="85"/>
  <c r="C133" i="85"/>
  <c r="D306" i="48" s="1"/>
  <c r="D39" i="86"/>
  <c r="C40" i="86"/>
  <c r="D114" i="48" s="1"/>
  <c r="D394" i="64"/>
  <c r="B430" i="16"/>
  <c r="C369" i="48" s="1"/>
  <c r="D132" i="87"/>
  <c r="C133" i="87"/>
  <c r="D310" i="48" s="1"/>
  <c r="J89" i="79"/>
  <c r="I90" i="79"/>
  <c r="J252" i="48" s="1"/>
  <c r="H22" i="85"/>
  <c r="G23" i="85"/>
  <c r="H67" i="48" s="1"/>
  <c r="C348" i="48"/>
  <c r="D154" i="95"/>
  <c r="C155" i="95"/>
  <c r="D363" i="48" s="1"/>
  <c r="D108" i="86"/>
  <c r="C109" i="86"/>
  <c r="D263" i="48" s="1"/>
  <c r="D108" i="70"/>
  <c r="C109" i="70"/>
  <c r="D300" i="48" s="1"/>
  <c r="G142" i="18"/>
  <c r="F143" i="18"/>
  <c r="H205" i="4"/>
  <c r="H28" i="90"/>
  <c r="H28" i="89"/>
  <c r="A168" i="61"/>
  <c r="A175" i="61"/>
  <c r="H33" i="92"/>
  <c r="H36" i="92" s="1"/>
  <c r="C431" i="16"/>
  <c r="C383" i="16"/>
  <c r="C430" i="16" s="1"/>
  <c r="D369" i="48" s="1"/>
  <c r="D109" i="87"/>
  <c r="C110" i="87"/>
  <c r="D260" i="48" s="1"/>
  <c r="C169" i="61"/>
  <c r="B170" i="61"/>
  <c r="B179" i="61" s="1"/>
  <c r="G32" i="93"/>
  <c r="G381" i="16"/>
  <c r="G392" i="64"/>
  <c r="H380" i="4"/>
  <c r="G382" i="4"/>
  <c r="G429" i="4" s="1"/>
  <c r="H367" i="48" s="1"/>
  <c r="G430" i="4"/>
  <c r="E62" i="95"/>
  <c r="D63" i="95"/>
  <c r="E58" i="84"/>
  <c r="D59" i="84"/>
  <c r="C357" i="48"/>
  <c r="E63" i="87"/>
  <c r="D64" i="87"/>
  <c r="D431" i="16"/>
  <c r="D383" i="16"/>
  <c r="D430" i="16" s="1"/>
  <c r="E369" i="48" s="1"/>
  <c r="C360" i="48"/>
  <c r="G205" i="4"/>
  <c r="C367" i="48"/>
  <c r="C354" i="48"/>
  <c r="B126" i="70"/>
  <c r="C125" i="70"/>
  <c r="D39" i="95"/>
  <c r="C40" i="95"/>
  <c r="E431" i="16"/>
  <c r="E383" i="16"/>
  <c r="C266" i="48"/>
  <c r="C313" i="48"/>
  <c r="E394" i="64"/>
  <c r="D291" i="48"/>
  <c r="E75" i="84"/>
  <c r="D76" i="84"/>
  <c r="E62" i="86"/>
  <c r="D63" i="86"/>
  <c r="E160" i="48" s="1"/>
  <c r="D155" i="87"/>
  <c r="C156" i="87"/>
  <c r="D357" i="48" s="1"/>
  <c r="E91" i="73"/>
  <c r="D92" i="73"/>
  <c r="E250" i="48" s="1"/>
  <c r="F394" i="64"/>
  <c r="E86" i="87"/>
  <c r="D87" i="87"/>
  <c r="E208" i="48" s="1"/>
  <c r="D154" i="86"/>
  <c r="C155" i="86"/>
  <c r="D360" i="48" s="1"/>
  <c r="D107" i="84"/>
  <c r="C108" i="84"/>
  <c r="D41" i="84"/>
  <c r="C42" i="84"/>
  <c r="D214" i="48"/>
  <c r="D156" i="85"/>
  <c r="C157" i="85"/>
  <c r="D354" i="48" s="1"/>
  <c r="D91" i="84"/>
  <c r="C92" i="84"/>
  <c r="E413" i="16"/>
  <c r="F412" i="16"/>
  <c r="M403" i="64"/>
  <c r="M404" i="64" s="1"/>
  <c r="I403" i="64"/>
  <c r="I404" i="64" s="1"/>
  <c r="E403" i="64"/>
  <c r="E404" i="64" s="1"/>
  <c r="J403" i="64"/>
  <c r="J404" i="64" s="1"/>
  <c r="F403" i="64"/>
  <c r="F404" i="64" s="1"/>
  <c r="L403" i="64"/>
  <c r="L404" i="64" s="1"/>
  <c r="D403" i="64"/>
  <c r="D404" i="64" s="1"/>
  <c r="G403" i="64"/>
  <c r="G404" i="64" s="1"/>
  <c r="K403" i="64"/>
  <c r="K404" i="64" s="1"/>
  <c r="C403" i="64"/>
  <c r="C404" i="64" s="1"/>
  <c r="H403" i="64"/>
  <c r="H404" i="64" s="1"/>
  <c r="B128" i="64"/>
  <c r="B129" i="64" s="1"/>
  <c r="B123" i="64"/>
  <c r="B124" i="64" s="1"/>
  <c r="N124" i="64" s="1"/>
  <c r="C428" i="64"/>
  <c r="C429" i="64" s="1"/>
  <c r="D418" i="64"/>
  <c r="C419" i="64"/>
  <c r="F417" i="16"/>
  <c r="F418" i="16" s="1"/>
  <c r="G407" i="16"/>
  <c r="F408" i="16"/>
  <c r="B433" i="64"/>
  <c r="B424" i="64"/>
  <c r="C423" i="64"/>
  <c r="N177" i="14"/>
  <c r="C179" i="14"/>
  <c r="C172" i="14"/>
  <c r="N170" i="14"/>
  <c r="C66" i="4"/>
  <c r="D70" i="48" s="1"/>
  <c r="C324" i="48"/>
  <c r="C140" i="14"/>
  <c r="N138" i="14"/>
  <c r="C152" i="14"/>
  <c r="C145" i="14"/>
  <c r="N94" i="4"/>
  <c r="F103" i="4"/>
  <c r="F108" i="4"/>
  <c r="F109" i="4" s="1"/>
  <c r="F99" i="4"/>
  <c r="B99" i="4"/>
  <c r="B103" i="4"/>
  <c r="B108" i="4"/>
  <c r="B109" i="4" s="1"/>
  <c r="J270" i="4"/>
  <c r="J32" i="91" s="1"/>
  <c r="I272" i="4"/>
  <c r="I272" i="64"/>
  <c r="G334" i="64"/>
  <c r="G207" i="64"/>
  <c r="H53" i="4"/>
  <c r="H67" i="4"/>
  <c r="H332" i="64"/>
  <c r="H327" i="4"/>
  <c r="H326" i="16"/>
  <c r="I325" i="4"/>
  <c r="I32" i="92" s="1"/>
  <c r="I33" i="92" s="1"/>
  <c r="I36" i="92" s="1"/>
  <c r="H375" i="4"/>
  <c r="H274" i="64"/>
  <c r="N28" i="4"/>
  <c r="H16" i="60"/>
  <c r="C135" i="4"/>
  <c r="B28" i="75"/>
  <c r="D28" i="75" s="1"/>
  <c r="E28" i="75" s="1"/>
  <c r="F135" i="16"/>
  <c r="G118" i="48" s="1"/>
  <c r="F129" i="64"/>
  <c r="C129" i="16"/>
  <c r="C132" i="16"/>
  <c r="C133" i="16" s="1"/>
  <c r="E129" i="4"/>
  <c r="E132" i="4"/>
  <c r="E133" i="4" s="1"/>
  <c r="F66" i="64"/>
  <c r="G241" i="16"/>
  <c r="G243" i="16" s="1"/>
  <c r="I41" i="4"/>
  <c r="I43" i="4" s="1"/>
  <c r="H35" i="16"/>
  <c r="H104" i="4"/>
  <c r="G56" i="64"/>
  <c r="G37" i="16"/>
  <c r="H43" i="4"/>
  <c r="J128" i="4"/>
  <c r="G127" i="64"/>
  <c r="G141" i="64" s="1"/>
  <c r="I188" i="64"/>
  <c r="H119" i="64"/>
  <c r="C291" i="48"/>
  <c r="B154" i="61"/>
  <c r="D27" i="48"/>
  <c r="E169" i="48"/>
  <c r="B124" i="16"/>
  <c r="B128" i="16"/>
  <c r="G114" i="16"/>
  <c r="G135" i="16" s="1"/>
  <c r="J188" i="64"/>
  <c r="K188" i="64"/>
  <c r="G47" i="16"/>
  <c r="L343" i="64"/>
  <c r="L344" i="64" s="1"/>
  <c r="H343" i="64"/>
  <c r="H344" i="64" s="1"/>
  <c r="D343" i="64"/>
  <c r="D344" i="64" s="1"/>
  <c r="F343" i="64"/>
  <c r="F344" i="64" s="1"/>
  <c r="K343" i="64"/>
  <c r="K344" i="64" s="1"/>
  <c r="G343" i="64"/>
  <c r="G344" i="64" s="1"/>
  <c r="C343" i="64"/>
  <c r="C344" i="64" s="1"/>
  <c r="J343" i="64"/>
  <c r="J344" i="64" s="1"/>
  <c r="E343" i="64"/>
  <c r="E344" i="64" s="1"/>
  <c r="M343" i="64"/>
  <c r="M344" i="64" s="1"/>
  <c r="I343" i="64"/>
  <c r="I344" i="64" s="1"/>
  <c r="C368" i="64"/>
  <c r="C369" i="64" s="1"/>
  <c r="D358" i="64"/>
  <c r="C359" i="64"/>
  <c r="E376" i="16"/>
  <c r="E328" i="16"/>
  <c r="B364" i="64"/>
  <c r="C363" i="64"/>
  <c r="B373" i="64"/>
  <c r="D375" i="16"/>
  <c r="E322" i="48" s="1"/>
  <c r="F357" i="16"/>
  <c r="E358" i="16"/>
  <c r="F353" i="16"/>
  <c r="F362" i="16"/>
  <c r="F363" i="16" s="1"/>
  <c r="G352" i="16"/>
  <c r="L243" i="48"/>
  <c r="M243" i="48"/>
  <c r="F87" i="24"/>
  <c r="F91" i="24"/>
  <c r="G295" i="48" s="1"/>
  <c r="H122" i="18"/>
  <c r="G84" i="24"/>
  <c r="G85" i="24" s="1"/>
  <c r="G88" i="24" s="1"/>
  <c r="G123" i="18"/>
  <c r="H242" i="48" s="1"/>
  <c r="E88" i="24"/>
  <c r="N77" i="14"/>
  <c r="L193" i="4"/>
  <c r="L197" i="4"/>
  <c r="E76" i="24"/>
  <c r="E89" i="24"/>
  <c r="E104" i="24" s="1"/>
  <c r="E106" i="24" s="1"/>
  <c r="C27" i="14"/>
  <c r="N27" i="14" s="1"/>
  <c r="H244" i="64"/>
  <c r="K124" i="4"/>
  <c r="K128" i="4"/>
  <c r="H124" i="4"/>
  <c r="H128" i="4"/>
  <c r="M124" i="4"/>
  <c r="M128" i="4"/>
  <c r="F321" i="16"/>
  <c r="K257" i="4"/>
  <c r="F327" i="64"/>
  <c r="H58" i="4"/>
  <c r="H62" i="4"/>
  <c r="H63" i="4" s="1"/>
  <c r="L58" i="4"/>
  <c r="L62" i="4"/>
  <c r="L63" i="4" s="1"/>
  <c r="K58" i="4"/>
  <c r="K62" i="4"/>
  <c r="K63" i="4" s="1"/>
  <c r="G259" i="64"/>
  <c r="G256" i="16"/>
  <c r="G258" i="16" s="1"/>
  <c r="G312" i="64"/>
  <c r="G314" i="64" s="1"/>
  <c r="H316" i="16"/>
  <c r="H318" i="16" s="1"/>
  <c r="G320" i="4"/>
  <c r="I300" i="4"/>
  <c r="I29" i="91" s="1"/>
  <c r="H302" i="4"/>
  <c r="H302" i="64"/>
  <c r="H301" i="16" s="1"/>
  <c r="H303" i="16" s="1"/>
  <c r="H181" i="64"/>
  <c r="H176" i="16" s="1"/>
  <c r="H178" i="16" s="1"/>
  <c r="N232" i="4"/>
  <c r="I51" i="4"/>
  <c r="H46" i="64"/>
  <c r="H45" i="16" s="1"/>
  <c r="C237" i="4"/>
  <c r="C246" i="4"/>
  <c r="C241" i="4"/>
  <c r="C242" i="4" s="1"/>
  <c r="H257" i="64"/>
  <c r="J257" i="4"/>
  <c r="G104" i="4"/>
  <c r="B237" i="4"/>
  <c r="B246" i="4"/>
  <c r="B241" i="4"/>
  <c r="B242" i="4" s="1"/>
  <c r="N79" i="64"/>
  <c r="N148" i="64"/>
  <c r="I177" i="4"/>
  <c r="I172" i="4"/>
  <c r="H308" i="16"/>
  <c r="J316" i="4"/>
  <c r="K316" i="4"/>
  <c r="D53" i="4"/>
  <c r="D57" i="4"/>
  <c r="J192" i="4"/>
  <c r="J187" i="4"/>
  <c r="J188" i="4" s="1"/>
  <c r="J183" i="4"/>
  <c r="F320" i="16"/>
  <c r="G272" i="48" s="1"/>
  <c r="G123" i="4"/>
  <c r="G114" i="4"/>
  <c r="E264" i="4"/>
  <c r="F218" i="48" s="1"/>
  <c r="D54" i="48"/>
  <c r="O54" i="48" s="1"/>
  <c r="B15" i="75" s="1"/>
  <c r="N20" i="24"/>
  <c r="I307" i="64"/>
  <c r="I306" i="16" s="1"/>
  <c r="I307" i="4"/>
  <c r="D187" i="64"/>
  <c r="D183" i="64"/>
  <c r="D32" i="11"/>
  <c r="B21" i="18"/>
  <c r="F187" i="64"/>
  <c r="F183" i="64"/>
  <c r="B183" i="4"/>
  <c r="B192" i="4"/>
  <c r="B187" i="4"/>
  <c r="B188" i="4" s="1"/>
  <c r="G51" i="61"/>
  <c r="F52" i="61"/>
  <c r="G246" i="16"/>
  <c r="G248" i="16" s="1"/>
  <c r="G249" i="64"/>
  <c r="C187" i="64"/>
  <c r="C183" i="64"/>
  <c r="D94" i="61"/>
  <c r="C95" i="61"/>
  <c r="F42" i="4"/>
  <c r="F43" i="4" s="1"/>
  <c r="F38" i="4"/>
  <c r="F52" i="4"/>
  <c r="F47" i="4"/>
  <c r="F48" i="4" s="1"/>
  <c r="E113" i="64"/>
  <c r="E114" i="64" s="1"/>
  <c r="E109" i="64"/>
  <c r="G236" i="16"/>
  <c r="G239" i="64"/>
  <c r="G267" i="64"/>
  <c r="B113" i="64"/>
  <c r="B114" i="64" s="1"/>
  <c r="B109" i="64"/>
  <c r="D252" i="4"/>
  <c r="D256" i="4"/>
  <c r="E136" i="48"/>
  <c r="F172" i="16"/>
  <c r="E173" i="16"/>
  <c r="E205" i="16" s="1"/>
  <c r="M188" i="64"/>
  <c r="B129" i="61"/>
  <c r="C102" i="14"/>
  <c r="N102" i="14" s="1"/>
  <c r="C95" i="14"/>
  <c r="C97" i="14" s="1"/>
  <c r="E40" i="73"/>
  <c r="C21" i="14"/>
  <c r="D21" i="14" s="1"/>
  <c r="B22" i="14"/>
  <c r="N84" i="64"/>
  <c r="I223" i="64"/>
  <c r="I224" i="64" s="1"/>
  <c r="G223" i="64"/>
  <c r="G224" i="64" s="1"/>
  <c r="C283" i="64"/>
  <c r="C284" i="64" s="1"/>
  <c r="M283" i="64"/>
  <c r="M284" i="64" s="1"/>
  <c r="D283" i="64"/>
  <c r="D284" i="64" s="1"/>
  <c r="M223" i="64"/>
  <c r="M224" i="64" s="1"/>
  <c r="F283" i="64"/>
  <c r="F284" i="64" s="1"/>
  <c r="C223" i="64"/>
  <c r="C224" i="64" s="1"/>
  <c r="J283" i="64"/>
  <c r="J284" i="64" s="1"/>
  <c r="H283" i="64"/>
  <c r="H284" i="64" s="1"/>
  <c r="K223" i="64"/>
  <c r="K224" i="64" s="1"/>
  <c r="I283" i="64"/>
  <c r="I284" i="64" s="1"/>
  <c r="L223" i="64"/>
  <c r="L224" i="64" s="1"/>
  <c r="K283" i="64"/>
  <c r="K284" i="64" s="1"/>
  <c r="E283" i="64"/>
  <c r="E284" i="64" s="1"/>
  <c r="L283" i="64"/>
  <c r="L284" i="64" s="1"/>
  <c r="E223" i="64"/>
  <c r="E224" i="64" s="1"/>
  <c r="F223" i="64"/>
  <c r="F224" i="64" s="1"/>
  <c r="J223" i="64"/>
  <c r="J224" i="64" s="1"/>
  <c r="B23" i="64"/>
  <c r="D223" i="64"/>
  <c r="D224" i="64" s="1"/>
  <c r="H223" i="64"/>
  <c r="H224" i="64" s="1"/>
  <c r="G283" i="64"/>
  <c r="G284" i="64" s="1"/>
  <c r="E93" i="48"/>
  <c r="O93" i="48" s="1"/>
  <c r="N51" i="18"/>
  <c r="H247" i="64"/>
  <c r="H247" i="4"/>
  <c r="K213" i="64"/>
  <c r="K214" i="64" s="1"/>
  <c r="K197" i="64"/>
  <c r="I123" i="4"/>
  <c r="I114" i="4"/>
  <c r="F101" i="61"/>
  <c r="E102" i="61"/>
  <c r="F187" i="48" s="1"/>
  <c r="D126" i="61"/>
  <c r="C127" i="61"/>
  <c r="D239" i="48" s="1"/>
  <c r="G113" i="64"/>
  <c r="G114" i="64" s="1"/>
  <c r="G109" i="64"/>
  <c r="E94" i="48"/>
  <c r="O94" i="48" s="1"/>
  <c r="N34" i="24"/>
  <c r="B104" i="61"/>
  <c r="C186" i="48"/>
  <c r="L113" i="64"/>
  <c r="L109" i="64"/>
  <c r="D138" i="48"/>
  <c r="C77" i="18"/>
  <c r="D145" i="48"/>
  <c r="D57" i="70"/>
  <c r="D58" i="70" s="1"/>
  <c r="F76" i="61"/>
  <c r="E77" i="61"/>
  <c r="F136" i="48" s="1"/>
  <c r="K113" i="64"/>
  <c r="K109" i="64"/>
  <c r="J197" i="64"/>
  <c r="J213" i="64"/>
  <c r="J214" i="64" s="1"/>
  <c r="N89" i="64"/>
  <c r="C113" i="64"/>
  <c r="C114" i="64" s="1"/>
  <c r="C109" i="64"/>
  <c r="M213" i="64"/>
  <c r="M214" i="64" s="1"/>
  <c r="M197" i="64"/>
  <c r="B304" i="64"/>
  <c r="C303" i="64"/>
  <c r="B313" i="64"/>
  <c r="H317" i="64"/>
  <c r="I315" i="4"/>
  <c r="H317" i="4"/>
  <c r="I57" i="4"/>
  <c r="B37" i="4"/>
  <c r="B33" i="4"/>
  <c r="L253" i="16"/>
  <c r="N253" i="16" s="1"/>
  <c r="N251" i="16"/>
  <c r="E69" i="18"/>
  <c r="D70" i="18"/>
  <c r="D113" i="64"/>
  <c r="D114" i="64" s="1"/>
  <c r="D109" i="64"/>
  <c r="I113" i="64"/>
  <c r="I109" i="64"/>
  <c r="F187" i="4"/>
  <c r="F188" i="4" s="1"/>
  <c r="F183" i="4"/>
  <c r="F192" i="4"/>
  <c r="N104" i="64"/>
  <c r="H112" i="16"/>
  <c r="H136" i="16" s="1"/>
  <c r="I102" i="4"/>
  <c r="L197" i="64"/>
  <c r="L213" i="64"/>
  <c r="L214" i="64" s="1"/>
  <c r="J113" i="64"/>
  <c r="J109" i="64"/>
  <c r="L188" i="64"/>
  <c r="H245" i="48"/>
  <c r="O245" i="48" s="1"/>
  <c r="N85" i="49"/>
  <c r="H113" i="64"/>
  <c r="H109" i="64"/>
  <c r="E187" i="64"/>
  <c r="E183" i="64"/>
  <c r="C308" i="64"/>
  <c r="C309" i="64" s="1"/>
  <c r="D298" i="64"/>
  <c r="C299" i="64"/>
  <c r="G311" i="16"/>
  <c r="G319" i="64"/>
  <c r="E307" i="4"/>
  <c r="E311" i="4"/>
  <c r="D74" i="49"/>
  <c r="D75" i="49" s="1"/>
  <c r="D194" i="48"/>
  <c r="F238" i="16"/>
  <c r="F266" i="16"/>
  <c r="K183" i="4"/>
  <c r="K192" i="4"/>
  <c r="K187" i="4"/>
  <c r="K188" i="4" s="1"/>
  <c r="F113" i="64"/>
  <c r="F114" i="64" s="1"/>
  <c r="F109" i="64"/>
  <c r="I213" i="64"/>
  <c r="I214" i="64" s="1"/>
  <c r="I197" i="64"/>
  <c r="G261" i="4"/>
  <c r="G262" i="4" s="1"/>
  <c r="G257" i="4"/>
  <c r="H187" i="64"/>
  <c r="H237" i="64"/>
  <c r="I235" i="4"/>
  <c r="H237" i="4"/>
  <c r="H265" i="4"/>
  <c r="G187" i="64"/>
  <c r="G183" i="64"/>
  <c r="M113" i="64"/>
  <c r="M109" i="64"/>
  <c r="F45" i="18"/>
  <c r="E46" i="18"/>
  <c r="E178" i="4"/>
  <c r="E182" i="4"/>
  <c r="F93" i="18"/>
  <c r="E94" i="18"/>
  <c r="D238" i="48"/>
  <c r="F74" i="70"/>
  <c r="F75" i="70" s="1"/>
  <c r="F196" i="48"/>
  <c r="N73" i="49"/>
  <c r="C52" i="14"/>
  <c r="N51" i="14"/>
  <c r="G178" i="4"/>
  <c r="G182" i="4"/>
  <c r="M55" i="16"/>
  <c r="L57" i="16"/>
  <c r="C127" i="14"/>
  <c r="N126" i="14"/>
  <c r="E69" i="61"/>
  <c r="D70" i="61"/>
  <c r="B74" i="75"/>
  <c r="D74" i="75" s="1"/>
  <c r="E74" i="75" s="1"/>
  <c r="C45" i="14"/>
  <c r="N44" i="14"/>
  <c r="G11" i="64"/>
  <c r="G13" i="4"/>
  <c r="G66" i="4" s="1"/>
  <c r="H70" i="48" s="1"/>
  <c r="B90" i="75"/>
  <c r="D90" i="75" s="1"/>
  <c r="E90" i="75" s="1"/>
  <c r="B154" i="75"/>
  <c r="D154" i="75" s="1"/>
  <c r="E154" i="75" s="1"/>
  <c r="F191" i="48"/>
  <c r="O191" i="48" s="1"/>
  <c r="N62" i="24"/>
  <c r="H296" i="16"/>
  <c r="C15" i="14"/>
  <c r="N13" i="14"/>
  <c r="I297" i="64"/>
  <c r="J295" i="4"/>
  <c r="J28" i="91" s="1"/>
  <c r="I297" i="4"/>
  <c r="E92" i="48"/>
  <c r="D53" i="18"/>
  <c r="E91" i="70"/>
  <c r="E92" i="70" s="1"/>
  <c r="E248" i="48"/>
  <c r="C120" i="14"/>
  <c r="N119" i="14"/>
  <c r="F168" i="16"/>
  <c r="E40" i="70"/>
  <c r="E41" i="70" s="1"/>
  <c r="E99" i="48"/>
  <c r="E189" i="48"/>
  <c r="D101" i="18"/>
  <c r="C182" i="4"/>
  <c r="C178" i="4"/>
  <c r="D133" i="48"/>
  <c r="O133" i="48" s="1"/>
  <c r="N79" i="14"/>
  <c r="C81" i="14"/>
  <c r="N81" i="14" s="1"/>
  <c r="E196" i="48"/>
  <c r="D182" i="4"/>
  <c r="D178" i="4"/>
  <c r="D132" i="48"/>
  <c r="N72" i="14"/>
  <c r="J57" i="4"/>
  <c r="D135" i="48"/>
  <c r="C79" i="61"/>
  <c r="D114" i="4"/>
  <c r="D123" i="4"/>
  <c r="E91" i="49"/>
  <c r="E92" i="49" s="1"/>
  <c r="C20" i="14"/>
  <c r="F57" i="73"/>
  <c r="I10" i="60"/>
  <c r="D99" i="48"/>
  <c r="I241" i="16"/>
  <c r="I243" i="16" s="1"/>
  <c r="I244" i="64"/>
  <c r="L241" i="4"/>
  <c r="L246" i="4"/>
  <c r="L251" i="4" s="1"/>
  <c r="L256" i="4" s="1"/>
  <c r="F117" i="18"/>
  <c r="E118" i="18"/>
  <c r="I117" i="16"/>
  <c r="I119" i="16" s="1"/>
  <c r="I117" i="64"/>
  <c r="J107" i="4"/>
  <c r="I109" i="4"/>
  <c r="F23" i="73"/>
  <c r="D16" i="48"/>
  <c r="O16" i="48" s="1"/>
  <c r="D50" i="48"/>
  <c r="O50" i="48" s="1"/>
  <c r="B12" i="75" s="1"/>
  <c r="N27" i="61"/>
  <c r="I18" i="64"/>
  <c r="G166" i="16"/>
  <c r="G206" i="16" s="1"/>
  <c r="G173" i="64"/>
  <c r="C40" i="14"/>
  <c r="N38" i="14"/>
  <c r="G47" i="48"/>
  <c r="H243" i="16"/>
  <c r="L123" i="4"/>
  <c r="L114" i="4"/>
  <c r="H119" i="48"/>
  <c r="H170" i="48"/>
  <c r="H221" i="48"/>
  <c r="H273" i="48"/>
  <c r="F74" i="73"/>
  <c r="G311" i="4"/>
  <c r="G307" i="4"/>
  <c r="J242" i="4"/>
  <c r="E119" i="61"/>
  <c r="D120" i="61"/>
  <c r="D307" i="4"/>
  <c r="D311" i="4"/>
  <c r="E241" i="48"/>
  <c r="D125" i="18"/>
  <c r="E12" i="16"/>
  <c r="E64" i="16" s="1"/>
  <c r="F72" i="48" s="1"/>
  <c r="H182" i="4"/>
  <c r="H178" i="4"/>
  <c r="F10" i="16"/>
  <c r="F65" i="16" s="1"/>
  <c r="F13" i="64"/>
  <c r="C87" i="48"/>
  <c r="C115" i="14"/>
  <c r="N113" i="14"/>
  <c r="H171" i="64"/>
  <c r="I166" i="4"/>
  <c r="H168" i="4"/>
  <c r="I307" i="16"/>
  <c r="J297" i="16"/>
  <c r="N88" i="14"/>
  <c r="C90" i="14"/>
  <c r="D43" i="64"/>
  <c r="M193" i="64"/>
  <c r="F261" i="4"/>
  <c r="F262" i="4" s="1"/>
  <c r="F257" i="4"/>
  <c r="E38" i="64"/>
  <c r="F37" i="64"/>
  <c r="L193" i="64"/>
  <c r="K122" i="14"/>
  <c r="L235" i="48" s="1"/>
  <c r="L121" i="14"/>
  <c r="B58" i="64"/>
  <c r="B63" i="64"/>
  <c r="M46" i="14"/>
  <c r="M47" i="14" s="1"/>
  <c r="L47" i="14"/>
  <c r="B158" i="64"/>
  <c r="C319" i="4"/>
  <c r="M261" i="4"/>
  <c r="M262" i="4" s="1"/>
  <c r="M257" i="4"/>
  <c r="G23" i="64"/>
  <c r="I193" i="64"/>
  <c r="J131" i="14"/>
  <c r="C48" i="64"/>
  <c r="L86" i="48"/>
  <c r="K56" i="14"/>
  <c r="B76" i="75"/>
  <c r="D76" i="75" s="1"/>
  <c r="E76" i="75" s="1"/>
  <c r="F33" i="64"/>
  <c r="J193" i="64"/>
  <c r="K193" i="64"/>
  <c r="B105" i="75"/>
  <c r="D105" i="75" s="1"/>
  <c r="E105" i="75" s="1"/>
  <c r="G28" i="64"/>
  <c r="B133" i="64" l="1"/>
  <c r="B137" i="64" s="1"/>
  <c r="B138" i="64" s="1"/>
  <c r="E430" i="16"/>
  <c r="F369" i="48" s="1"/>
  <c r="I136" i="4"/>
  <c r="I27" i="94"/>
  <c r="I31" i="94" s="1"/>
  <c r="I171" i="4"/>
  <c r="I173" i="4" s="1"/>
  <c r="I323" i="48"/>
  <c r="I370" i="48"/>
  <c r="I73" i="48"/>
  <c r="E91" i="84"/>
  <c r="D92" i="84"/>
  <c r="E41" i="84"/>
  <c r="D42" i="84"/>
  <c r="E154" i="86"/>
  <c r="D155" i="86"/>
  <c r="E360" i="48" s="1"/>
  <c r="E155" i="87"/>
  <c r="D156" i="87"/>
  <c r="E357" i="48" s="1"/>
  <c r="F75" i="84"/>
  <c r="E76" i="84"/>
  <c r="E157" i="48"/>
  <c r="G447" i="64"/>
  <c r="G394" i="64"/>
  <c r="C170" i="61"/>
  <c r="D340" i="48" s="1"/>
  <c r="D169" i="61"/>
  <c r="K89" i="79"/>
  <c r="J90" i="79"/>
  <c r="K252" i="48" s="1"/>
  <c r="E39" i="86"/>
  <c r="D40" i="86"/>
  <c r="E131" i="95"/>
  <c r="D132" i="95"/>
  <c r="E316" i="48" s="1"/>
  <c r="D341" i="48"/>
  <c r="C179" i="61"/>
  <c r="H31" i="94"/>
  <c r="D126" i="49"/>
  <c r="E125" i="49"/>
  <c r="F22" i="86"/>
  <c r="E23" i="86"/>
  <c r="F22" i="95"/>
  <c r="E23" i="95"/>
  <c r="F151" i="61"/>
  <c r="E152" i="61"/>
  <c r="E131" i="86"/>
  <c r="D132" i="86"/>
  <c r="G178" i="64"/>
  <c r="E39" i="95"/>
  <c r="D40" i="95"/>
  <c r="F63" i="87"/>
  <c r="E64" i="87"/>
  <c r="F157" i="48" s="1"/>
  <c r="F58" i="84"/>
  <c r="E59" i="84"/>
  <c r="G431" i="16"/>
  <c r="G383" i="16"/>
  <c r="G293" i="48"/>
  <c r="F150" i="18"/>
  <c r="E108" i="70"/>
  <c r="D109" i="70"/>
  <c r="E300" i="48" s="1"/>
  <c r="E154" i="95"/>
  <c r="D155" i="95"/>
  <c r="I22" i="85"/>
  <c r="H23" i="85"/>
  <c r="I67" i="48" s="1"/>
  <c r="E40" i="87"/>
  <c r="D41" i="87"/>
  <c r="E111" i="48" s="1"/>
  <c r="E176" i="61"/>
  <c r="D177" i="61"/>
  <c r="F23" i="87"/>
  <c r="E24" i="87"/>
  <c r="I28" i="90"/>
  <c r="I28" i="89"/>
  <c r="I317" i="4"/>
  <c r="I30" i="91"/>
  <c r="I33" i="91" s="1"/>
  <c r="I36" i="91" s="1"/>
  <c r="E156" i="85"/>
  <c r="D157" i="85"/>
  <c r="E107" i="84"/>
  <c r="D108" i="84"/>
  <c r="F86" i="87"/>
  <c r="E87" i="87"/>
  <c r="F91" i="73"/>
  <c r="E92" i="73"/>
  <c r="F250" i="48" s="1"/>
  <c r="F62" i="86"/>
  <c r="E63" i="86"/>
  <c r="F160" i="48" s="1"/>
  <c r="C126" i="70"/>
  <c r="D350" i="48" s="1"/>
  <c r="D125" i="70"/>
  <c r="E163" i="48"/>
  <c r="G33" i="93"/>
  <c r="G36" i="93" s="1"/>
  <c r="E109" i="87"/>
  <c r="D110" i="87"/>
  <c r="E260" i="48" s="1"/>
  <c r="H142" i="18"/>
  <c r="G143" i="18"/>
  <c r="E132" i="87"/>
  <c r="D133" i="87"/>
  <c r="E310" i="48" s="1"/>
  <c r="E132" i="85"/>
  <c r="D133" i="85"/>
  <c r="E306" i="48" s="1"/>
  <c r="D290" i="48"/>
  <c r="F343" i="48"/>
  <c r="E175" i="18"/>
  <c r="E214" i="48"/>
  <c r="E211" i="48"/>
  <c r="F24" i="84"/>
  <c r="E25" i="84"/>
  <c r="E108" i="95"/>
  <c r="D109" i="95"/>
  <c r="C350" i="48"/>
  <c r="F62" i="95"/>
  <c r="E63" i="95"/>
  <c r="F163" i="48" s="1"/>
  <c r="H32" i="93"/>
  <c r="H392" i="64"/>
  <c r="H381" i="16"/>
  <c r="H382" i="4"/>
  <c r="I380" i="4"/>
  <c r="H430" i="4"/>
  <c r="C340" i="48"/>
  <c r="E108" i="86"/>
  <c r="D109" i="86"/>
  <c r="E263" i="48" s="1"/>
  <c r="E144" i="61"/>
  <c r="D145" i="61"/>
  <c r="E290" i="48" s="1"/>
  <c r="F168" i="18"/>
  <c r="G167" i="18"/>
  <c r="F108" i="49"/>
  <c r="E109" i="49"/>
  <c r="F298" i="48" s="1"/>
  <c r="H29" i="90"/>
  <c r="H29" i="89"/>
  <c r="H33" i="89" s="1"/>
  <c r="H176" i="64"/>
  <c r="H207" i="64" s="1"/>
  <c r="F85" i="95"/>
  <c r="E86" i="95"/>
  <c r="F214" i="48" s="1"/>
  <c r="F85" i="86"/>
  <c r="E86" i="86"/>
  <c r="F211" i="48" s="1"/>
  <c r="E291" i="48"/>
  <c r="D154" i="61"/>
  <c r="B438" i="64"/>
  <c r="B434" i="64"/>
  <c r="N434" i="64" s="1"/>
  <c r="C424" i="64"/>
  <c r="C446" i="64" s="1"/>
  <c r="D368" i="48" s="1"/>
  <c r="D423" i="64"/>
  <c r="G417" i="16"/>
  <c r="G418" i="16" s="1"/>
  <c r="H407" i="16"/>
  <c r="G408" i="16"/>
  <c r="G412" i="16"/>
  <c r="F413" i="16"/>
  <c r="F430" i="16" s="1"/>
  <c r="G369" i="48" s="1"/>
  <c r="D428" i="64"/>
  <c r="D429" i="64" s="1"/>
  <c r="D419" i="64"/>
  <c r="E418" i="64"/>
  <c r="D337" i="48"/>
  <c r="O337" i="48" s="1"/>
  <c r="B195" i="75" s="1"/>
  <c r="N172" i="14"/>
  <c r="D338" i="48"/>
  <c r="O338" i="48" s="1"/>
  <c r="B196" i="75" s="1"/>
  <c r="D196" i="75" s="1"/>
  <c r="E196" i="75" s="1"/>
  <c r="N179" i="14"/>
  <c r="C181" i="14"/>
  <c r="N181" i="14" s="1"/>
  <c r="F345" i="48"/>
  <c r="O345" i="48" s="1"/>
  <c r="B201" i="75" s="1"/>
  <c r="D201" i="75" s="1"/>
  <c r="E201" i="75" s="1"/>
  <c r="N106" i="24"/>
  <c r="C154" i="14"/>
  <c r="N152" i="14"/>
  <c r="D286" i="48"/>
  <c r="O286" i="48" s="1"/>
  <c r="N140" i="14"/>
  <c r="D324" i="48" s="1"/>
  <c r="O324" i="48" s="1"/>
  <c r="B186" i="75" s="1"/>
  <c r="D186" i="75" s="1"/>
  <c r="E186" i="75" s="1"/>
  <c r="D11" i="48"/>
  <c r="O11" i="48" s="1"/>
  <c r="C147" i="14"/>
  <c r="N145" i="14"/>
  <c r="N99" i="4"/>
  <c r="E135" i="4"/>
  <c r="F116" i="48" s="1"/>
  <c r="B113" i="4"/>
  <c r="B104" i="4"/>
  <c r="F104" i="4"/>
  <c r="F113" i="4"/>
  <c r="L198" i="4"/>
  <c r="L201" i="4"/>
  <c r="L202" i="4" s="1"/>
  <c r="H374" i="4"/>
  <c r="I271" i="16"/>
  <c r="I273" i="16" s="1"/>
  <c r="I274" i="64"/>
  <c r="H387" i="64"/>
  <c r="H334" i="64"/>
  <c r="J325" i="4"/>
  <c r="J32" i="92" s="1"/>
  <c r="J33" i="92" s="1"/>
  <c r="J36" i="92" s="1"/>
  <c r="I327" i="4"/>
  <c r="I374" i="4" s="1"/>
  <c r="J320" i="48" s="1"/>
  <c r="I326" i="16"/>
  <c r="I332" i="64"/>
  <c r="I375" i="4"/>
  <c r="K270" i="4"/>
  <c r="K32" i="91" s="1"/>
  <c r="J272" i="4"/>
  <c r="J272" i="64"/>
  <c r="I53" i="4"/>
  <c r="I67" i="4"/>
  <c r="I16" i="60"/>
  <c r="D116" i="48"/>
  <c r="I198" i="64"/>
  <c r="I201" i="64"/>
  <c r="I202" i="64" s="1"/>
  <c r="L198" i="64"/>
  <c r="L201" i="64"/>
  <c r="L202" i="64" s="1"/>
  <c r="M198" i="64"/>
  <c r="M201" i="64"/>
  <c r="M202" i="64" s="1"/>
  <c r="J198" i="64"/>
  <c r="J201" i="64"/>
  <c r="J202" i="64" s="1"/>
  <c r="K198" i="64"/>
  <c r="K201" i="64"/>
  <c r="K202" i="64" s="1"/>
  <c r="C135" i="16"/>
  <c r="D118" i="48" s="1"/>
  <c r="B129" i="16"/>
  <c r="N129" i="16" s="1"/>
  <c r="B132" i="16"/>
  <c r="B133" i="16" s="1"/>
  <c r="N133" i="16" s="1"/>
  <c r="H129" i="4"/>
  <c r="H132" i="4"/>
  <c r="H133" i="4" s="1"/>
  <c r="M129" i="4"/>
  <c r="M132" i="4"/>
  <c r="M133" i="4" s="1"/>
  <c r="J129" i="4"/>
  <c r="J132" i="4"/>
  <c r="J133" i="4" s="1"/>
  <c r="K129" i="4"/>
  <c r="K132" i="4"/>
  <c r="K133" i="4" s="1"/>
  <c r="G129" i="64"/>
  <c r="H56" i="64"/>
  <c r="H37" i="16"/>
  <c r="J41" i="4"/>
  <c r="I35" i="16"/>
  <c r="G66" i="64"/>
  <c r="H127" i="64"/>
  <c r="H141" i="64" s="1"/>
  <c r="G327" i="64"/>
  <c r="C29" i="14"/>
  <c r="D47" i="48" s="1"/>
  <c r="O47" i="48" s="1"/>
  <c r="B10" i="75" s="1"/>
  <c r="B65" i="64"/>
  <c r="C71" i="48" s="1"/>
  <c r="N124" i="16"/>
  <c r="H118" i="48"/>
  <c r="H47" i="16"/>
  <c r="B378" i="64"/>
  <c r="B393" i="64" s="1"/>
  <c r="B374" i="64"/>
  <c r="N374" i="64" s="1"/>
  <c r="F376" i="16"/>
  <c r="F328" i="16"/>
  <c r="D363" i="64"/>
  <c r="C364" i="64"/>
  <c r="C386" i="64" s="1"/>
  <c r="D321" i="48" s="1"/>
  <c r="E358" i="64"/>
  <c r="D368" i="64"/>
  <c r="D369" i="64" s="1"/>
  <c r="D359" i="64"/>
  <c r="G357" i="16"/>
  <c r="F358" i="16"/>
  <c r="E375" i="16"/>
  <c r="F322" i="48" s="1"/>
  <c r="G353" i="16"/>
  <c r="H352" i="16"/>
  <c r="G362" i="16"/>
  <c r="G363" i="16" s="1"/>
  <c r="F243" i="48"/>
  <c r="O243" i="48" s="1"/>
  <c r="B138" i="75" s="1"/>
  <c r="D138" i="75" s="1"/>
  <c r="E138" i="75" s="1"/>
  <c r="C129" i="61"/>
  <c r="H84" i="24"/>
  <c r="I122" i="18"/>
  <c r="H123" i="18"/>
  <c r="E87" i="24"/>
  <c r="G87" i="24"/>
  <c r="G91" i="24"/>
  <c r="H295" i="48" s="1"/>
  <c r="N76" i="24"/>
  <c r="C104" i="14"/>
  <c r="C106" i="14" s="1"/>
  <c r="N106" i="14" s="1"/>
  <c r="B193" i="4"/>
  <c r="B197" i="4"/>
  <c r="K193" i="4"/>
  <c r="K197" i="4"/>
  <c r="F193" i="4"/>
  <c r="F197" i="4"/>
  <c r="E91" i="24"/>
  <c r="F295" i="48" s="1"/>
  <c r="N95" i="14"/>
  <c r="J193" i="4"/>
  <c r="J197" i="4"/>
  <c r="G124" i="4"/>
  <c r="G128" i="4"/>
  <c r="D124" i="4"/>
  <c r="D128" i="4"/>
  <c r="I124" i="4"/>
  <c r="I128" i="4"/>
  <c r="L124" i="4"/>
  <c r="L128" i="4"/>
  <c r="J58" i="4"/>
  <c r="J62" i="4"/>
  <c r="J63" i="4" s="1"/>
  <c r="I58" i="4"/>
  <c r="I62" i="4"/>
  <c r="I63" i="4" s="1"/>
  <c r="D58" i="4"/>
  <c r="D62" i="4"/>
  <c r="D63" i="4" s="1"/>
  <c r="H183" i="64"/>
  <c r="C251" i="4"/>
  <c r="C247" i="4"/>
  <c r="I181" i="64"/>
  <c r="I257" i="64"/>
  <c r="I252" i="4"/>
  <c r="J51" i="4"/>
  <c r="I46" i="64"/>
  <c r="I45" i="16" s="1"/>
  <c r="I302" i="64"/>
  <c r="I301" i="16" s="1"/>
  <c r="I303" i="16" s="1"/>
  <c r="I302" i="4"/>
  <c r="J300" i="4"/>
  <c r="J29" i="91" s="1"/>
  <c r="H312" i="64"/>
  <c r="I316" i="16"/>
  <c r="I318" i="16" s="1"/>
  <c r="H312" i="4"/>
  <c r="H319" i="4" s="1"/>
  <c r="I270" i="48" s="1"/>
  <c r="H320" i="4"/>
  <c r="H259" i="64"/>
  <c r="H256" i="16"/>
  <c r="H258" i="16" s="1"/>
  <c r="I182" i="4"/>
  <c r="I178" i="4"/>
  <c r="B251" i="4"/>
  <c r="B247" i="4"/>
  <c r="I308" i="16"/>
  <c r="H264" i="4"/>
  <c r="I218" i="48" s="1"/>
  <c r="D15" i="75"/>
  <c r="E15" i="75" s="1"/>
  <c r="G192" i="64"/>
  <c r="G188" i="64"/>
  <c r="B314" i="64"/>
  <c r="B318" i="64"/>
  <c r="B333" i="64" s="1"/>
  <c r="H249" i="64"/>
  <c r="H246" i="16"/>
  <c r="H248" i="16" s="1"/>
  <c r="E21" i="14"/>
  <c r="D22" i="14"/>
  <c r="C23" i="49"/>
  <c r="C24" i="49" s="1"/>
  <c r="G23" i="49"/>
  <c r="G24" i="49" s="1"/>
  <c r="K23" i="49"/>
  <c r="K24" i="49" s="1"/>
  <c r="E23" i="49"/>
  <c r="E24" i="49" s="1"/>
  <c r="I23" i="49"/>
  <c r="I24" i="49" s="1"/>
  <c r="M23" i="49"/>
  <c r="M24" i="49" s="1"/>
  <c r="D23" i="49"/>
  <c r="D24" i="49" s="1"/>
  <c r="L23" i="49"/>
  <c r="L24" i="49" s="1"/>
  <c r="F23" i="49"/>
  <c r="F24" i="49" s="1"/>
  <c r="B23" i="49"/>
  <c r="B24" i="49" s="1"/>
  <c r="H23" i="49"/>
  <c r="H24" i="49" s="1"/>
  <c r="J23" i="49"/>
  <c r="J24" i="49" s="1"/>
  <c r="B40" i="49"/>
  <c r="B41" i="49" s="1"/>
  <c r="M40" i="49"/>
  <c r="L40" i="49"/>
  <c r="D35" i="11"/>
  <c r="C40" i="49"/>
  <c r="H40" i="49"/>
  <c r="F40" i="49"/>
  <c r="E40" i="49"/>
  <c r="G40" i="49"/>
  <c r="D40" i="49"/>
  <c r="J40" i="49"/>
  <c r="I40" i="49"/>
  <c r="K40" i="49"/>
  <c r="D38" i="11"/>
  <c r="E74" i="49"/>
  <c r="E75" i="49" s="1"/>
  <c r="E194" i="48"/>
  <c r="E57" i="70"/>
  <c r="E58" i="70" s="1"/>
  <c r="E145" i="48"/>
  <c r="G101" i="61"/>
  <c r="F102" i="61"/>
  <c r="G187" i="48" s="1"/>
  <c r="H192" i="64"/>
  <c r="H188" i="64"/>
  <c r="F265" i="16"/>
  <c r="G220" i="48" s="1"/>
  <c r="E316" i="4"/>
  <c r="E317" i="4" s="1"/>
  <c r="E312" i="4"/>
  <c r="E192" i="64"/>
  <c r="E188" i="64"/>
  <c r="I112" i="16"/>
  <c r="I136" i="16" s="1"/>
  <c r="J102" i="4"/>
  <c r="I104" i="4"/>
  <c r="F69" i="18"/>
  <c r="E70" i="18"/>
  <c r="B52" i="4"/>
  <c r="B47" i="4"/>
  <c r="B48" i="4" s="1"/>
  <c r="N48" i="4" s="1"/>
  <c r="B42" i="4"/>
  <c r="B43" i="4" s="1"/>
  <c r="B38" i="4"/>
  <c r="N38" i="4" s="1"/>
  <c r="J315" i="4"/>
  <c r="J30" i="91" s="1"/>
  <c r="I317" i="64"/>
  <c r="B43" i="75"/>
  <c r="D43" i="75" s="1"/>
  <c r="E43" i="75" s="1"/>
  <c r="F40" i="73"/>
  <c r="F192" i="64"/>
  <c r="F188" i="64"/>
  <c r="D192" i="64"/>
  <c r="D188" i="64"/>
  <c r="H236" i="16"/>
  <c r="H239" i="64"/>
  <c r="H267" i="64"/>
  <c r="H114" i="64"/>
  <c r="G172" i="16"/>
  <c r="F173" i="16"/>
  <c r="F205" i="16" s="1"/>
  <c r="D186" i="48"/>
  <c r="C104" i="61"/>
  <c r="C192" i="64"/>
  <c r="C188" i="64"/>
  <c r="G90" i="48"/>
  <c r="J307" i="4"/>
  <c r="J307" i="64"/>
  <c r="J306" i="16" s="1"/>
  <c r="G313" i="16"/>
  <c r="G320" i="16" s="1"/>
  <c r="H272" i="48" s="1"/>
  <c r="G321" i="16"/>
  <c r="E138" i="48"/>
  <c r="D77" i="18"/>
  <c r="N33" i="4"/>
  <c r="D303" i="64"/>
  <c r="C304" i="64"/>
  <c r="C326" i="64" s="1"/>
  <c r="D271" i="48" s="1"/>
  <c r="G76" i="61"/>
  <c r="F77" i="61"/>
  <c r="G136" i="48" s="1"/>
  <c r="N109" i="64"/>
  <c r="G238" i="16"/>
  <c r="G265" i="16" s="1"/>
  <c r="H220" i="48" s="1"/>
  <c r="G266" i="16"/>
  <c r="F53" i="4"/>
  <c r="F57" i="4"/>
  <c r="E94" i="61"/>
  <c r="D95" i="61"/>
  <c r="H51" i="61"/>
  <c r="G52" i="61"/>
  <c r="H90" i="48" s="1"/>
  <c r="I237" i="64"/>
  <c r="J235" i="4"/>
  <c r="I237" i="4"/>
  <c r="I265" i="4"/>
  <c r="G264" i="4"/>
  <c r="H218" i="48" s="1"/>
  <c r="E298" i="64"/>
  <c r="D299" i="64"/>
  <c r="D308" i="64"/>
  <c r="D309" i="64" s="1"/>
  <c r="H114" i="16"/>
  <c r="H135" i="16" s="1"/>
  <c r="H311" i="16"/>
  <c r="H313" i="16" s="1"/>
  <c r="H319" i="64"/>
  <c r="B44" i="75"/>
  <c r="D44" i="75" s="1"/>
  <c r="E44" i="75" s="1"/>
  <c r="D127" i="61"/>
  <c r="E239" i="48" s="1"/>
  <c r="E126" i="61"/>
  <c r="I247" i="64"/>
  <c r="I247" i="4"/>
  <c r="C46" i="48"/>
  <c r="B31" i="14"/>
  <c r="D257" i="4"/>
  <c r="D261" i="4"/>
  <c r="D262" i="4" s="1"/>
  <c r="C21" i="18"/>
  <c r="B22" i="18"/>
  <c r="O132" i="48"/>
  <c r="K297" i="16"/>
  <c r="J307" i="16"/>
  <c r="I171" i="64"/>
  <c r="J166" i="4"/>
  <c r="I168" i="4"/>
  <c r="F241" i="48"/>
  <c r="E125" i="18"/>
  <c r="I28" i="48"/>
  <c r="I170" i="48"/>
  <c r="I273" i="48"/>
  <c r="I119" i="48"/>
  <c r="I221" i="48"/>
  <c r="C22" i="14"/>
  <c r="N20" i="14"/>
  <c r="B69" i="75"/>
  <c r="D69" i="75" s="1"/>
  <c r="E69" i="75" s="1"/>
  <c r="C187" i="4"/>
  <c r="C188" i="4" s="1"/>
  <c r="C192" i="4"/>
  <c r="C183" i="4"/>
  <c r="F40" i="70"/>
  <c r="F41" i="70" s="1"/>
  <c r="C122" i="14"/>
  <c r="N120" i="14"/>
  <c r="F91" i="70"/>
  <c r="F92" i="70" s="1"/>
  <c r="F248" i="48"/>
  <c r="B106" i="75"/>
  <c r="D106" i="75" s="1"/>
  <c r="E106" i="75" s="1"/>
  <c r="G10" i="16"/>
  <c r="G65" i="16" s="1"/>
  <c r="G13" i="64"/>
  <c r="C129" i="14"/>
  <c r="D236" i="48" s="1"/>
  <c r="O236" i="48" s="1"/>
  <c r="N127" i="14"/>
  <c r="G45" i="18"/>
  <c r="F46" i="18"/>
  <c r="D234" i="48"/>
  <c r="O234" i="48" s="1"/>
  <c r="N115" i="14"/>
  <c r="F12" i="16"/>
  <c r="F64" i="16" s="1"/>
  <c r="G72" i="48" s="1"/>
  <c r="F119" i="61"/>
  <c r="E120" i="61"/>
  <c r="G23" i="73"/>
  <c r="G57" i="73"/>
  <c r="F91" i="49"/>
  <c r="F92" i="49" s="1"/>
  <c r="F246" i="48"/>
  <c r="F169" i="48"/>
  <c r="D192" i="4"/>
  <c r="D187" i="4"/>
  <c r="D188" i="4" s="1"/>
  <c r="D183" i="4"/>
  <c r="H11" i="64"/>
  <c r="H13" i="4"/>
  <c r="H66" i="4" s="1"/>
  <c r="I70" i="48" s="1"/>
  <c r="D183" i="48"/>
  <c r="N97" i="14"/>
  <c r="F92" i="48"/>
  <c r="E53" i="18"/>
  <c r="D182" i="48"/>
  <c r="N90" i="14"/>
  <c r="D312" i="4"/>
  <c r="D316" i="4"/>
  <c r="D317" i="4" s="1"/>
  <c r="E238" i="48"/>
  <c r="K242" i="4"/>
  <c r="D85" i="48"/>
  <c r="N40" i="14"/>
  <c r="J18" i="64"/>
  <c r="I119" i="64"/>
  <c r="E246" i="48"/>
  <c r="I296" i="16"/>
  <c r="H298" i="16"/>
  <c r="C47" i="14"/>
  <c r="N45" i="14"/>
  <c r="F69" i="61"/>
  <c r="E70" i="61"/>
  <c r="G192" i="4"/>
  <c r="G187" i="4"/>
  <c r="G188" i="4" s="1"/>
  <c r="G183" i="4"/>
  <c r="G93" i="18"/>
  <c r="F94" i="18"/>
  <c r="H166" i="16"/>
  <c r="H173" i="64"/>
  <c r="H187" i="4"/>
  <c r="H188" i="4" s="1"/>
  <c r="H192" i="4"/>
  <c r="H183" i="4"/>
  <c r="J241" i="16"/>
  <c r="J244" i="64"/>
  <c r="G312" i="4"/>
  <c r="G316" i="4"/>
  <c r="G317" i="4" s="1"/>
  <c r="G74" i="73"/>
  <c r="G168" i="16"/>
  <c r="D12" i="75"/>
  <c r="E12" i="75" s="1"/>
  <c r="E27" i="48"/>
  <c r="J117" i="64"/>
  <c r="J117" i="16"/>
  <c r="J119" i="16" s="1"/>
  <c r="K107" i="4"/>
  <c r="J109" i="4"/>
  <c r="G117" i="18"/>
  <c r="F118" i="18"/>
  <c r="L261" i="4"/>
  <c r="L262" i="4" s="1"/>
  <c r="L257" i="4"/>
  <c r="J10" i="60"/>
  <c r="J297" i="64"/>
  <c r="K295" i="4"/>
  <c r="K28" i="91" s="1"/>
  <c r="J297" i="4"/>
  <c r="D45" i="48"/>
  <c r="N15" i="14"/>
  <c r="E135" i="48"/>
  <c r="D79" i="61"/>
  <c r="M57" i="16"/>
  <c r="N57" i="16" s="1"/>
  <c r="N55" i="16"/>
  <c r="C54" i="14"/>
  <c r="N52" i="14"/>
  <c r="G74" i="70"/>
  <c r="G75" i="70" s="1"/>
  <c r="F189" i="48"/>
  <c r="E101" i="18"/>
  <c r="E187" i="4"/>
  <c r="E188" i="4" s="1"/>
  <c r="E183" i="4"/>
  <c r="E192" i="4"/>
  <c r="H28" i="64"/>
  <c r="G33" i="64"/>
  <c r="D48" i="64"/>
  <c r="H23" i="64"/>
  <c r="D270" i="48"/>
  <c r="B163" i="64"/>
  <c r="M86" i="48"/>
  <c r="L56" i="14"/>
  <c r="K131" i="14"/>
  <c r="C58" i="64"/>
  <c r="C63" i="64"/>
  <c r="N158" i="64"/>
  <c r="M121" i="14"/>
  <c r="M122" i="14" s="1"/>
  <c r="N235" i="48" s="1"/>
  <c r="L122" i="14"/>
  <c r="M235" i="48" s="1"/>
  <c r="F38" i="64"/>
  <c r="G37" i="64"/>
  <c r="F264" i="4"/>
  <c r="E43" i="64"/>
  <c r="N86" i="48"/>
  <c r="M56" i="14"/>
  <c r="J33" i="91" l="1"/>
  <c r="J36" i="91" s="1"/>
  <c r="J67" i="4"/>
  <c r="B134" i="64"/>
  <c r="B140" i="64" s="1"/>
  <c r="C133" i="64"/>
  <c r="C137" i="64" s="1"/>
  <c r="C138" i="64" s="1"/>
  <c r="J28" i="90"/>
  <c r="J28" i="89"/>
  <c r="D41" i="49"/>
  <c r="E97" i="48" s="1"/>
  <c r="H41" i="49"/>
  <c r="I97" i="48" s="1"/>
  <c r="M41" i="49"/>
  <c r="N97" i="48" s="1"/>
  <c r="J323" i="48"/>
  <c r="J370" i="48"/>
  <c r="J73" i="48"/>
  <c r="H171" i="16"/>
  <c r="H206" i="16" s="1"/>
  <c r="H178" i="64"/>
  <c r="G108" i="49"/>
  <c r="F109" i="49"/>
  <c r="F144" i="61"/>
  <c r="E145" i="61"/>
  <c r="H429" i="4"/>
  <c r="M108" i="95"/>
  <c r="M109" i="95" s="1"/>
  <c r="N266" i="48" s="1"/>
  <c r="J108" i="95"/>
  <c r="J109" i="95" s="1"/>
  <c r="K266" i="48" s="1"/>
  <c r="F108" i="95"/>
  <c r="F109" i="95" s="1"/>
  <c r="G266" i="48" s="1"/>
  <c r="K108" i="95"/>
  <c r="K109" i="95" s="1"/>
  <c r="L266" i="48" s="1"/>
  <c r="G108" i="95"/>
  <c r="G109" i="95" s="1"/>
  <c r="H266" i="48" s="1"/>
  <c r="L108" i="95"/>
  <c r="L109" i="95" s="1"/>
  <c r="M266" i="48" s="1"/>
  <c r="H108" i="95"/>
  <c r="H109" i="95" s="1"/>
  <c r="I266" i="48" s="1"/>
  <c r="I108" i="95"/>
  <c r="I109" i="95" s="1"/>
  <c r="J266" i="48" s="1"/>
  <c r="E109" i="95"/>
  <c r="F266" i="48" s="1"/>
  <c r="G24" i="84"/>
  <c r="F25" i="84"/>
  <c r="K109" i="87"/>
  <c r="K110" i="87" s="1"/>
  <c r="L260" i="48" s="1"/>
  <c r="J109" i="87"/>
  <c r="J110" i="87" s="1"/>
  <c r="K260" i="48" s="1"/>
  <c r="I109" i="87"/>
  <c r="I110" i="87" s="1"/>
  <c r="J260" i="48" s="1"/>
  <c r="H109" i="87"/>
  <c r="H110" i="87" s="1"/>
  <c r="I260" i="48" s="1"/>
  <c r="G109" i="87"/>
  <c r="G110" i="87" s="1"/>
  <c r="H260" i="48" s="1"/>
  <c r="F109" i="87"/>
  <c r="F110" i="87" s="1"/>
  <c r="G260" i="48" s="1"/>
  <c r="M109" i="87"/>
  <c r="M110" i="87" s="1"/>
  <c r="N260" i="48" s="1"/>
  <c r="L109" i="87"/>
  <c r="L110" i="87" s="1"/>
  <c r="M260" i="48" s="1"/>
  <c r="E110" i="87"/>
  <c r="G91" i="73"/>
  <c r="F92" i="73"/>
  <c r="G250" i="48" s="1"/>
  <c r="F107" i="84"/>
  <c r="E108" i="84"/>
  <c r="G23" i="87"/>
  <c r="F24" i="87"/>
  <c r="E363" i="48"/>
  <c r="F39" i="95"/>
  <c r="E40" i="95"/>
  <c r="F131" i="86"/>
  <c r="E132" i="86"/>
  <c r="F313" i="48" s="1"/>
  <c r="F131" i="95"/>
  <c r="E132" i="95"/>
  <c r="L89" i="79"/>
  <c r="K90" i="79"/>
  <c r="L252" i="48" s="1"/>
  <c r="G75" i="84"/>
  <c r="F76" i="84"/>
  <c r="F154" i="86"/>
  <c r="E155" i="86"/>
  <c r="F91" i="84"/>
  <c r="E92" i="84"/>
  <c r="I29" i="90"/>
  <c r="I33" i="90" s="1"/>
  <c r="I29" i="89"/>
  <c r="I33" i="89" s="1"/>
  <c r="I176" i="64"/>
  <c r="I171" i="16" s="1"/>
  <c r="J136" i="4"/>
  <c r="J27" i="94"/>
  <c r="J171" i="4"/>
  <c r="J205" i="4" s="1"/>
  <c r="K41" i="49"/>
  <c r="L97" i="48" s="1"/>
  <c r="G41" i="49"/>
  <c r="H97" i="48" s="1"/>
  <c r="C41" i="49"/>
  <c r="D97" i="48" s="1"/>
  <c r="H167" i="18"/>
  <c r="G168" i="18"/>
  <c r="H431" i="16"/>
  <c r="H383" i="16"/>
  <c r="G62" i="95"/>
  <c r="F63" i="95"/>
  <c r="G163" i="48" s="1"/>
  <c r="F132" i="87"/>
  <c r="E133" i="87"/>
  <c r="F208" i="48"/>
  <c r="E354" i="48"/>
  <c r="F154" i="95"/>
  <c r="E155" i="95"/>
  <c r="F363" i="48" s="1"/>
  <c r="G63" i="87"/>
  <c r="F64" i="87"/>
  <c r="G157" i="48" s="1"/>
  <c r="F291" i="48"/>
  <c r="G22" i="95"/>
  <c r="F23" i="95"/>
  <c r="E126" i="49"/>
  <c r="F348" i="48" s="1"/>
  <c r="F125" i="49"/>
  <c r="E114" i="48"/>
  <c r="I41" i="49"/>
  <c r="J97" i="48" s="1"/>
  <c r="E41" i="49"/>
  <c r="F97" i="48" s="1"/>
  <c r="G85" i="95"/>
  <c r="F86" i="95"/>
  <c r="G343" i="48"/>
  <c r="F175" i="18"/>
  <c r="H447" i="64"/>
  <c r="H394" i="64"/>
  <c r="H293" i="48"/>
  <c r="G150" i="18"/>
  <c r="H33" i="90"/>
  <c r="D126" i="70"/>
  <c r="E125" i="70"/>
  <c r="G62" i="86"/>
  <c r="F63" i="86"/>
  <c r="G86" i="87"/>
  <c r="F87" i="87"/>
  <c r="G208" i="48" s="1"/>
  <c r="F156" i="85"/>
  <c r="E157" i="85"/>
  <c r="F354" i="48" s="1"/>
  <c r="E341" i="48"/>
  <c r="F40" i="87"/>
  <c r="E41" i="87"/>
  <c r="J22" i="85"/>
  <c r="I23" i="85"/>
  <c r="J67" i="48" s="1"/>
  <c r="G151" i="61"/>
  <c r="F152" i="61"/>
  <c r="F69" i="48"/>
  <c r="E348" i="48"/>
  <c r="F39" i="86"/>
  <c r="E40" i="86"/>
  <c r="F114" i="48" s="1"/>
  <c r="E169" i="61"/>
  <c r="D170" i="61"/>
  <c r="D179" i="61" s="1"/>
  <c r="F155" i="87"/>
  <c r="E156" i="87"/>
  <c r="F41" i="84"/>
  <c r="E42" i="84"/>
  <c r="J41" i="49"/>
  <c r="K97" i="48" s="1"/>
  <c r="F41" i="49"/>
  <c r="G97" i="48" s="1"/>
  <c r="L41" i="49"/>
  <c r="M97" i="48" s="1"/>
  <c r="I205" i="4"/>
  <c r="G85" i="86"/>
  <c r="F86" i="86"/>
  <c r="G211" i="48" s="1"/>
  <c r="L108" i="86"/>
  <c r="L109" i="86" s="1"/>
  <c r="M263" i="48" s="1"/>
  <c r="M108" i="86"/>
  <c r="M109" i="86" s="1"/>
  <c r="N263" i="48" s="1"/>
  <c r="F108" i="86"/>
  <c r="F109" i="86" s="1"/>
  <c r="G263" i="48" s="1"/>
  <c r="H108" i="86"/>
  <c r="H109" i="86" s="1"/>
  <c r="I263" i="48" s="1"/>
  <c r="I108" i="86"/>
  <c r="I109" i="86" s="1"/>
  <c r="J263" i="48" s="1"/>
  <c r="K108" i="86"/>
  <c r="K109" i="86" s="1"/>
  <c r="L263" i="48" s="1"/>
  <c r="G108" i="86"/>
  <c r="G109" i="86" s="1"/>
  <c r="H263" i="48" s="1"/>
  <c r="J108" i="86"/>
  <c r="J109" i="86" s="1"/>
  <c r="K263" i="48" s="1"/>
  <c r="E109" i="86"/>
  <c r="F263" i="48" s="1"/>
  <c r="I32" i="93"/>
  <c r="I33" i="93" s="1"/>
  <c r="I36" i="93" s="1"/>
  <c r="I392" i="64"/>
  <c r="I381" i="16"/>
  <c r="I382" i="4"/>
  <c r="I429" i="4" s="1"/>
  <c r="J367" i="48" s="1"/>
  <c r="J380" i="4"/>
  <c r="I430" i="4"/>
  <c r="H33" i="93"/>
  <c r="H36" i="93" s="1"/>
  <c r="E266" i="48"/>
  <c r="F132" i="85"/>
  <c r="E133" i="85"/>
  <c r="F306" i="48" s="1"/>
  <c r="I142" i="18"/>
  <c r="H143" i="18"/>
  <c r="F176" i="61"/>
  <c r="E177" i="61"/>
  <c r="F108" i="70"/>
  <c r="E109" i="70"/>
  <c r="F300" i="48" s="1"/>
  <c r="G58" i="84"/>
  <c r="F59" i="84"/>
  <c r="E313" i="48"/>
  <c r="G22" i="86"/>
  <c r="F23" i="86"/>
  <c r="G69" i="48" s="1"/>
  <c r="D424" i="64"/>
  <c r="D446" i="64" s="1"/>
  <c r="E368" i="48" s="1"/>
  <c r="E423" i="64"/>
  <c r="H408" i="16"/>
  <c r="I407" i="16"/>
  <c r="H417" i="16"/>
  <c r="H418" i="16" s="1"/>
  <c r="B443" i="64"/>
  <c r="B444" i="64" s="1"/>
  <c r="N444" i="64" s="1"/>
  <c r="B439" i="64"/>
  <c r="N439" i="64" s="1"/>
  <c r="F418" i="64"/>
  <c r="E428" i="64"/>
  <c r="E429" i="64" s="1"/>
  <c r="E419" i="64"/>
  <c r="G413" i="16"/>
  <c r="G430" i="16" s="1"/>
  <c r="H369" i="48" s="1"/>
  <c r="H412" i="16"/>
  <c r="D195" i="75"/>
  <c r="E195" i="75" s="1"/>
  <c r="B398" i="64"/>
  <c r="B394" i="64"/>
  <c r="I207" i="64"/>
  <c r="D373" i="48"/>
  <c r="D378" i="48" s="1"/>
  <c r="D66" i="4"/>
  <c r="E70" i="48" s="1"/>
  <c r="N147" i="14"/>
  <c r="D287" i="48"/>
  <c r="O287" i="48" s="1"/>
  <c r="D12" i="48"/>
  <c r="O12" i="48" s="1"/>
  <c r="C156" i="14"/>
  <c r="N156" i="14" s="1"/>
  <c r="D288" i="48"/>
  <c r="O288" i="48" s="1"/>
  <c r="B165" i="75" s="1"/>
  <c r="D165" i="75" s="1"/>
  <c r="E165" i="75" s="1"/>
  <c r="N154" i="14"/>
  <c r="D13" i="48"/>
  <c r="O13" i="48" s="1"/>
  <c r="B118" i="4"/>
  <c r="B119" i="4" s="1"/>
  <c r="B114" i="4"/>
  <c r="B123" i="4"/>
  <c r="F118" i="4"/>
  <c r="F119" i="4" s="1"/>
  <c r="F114" i="4"/>
  <c r="F123" i="4"/>
  <c r="K198" i="4"/>
  <c r="K201" i="4"/>
  <c r="K202" i="4" s="1"/>
  <c r="K272" i="64"/>
  <c r="K272" i="4"/>
  <c r="L270" i="4"/>
  <c r="L32" i="91" s="1"/>
  <c r="I320" i="48"/>
  <c r="J198" i="4"/>
  <c r="J201" i="4"/>
  <c r="J202" i="4" s="1"/>
  <c r="F198" i="4"/>
  <c r="F201" i="4"/>
  <c r="F202" i="4" s="1"/>
  <c r="B198" i="4"/>
  <c r="B201" i="4"/>
  <c r="B202" i="4" s="1"/>
  <c r="J271" i="16"/>
  <c r="J273" i="16" s="1"/>
  <c r="J274" i="64"/>
  <c r="J332" i="64"/>
  <c r="J326" i="16"/>
  <c r="J327" i="4"/>
  <c r="J374" i="4" s="1"/>
  <c r="K320" i="48" s="1"/>
  <c r="K325" i="4"/>
  <c r="K32" i="92" s="1"/>
  <c r="K33" i="92" s="1"/>
  <c r="K36" i="92" s="1"/>
  <c r="J375" i="4"/>
  <c r="H135" i="4"/>
  <c r="I116" i="48" s="1"/>
  <c r="I387" i="64"/>
  <c r="I334" i="64"/>
  <c r="N163" i="64"/>
  <c r="C31" i="14"/>
  <c r="J16" i="60"/>
  <c r="N29" i="14"/>
  <c r="D250" i="48"/>
  <c r="D235" i="48"/>
  <c r="O235" i="48" s="1"/>
  <c r="B135" i="16"/>
  <c r="C118" i="48" s="1"/>
  <c r="L129" i="4"/>
  <c r="L132" i="4"/>
  <c r="L133" i="4" s="1"/>
  <c r="I129" i="4"/>
  <c r="I132" i="4"/>
  <c r="I133" i="4" s="1"/>
  <c r="G129" i="4"/>
  <c r="G132" i="4"/>
  <c r="G133" i="4" s="1"/>
  <c r="D129" i="4"/>
  <c r="D132" i="4"/>
  <c r="D133" i="4" s="1"/>
  <c r="H66" i="64"/>
  <c r="K41" i="4"/>
  <c r="J35" i="16"/>
  <c r="J43" i="4"/>
  <c r="L242" i="4"/>
  <c r="L242" i="64"/>
  <c r="I56" i="64"/>
  <c r="I37" i="16"/>
  <c r="H129" i="64"/>
  <c r="I127" i="64"/>
  <c r="I141" i="64" s="1"/>
  <c r="J119" i="64"/>
  <c r="J296" i="16"/>
  <c r="J298" i="16" s="1"/>
  <c r="B68" i="75"/>
  <c r="D184" i="48"/>
  <c r="O184" i="48" s="1"/>
  <c r="N104" i="14"/>
  <c r="C134" i="64"/>
  <c r="G169" i="48"/>
  <c r="I114" i="64"/>
  <c r="I118" i="48"/>
  <c r="C65" i="64"/>
  <c r="D71" i="48" s="1"/>
  <c r="F375" i="16"/>
  <c r="G322" i="48" s="1"/>
  <c r="I47" i="16"/>
  <c r="E363" i="64"/>
  <c r="D364" i="64"/>
  <c r="D386" i="64" s="1"/>
  <c r="E321" i="48" s="1"/>
  <c r="B383" i="64"/>
  <c r="B384" i="64" s="1"/>
  <c r="N384" i="64" s="1"/>
  <c r="B379" i="64"/>
  <c r="N379" i="64" s="1"/>
  <c r="B338" i="64"/>
  <c r="B334" i="64"/>
  <c r="E368" i="64"/>
  <c r="E369" i="64" s="1"/>
  <c r="E359" i="64"/>
  <c r="F358" i="64"/>
  <c r="H357" i="16"/>
  <c r="G358" i="16"/>
  <c r="I352" i="16"/>
  <c r="H362" i="16"/>
  <c r="H363" i="16" s="1"/>
  <c r="H353" i="16"/>
  <c r="C97" i="48"/>
  <c r="I242" i="48"/>
  <c r="I84" i="24"/>
  <c r="I85" i="24" s="1"/>
  <c r="I88" i="24" s="1"/>
  <c r="J122" i="18"/>
  <c r="I123" i="18"/>
  <c r="J242" i="48" s="1"/>
  <c r="H85" i="24"/>
  <c r="E193" i="4"/>
  <c r="E197" i="4"/>
  <c r="H193" i="4"/>
  <c r="H197" i="4"/>
  <c r="G193" i="4"/>
  <c r="G197" i="4"/>
  <c r="D193" i="4"/>
  <c r="D197" i="4"/>
  <c r="C193" i="4"/>
  <c r="C197" i="4"/>
  <c r="F58" i="4"/>
  <c r="F62" i="4"/>
  <c r="F63" i="4" s="1"/>
  <c r="I312" i="64"/>
  <c r="I314" i="64" s="1"/>
  <c r="J316" i="16"/>
  <c r="J318" i="16" s="1"/>
  <c r="I312" i="4"/>
  <c r="I319" i="4" s="1"/>
  <c r="J270" i="48" s="1"/>
  <c r="I320" i="4"/>
  <c r="J46" i="64"/>
  <c r="J45" i="16" s="1"/>
  <c r="K51" i="4"/>
  <c r="J53" i="4"/>
  <c r="I183" i="64"/>
  <c r="I176" i="16"/>
  <c r="I178" i="16" s="1"/>
  <c r="H314" i="64"/>
  <c r="H327" i="64"/>
  <c r="J181" i="64"/>
  <c r="J178" i="4"/>
  <c r="J302" i="64"/>
  <c r="J301" i="16" s="1"/>
  <c r="J303" i="16" s="1"/>
  <c r="K300" i="4"/>
  <c r="K29" i="91" s="1"/>
  <c r="J302" i="4"/>
  <c r="I256" i="16"/>
  <c r="I258" i="16" s="1"/>
  <c r="I259" i="64"/>
  <c r="J252" i="4"/>
  <c r="J257" i="64"/>
  <c r="C252" i="4"/>
  <c r="C256" i="4"/>
  <c r="B256" i="4"/>
  <c r="B252" i="4"/>
  <c r="J308" i="16"/>
  <c r="I192" i="4"/>
  <c r="I183" i="4"/>
  <c r="N183" i="4" s="1"/>
  <c r="I187" i="4"/>
  <c r="I188" i="4" s="1"/>
  <c r="N188" i="4" s="1"/>
  <c r="H321" i="16"/>
  <c r="G319" i="4"/>
  <c r="H270" i="48" s="1"/>
  <c r="E319" i="4"/>
  <c r="F270" i="48" s="1"/>
  <c r="E299" i="64"/>
  <c r="E308" i="64"/>
  <c r="E309" i="64" s="1"/>
  <c r="F298" i="64"/>
  <c r="I264" i="4"/>
  <c r="J218" i="48" s="1"/>
  <c r="C117" i="48"/>
  <c r="H76" i="61"/>
  <c r="G77" i="61"/>
  <c r="K307" i="4"/>
  <c r="K307" i="64"/>
  <c r="K306" i="16" s="1"/>
  <c r="F138" i="48"/>
  <c r="E77" i="18"/>
  <c r="B44" i="61"/>
  <c r="B19" i="61"/>
  <c r="C23" i="48"/>
  <c r="N24" i="49"/>
  <c r="C57" i="48"/>
  <c r="N57" i="48"/>
  <c r="N23" i="48"/>
  <c r="H57" i="48"/>
  <c r="H23" i="48"/>
  <c r="B323" i="64"/>
  <c r="B324" i="64" s="1"/>
  <c r="N324" i="64" s="1"/>
  <c r="B319" i="64"/>
  <c r="H320" i="16"/>
  <c r="I272" i="48" s="1"/>
  <c r="B29" i="18"/>
  <c r="C52" i="48"/>
  <c r="J247" i="4"/>
  <c r="J247" i="64"/>
  <c r="J237" i="64"/>
  <c r="K235" i="4"/>
  <c r="J237" i="4"/>
  <c r="J265" i="4"/>
  <c r="I51" i="61"/>
  <c r="H52" i="61"/>
  <c r="I90" i="48" s="1"/>
  <c r="H238" i="16"/>
  <c r="H266" i="16"/>
  <c r="F197" i="64"/>
  <c r="F213" i="64"/>
  <c r="F214" i="64" s="1"/>
  <c r="F266" i="64" s="1"/>
  <c r="G219" i="48" s="1"/>
  <c r="F193" i="64"/>
  <c r="G69" i="18"/>
  <c r="F70" i="18"/>
  <c r="I114" i="16"/>
  <c r="I135" i="16" s="1"/>
  <c r="H197" i="64"/>
  <c r="H213" i="64"/>
  <c r="H214" i="64" s="1"/>
  <c r="H266" i="64" s="1"/>
  <c r="I219" i="48" s="1"/>
  <c r="H193" i="64"/>
  <c r="H101" i="61"/>
  <c r="G102" i="61"/>
  <c r="F74" i="49"/>
  <c r="F75" i="49" s="1"/>
  <c r="F194" i="48"/>
  <c r="G57" i="48"/>
  <c r="G23" i="48"/>
  <c r="J23" i="48"/>
  <c r="J57" i="48"/>
  <c r="D57" i="48"/>
  <c r="D23" i="48"/>
  <c r="D21" i="18"/>
  <c r="C22" i="18"/>
  <c r="I246" i="16"/>
  <c r="I248" i="16" s="1"/>
  <c r="I249" i="64"/>
  <c r="I236" i="16"/>
  <c r="I239" i="64"/>
  <c r="I267" i="64"/>
  <c r="E186" i="48"/>
  <c r="D104" i="61"/>
  <c r="D304" i="64"/>
  <c r="D326" i="64" s="1"/>
  <c r="E271" i="48" s="1"/>
  <c r="E303" i="64"/>
  <c r="C213" i="64"/>
  <c r="C214" i="64" s="1"/>
  <c r="C266" i="64" s="1"/>
  <c r="D219" i="48" s="1"/>
  <c r="C197" i="64"/>
  <c r="C193" i="64"/>
  <c r="H172" i="16"/>
  <c r="G173" i="16"/>
  <c r="G205" i="16" s="1"/>
  <c r="G40" i="73"/>
  <c r="I319" i="64"/>
  <c r="I311" i="16"/>
  <c r="I313" i="16" s="1"/>
  <c r="B23" i="70"/>
  <c r="K57" i="48"/>
  <c r="K23" i="48"/>
  <c r="M57" i="48"/>
  <c r="M23" i="48"/>
  <c r="F57" i="48"/>
  <c r="F23" i="48"/>
  <c r="E46" i="48"/>
  <c r="D31" i="14"/>
  <c r="G213" i="64"/>
  <c r="G214" i="64" s="1"/>
  <c r="G266" i="64" s="1"/>
  <c r="H219" i="48" s="1"/>
  <c r="G197" i="64"/>
  <c r="G193" i="64"/>
  <c r="D129" i="61"/>
  <c r="D264" i="4"/>
  <c r="E218" i="48" s="1"/>
  <c r="F126" i="61"/>
  <c r="E127" i="61"/>
  <c r="F239" i="48" s="1"/>
  <c r="E95" i="61"/>
  <c r="F94" i="61"/>
  <c r="D197" i="64"/>
  <c r="D213" i="64"/>
  <c r="D214" i="64" s="1"/>
  <c r="D266" i="64" s="1"/>
  <c r="E219" i="48" s="1"/>
  <c r="D193" i="64"/>
  <c r="J317" i="4"/>
  <c r="J317" i="64"/>
  <c r="K315" i="4"/>
  <c r="K30" i="91" s="1"/>
  <c r="B57" i="4"/>
  <c r="B53" i="4"/>
  <c r="K102" i="4"/>
  <c r="J104" i="4"/>
  <c r="J135" i="4" s="1"/>
  <c r="J112" i="16"/>
  <c r="J136" i="16" s="1"/>
  <c r="E213" i="64"/>
  <c r="E214" i="64" s="1"/>
  <c r="E266" i="64" s="1"/>
  <c r="F219" i="48" s="1"/>
  <c r="E197" i="64"/>
  <c r="E193" i="64"/>
  <c r="F145" i="48"/>
  <c r="F57" i="70"/>
  <c r="F58" i="70" s="1"/>
  <c r="I23" i="48"/>
  <c r="I57" i="48"/>
  <c r="E57" i="48"/>
  <c r="E23" i="48"/>
  <c r="L57" i="48"/>
  <c r="L23" i="48"/>
  <c r="F21" i="14"/>
  <c r="E22" i="14"/>
  <c r="C131" i="14"/>
  <c r="O183" i="48"/>
  <c r="O182" i="48"/>
  <c r="O45" i="48"/>
  <c r="G196" i="48"/>
  <c r="H168" i="16"/>
  <c r="F135" i="48"/>
  <c r="E79" i="61"/>
  <c r="O85" i="48"/>
  <c r="H74" i="73"/>
  <c r="J243" i="16"/>
  <c r="K241" i="16"/>
  <c r="K243" i="16" s="1"/>
  <c r="K244" i="64"/>
  <c r="D319" i="4"/>
  <c r="G91" i="49"/>
  <c r="G92" i="49" s="1"/>
  <c r="G246" i="48"/>
  <c r="G27" i="48"/>
  <c r="G91" i="70"/>
  <c r="G92" i="70" s="1"/>
  <c r="G40" i="70"/>
  <c r="G41" i="70" s="1"/>
  <c r="G99" i="48"/>
  <c r="H74" i="70"/>
  <c r="H75" i="70" s="1"/>
  <c r="H196" i="48"/>
  <c r="K297" i="64"/>
  <c r="L295" i="4"/>
  <c r="L28" i="91" s="1"/>
  <c r="K297" i="4"/>
  <c r="H117" i="18"/>
  <c r="G118" i="18"/>
  <c r="G69" i="61"/>
  <c r="F70" i="61"/>
  <c r="I298" i="16"/>
  <c r="K18" i="64"/>
  <c r="M242" i="64"/>
  <c r="D10" i="75"/>
  <c r="E10" i="75" s="1"/>
  <c r="G119" i="61"/>
  <c r="F120" i="61"/>
  <c r="F99" i="48"/>
  <c r="D46" i="48"/>
  <c r="I166" i="16"/>
  <c r="I173" i="64"/>
  <c r="K10" i="60"/>
  <c r="H93" i="18"/>
  <c r="G94" i="18"/>
  <c r="H10" i="16"/>
  <c r="H65" i="16" s="1"/>
  <c r="H13" i="64"/>
  <c r="H57" i="73"/>
  <c r="F238" i="48"/>
  <c r="H45" i="18"/>
  <c r="G46" i="18"/>
  <c r="G12" i="16"/>
  <c r="G64" i="16" s="1"/>
  <c r="H72" i="48" s="1"/>
  <c r="J171" i="64"/>
  <c r="K166" i="4"/>
  <c r="J168" i="4"/>
  <c r="F125" i="18"/>
  <c r="G241" i="48"/>
  <c r="D87" i="48"/>
  <c r="O87" i="48" s="1"/>
  <c r="N54" i="14"/>
  <c r="J28" i="48"/>
  <c r="J170" i="48"/>
  <c r="J119" i="48"/>
  <c r="J273" i="48"/>
  <c r="J221" i="48"/>
  <c r="K117" i="64"/>
  <c r="K117" i="16"/>
  <c r="K119" i="16" s="1"/>
  <c r="L107" i="4"/>
  <c r="K109" i="4"/>
  <c r="G189" i="48"/>
  <c r="F101" i="18"/>
  <c r="D86" i="48"/>
  <c r="N47" i="14"/>
  <c r="I11" i="64"/>
  <c r="I13" i="4"/>
  <c r="I66" i="4" s="1"/>
  <c r="J70" i="48" s="1"/>
  <c r="H23" i="73"/>
  <c r="G92" i="48"/>
  <c r="F53" i="18"/>
  <c r="N129" i="14"/>
  <c r="K307" i="16"/>
  <c r="L297" i="16"/>
  <c r="C56" i="14"/>
  <c r="N56" i="14" s="1"/>
  <c r="M131" i="14"/>
  <c r="F43" i="64"/>
  <c r="L131" i="14"/>
  <c r="I23" i="64"/>
  <c r="H37" i="64"/>
  <c r="G38" i="64"/>
  <c r="C26" i="48"/>
  <c r="B168" i="64"/>
  <c r="E48" i="64"/>
  <c r="I28" i="64"/>
  <c r="G218" i="48"/>
  <c r="D58" i="64"/>
  <c r="D63" i="64"/>
  <c r="H33" i="64"/>
  <c r="N122" i="14"/>
  <c r="K33" i="91" l="1"/>
  <c r="K36" i="91" s="1"/>
  <c r="N41" i="49"/>
  <c r="O266" i="48"/>
  <c r="B149" i="75" s="1"/>
  <c r="D149" i="75" s="1"/>
  <c r="E149" i="75" s="1"/>
  <c r="D133" i="64"/>
  <c r="D137" i="64" s="1"/>
  <c r="D138" i="64" s="1"/>
  <c r="O263" i="48"/>
  <c r="I178" i="64"/>
  <c r="B148" i="75"/>
  <c r="D148" i="75" s="1"/>
  <c r="E148" i="75" s="1"/>
  <c r="G108" i="70"/>
  <c r="F109" i="70"/>
  <c r="G300" i="48" s="1"/>
  <c r="I447" i="64"/>
  <c r="I394" i="64"/>
  <c r="H85" i="86"/>
  <c r="G86" i="86"/>
  <c r="H211" i="48" s="1"/>
  <c r="E340" i="48"/>
  <c r="G291" i="48"/>
  <c r="F111" i="48"/>
  <c r="H86" i="87"/>
  <c r="G87" i="87"/>
  <c r="H208" i="48" s="1"/>
  <c r="E350" i="48"/>
  <c r="H85" i="95"/>
  <c r="G86" i="95"/>
  <c r="H214" i="48" s="1"/>
  <c r="F126" i="49"/>
  <c r="G125" i="49"/>
  <c r="H63" i="87"/>
  <c r="G64" i="87"/>
  <c r="N109" i="86"/>
  <c r="F310" i="48"/>
  <c r="M89" i="79"/>
  <c r="M90" i="79" s="1"/>
  <c r="N252" i="48" s="1"/>
  <c r="L90" i="79"/>
  <c r="M252" i="48" s="1"/>
  <c r="H24" i="84"/>
  <c r="G25" i="84"/>
  <c r="F290" i="48"/>
  <c r="H22" i="86"/>
  <c r="G23" i="86"/>
  <c r="H58" i="84"/>
  <c r="G59" i="84"/>
  <c r="G132" i="85"/>
  <c r="F133" i="85"/>
  <c r="G306" i="48" s="1"/>
  <c r="J32" i="93"/>
  <c r="J381" i="16"/>
  <c r="J392" i="64"/>
  <c r="J382" i="4"/>
  <c r="J429" i="4" s="1"/>
  <c r="K367" i="48" s="1"/>
  <c r="K380" i="4"/>
  <c r="J430" i="4"/>
  <c r="G41" i="84"/>
  <c r="F42" i="84"/>
  <c r="F169" i="61"/>
  <c r="E170" i="61"/>
  <c r="F340" i="48" s="1"/>
  <c r="H151" i="61"/>
  <c r="G152" i="61"/>
  <c r="G40" i="87"/>
  <c r="F41" i="87"/>
  <c r="G111" i="48" s="1"/>
  <c r="G160" i="48"/>
  <c r="E154" i="61"/>
  <c r="G132" i="87"/>
  <c r="F133" i="87"/>
  <c r="G310" i="48" s="1"/>
  <c r="H62" i="95"/>
  <c r="G63" i="95"/>
  <c r="H163" i="48" s="1"/>
  <c r="G91" i="84"/>
  <c r="F92" i="84"/>
  <c r="H75" i="84"/>
  <c r="G76" i="84"/>
  <c r="F316" i="48"/>
  <c r="G131" i="86"/>
  <c r="F132" i="86"/>
  <c r="G107" i="84"/>
  <c r="F108" i="84"/>
  <c r="F260" i="48"/>
  <c r="O260" i="48" s="1"/>
  <c r="B147" i="75" s="1"/>
  <c r="D147" i="75" s="1"/>
  <c r="E147" i="75" s="1"/>
  <c r="N110" i="87"/>
  <c r="G144" i="61"/>
  <c r="F145" i="61"/>
  <c r="G290" i="48" s="1"/>
  <c r="K136" i="4"/>
  <c r="K27" i="94"/>
  <c r="K31" i="94" s="1"/>
  <c r="K171" i="4"/>
  <c r="K205" i="4" s="1"/>
  <c r="F341" i="48"/>
  <c r="I293" i="48"/>
  <c r="H150" i="18"/>
  <c r="F357" i="48"/>
  <c r="G156" i="85"/>
  <c r="F157" i="85"/>
  <c r="G354" i="48" s="1"/>
  <c r="H62" i="86"/>
  <c r="G63" i="86"/>
  <c r="H160" i="48" s="1"/>
  <c r="H343" i="48"/>
  <c r="G175" i="18"/>
  <c r="J29" i="90"/>
  <c r="J33" i="90" s="1"/>
  <c r="J29" i="89"/>
  <c r="J33" i="89" s="1"/>
  <c r="J176" i="64"/>
  <c r="J207" i="64" s="1"/>
  <c r="J173" i="4"/>
  <c r="F360" i="48"/>
  <c r="G131" i="95"/>
  <c r="F132" i="95"/>
  <c r="G316" i="48" s="1"/>
  <c r="G298" i="48"/>
  <c r="K28" i="90"/>
  <c r="K28" i="89"/>
  <c r="K323" i="48"/>
  <c r="K370" i="48"/>
  <c r="K73" i="48"/>
  <c r="G176" i="61"/>
  <c r="F177" i="61"/>
  <c r="J142" i="18"/>
  <c r="I143" i="18"/>
  <c r="N109" i="95"/>
  <c r="I431" i="16"/>
  <c r="I383" i="16"/>
  <c r="G155" i="87"/>
  <c r="F156" i="87"/>
  <c r="G357" i="48" s="1"/>
  <c r="G39" i="86"/>
  <c r="F40" i="86"/>
  <c r="G114" i="48" s="1"/>
  <c r="K22" i="85"/>
  <c r="J23" i="85"/>
  <c r="K67" i="48" s="1"/>
  <c r="E126" i="70"/>
  <c r="F350" i="48" s="1"/>
  <c r="F125" i="70"/>
  <c r="G214" i="48"/>
  <c r="H22" i="95"/>
  <c r="G23" i="95"/>
  <c r="G154" i="95"/>
  <c r="F155" i="95"/>
  <c r="G363" i="48" s="1"/>
  <c r="I167" i="18"/>
  <c r="H168" i="18"/>
  <c r="J31" i="94"/>
  <c r="G154" i="86"/>
  <c r="F155" i="86"/>
  <c r="G360" i="48" s="1"/>
  <c r="G39" i="95"/>
  <c r="F40" i="95"/>
  <c r="H23" i="87"/>
  <c r="G24" i="87"/>
  <c r="H91" i="73"/>
  <c r="G92" i="73"/>
  <c r="H250" i="48" s="1"/>
  <c r="I367" i="48"/>
  <c r="H108" i="49"/>
  <c r="G109" i="49"/>
  <c r="H298" i="48" s="1"/>
  <c r="F423" i="64"/>
  <c r="E424" i="64"/>
  <c r="E446" i="64" s="1"/>
  <c r="F368" i="48" s="1"/>
  <c r="I412" i="16"/>
  <c r="H413" i="16"/>
  <c r="H430" i="16" s="1"/>
  <c r="I369" i="48" s="1"/>
  <c r="F428" i="64"/>
  <c r="F429" i="64" s="1"/>
  <c r="G418" i="64"/>
  <c r="F419" i="64"/>
  <c r="I417" i="16"/>
  <c r="I418" i="16" s="1"/>
  <c r="J407" i="16"/>
  <c r="I408" i="16"/>
  <c r="B403" i="64"/>
  <c r="B404" i="64" s="1"/>
  <c r="N404" i="64" s="1"/>
  <c r="B399" i="64"/>
  <c r="N399" i="64" s="1"/>
  <c r="I206" i="16"/>
  <c r="E326" i="48"/>
  <c r="E331" i="48" s="1"/>
  <c r="D326" i="48"/>
  <c r="D331" i="48" s="1"/>
  <c r="B204" i="4"/>
  <c r="C167" i="48" s="1"/>
  <c r="B124" i="4"/>
  <c r="B128" i="4"/>
  <c r="F66" i="4"/>
  <c r="G70" i="48" s="1"/>
  <c r="F124" i="4"/>
  <c r="F128" i="4"/>
  <c r="N114" i="4"/>
  <c r="N119" i="4"/>
  <c r="M270" i="4"/>
  <c r="M32" i="91" s="1"/>
  <c r="N32" i="91" s="1"/>
  <c r="L272" i="64"/>
  <c r="L272" i="4"/>
  <c r="K67" i="4"/>
  <c r="G198" i="4"/>
  <c r="G201" i="4"/>
  <c r="G202" i="4" s="1"/>
  <c r="E198" i="4"/>
  <c r="E201" i="4"/>
  <c r="E202" i="4" s="1"/>
  <c r="I206" i="64"/>
  <c r="J168" i="48" s="1"/>
  <c r="F204" i="4"/>
  <c r="G167" i="48" s="1"/>
  <c r="J387" i="64"/>
  <c r="J334" i="64"/>
  <c r="H198" i="4"/>
  <c r="H201" i="4"/>
  <c r="H202" i="4" s="1"/>
  <c r="K332" i="64"/>
  <c r="K327" i="4"/>
  <c r="K326" i="16"/>
  <c r="L325" i="4"/>
  <c r="L32" i="92" s="1"/>
  <c r="L33" i="92" s="1"/>
  <c r="L36" i="92" s="1"/>
  <c r="K375" i="4"/>
  <c r="J204" i="4"/>
  <c r="K167" i="48" s="1"/>
  <c r="D198" i="4"/>
  <c r="D201" i="4"/>
  <c r="D202" i="4" s="1"/>
  <c r="C198" i="4"/>
  <c r="C201" i="4"/>
  <c r="C202" i="4" s="1"/>
  <c r="K271" i="16"/>
  <c r="K273" i="16" s="1"/>
  <c r="K274" i="64"/>
  <c r="I135" i="4"/>
  <c r="J116" i="48" s="1"/>
  <c r="K16" i="60"/>
  <c r="B101" i="75"/>
  <c r="D101" i="75" s="1"/>
  <c r="E101" i="75" s="1"/>
  <c r="C198" i="64"/>
  <c r="C201" i="64"/>
  <c r="C202" i="64" s="1"/>
  <c r="E198" i="64"/>
  <c r="E201" i="64"/>
  <c r="E202" i="64" s="1"/>
  <c r="D198" i="64"/>
  <c r="D201" i="64"/>
  <c r="D202" i="64" s="1"/>
  <c r="G198" i="64"/>
  <c r="G201" i="64"/>
  <c r="G202" i="64" s="1"/>
  <c r="F198" i="64"/>
  <c r="F201" i="64"/>
  <c r="F202" i="64" s="1"/>
  <c r="H198" i="64"/>
  <c r="H201" i="64"/>
  <c r="H202" i="64" s="1"/>
  <c r="C140" i="64"/>
  <c r="D117" i="48" s="1"/>
  <c r="D135" i="4"/>
  <c r="G135" i="4"/>
  <c r="H116" i="48" s="1"/>
  <c r="J56" i="64"/>
  <c r="J37" i="16"/>
  <c r="I66" i="64"/>
  <c r="L41" i="4"/>
  <c r="K35" i="16"/>
  <c r="K43" i="4"/>
  <c r="J127" i="64"/>
  <c r="J141" i="64" s="1"/>
  <c r="I129" i="64"/>
  <c r="K119" i="64"/>
  <c r="D68" i="75"/>
  <c r="E68" i="75" s="1"/>
  <c r="E133" i="64"/>
  <c r="E137" i="64" s="1"/>
  <c r="E138" i="64" s="1"/>
  <c r="D134" i="64"/>
  <c r="D65" i="64"/>
  <c r="E71" i="48" s="1"/>
  <c r="J114" i="64"/>
  <c r="J114" i="16"/>
  <c r="J135" i="16" s="1"/>
  <c r="J118" i="48"/>
  <c r="J47" i="16"/>
  <c r="F368" i="64"/>
  <c r="F369" i="64" s="1"/>
  <c r="G358" i="64"/>
  <c r="F359" i="64"/>
  <c r="B343" i="64"/>
  <c r="B344" i="64" s="1"/>
  <c r="N344" i="64" s="1"/>
  <c r="B339" i="64"/>
  <c r="N339" i="64" s="1"/>
  <c r="H376" i="16"/>
  <c r="H328" i="16"/>
  <c r="F363" i="64"/>
  <c r="E364" i="64"/>
  <c r="E386" i="64" s="1"/>
  <c r="F321" i="48" s="1"/>
  <c r="I357" i="16"/>
  <c r="H358" i="16"/>
  <c r="I362" i="16"/>
  <c r="I363" i="16" s="1"/>
  <c r="I353" i="16"/>
  <c r="J352" i="16"/>
  <c r="I87" i="24"/>
  <c r="I91" i="24"/>
  <c r="J295" i="48" s="1"/>
  <c r="H88" i="24"/>
  <c r="K122" i="18"/>
  <c r="J84" i="24"/>
  <c r="J85" i="24" s="1"/>
  <c r="J88" i="24" s="1"/>
  <c r="J123" i="18"/>
  <c r="O57" i="48"/>
  <c r="I193" i="4"/>
  <c r="N193" i="4" s="1"/>
  <c r="I197" i="4"/>
  <c r="B58" i="4"/>
  <c r="N58" i="4" s="1"/>
  <c r="B62" i="4"/>
  <c r="B63" i="4" s="1"/>
  <c r="N63" i="4" s="1"/>
  <c r="K116" i="48"/>
  <c r="K308" i="16"/>
  <c r="J312" i="64"/>
  <c r="J314" i="64" s="1"/>
  <c r="K316" i="16"/>
  <c r="K318" i="16" s="1"/>
  <c r="J312" i="4"/>
  <c r="J319" i="4" s="1"/>
  <c r="K270" i="48" s="1"/>
  <c r="J320" i="4"/>
  <c r="C257" i="4"/>
  <c r="C261" i="4"/>
  <c r="C262" i="4" s="1"/>
  <c r="K252" i="4"/>
  <c r="K257" i="64"/>
  <c r="L300" i="4"/>
  <c r="L29" i="91" s="1"/>
  <c r="K302" i="4"/>
  <c r="K302" i="64"/>
  <c r="K301" i="16" s="1"/>
  <c r="K303" i="16" s="1"/>
  <c r="J256" i="16"/>
  <c r="J258" i="16" s="1"/>
  <c r="J259" i="64"/>
  <c r="L51" i="4"/>
  <c r="K46" i="64"/>
  <c r="K45" i="16" s="1"/>
  <c r="K53" i="4"/>
  <c r="K181" i="64"/>
  <c r="K178" i="4"/>
  <c r="L173" i="4"/>
  <c r="M171" i="4"/>
  <c r="J176" i="16"/>
  <c r="J178" i="16" s="1"/>
  <c r="J183" i="64"/>
  <c r="I327" i="64"/>
  <c r="I320" i="16"/>
  <c r="J272" i="48" s="1"/>
  <c r="B257" i="4"/>
  <c r="B261" i="4"/>
  <c r="B262" i="4" s="1"/>
  <c r="I266" i="64"/>
  <c r="J219" i="48" s="1"/>
  <c r="J264" i="4"/>
  <c r="K218" i="48" s="1"/>
  <c r="G21" i="14"/>
  <c r="F22" i="14"/>
  <c r="K112" i="16"/>
  <c r="K136" i="16" s="1"/>
  <c r="L102" i="4"/>
  <c r="K104" i="4"/>
  <c r="K135" i="4" s="1"/>
  <c r="K317" i="4"/>
  <c r="K317" i="64"/>
  <c r="L315" i="4"/>
  <c r="L30" i="91" s="1"/>
  <c r="I238" i="16"/>
  <c r="I265" i="16" s="1"/>
  <c r="J220" i="48" s="1"/>
  <c r="I266" i="16"/>
  <c r="D22" i="18"/>
  <c r="E21" i="18"/>
  <c r="I101" i="61"/>
  <c r="H102" i="61"/>
  <c r="I187" i="48" s="1"/>
  <c r="C19" i="61"/>
  <c r="B20" i="61"/>
  <c r="H136" i="48"/>
  <c r="I321" i="16"/>
  <c r="J311" i="16"/>
  <c r="J319" i="64"/>
  <c r="G126" i="61"/>
  <c r="F127" i="61"/>
  <c r="G239" i="48" s="1"/>
  <c r="H265" i="16"/>
  <c r="I220" i="48" s="1"/>
  <c r="K237" i="64"/>
  <c r="L235" i="4"/>
  <c r="K237" i="4"/>
  <c r="K265" i="4"/>
  <c r="K247" i="4"/>
  <c r="K247" i="64"/>
  <c r="C44" i="61"/>
  <c r="B45" i="61"/>
  <c r="L307" i="64"/>
  <c r="L306" i="16" s="1"/>
  <c r="L307" i="4"/>
  <c r="I76" i="61"/>
  <c r="H77" i="61"/>
  <c r="I136" i="48" s="1"/>
  <c r="F299" i="64"/>
  <c r="F308" i="64"/>
  <c r="F309" i="64" s="1"/>
  <c r="G298" i="64"/>
  <c r="F95" i="61"/>
  <c r="G94" i="61"/>
  <c r="C23" i="70"/>
  <c r="B24" i="70"/>
  <c r="C59" i="48" s="1"/>
  <c r="I172" i="16"/>
  <c r="H173" i="16"/>
  <c r="H205" i="16" s="1"/>
  <c r="E304" i="64"/>
  <c r="E326" i="64" s="1"/>
  <c r="F303" i="64"/>
  <c r="G74" i="49"/>
  <c r="G75" i="49" s="1"/>
  <c r="G194" i="48"/>
  <c r="F77" i="18"/>
  <c r="G138" i="48"/>
  <c r="J51" i="61"/>
  <c r="I52" i="61"/>
  <c r="J236" i="16"/>
  <c r="J239" i="64"/>
  <c r="J267" i="64"/>
  <c r="J246" i="16"/>
  <c r="J248" i="16" s="1"/>
  <c r="J249" i="64"/>
  <c r="E129" i="61"/>
  <c r="F46" i="48"/>
  <c r="E31" i="14"/>
  <c r="O23" i="48"/>
  <c r="G57" i="70"/>
  <c r="G58" i="70" s="1"/>
  <c r="G145" i="48"/>
  <c r="F186" i="48"/>
  <c r="E104" i="61"/>
  <c r="H40" i="73"/>
  <c r="C29" i="18"/>
  <c r="D52" i="48"/>
  <c r="H187" i="48"/>
  <c r="H69" i="18"/>
  <c r="G70" i="18"/>
  <c r="O86" i="48"/>
  <c r="B38" i="75" s="1"/>
  <c r="B100" i="75"/>
  <c r="J11" i="64"/>
  <c r="J13" i="4"/>
  <c r="J66" i="4" s="1"/>
  <c r="K70" i="48" s="1"/>
  <c r="L117" i="16"/>
  <c r="L119" i="16" s="1"/>
  <c r="L117" i="64"/>
  <c r="M107" i="4"/>
  <c r="L109" i="4"/>
  <c r="H169" i="48"/>
  <c r="I168" i="16"/>
  <c r="N240" i="4"/>
  <c r="M242" i="4"/>
  <c r="L297" i="64"/>
  <c r="M295" i="4"/>
  <c r="M28" i="91" s="1"/>
  <c r="L297" i="4"/>
  <c r="H40" i="70"/>
  <c r="H41" i="70" s="1"/>
  <c r="I74" i="73"/>
  <c r="J166" i="16"/>
  <c r="J173" i="64"/>
  <c r="I45" i="18"/>
  <c r="H46" i="18"/>
  <c r="I57" i="73"/>
  <c r="H12" i="16"/>
  <c r="H64" i="16" s="1"/>
  <c r="I72" i="48" s="1"/>
  <c r="L241" i="16"/>
  <c r="L243" i="16" s="1"/>
  <c r="L244" i="64"/>
  <c r="M297" i="16"/>
  <c r="M307" i="16" s="1"/>
  <c r="L307" i="16"/>
  <c r="B133" i="75"/>
  <c r="D133" i="75" s="1"/>
  <c r="E133" i="75" s="1"/>
  <c r="I23" i="73"/>
  <c r="I10" i="16"/>
  <c r="I65" i="16" s="1"/>
  <c r="I13" i="64"/>
  <c r="B39" i="75"/>
  <c r="D39" i="75" s="1"/>
  <c r="E39" i="75" s="1"/>
  <c r="K171" i="64"/>
  <c r="L166" i="4"/>
  <c r="K168" i="4"/>
  <c r="H27" i="48"/>
  <c r="H92" i="48"/>
  <c r="G53" i="18"/>
  <c r="I93" i="18"/>
  <c r="H94" i="18"/>
  <c r="L10" i="60"/>
  <c r="H119" i="61"/>
  <c r="G120" i="61"/>
  <c r="M18" i="64"/>
  <c r="L18" i="64"/>
  <c r="H69" i="61"/>
  <c r="G70" i="61"/>
  <c r="I117" i="18"/>
  <c r="H118" i="18"/>
  <c r="H91" i="70"/>
  <c r="H92" i="70" s="1"/>
  <c r="H248" i="48"/>
  <c r="G101" i="18"/>
  <c r="H189" i="48"/>
  <c r="K28" i="48"/>
  <c r="K119" i="48"/>
  <c r="K170" i="48"/>
  <c r="K221" i="48"/>
  <c r="K273" i="48"/>
  <c r="G238" i="48"/>
  <c r="G135" i="48"/>
  <c r="F79" i="61"/>
  <c r="H241" i="48"/>
  <c r="G125" i="18"/>
  <c r="K296" i="16"/>
  <c r="I74" i="70"/>
  <c r="I75" i="70" s="1"/>
  <c r="I196" i="48"/>
  <c r="G248" i="48"/>
  <c r="H91" i="49"/>
  <c r="H92" i="49" s="1"/>
  <c r="E270" i="48"/>
  <c r="E58" i="64"/>
  <c r="E63" i="64"/>
  <c r="H38" i="64"/>
  <c r="I37" i="64"/>
  <c r="J23" i="64"/>
  <c r="G43" i="64"/>
  <c r="N131" i="14"/>
  <c r="I33" i="64"/>
  <c r="B177" i="64"/>
  <c r="B173" i="64"/>
  <c r="B182" i="64"/>
  <c r="J28" i="64"/>
  <c r="N168" i="64"/>
  <c r="D26" i="48"/>
  <c r="F48" i="64"/>
  <c r="E373" i="48" l="1"/>
  <c r="E378" i="48" s="1"/>
  <c r="L33" i="91"/>
  <c r="L36" i="91" s="1"/>
  <c r="F154" i="61"/>
  <c r="L323" i="48"/>
  <c r="L370" i="48"/>
  <c r="L73" i="48"/>
  <c r="H154" i="86"/>
  <c r="G155" i="86"/>
  <c r="J167" i="18"/>
  <c r="I168" i="18"/>
  <c r="H155" i="87"/>
  <c r="G156" i="87"/>
  <c r="J293" i="48"/>
  <c r="I150" i="18"/>
  <c r="E179" i="61"/>
  <c r="H144" i="61"/>
  <c r="G145" i="61"/>
  <c r="H290" i="48" s="1"/>
  <c r="H107" i="84"/>
  <c r="G108" i="84"/>
  <c r="H291" i="48"/>
  <c r="I24" i="84"/>
  <c r="H25" i="84"/>
  <c r="G126" i="49"/>
  <c r="H348" i="48" s="1"/>
  <c r="H125" i="49"/>
  <c r="I85" i="86"/>
  <c r="H86" i="86"/>
  <c r="H108" i="70"/>
  <c r="G109" i="70"/>
  <c r="O28" i="91"/>
  <c r="N28" i="91"/>
  <c r="I108" i="49"/>
  <c r="H109" i="49"/>
  <c r="I298" i="48" s="1"/>
  <c r="I91" i="73"/>
  <c r="H92" i="73"/>
  <c r="I250" i="48" s="1"/>
  <c r="H39" i="95"/>
  <c r="G40" i="95"/>
  <c r="H154" i="95"/>
  <c r="G155" i="95"/>
  <c r="H363" i="48" s="1"/>
  <c r="K142" i="18"/>
  <c r="J143" i="18"/>
  <c r="O32" i="91"/>
  <c r="I62" i="86"/>
  <c r="H63" i="86"/>
  <c r="I160" i="48" s="1"/>
  <c r="H91" i="84"/>
  <c r="G92" i="84"/>
  <c r="H132" i="87"/>
  <c r="G133" i="87"/>
  <c r="H310" i="48" s="1"/>
  <c r="I151" i="61"/>
  <c r="H152" i="61"/>
  <c r="H41" i="84"/>
  <c r="G42" i="84"/>
  <c r="J447" i="64"/>
  <c r="J394" i="64"/>
  <c r="H132" i="85"/>
  <c r="G133" i="85"/>
  <c r="I58" i="84"/>
  <c r="H59" i="84"/>
  <c r="H157" i="48"/>
  <c r="G348" i="48"/>
  <c r="H39" i="86"/>
  <c r="G40" i="86"/>
  <c r="G341" i="48"/>
  <c r="G313" i="48"/>
  <c r="J431" i="16"/>
  <c r="J383" i="16"/>
  <c r="H69" i="48"/>
  <c r="I63" i="87"/>
  <c r="H64" i="87"/>
  <c r="I157" i="48" s="1"/>
  <c r="L28" i="90"/>
  <c r="L33" i="90" s="1"/>
  <c r="L28" i="89"/>
  <c r="L33" i="89" s="1"/>
  <c r="L136" i="4"/>
  <c r="L27" i="94"/>
  <c r="L31" i="94" s="1"/>
  <c r="M102" i="4"/>
  <c r="M27" i="94" s="1"/>
  <c r="M29" i="90"/>
  <c r="M29" i="89"/>
  <c r="I23" i="87"/>
  <c r="H24" i="87"/>
  <c r="I343" i="48"/>
  <c r="H175" i="18"/>
  <c r="I22" i="95"/>
  <c r="H23" i="95"/>
  <c r="F126" i="70"/>
  <c r="G350" i="48" s="1"/>
  <c r="G125" i="70"/>
  <c r="L22" i="85"/>
  <c r="K23" i="85"/>
  <c r="L67" i="48" s="1"/>
  <c r="H176" i="61"/>
  <c r="G177" i="61"/>
  <c r="H131" i="95"/>
  <c r="G132" i="95"/>
  <c r="H316" i="48" s="1"/>
  <c r="J178" i="64"/>
  <c r="J206" i="64" s="1"/>
  <c r="K168" i="48" s="1"/>
  <c r="J171" i="16"/>
  <c r="J206" i="16" s="1"/>
  <c r="H156" i="85"/>
  <c r="G157" i="85"/>
  <c r="H354" i="48" s="1"/>
  <c r="K29" i="90"/>
  <c r="K33" i="90" s="1"/>
  <c r="K29" i="89"/>
  <c r="K33" i="89" s="1"/>
  <c r="K176" i="64"/>
  <c r="K171" i="16" s="1"/>
  <c r="K173" i="4"/>
  <c r="K204" i="4" s="1"/>
  <c r="L167" i="48" s="1"/>
  <c r="H131" i="86"/>
  <c r="G132" i="86"/>
  <c r="H313" i="48" s="1"/>
  <c r="I75" i="84"/>
  <c r="H76" i="84"/>
  <c r="I62" i="95"/>
  <c r="H63" i="95"/>
  <c r="I163" i="48" s="1"/>
  <c r="H40" i="87"/>
  <c r="G41" i="87"/>
  <c r="H111" i="48" s="1"/>
  <c r="G169" i="61"/>
  <c r="F170" i="61"/>
  <c r="G340" i="48" s="1"/>
  <c r="K32" i="93"/>
  <c r="K33" i="93" s="1"/>
  <c r="K36" i="93" s="1"/>
  <c r="K381" i="16"/>
  <c r="K392" i="64"/>
  <c r="K382" i="4"/>
  <c r="K429" i="4" s="1"/>
  <c r="L380" i="4"/>
  <c r="K430" i="4"/>
  <c r="J33" i="93"/>
  <c r="J36" i="93" s="1"/>
  <c r="I22" i="86"/>
  <c r="H23" i="86"/>
  <c r="I69" i="48" s="1"/>
  <c r="I85" i="95"/>
  <c r="H86" i="95"/>
  <c r="I214" i="48" s="1"/>
  <c r="I86" i="87"/>
  <c r="H87" i="87"/>
  <c r="J412" i="16"/>
  <c r="I413" i="16"/>
  <c r="I430" i="16" s="1"/>
  <c r="J369" i="48" s="1"/>
  <c r="H418" i="64"/>
  <c r="G419" i="64"/>
  <c r="G428" i="64"/>
  <c r="G429" i="64" s="1"/>
  <c r="J408" i="16"/>
  <c r="J417" i="16"/>
  <c r="J418" i="16" s="1"/>
  <c r="K407" i="16"/>
  <c r="G423" i="64"/>
  <c r="F424" i="64"/>
  <c r="F446" i="64" s="1"/>
  <c r="G368" i="48" s="1"/>
  <c r="B446" i="64"/>
  <c r="C368" i="48" s="1"/>
  <c r="K207" i="64"/>
  <c r="F326" i="48"/>
  <c r="F331" i="48" s="1"/>
  <c r="F373" i="48"/>
  <c r="F378" i="48" s="1"/>
  <c r="H375" i="16"/>
  <c r="I322" i="48" s="1"/>
  <c r="B264" i="4"/>
  <c r="H204" i="4"/>
  <c r="I167" i="48" s="1"/>
  <c r="L67" i="4"/>
  <c r="C204" i="4"/>
  <c r="D167" i="48" s="1"/>
  <c r="B132" i="4"/>
  <c r="B133" i="4" s="1"/>
  <c r="B129" i="4"/>
  <c r="L205" i="4"/>
  <c r="F132" i="4"/>
  <c r="F133" i="4" s="1"/>
  <c r="F129" i="4"/>
  <c r="N124" i="4"/>
  <c r="M325" i="4"/>
  <c r="M32" i="92" s="1"/>
  <c r="L327" i="4"/>
  <c r="L374" i="4" s="1"/>
  <c r="M320" i="48" s="1"/>
  <c r="L332" i="64"/>
  <c r="L326" i="16"/>
  <c r="L375" i="4"/>
  <c r="L274" i="64"/>
  <c r="L271" i="16"/>
  <c r="L273" i="16" s="1"/>
  <c r="M176" i="64"/>
  <c r="I198" i="4"/>
  <c r="N198" i="4" s="1"/>
  <c r="I201" i="4"/>
  <c r="I202" i="4" s="1"/>
  <c r="N202" i="4" s="1"/>
  <c r="F206" i="64"/>
  <c r="G168" i="48" s="1"/>
  <c r="D206" i="64"/>
  <c r="E168" i="48" s="1"/>
  <c r="C206" i="64"/>
  <c r="D168" i="48" s="1"/>
  <c r="K387" i="64"/>
  <c r="K334" i="64"/>
  <c r="E204" i="4"/>
  <c r="F167" i="48" s="1"/>
  <c r="D204" i="4"/>
  <c r="E167" i="48" s="1"/>
  <c r="G204" i="4"/>
  <c r="H167" i="48" s="1"/>
  <c r="N270" i="4"/>
  <c r="M272" i="64"/>
  <c r="M272" i="4"/>
  <c r="N272" i="4" s="1"/>
  <c r="B66" i="4"/>
  <c r="C70" i="48" s="1"/>
  <c r="K374" i="4"/>
  <c r="H206" i="64"/>
  <c r="I168" i="48" s="1"/>
  <c r="G206" i="64"/>
  <c r="H168" i="48" s="1"/>
  <c r="E206" i="64"/>
  <c r="F168" i="48" s="1"/>
  <c r="L16" i="60"/>
  <c r="E116" i="48"/>
  <c r="D140" i="64"/>
  <c r="E117" i="48" s="1"/>
  <c r="J66" i="64"/>
  <c r="L178" i="64"/>
  <c r="K56" i="64"/>
  <c r="K37" i="16"/>
  <c r="M41" i="4"/>
  <c r="L35" i="16"/>
  <c r="L43" i="4"/>
  <c r="K127" i="64"/>
  <c r="K141" i="64" s="1"/>
  <c r="J129" i="64"/>
  <c r="L119" i="64"/>
  <c r="J327" i="64"/>
  <c r="B17" i="75"/>
  <c r="F133" i="64"/>
  <c r="F137" i="64" s="1"/>
  <c r="F138" i="64" s="1"/>
  <c r="E134" i="64"/>
  <c r="K114" i="64"/>
  <c r="I169" i="48"/>
  <c r="K114" i="16"/>
  <c r="K135" i="16" s="1"/>
  <c r="K118" i="48"/>
  <c r="E65" i="64"/>
  <c r="K47" i="16"/>
  <c r="F271" i="48"/>
  <c r="B386" i="64"/>
  <c r="C321" i="48" s="1"/>
  <c r="F364" i="64"/>
  <c r="F386" i="64" s="1"/>
  <c r="G321" i="48" s="1"/>
  <c r="G363" i="64"/>
  <c r="I376" i="16"/>
  <c r="I328" i="16"/>
  <c r="H358" i="64"/>
  <c r="G368" i="64"/>
  <c r="G369" i="64" s="1"/>
  <c r="G359" i="64"/>
  <c r="J362" i="16"/>
  <c r="J363" i="16" s="1"/>
  <c r="J353" i="16"/>
  <c r="K352" i="16"/>
  <c r="J357" i="16"/>
  <c r="I358" i="16"/>
  <c r="H87" i="24"/>
  <c r="H91" i="24"/>
  <c r="I295" i="48" s="1"/>
  <c r="J87" i="24"/>
  <c r="J91" i="24"/>
  <c r="K295" i="48" s="1"/>
  <c r="K242" i="48"/>
  <c r="L122" i="18"/>
  <c r="K84" i="24"/>
  <c r="K123" i="18"/>
  <c r="L242" i="48" s="1"/>
  <c r="B132" i="75"/>
  <c r="F129" i="61"/>
  <c r="M173" i="4"/>
  <c r="L178" i="4"/>
  <c r="L181" i="64"/>
  <c r="N176" i="4"/>
  <c r="L46" i="64"/>
  <c r="M51" i="4"/>
  <c r="L53" i="4"/>
  <c r="L252" i="4"/>
  <c r="L257" i="64"/>
  <c r="K176" i="16"/>
  <c r="K178" i="16" s="1"/>
  <c r="K183" i="64"/>
  <c r="M300" i="4"/>
  <c r="M29" i="91" s="1"/>
  <c r="L302" i="4"/>
  <c r="L302" i="64"/>
  <c r="K312" i="64"/>
  <c r="K312" i="4"/>
  <c r="K319" i="4" s="1"/>
  <c r="L270" i="48" s="1"/>
  <c r="K320" i="4"/>
  <c r="K259" i="64"/>
  <c r="K256" i="16"/>
  <c r="K258" i="16" s="1"/>
  <c r="C264" i="4"/>
  <c r="D218" i="48" s="1"/>
  <c r="N262" i="4"/>
  <c r="N171" i="4"/>
  <c r="N257" i="4"/>
  <c r="J266" i="64"/>
  <c r="K219" i="48" s="1"/>
  <c r="L308" i="16"/>
  <c r="K264" i="4"/>
  <c r="L218" i="48" s="1"/>
  <c r="H57" i="70"/>
  <c r="H58" i="70" s="1"/>
  <c r="H145" i="48"/>
  <c r="J90" i="48"/>
  <c r="H94" i="61"/>
  <c r="G95" i="61"/>
  <c r="K246" i="16"/>
  <c r="K248" i="16" s="1"/>
  <c r="K249" i="64"/>
  <c r="G127" i="61"/>
  <c r="H239" i="48" s="1"/>
  <c r="H126" i="61"/>
  <c r="D19" i="61"/>
  <c r="C20" i="61"/>
  <c r="H21" i="14"/>
  <c r="G22" i="14"/>
  <c r="H138" i="48"/>
  <c r="G77" i="18"/>
  <c r="I40" i="73"/>
  <c r="K51" i="61"/>
  <c r="J52" i="61"/>
  <c r="K90" i="48" s="1"/>
  <c r="H74" i="49"/>
  <c r="H75" i="49" s="1"/>
  <c r="J172" i="16"/>
  <c r="I173" i="16"/>
  <c r="I205" i="16" s="1"/>
  <c r="G186" i="48"/>
  <c r="F104" i="61"/>
  <c r="G299" i="64"/>
  <c r="G308" i="64"/>
  <c r="G309" i="64" s="1"/>
  <c r="H298" i="64"/>
  <c r="J76" i="61"/>
  <c r="I77" i="61"/>
  <c r="J136" i="48" s="1"/>
  <c r="B54" i="61"/>
  <c r="C89" i="48"/>
  <c r="L237" i="64"/>
  <c r="M235" i="4"/>
  <c r="L237" i="4"/>
  <c r="L265" i="4"/>
  <c r="J101" i="61"/>
  <c r="I102" i="61"/>
  <c r="J187" i="48" s="1"/>
  <c r="I69" i="18"/>
  <c r="H70" i="18"/>
  <c r="F304" i="64"/>
  <c r="F326" i="64" s="1"/>
  <c r="G303" i="64"/>
  <c r="D44" i="61"/>
  <c r="C45" i="61"/>
  <c r="L247" i="64"/>
  <c r="L247" i="4"/>
  <c r="K236" i="16"/>
  <c r="K239" i="64"/>
  <c r="K267" i="64"/>
  <c r="J313" i="16"/>
  <c r="J320" i="16" s="1"/>
  <c r="K272" i="48" s="1"/>
  <c r="J321" i="16"/>
  <c r="F21" i="18"/>
  <c r="E22" i="18"/>
  <c r="L317" i="64"/>
  <c r="L317" i="4"/>
  <c r="M315" i="4"/>
  <c r="M30" i="91" s="1"/>
  <c r="J238" i="16"/>
  <c r="J266" i="16"/>
  <c r="D23" i="70"/>
  <c r="C24" i="70"/>
  <c r="D59" i="48" s="1"/>
  <c r="N305" i="4"/>
  <c r="M307" i="64"/>
  <c r="M307" i="4"/>
  <c r="N307" i="4" s="1"/>
  <c r="C49" i="48"/>
  <c r="C15" i="48"/>
  <c r="B29" i="61"/>
  <c r="D29" i="18"/>
  <c r="E52" i="48"/>
  <c r="K319" i="64"/>
  <c r="K311" i="16"/>
  <c r="K313" i="16" s="1"/>
  <c r="L104" i="4"/>
  <c r="L135" i="4" s="1"/>
  <c r="M136" i="4"/>
  <c r="N136" i="4" s="1"/>
  <c r="L112" i="16"/>
  <c r="L136" i="16" s="1"/>
  <c r="G46" i="48"/>
  <c r="F31" i="14"/>
  <c r="N18" i="64"/>
  <c r="D100" i="75"/>
  <c r="E100" i="75" s="1"/>
  <c r="I91" i="70"/>
  <c r="I92" i="70" s="1"/>
  <c r="J93" i="18"/>
  <c r="I94" i="18"/>
  <c r="J23" i="73"/>
  <c r="I92" i="48"/>
  <c r="H53" i="18"/>
  <c r="H99" i="48"/>
  <c r="M297" i="64"/>
  <c r="M297" i="4"/>
  <c r="N295" i="4"/>
  <c r="J10" i="16"/>
  <c r="J65" i="16" s="1"/>
  <c r="J13" i="64"/>
  <c r="K298" i="16"/>
  <c r="I189" i="48"/>
  <c r="H101" i="18"/>
  <c r="L171" i="64"/>
  <c r="M166" i="4"/>
  <c r="L168" i="4"/>
  <c r="J57" i="73"/>
  <c r="M117" i="16"/>
  <c r="M117" i="64"/>
  <c r="M109" i="4"/>
  <c r="N109" i="4" s="1"/>
  <c r="N107" i="4"/>
  <c r="K11" i="64"/>
  <c r="K13" i="4"/>
  <c r="K66" i="4" s="1"/>
  <c r="L70" i="48" s="1"/>
  <c r="I91" i="49"/>
  <c r="I92" i="49" s="1"/>
  <c r="I246" i="48"/>
  <c r="J74" i="70"/>
  <c r="J75" i="70" s="1"/>
  <c r="J196" i="48"/>
  <c r="J117" i="18"/>
  <c r="I118" i="18"/>
  <c r="I69" i="61"/>
  <c r="H70" i="61"/>
  <c r="I119" i="61"/>
  <c r="H120" i="61"/>
  <c r="M10" i="60"/>
  <c r="I12" i="16"/>
  <c r="I64" i="16" s="1"/>
  <c r="J72" i="48" s="1"/>
  <c r="L116" i="48"/>
  <c r="N242" i="4"/>
  <c r="H246" i="48"/>
  <c r="I241" i="48"/>
  <c r="H125" i="18"/>
  <c r="H135" i="48"/>
  <c r="G79" i="61"/>
  <c r="H238" i="48"/>
  <c r="L273" i="48"/>
  <c r="L28" i="48"/>
  <c r="L119" i="48"/>
  <c r="L221" i="48"/>
  <c r="L170" i="48"/>
  <c r="K166" i="16"/>
  <c r="K173" i="64"/>
  <c r="J45" i="18"/>
  <c r="I46" i="18"/>
  <c r="J168" i="16"/>
  <c r="J74" i="73"/>
  <c r="I40" i="70"/>
  <c r="I41" i="70" s="1"/>
  <c r="I99" i="48"/>
  <c r="L296" i="16"/>
  <c r="M241" i="16"/>
  <c r="M244" i="64"/>
  <c r="F63" i="64"/>
  <c r="F58" i="64"/>
  <c r="E26" i="48"/>
  <c r="K28" i="64"/>
  <c r="B183" i="64"/>
  <c r="B187" i="64"/>
  <c r="D38" i="75"/>
  <c r="K23" i="64"/>
  <c r="H43" i="64"/>
  <c r="G48" i="64"/>
  <c r="J33" i="64"/>
  <c r="J37" i="64"/>
  <c r="I38" i="64"/>
  <c r="M33" i="91" l="1"/>
  <c r="M36" i="91" s="1"/>
  <c r="F179" i="61"/>
  <c r="K178" i="64"/>
  <c r="K206" i="64" s="1"/>
  <c r="L168" i="48" s="1"/>
  <c r="M370" i="48"/>
  <c r="M73" i="48"/>
  <c r="J85" i="95"/>
  <c r="I86" i="95"/>
  <c r="L32" i="93"/>
  <c r="L392" i="64"/>
  <c r="L381" i="16"/>
  <c r="M380" i="4"/>
  <c r="L382" i="4"/>
  <c r="L429" i="4" s="1"/>
  <c r="M367" i="48" s="1"/>
  <c r="L430" i="4"/>
  <c r="I40" i="87"/>
  <c r="H41" i="87"/>
  <c r="I111" i="48" s="1"/>
  <c r="N29" i="90"/>
  <c r="O29" i="90"/>
  <c r="I132" i="85"/>
  <c r="H133" i="85"/>
  <c r="I306" i="48" s="1"/>
  <c r="I41" i="84"/>
  <c r="H42" i="84"/>
  <c r="J62" i="86"/>
  <c r="I63" i="86"/>
  <c r="J160" i="48" s="1"/>
  <c r="K293" i="48"/>
  <c r="J150" i="18"/>
  <c r="I154" i="95"/>
  <c r="H155" i="95"/>
  <c r="I363" i="48" s="1"/>
  <c r="J91" i="73"/>
  <c r="I92" i="73"/>
  <c r="J250" i="48" s="1"/>
  <c r="I211" i="48"/>
  <c r="J24" i="84"/>
  <c r="I25" i="84"/>
  <c r="I144" i="61"/>
  <c r="H145" i="61"/>
  <c r="H154" i="61" s="1"/>
  <c r="J168" i="18"/>
  <c r="K167" i="18"/>
  <c r="M28" i="90"/>
  <c r="M28" i="89"/>
  <c r="M323" i="48"/>
  <c r="I208" i="48"/>
  <c r="L367" i="48"/>
  <c r="J75" i="84"/>
  <c r="I76" i="84"/>
  <c r="M22" i="85"/>
  <c r="M23" i="85" s="1"/>
  <c r="L23" i="85"/>
  <c r="M67" i="48" s="1"/>
  <c r="J22" i="95"/>
  <c r="I23" i="95"/>
  <c r="M31" i="94"/>
  <c r="O27" i="94"/>
  <c r="O31" i="94" s="1"/>
  <c r="N27" i="94"/>
  <c r="N31" i="94" s="1"/>
  <c r="I291" i="48"/>
  <c r="I132" i="87"/>
  <c r="H133" i="87"/>
  <c r="I310" i="48" s="1"/>
  <c r="L142" i="18"/>
  <c r="K143" i="18"/>
  <c r="J85" i="86"/>
  <c r="I86" i="86"/>
  <c r="J211" i="48" s="1"/>
  <c r="H126" i="49"/>
  <c r="I348" i="48" s="1"/>
  <c r="I125" i="49"/>
  <c r="G154" i="61"/>
  <c r="H357" i="48"/>
  <c r="H360" i="48"/>
  <c r="J86" i="87"/>
  <c r="I87" i="87"/>
  <c r="J208" i="48" s="1"/>
  <c r="K447" i="64"/>
  <c r="K394" i="64"/>
  <c r="H169" i="61"/>
  <c r="G170" i="61"/>
  <c r="I156" i="85"/>
  <c r="H157" i="85"/>
  <c r="H341" i="48"/>
  <c r="G179" i="61"/>
  <c r="G126" i="70"/>
  <c r="H125" i="70"/>
  <c r="J23" i="87"/>
  <c r="I24" i="87"/>
  <c r="H114" i="48"/>
  <c r="J58" i="84"/>
  <c r="I59" i="84"/>
  <c r="J151" i="61"/>
  <c r="I152" i="61"/>
  <c r="I39" i="95"/>
  <c r="H40" i="95"/>
  <c r="J108" i="49"/>
  <c r="I109" i="49"/>
  <c r="J298" i="48" s="1"/>
  <c r="H300" i="48"/>
  <c r="I107" i="84"/>
  <c r="H108" i="84"/>
  <c r="I155" i="87"/>
  <c r="H156" i="87"/>
  <c r="I357" i="48" s="1"/>
  <c r="I154" i="86"/>
  <c r="H155" i="86"/>
  <c r="I360" i="48" s="1"/>
  <c r="N30" i="91"/>
  <c r="O30" i="91"/>
  <c r="O29" i="91"/>
  <c r="N29" i="91"/>
  <c r="N33" i="91" s="1"/>
  <c r="M33" i="92"/>
  <c r="M36" i="92" s="1"/>
  <c r="N32" i="92"/>
  <c r="N33" i="92" s="1"/>
  <c r="N36" i="92" s="1"/>
  <c r="O32" i="92"/>
  <c r="O33" i="92" s="1"/>
  <c r="O36" i="92" s="1"/>
  <c r="J22" i="86"/>
  <c r="I23" i="86"/>
  <c r="J69" i="48" s="1"/>
  <c r="K431" i="16"/>
  <c r="K383" i="16"/>
  <c r="J62" i="95"/>
  <c r="I63" i="95"/>
  <c r="J163" i="48" s="1"/>
  <c r="I131" i="86"/>
  <c r="H132" i="86"/>
  <c r="I313" i="48" s="1"/>
  <c r="I131" i="95"/>
  <c r="H132" i="95"/>
  <c r="I316" i="48" s="1"/>
  <c r="I176" i="61"/>
  <c r="H177" i="61"/>
  <c r="O29" i="89"/>
  <c r="N29" i="89"/>
  <c r="J63" i="87"/>
  <c r="I64" i="87"/>
  <c r="J157" i="48" s="1"/>
  <c r="I39" i="86"/>
  <c r="H40" i="86"/>
  <c r="I114" i="48" s="1"/>
  <c r="H306" i="48"/>
  <c r="I91" i="84"/>
  <c r="H92" i="84"/>
  <c r="I108" i="70"/>
  <c r="H109" i="70"/>
  <c r="I300" i="48" s="1"/>
  <c r="J343" i="48"/>
  <c r="I175" i="18"/>
  <c r="H423" i="64"/>
  <c r="G424" i="64"/>
  <c r="L407" i="16"/>
  <c r="K408" i="16"/>
  <c r="K417" i="16"/>
  <c r="K418" i="16" s="1"/>
  <c r="G446" i="64"/>
  <c r="H368" i="48" s="1"/>
  <c r="J413" i="16"/>
  <c r="J430" i="16" s="1"/>
  <c r="K369" i="48" s="1"/>
  <c r="K412" i="16"/>
  <c r="I418" i="64"/>
  <c r="H428" i="64"/>
  <c r="H429" i="64" s="1"/>
  <c r="H419" i="64"/>
  <c r="F26" i="48"/>
  <c r="F71" i="48"/>
  <c r="G326" i="48"/>
  <c r="G331" i="48" s="1"/>
  <c r="G373" i="48"/>
  <c r="G378" i="48" s="1"/>
  <c r="C373" i="48"/>
  <c r="C378" i="48" s="1"/>
  <c r="D17" i="75"/>
  <c r="E17" i="75" s="1"/>
  <c r="K206" i="16"/>
  <c r="L204" i="4"/>
  <c r="M167" i="48" s="1"/>
  <c r="F135" i="4"/>
  <c r="G116" i="48" s="1"/>
  <c r="N133" i="4"/>
  <c r="L207" i="64"/>
  <c r="M67" i="4"/>
  <c r="N67" i="4" s="1"/>
  <c r="M205" i="4"/>
  <c r="N205" i="4" s="1"/>
  <c r="I204" i="4"/>
  <c r="J167" i="48" s="1"/>
  <c r="N129" i="4"/>
  <c r="B135" i="4"/>
  <c r="C116" i="48" s="1"/>
  <c r="L320" i="48"/>
  <c r="L387" i="64"/>
  <c r="L334" i="64"/>
  <c r="M326" i="16"/>
  <c r="M327" i="4"/>
  <c r="M332" i="64"/>
  <c r="M375" i="4"/>
  <c r="N375" i="4" s="1"/>
  <c r="N325" i="4"/>
  <c r="M271" i="16"/>
  <c r="M274" i="64"/>
  <c r="N272" i="64"/>
  <c r="N51" i="4"/>
  <c r="N173" i="4"/>
  <c r="C218" i="48"/>
  <c r="M16" i="60"/>
  <c r="E140" i="64"/>
  <c r="F117" i="48" s="1"/>
  <c r="L118" i="48"/>
  <c r="K66" i="64"/>
  <c r="M178" i="64"/>
  <c r="L171" i="16"/>
  <c r="M35" i="16"/>
  <c r="M43" i="4"/>
  <c r="N43" i="4" s="1"/>
  <c r="N41" i="4"/>
  <c r="L320" i="4"/>
  <c r="L316" i="16"/>
  <c r="L318" i="16" s="1"/>
  <c r="L56" i="64"/>
  <c r="L37" i="16"/>
  <c r="K129" i="64"/>
  <c r="L127" i="64"/>
  <c r="L141" i="64" s="1"/>
  <c r="D132" i="75"/>
  <c r="E132" i="75" s="1"/>
  <c r="G133" i="64"/>
  <c r="G137" i="64" s="1"/>
  <c r="G138" i="64" s="1"/>
  <c r="F134" i="64"/>
  <c r="J169" i="48"/>
  <c r="F65" i="64"/>
  <c r="G71" i="48" s="1"/>
  <c r="I375" i="16"/>
  <c r="J322" i="48" s="1"/>
  <c r="G364" i="64"/>
  <c r="G386" i="64" s="1"/>
  <c r="H321" i="48" s="1"/>
  <c r="H363" i="64"/>
  <c r="I358" i="64"/>
  <c r="H368" i="64"/>
  <c r="H369" i="64" s="1"/>
  <c r="H359" i="64"/>
  <c r="G376" i="16"/>
  <c r="G328" i="16"/>
  <c r="G375" i="16" s="1"/>
  <c r="H322" i="48" s="1"/>
  <c r="G271" i="48"/>
  <c r="C326" i="48"/>
  <c r="C331" i="48" s="1"/>
  <c r="L352" i="16"/>
  <c r="K353" i="16"/>
  <c r="K362" i="16"/>
  <c r="K363" i="16" s="1"/>
  <c r="K357" i="16"/>
  <c r="J358" i="16"/>
  <c r="G129" i="61"/>
  <c r="M122" i="18"/>
  <c r="L84" i="24"/>
  <c r="L85" i="24" s="1"/>
  <c r="L88" i="24" s="1"/>
  <c r="L123" i="18"/>
  <c r="K85" i="24"/>
  <c r="K88" i="24" s="1"/>
  <c r="M116" i="48"/>
  <c r="K314" i="64"/>
  <c r="K327" i="64"/>
  <c r="L256" i="16"/>
  <c r="L258" i="16" s="1"/>
  <c r="L259" i="64"/>
  <c r="L301" i="16"/>
  <c r="L45" i="16"/>
  <c r="M178" i="4"/>
  <c r="N178" i="4" s="1"/>
  <c r="M181" i="64"/>
  <c r="M53" i="4"/>
  <c r="N53" i="4" s="1"/>
  <c r="M46" i="64"/>
  <c r="M45" i="16" s="1"/>
  <c r="L312" i="64"/>
  <c r="L327" i="64" s="1"/>
  <c r="L312" i="4"/>
  <c r="M302" i="4"/>
  <c r="N302" i="4" s="1"/>
  <c r="M302" i="64"/>
  <c r="M301" i="16" s="1"/>
  <c r="M303" i="16" s="1"/>
  <c r="N300" i="4"/>
  <c r="N250" i="4"/>
  <c r="M257" i="64"/>
  <c r="N257" i="64" s="1"/>
  <c r="M252" i="4"/>
  <c r="N252" i="4" s="1"/>
  <c r="L176" i="16"/>
  <c r="L178" i="16" s="1"/>
  <c r="L183" i="64"/>
  <c r="K321" i="16"/>
  <c r="K266" i="64"/>
  <c r="L219" i="48" s="1"/>
  <c r="L114" i="64"/>
  <c r="M306" i="16"/>
  <c r="N307" i="64"/>
  <c r="N315" i="4"/>
  <c r="M317" i="64"/>
  <c r="M317" i="4"/>
  <c r="N317" i="4" s="1"/>
  <c r="F22" i="18"/>
  <c r="G21" i="18"/>
  <c r="M247" i="64"/>
  <c r="M247" i="4"/>
  <c r="N247" i="4" s="1"/>
  <c r="H303" i="64"/>
  <c r="G304" i="64"/>
  <c r="G326" i="64" s="1"/>
  <c r="L236" i="16"/>
  <c r="L239" i="64"/>
  <c r="L267" i="64"/>
  <c r="K76" i="61"/>
  <c r="J77" i="61"/>
  <c r="K136" i="48" s="1"/>
  <c r="H194" i="48"/>
  <c r="D15" i="48"/>
  <c r="D31" i="48" s="1"/>
  <c r="D41" i="48" s="1"/>
  <c r="C29" i="61"/>
  <c r="D49" i="48"/>
  <c r="L114" i="16"/>
  <c r="L135" i="16" s="1"/>
  <c r="C31" i="48"/>
  <c r="C41" i="48" s="1"/>
  <c r="J265" i="16"/>
  <c r="K220" i="48" s="1"/>
  <c r="L246" i="16"/>
  <c r="L248" i="16" s="1"/>
  <c r="L249" i="64"/>
  <c r="H299" i="64"/>
  <c r="H308" i="64"/>
  <c r="H309" i="64" s="1"/>
  <c r="I298" i="64"/>
  <c r="I74" i="49"/>
  <c r="I75" i="49" s="1"/>
  <c r="I194" i="48"/>
  <c r="J40" i="73"/>
  <c r="E19" i="61"/>
  <c r="D20" i="61"/>
  <c r="M112" i="16"/>
  <c r="M104" i="4"/>
  <c r="M135" i="4" s="1"/>
  <c r="N102" i="4"/>
  <c r="L311" i="16"/>
  <c r="L319" i="64"/>
  <c r="K238" i="16"/>
  <c r="K265" i="16" s="1"/>
  <c r="L220" i="48" s="1"/>
  <c r="K266" i="16"/>
  <c r="D89" i="48"/>
  <c r="C54" i="61"/>
  <c r="I138" i="48"/>
  <c r="H77" i="18"/>
  <c r="L264" i="4"/>
  <c r="M218" i="48" s="1"/>
  <c r="H46" i="48"/>
  <c r="G31" i="14"/>
  <c r="I126" i="61"/>
  <c r="H127" i="61"/>
  <c r="I239" i="48" s="1"/>
  <c r="H186" i="48"/>
  <c r="G104" i="61"/>
  <c r="N245" i="4"/>
  <c r="E23" i="70"/>
  <c r="D24" i="70"/>
  <c r="E59" i="48" s="1"/>
  <c r="F52" i="48"/>
  <c r="E29" i="18"/>
  <c r="E44" i="61"/>
  <c r="D45" i="61"/>
  <c r="J69" i="18"/>
  <c r="I70" i="18"/>
  <c r="K101" i="61"/>
  <c r="J102" i="61"/>
  <c r="K187" i="48" s="1"/>
  <c r="N235" i="4"/>
  <c r="M237" i="64"/>
  <c r="M237" i="4"/>
  <c r="M265" i="4"/>
  <c r="N265" i="4" s="1"/>
  <c r="K172" i="16"/>
  <c r="J173" i="16"/>
  <c r="J205" i="16" s="1"/>
  <c r="L51" i="61"/>
  <c r="K52" i="61"/>
  <c r="I21" i="14"/>
  <c r="H22" i="14"/>
  <c r="I94" i="61"/>
  <c r="H95" i="61"/>
  <c r="I57" i="70"/>
  <c r="I58" i="70" s="1"/>
  <c r="I145" i="48"/>
  <c r="J27" i="48"/>
  <c r="N10" i="60"/>
  <c r="N16" i="60" s="1"/>
  <c r="J69" i="61"/>
  <c r="I70" i="61"/>
  <c r="L11" i="64"/>
  <c r="L13" i="4"/>
  <c r="L66" i="4" s="1"/>
  <c r="M70" i="48" s="1"/>
  <c r="K320" i="16"/>
  <c r="L272" i="48" s="1"/>
  <c r="J189" i="48"/>
  <c r="I101" i="18"/>
  <c r="J40" i="70"/>
  <c r="J41" i="70" s="1"/>
  <c r="J99" i="48"/>
  <c r="K45" i="18"/>
  <c r="J46" i="18"/>
  <c r="M28" i="48"/>
  <c r="M273" i="48"/>
  <c r="M170" i="48"/>
  <c r="M119" i="48"/>
  <c r="M221" i="48"/>
  <c r="I135" i="48"/>
  <c r="H79" i="61"/>
  <c r="K74" i="70"/>
  <c r="K75" i="70" s="1"/>
  <c r="M119" i="16"/>
  <c r="N119" i="16" s="1"/>
  <c r="N117" i="16"/>
  <c r="K57" i="73"/>
  <c r="L166" i="16"/>
  <c r="L173" i="64"/>
  <c r="M296" i="16"/>
  <c r="N297" i="64"/>
  <c r="K23" i="73"/>
  <c r="J91" i="70"/>
  <c r="J92" i="70" s="1"/>
  <c r="J248" i="48"/>
  <c r="J92" i="48"/>
  <c r="I53" i="18"/>
  <c r="K168" i="16"/>
  <c r="J119" i="61"/>
  <c r="I120" i="61"/>
  <c r="K117" i="18"/>
  <c r="J118" i="18"/>
  <c r="M119" i="64"/>
  <c r="N119" i="64" s="1"/>
  <c r="N117" i="64"/>
  <c r="M171" i="64"/>
  <c r="M168" i="4"/>
  <c r="N166" i="4"/>
  <c r="N297" i="4"/>
  <c r="I248" i="48"/>
  <c r="M243" i="16"/>
  <c r="L298" i="16"/>
  <c r="K74" i="73"/>
  <c r="I27" i="48"/>
  <c r="I238" i="48"/>
  <c r="J241" i="48"/>
  <c r="I125" i="18"/>
  <c r="J91" i="49"/>
  <c r="J92" i="49" s="1"/>
  <c r="K10" i="16"/>
  <c r="K65" i="16" s="1"/>
  <c r="K13" i="64"/>
  <c r="J12" i="16"/>
  <c r="J64" i="16" s="1"/>
  <c r="K72" i="48" s="1"/>
  <c r="K93" i="18"/>
  <c r="J94" i="18"/>
  <c r="M23" i="64"/>
  <c r="L23" i="64"/>
  <c r="E38" i="75"/>
  <c r="L28" i="64"/>
  <c r="M28" i="64"/>
  <c r="J38" i="64"/>
  <c r="K37" i="64"/>
  <c r="K33" i="64"/>
  <c r="H48" i="64"/>
  <c r="B192" i="64"/>
  <c r="B188" i="64"/>
  <c r="N188" i="64" s="1"/>
  <c r="G63" i="64"/>
  <c r="G58" i="64"/>
  <c r="I43" i="64"/>
  <c r="O33" i="91" l="1"/>
  <c r="J91" i="84"/>
  <c r="I92" i="84"/>
  <c r="I341" i="48"/>
  <c r="J154" i="86"/>
  <c r="I155" i="86"/>
  <c r="J360" i="48" s="1"/>
  <c r="J107" i="84"/>
  <c r="I108" i="84"/>
  <c r="J291" i="48"/>
  <c r="H350" i="48"/>
  <c r="J156" i="85"/>
  <c r="I157" i="85"/>
  <c r="J354" i="48" s="1"/>
  <c r="I126" i="49"/>
  <c r="J125" i="49"/>
  <c r="L293" i="48"/>
  <c r="K150" i="18"/>
  <c r="J132" i="87"/>
  <c r="I133" i="87"/>
  <c r="J310" i="48" s="1"/>
  <c r="K343" i="48"/>
  <c r="J175" i="18"/>
  <c r="J154" i="95"/>
  <c r="I155" i="95"/>
  <c r="K62" i="86"/>
  <c r="J63" i="86"/>
  <c r="K160" i="48" s="1"/>
  <c r="J132" i="85"/>
  <c r="I133" i="85"/>
  <c r="J306" i="48" s="1"/>
  <c r="M32" i="93"/>
  <c r="M392" i="64"/>
  <c r="M381" i="16"/>
  <c r="M382" i="4"/>
  <c r="M430" i="4"/>
  <c r="N430" i="4" s="1"/>
  <c r="N380" i="4"/>
  <c r="J214" i="48"/>
  <c r="J108" i="70"/>
  <c r="I109" i="70"/>
  <c r="J300" i="48" s="1"/>
  <c r="K63" i="87"/>
  <c r="J64" i="87"/>
  <c r="K157" i="48" s="1"/>
  <c r="J176" i="61"/>
  <c r="I177" i="61"/>
  <c r="J131" i="86"/>
  <c r="I132" i="86"/>
  <c r="J313" i="48" s="1"/>
  <c r="K108" i="49"/>
  <c r="J109" i="49"/>
  <c r="K298" i="48" s="1"/>
  <c r="K151" i="61"/>
  <c r="J152" i="61"/>
  <c r="H340" i="48"/>
  <c r="H373" i="48" s="1"/>
  <c r="H378" i="48" s="1"/>
  <c r="M142" i="18"/>
  <c r="M143" i="18" s="1"/>
  <c r="L143" i="18"/>
  <c r="N67" i="48"/>
  <c r="O67" i="48" s="1"/>
  <c r="B24" i="75" s="1"/>
  <c r="D24" i="75" s="1"/>
  <c r="E24" i="75" s="1"/>
  <c r="N23" i="85"/>
  <c r="M33" i="89"/>
  <c r="N28" i="89"/>
  <c r="N33" i="89" s="1"/>
  <c r="O28" i="89"/>
  <c r="O33" i="89" s="1"/>
  <c r="I290" i="48"/>
  <c r="K24" i="84"/>
  <c r="J25" i="84"/>
  <c r="J40" i="87"/>
  <c r="I41" i="87"/>
  <c r="J111" i="48" s="1"/>
  <c r="L431" i="16"/>
  <c r="L383" i="16"/>
  <c r="K85" i="95"/>
  <c r="J86" i="95"/>
  <c r="K214" i="48" s="1"/>
  <c r="N323" i="48"/>
  <c r="N370" i="48"/>
  <c r="O370" i="48" s="1"/>
  <c r="B216" i="75" s="1"/>
  <c r="D216" i="75" s="1"/>
  <c r="E216" i="75" s="1"/>
  <c r="N73" i="48"/>
  <c r="O73" i="48" s="1"/>
  <c r="B27" i="75" s="1"/>
  <c r="D27" i="75" s="1"/>
  <c r="E27" i="75" s="1"/>
  <c r="J39" i="86"/>
  <c r="I40" i="86"/>
  <c r="J114" i="48" s="1"/>
  <c r="J155" i="87"/>
  <c r="I156" i="87"/>
  <c r="J357" i="48" s="1"/>
  <c r="K23" i="87"/>
  <c r="J24" i="87"/>
  <c r="I169" i="61"/>
  <c r="H170" i="61"/>
  <c r="I340" i="48" s="1"/>
  <c r="K86" i="87"/>
  <c r="J87" i="87"/>
  <c r="K208" i="48" s="1"/>
  <c r="M33" i="90"/>
  <c r="O28" i="90"/>
  <c r="O33" i="90" s="1"/>
  <c r="N28" i="90"/>
  <c r="N33" i="90" s="1"/>
  <c r="J144" i="61"/>
  <c r="I145" i="61"/>
  <c r="J290" i="48" s="1"/>
  <c r="K91" i="73"/>
  <c r="J92" i="73"/>
  <c r="K250" i="48" s="1"/>
  <c r="J41" i="84"/>
  <c r="I42" i="84"/>
  <c r="L447" i="64"/>
  <c r="L394" i="64"/>
  <c r="J131" i="95"/>
  <c r="I132" i="95"/>
  <c r="J316" i="48" s="1"/>
  <c r="K62" i="95"/>
  <c r="J63" i="95"/>
  <c r="K163" i="48" s="1"/>
  <c r="K22" i="86"/>
  <c r="J23" i="86"/>
  <c r="K69" i="48" s="1"/>
  <c r="J39" i="95"/>
  <c r="I40" i="95"/>
  <c r="K58" i="84"/>
  <c r="J59" i="84"/>
  <c r="H126" i="70"/>
  <c r="I350" i="48" s="1"/>
  <c r="I125" i="70"/>
  <c r="I354" i="48"/>
  <c r="K85" i="86"/>
  <c r="J86" i="86"/>
  <c r="K211" i="48" s="1"/>
  <c r="K22" i="95"/>
  <c r="J23" i="95"/>
  <c r="K75" i="84"/>
  <c r="J76" i="84"/>
  <c r="K168" i="18"/>
  <c r="L167" i="18"/>
  <c r="L33" i="93"/>
  <c r="L36" i="93" s="1"/>
  <c r="M407" i="16"/>
  <c r="L417" i="16"/>
  <c r="L418" i="16" s="1"/>
  <c r="L408" i="16"/>
  <c r="I428" i="64"/>
  <c r="I429" i="64" s="1"/>
  <c r="I419" i="64"/>
  <c r="J418" i="64"/>
  <c r="H424" i="64"/>
  <c r="H446" i="64" s="1"/>
  <c r="I368" i="48" s="1"/>
  <c r="I423" i="64"/>
  <c r="K413" i="16"/>
  <c r="K430" i="16" s="1"/>
  <c r="L369" i="48" s="1"/>
  <c r="L412" i="16"/>
  <c r="M207" i="64"/>
  <c r="L206" i="64"/>
  <c r="M168" i="48" s="1"/>
  <c r="M204" i="4"/>
  <c r="N204" i="4" s="1"/>
  <c r="N135" i="4"/>
  <c r="M374" i="4"/>
  <c r="N327" i="4"/>
  <c r="L206" i="16"/>
  <c r="N271" i="16"/>
  <c r="M273" i="16"/>
  <c r="N273" i="16" s="1"/>
  <c r="M387" i="64"/>
  <c r="M334" i="64"/>
  <c r="N334" i="64" s="1"/>
  <c r="N332" i="64"/>
  <c r="F140" i="64"/>
  <c r="G117" i="48" s="1"/>
  <c r="M136" i="16"/>
  <c r="N136" i="16" s="1"/>
  <c r="P136" i="4" s="1"/>
  <c r="L66" i="64"/>
  <c r="M171" i="16"/>
  <c r="M320" i="4"/>
  <c r="N320" i="4" s="1"/>
  <c r="M316" i="16"/>
  <c r="M56" i="64"/>
  <c r="N56" i="64" s="1"/>
  <c r="M37" i="16"/>
  <c r="N37" i="16" s="1"/>
  <c r="N35" i="16"/>
  <c r="M127" i="64"/>
  <c r="M141" i="64" s="1"/>
  <c r="N141" i="64" s="1"/>
  <c r="O136" i="4" s="1"/>
  <c r="L129" i="64"/>
  <c r="G134" i="64"/>
  <c r="H133" i="64"/>
  <c r="H137" i="64" s="1"/>
  <c r="H138" i="64" s="1"/>
  <c r="G65" i="64"/>
  <c r="K169" i="48"/>
  <c r="M118" i="48"/>
  <c r="H326" i="48"/>
  <c r="H331" i="48" s="1"/>
  <c r="M47" i="16"/>
  <c r="I363" i="64"/>
  <c r="H364" i="64"/>
  <c r="H386" i="64" s="1"/>
  <c r="I321" i="48" s="1"/>
  <c r="L376" i="16"/>
  <c r="L328" i="16"/>
  <c r="K376" i="16"/>
  <c r="K328" i="16"/>
  <c r="I359" i="64"/>
  <c r="J358" i="64"/>
  <c r="I368" i="64"/>
  <c r="I369" i="64" s="1"/>
  <c r="H271" i="48"/>
  <c r="H276" i="48" s="1"/>
  <c r="H281" i="48" s="1"/>
  <c r="L357" i="16"/>
  <c r="K358" i="16"/>
  <c r="L353" i="16"/>
  <c r="L362" i="16"/>
  <c r="L363" i="16" s="1"/>
  <c r="M352" i="16"/>
  <c r="O323" i="48"/>
  <c r="B185" i="75" s="1"/>
  <c r="D185" i="75" s="1"/>
  <c r="E185" i="75" s="1"/>
  <c r="B164" i="75" s="1"/>
  <c r="K87" i="24"/>
  <c r="K91" i="24"/>
  <c r="L295" i="48" s="1"/>
  <c r="L87" i="24"/>
  <c r="L91" i="24"/>
  <c r="M295" i="48" s="1"/>
  <c r="M242" i="48"/>
  <c r="M84" i="24"/>
  <c r="M123" i="18"/>
  <c r="N242" i="48" s="1"/>
  <c r="N46" i="64"/>
  <c r="M176" i="16"/>
  <c r="M183" i="64"/>
  <c r="N183" i="64" s="1"/>
  <c r="N181" i="64"/>
  <c r="L47" i="16"/>
  <c r="N45" i="16"/>
  <c r="M312" i="64"/>
  <c r="M314" i="64" s="1"/>
  <c r="M312" i="4"/>
  <c r="N312" i="4" s="1"/>
  <c r="N310" i="4"/>
  <c r="N302" i="64"/>
  <c r="M256" i="16"/>
  <c r="M259" i="64"/>
  <c r="L314" i="64"/>
  <c r="L319" i="4"/>
  <c r="M270" i="48" s="1"/>
  <c r="L303" i="16"/>
  <c r="N303" i="16" s="1"/>
  <c r="N301" i="16"/>
  <c r="L266" i="64"/>
  <c r="M219" i="48" s="1"/>
  <c r="H104" i="61"/>
  <c r="I186" i="48"/>
  <c r="L90" i="48"/>
  <c r="E89" i="48"/>
  <c r="D54" i="61"/>
  <c r="L313" i="16"/>
  <c r="M114" i="64"/>
  <c r="N112" i="64"/>
  <c r="K40" i="73"/>
  <c r="N23" i="64"/>
  <c r="L321" i="16"/>
  <c r="J94" i="61"/>
  <c r="I95" i="61"/>
  <c r="M51" i="61"/>
  <c r="M52" i="61" s="1"/>
  <c r="N90" i="48" s="1"/>
  <c r="L52" i="61"/>
  <c r="M90" i="48" s="1"/>
  <c r="M264" i="4"/>
  <c r="N264" i="4" s="1"/>
  <c r="L101" i="61"/>
  <c r="K102" i="61"/>
  <c r="L187" i="48" s="1"/>
  <c r="F44" i="61"/>
  <c r="E45" i="61"/>
  <c r="F23" i="70"/>
  <c r="E24" i="70"/>
  <c r="F59" i="48" s="1"/>
  <c r="J126" i="61"/>
  <c r="I127" i="61"/>
  <c r="J239" i="48" s="1"/>
  <c r="N237" i="4"/>
  <c r="N104" i="4"/>
  <c r="E49" i="48"/>
  <c r="E15" i="48"/>
  <c r="E31" i="48" s="1"/>
  <c r="E41" i="48" s="1"/>
  <c r="D29" i="61"/>
  <c r="L238" i="16"/>
  <c r="L265" i="16" s="1"/>
  <c r="M220" i="48" s="1"/>
  <c r="L266" i="16"/>
  <c r="N247" i="64"/>
  <c r="M246" i="16"/>
  <c r="M249" i="64"/>
  <c r="M311" i="16"/>
  <c r="M313" i="16" s="1"/>
  <c r="M319" i="64"/>
  <c r="N319" i="64" s="1"/>
  <c r="I46" i="48"/>
  <c r="H31" i="14"/>
  <c r="M236" i="16"/>
  <c r="M239" i="64"/>
  <c r="M267" i="64"/>
  <c r="N237" i="64"/>
  <c r="J138" i="48"/>
  <c r="I77" i="18"/>
  <c r="M114" i="16"/>
  <c r="N112" i="16"/>
  <c r="F19" i="61"/>
  <c r="E20" i="61"/>
  <c r="J74" i="49"/>
  <c r="J75" i="49" s="1"/>
  <c r="J194" i="48"/>
  <c r="L76" i="61"/>
  <c r="K77" i="61"/>
  <c r="L136" i="48" s="1"/>
  <c r="G22" i="18"/>
  <c r="H21" i="18"/>
  <c r="N306" i="16"/>
  <c r="M308" i="16"/>
  <c r="N308" i="16" s="1"/>
  <c r="H129" i="61"/>
  <c r="J57" i="70"/>
  <c r="J58" i="70" s="1"/>
  <c r="J145" i="48"/>
  <c r="J21" i="14"/>
  <c r="I22" i="14"/>
  <c r="L172" i="16"/>
  <c r="K173" i="16"/>
  <c r="K205" i="16" s="1"/>
  <c r="K69" i="18"/>
  <c r="J70" i="18"/>
  <c r="J298" i="64"/>
  <c r="I299" i="64"/>
  <c r="I308" i="64"/>
  <c r="I309" i="64" s="1"/>
  <c r="H304" i="64"/>
  <c r="H326" i="64" s="1"/>
  <c r="I303" i="64"/>
  <c r="F29" i="18"/>
  <c r="G52" i="48"/>
  <c r="N317" i="64"/>
  <c r="K189" i="48"/>
  <c r="J101" i="18"/>
  <c r="K12" i="16"/>
  <c r="K64" i="16" s="1"/>
  <c r="L72" i="48" s="1"/>
  <c r="K27" i="48"/>
  <c r="L93" i="18"/>
  <c r="K94" i="18"/>
  <c r="J246" i="48"/>
  <c r="N168" i="4"/>
  <c r="L117" i="18"/>
  <c r="K118" i="18"/>
  <c r="L45" i="18"/>
  <c r="K46" i="18"/>
  <c r="K241" i="48"/>
  <c r="J125" i="18"/>
  <c r="K91" i="70"/>
  <c r="K92" i="70" s="1"/>
  <c r="K248" i="48"/>
  <c r="L23" i="73"/>
  <c r="L57" i="73"/>
  <c r="L74" i="70"/>
  <c r="L75" i="70" s="1"/>
  <c r="L196" i="48"/>
  <c r="J53" i="18"/>
  <c r="K92" i="48"/>
  <c r="L10" i="16"/>
  <c r="L65" i="16" s="1"/>
  <c r="L13" i="64"/>
  <c r="J70" i="61"/>
  <c r="K69" i="61"/>
  <c r="L74" i="73"/>
  <c r="M166" i="16"/>
  <c r="M173" i="64"/>
  <c r="M206" i="64" s="1"/>
  <c r="N171" i="64"/>
  <c r="K119" i="61"/>
  <c r="J120" i="61"/>
  <c r="M298" i="16"/>
  <c r="N296" i="16"/>
  <c r="K196" i="48"/>
  <c r="K40" i="70"/>
  <c r="K41" i="70" s="1"/>
  <c r="M11" i="64"/>
  <c r="M13" i="4"/>
  <c r="J135" i="48"/>
  <c r="I79" i="61"/>
  <c r="K91" i="49"/>
  <c r="K92" i="49" s="1"/>
  <c r="K246" i="48"/>
  <c r="J238" i="48"/>
  <c r="L168" i="16"/>
  <c r="N273" i="48"/>
  <c r="O273" i="48" s="1"/>
  <c r="N170" i="48"/>
  <c r="O170" i="48" s="1"/>
  <c r="N119" i="48"/>
  <c r="O119" i="48" s="1"/>
  <c r="N28" i="48"/>
  <c r="O28" i="48" s="1"/>
  <c r="N221" i="48"/>
  <c r="O221" i="48" s="1"/>
  <c r="G26" i="48"/>
  <c r="B197" i="64"/>
  <c r="B193" i="64"/>
  <c r="B213" i="64"/>
  <c r="I48" i="64"/>
  <c r="L37" i="64"/>
  <c r="K38" i="64"/>
  <c r="H63" i="64"/>
  <c r="H58" i="64"/>
  <c r="N28" i="64"/>
  <c r="J43" i="64"/>
  <c r="L33" i="64"/>
  <c r="M33" i="64"/>
  <c r="I373" i="48" l="1"/>
  <c r="I378" i="48" s="1"/>
  <c r="I154" i="61"/>
  <c r="L58" i="84"/>
  <c r="K59" i="84"/>
  <c r="L22" i="86"/>
  <c r="K23" i="86"/>
  <c r="L69" i="48" s="1"/>
  <c r="K131" i="95"/>
  <c r="J132" i="95"/>
  <c r="K316" i="48" s="1"/>
  <c r="K41" i="84"/>
  <c r="J42" i="84"/>
  <c r="K144" i="61"/>
  <c r="J145" i="61"/>
  <c r="J154" i="61" s="1"/>
  <c r="J169" i="61"/>
  <c r="I170" i="61"/>
  <c r="L85" i="95"/>
  <c r="K86" i="95"/>
  <c r="L214" i="48" s="1"/>
  <c r="K40" i="87"/>
  <c r="J41" i="87"/>
  <c r="K111" i="48" s="1"/>
  <c r="N293" i="48"/>
  <c r="M150" i="18"/>
  <c r="N143" i="18"/>
  <c r="L108" i="49"/>
  <c r="K109" i="49"/>
  <c r="L298" i="48" s="1"/>
  <c r="K176" i="61"/>
  <c r="J177" i="61"/>
  <c r="K108" i="70"/>
  <c r="J109" i="70"/>
  <c r="K300" i="48" s="1"/>
  <c r="M33" i="93"/>
  <c r="M36" i="93" s="1"/>
  <c r="O32" i="93"/>
  <c r="O33" i="93" s="1"/>
  <c r="O36" i="93" s="1"/>
  <c r="K107" i="84"/>
  <c r="J108" i="84"/>
  <c r="M167" i="18"/>
  <c r="M168" i="18" s="1"/>
  <c r="L168" i="18"/>
  <c r="L75" i="84"/>
  <c r="K76" i="84"/>
  <c r="L85" i="86"/>
  <c r="K86" i="86"/>
  <c r="L211" i="48" s="1"/>
  <c r="I126" i="70"/>
  <c r="J350" i="48" s="1"/>
  <c r="J125" i="70"/>
  <c r="K155" i="87"/>
  <c r="J156" i="87"/>
  <c r="K357" i="48" s="1"/>
  <c r="K291" i="48"/>
  <c r="M429" i="4"/>
  <c r="N382" i="4"/>
  <c r="L62" i="86"/>
  <c r="K63" i="86"/>
  <c r="L160" i="48" s="1"/>
  <c r="K156" i="85"/>
  <c r="J157" i="85"/>
  <c r="K354" i="48" s="1"/>
  <c r="L343" i="48"/>
  <c r="K175" i="18"/>
  <c r="K39" i="95"/>
  <c r="J40" i="95"/>
  <c r="L62" i="95"/>
  <c r="K63" i="95"/>
  <c r="L163" i="48" s="1"/>
  <c r="L91" i="73"/>
  <c r="K92" i="73"/>
  <c r="L250" i="48" s="1"/>
  <c r="L86" i="87"/>
  <c r="K87" i="87"/>
  <c r="L208" i="48" s="1"/>
  <c r="L23" i="87"/>
  <c r="K24" i="87"/>
  <c r="L151" i="61"/>
  <c r="K152" i="61"/>
  <c r="K131" i="86"/>
  <c r="J132" i="86"/>
  <c r="K313" i="48" s="1"/>
  <c r="L63" i="87"/>
  <c r="K64" i="87"/>
  <c r="L157" i="48" s="1"/>
  <c r="M431" i="16"/>
  <c r="N431" i="16" s="1"/>
  <c r="M383" i="16"/>
  <c r="N383" i="16" s="1"/>
  <c r="N381" i="16"/>
  <c r="J363" i="48"/>
  <c r="J126" i="49"/>
  <c r="K348" i="48" s="1"/>
  <c r="K125" i="49"/>
  <c r="K154" i="86"/>
  <c r="J155" i="86"/>
  <c r="K360" i="48" s="1"/>
  <c r="K91" i="84"/>
  <c r="J92" i="84"/>
  <c r="N32" i="93"/>
  <c r="N33" i="93" s="1"/>
  <c r="N36" i="93" s="1"/>
  <c r="L22" i="95"/>
  <c r="K23" i="95"/>
  <c r="K39" i="86"/>
  <c r="J40" i="86"/>
  <c r="K114" i="48" s="1"/>
  <c r="L24" i="84"/>
  <c r="K25" i="84"/>
  <c r="M293" i="48"/>
  <c r="L150" i="18"/>
  <c r="J341" i="48"/>
  <c r="I179" i="61"/>
  <c r="M447" i="64"/>
  <c r="N447" i="64" s="1"/>
  <c r="M394" i="64"/>
  <c r="N394" i="64" s="1"/>
  <c r="N392" i="64"/>
  <c r="K132" i="85"/>
  <c r="J133" i="85"/>
  <c r="K306" i="48" s="1"/>
  <c r="K154" i="95"/>
  <c r="J155" i="95"/>
  <c r="K363" i="48" s="1"/>
  <c r="K132" i="87"/>
  <c r="J133" i="87"/>
  <c r="K310" i="48" s="1"/>
  <c r="J348" i="48"/>
  <c r="H179" i="61"/>
  <c r="I424" i="64"/>
  <c r="I446" i="64" s="1"/>
  <c r="J368" i="48" s="1"/>
  <c r="J423" i="64"/>
  <c r="L413" i="16"/>
  <c r="L430" i="16" s="1"/>
  <c r="M369" i="48" s="1"/>
  <c r="M412" i="16"/>
  <c r="M413" i="16" s="1"/>
  <c r="K418" i="64"/>
  <c r="J419" i="64"/>
  <c r="J428" i="64"/>
  <c r="J429" i="64" s="1"/>
  <c r="M408" i="16"/>
  <c r="M417" i="16"/>
  <c r="M418" i="16" s="1"/>
  <c r="N418" i="16" s="1"/>
  <c r="H26" i="48"/>
  <c r="H71" i="48"/>
  <c r="N167" i="48"/>
  <c r="O167" i="48" s="1"/>
  <c r="M206" i="16"/>
  <c r="M66" i="4"/>
  <c r="N320" i="48"/>
  <c r="N374" i="4"/>
  <c r="D164" i="75"/>
  <c r="E164" i="75" s="1"/>
  <c r="B198" i="64"/>
  <c r="N198" i="64" s="1"/>
  <c r="B201" i="64"/>
  <c r="B202" i="64" s="1"/>
  <c r="N202" i="64" s="1"/>
  <c r="G140" i="64"/>
  <c r="H117" i="48" s="1"/>
  <c r="M135" i="16"/>
  <c r="N135" i="16" s="1"/>
  <c r="M66" i="64"/>
  <c r="N66" i="64" s="1"/>
  <c r="O67" i="4" s="1"/>
  <c r="M318" i="16"/>
  <c r="N318" i="16" s="1"/>
  <c r="N316" i="16"/>
  <c r="N127" i="64"/>
  <c r="M129" i="64"/>
  <c r="N129" i="64" s="1"/>
  <c r="I133" i="64"/>
  <c r="I137" i="64" s="1"/>
  <c r="I138" i="64" s="1"/>
  <c r="H134" i="64"/>
  <c r="L169" i="48"/>
  <c r="N47" i="16"/>
  <c r="N114" i="16"/>
  <c r="H65" i="64"/>
  <c r="I71" i="48" s="1"/>
  <c r="K375" i="16"/>
  <c r="L322" i="48" s="1"/>
  <c r="I271" i="48"/>
  <c r="I276" i="48" s="1"/>
  <c r="I281" i="48" s="1"/>
  <c r="I326" i="48"/>
  <c r="I331" i="48" s="1"/>
  <c r="J359" i="64"/>
  <c r="J368" i="64"/>
  <c r="J369" i="64" s="1"/>
  <c r="N387" i="64" s="1"/>
  <c r="O375" i="4" s="1"/>
  <c r="K358" i="64"/>
  <c r="I364" i="64"/>
  <c r="I386" i="64" s="1"/>
  <c r="J321" i="48" s="1"/>
  <c r="J363" i="64"/>
  <c r="M362" i="16"/>
  <c r="M363" i="16" s="1"/>
  <c r="N363" i="16" s="1"/>
  <c r="M353" i="16"/>
  <c r="M357" i="16"/>
  <c r="M358" i="16" s="1"/>
  <c r="L358" i="16"/>
  <c r="L375" i="16" s="1"/>
  <c r="M322" i="48" s="1"/>
  <c r="N123" i="18"/>
  <c r="O242" i="48"/>
  <c r="I129" i="61"/>
  <c r="M85" i="24"/>
  <c r="N84" i="24"/>
  <c r="N312" i="64"/>
  <c r="M327" i="64"/>
  <c r="N33" i="64"/>
  <c r="M178" i="16"/>
  <c r="N178" i="16" s="1"/>
  <c r="N176" i="16"/>
  <c r="M258" i="16"/>
  <c r="N258" i="16" s="1"/>
  <c r="N256" i="16"/>
  <c r="N314" i="64"/>
  <c r="M319" i="4"/>
  <c r="N319" i="4" s="1"/>
  <c r="N168" i="48"/>
  <c r="L320" i="16"/>
  <c r="M272" i="48" s="1"/>
  <c r="M321" i="16"/>
  <c r="N321" i="16" s="1"/>
  <c r="P320" i="4" s="1"/>
  <c r="N313" i="16"/>
  <c r="I304" i="64"/>
  <c r="I326" i="64" s="1"/>
  <c r="J303" i="64"/>
  <c r="K138" i="48"/>
  <c r="J77" i="18"/>
  <c r="J46" i="48"/>
  <c r="I31" i="14"/>
  <c r="H52" i="48"/>
  <c r="G29" i="18"/>
  <c r="M238" i="16"/>
  <c r="M266" i="16"/>
  <c r="G23" i="70"/>
  <c r="F24" i="70"/>
  <c r="G59" i="48" s="1"/>
  <c r="L102" i="61"/>
  <c r="M187" i="48" s="1"/>
  <c r="M101" i="61"/>
  <c r="M102" i="61" s="1"/>
  <c r="J186" i="48"/>
  <c r="I104" i="61"/>
  <c r="L40" i="73"/>
  <c r="L69" i="18"/>
  <c r="K70" i="18"/>
  <c r="K21" i="14"/>
  <c r="J22" i="14"/>
  <c r="K74" i="49"/>
  <c r="K75" i="49" s="1"/>
  <c r="M248" i="16"/>
  <c r="N248" i="16" s="1"/>
  <c r="N246" i="16"/>
  <c r="N116" i="48"/>
  <c r="O116" i="48" s="1"/>
  <c r="F89" i="48"/>
  <c r="E54" i="61"/>
  <c r="N218" i="48"/>
  <c r="O218" i="48" s="1"/>
  <c r="J95" i="61"/>
  <c r="K94" i="61"/>
  <c r="J308" i="64"/>
  <c r="J309" i="64" s="1"/>
  <c r="K298" i="64"/>
  <c r="J299" i="64"/>
  <c r="L77" i="61"/>
  <c r="M136" i="48" s="1"/>
  <c r="M76" i="61"/>
  <c r="M77" i="61" s="1"/>
  <c r="F15" i="48"/>
  <c r="E29" i="61"/>
  <c r="F49" i="48"/>
  <c r="J127" i="61"/>
  <c r="K126" i="61"/>
  <c r="G44" i="61"/>
  <c r="F45" i="61"/>
  <c r="N114" i="64"/>
  <c r="M172" i="16"/>
  <c r="M173" i="16" s="1"/>
  <c r="L173" i="16"/>
  <c r="L205" i="16" s="1"/>
  <c r="K57" i="70"/>
  <c r="K58" i="70" s="1"/>
  <c r="K145" i="48"/>
  <c r="I21" i="18"/>
  <c r="H22" i="18"/>
  <c r="F20" i="61"/>
  <c r="G19" i="61"/>
  <c r="M266" i="64"/>
  <c r="N219" i="48" s="1"/>
  <c r="N236" i="16"/>
  <c r="O90" i="48"/>
  <c r="N311" i="16"/>
  <c r="N52" i="61"/>
  <c r="B121" i="75"/>
  <c r="D121" i="75" s="1"/>
  <c r="E121" i="75" s="1"/>
  <c r="M168" i="16"/>
  <c r="N166" i="16"/>
  <c r="J79" i="61"/>
  <c r="K135" i="48"/>
  <c r="M23" i="73"/>
  <c r="N13" i="4"/>
  <c r="K99" i="48"/>
  <c r="L119" i="61"/>
  <c r="K120" i="61"/>
  <c r="M74" i="73"/>
  <c r="B89" i="75"/>
  <c r="D89" i="75" s="1"/>
  <c r="E89" i="75" s="1"/>
  <c r="K238" i="48"/>
  <c r="K70" i="61"/>
  <c r="L69" i="61"/>
  <c r="L12" i="16"/>
  <c r="L64" i="16" s="1"/>
  <c r="M72" i="48" s="1"/>
  <c r="B57" i="75"/>
  <c r="M57" i="73"/>
  <c r="L91" i="70"/>
  <c r="L92" i="70" s="1"/>
  <c r="L248" i="48"/>
  <c r="M45" i="18"/>
  <c r="M46" i="18" s="1"/>
  <c r="L46" i="18"/>
  <c r="M117" i="18"/>
  <c r="M118" i="18" s="1"/>
  <c r="L118" i="18"/>
  <c r="M93" i="18"/>
  <c r="M94" i="18" s="1"/>
  <c r="L94" i="18"/>
  <c r="L27" i="48"/>
  <c r="N173" i="64"/>
  <c r="B153" i="75"/>
  <c r="D153" i="75" s="1"/>
  <c r="E153" i="75" s="1"/>
  <c r="L91" i="49"/>
  <c r="L92" i="49" s="1"/>
  <c r="L246" i="48"/>
  <c r="M10" i="16"/>
  <c r="M65" i="16" s="1"/>
  <c r="M13" i="64"/>
  <c r="N11" i="64"/>
  <c r="L40" i="70"/>
  <c r="L41" i="70" s="1"/>
  <c r="L99" i="48"/>
  <c r="M74" i="70"/>
  <c r="M75" i="70" s="1"/>
  <c r="M196" i="48"/>
  <c r="K53" i="18"/>
  <c r="L92" i="48"/>
  <c r="L241" i="48"/>
  <c r="K125" i="18"/>
  <c r="K101" i="18"/>
  <c r="L189" i="48"/>
  <c r="N298" i="16"/>
  <c r="I63" i="64"/>
  <c r="I58" i="64"/>
  <c r="N193" i="64"/>
  <c r="M37" i="64"/>
  <c r="M38" i="64" s="1"/>
  <c r="L38" i="64"/>
  <c r="B218" i="64"/>
  <c r="B214" i="64"/>
  <c r="K43" i="64"/>
  <c r="J48" i="64"/>
  <c r="L154" i="95" l="1"/>
  <c r="K155" i="95"/>
  <c r="M343" i="48"/>
  <c r="L175" i="18"/>
  <c r="K341" i="48"/>
  <c r="L40" i="87"/>
  <c r="K41" i="87"/>
  <c r="L111" i="48" s="1"/>
  <c r="L41" i="84"/>
  <c r="K42" i="84"/>
  <c r="L39" i="86"/>
  <c r="K40" i="86"/>
  <c r="L114" i="48" s="1"/>
  <c r="L131" i="86"/>
  <c r="K132" i="86"/>
  <c r="L313" i="48" s="1"/>
  <c r="M23" i="87"/>
  <c r="M24" i="87" s="1"/>
  <c r="L24" i="87"/>
  <c r="M91" i="73"/>
  <c r="M92" i="73" s="1"/>
  <c r="N250" i="48" s="1"/>
  <c r="L92" i="73"/>
  <c r="M250" i="48" s="1"/>
  <c r="L39" i="95"/>
  <c r="K40" i="95"/>
  <c r="L156" i="85"/>
  <c r="K157" i="85"/>
  <c r="L354" i="48" s="1"/>
  <c r="L155" i="87"/>
  <c r="K156" i="87"/>
  <c r="L357" i="48" s="1"/>
  <c r="L132" i="87"/>
  <c r="K133" i="87"/>
  <c r="L310" i="48" s="1"/>
  <c r="L132" i="85"/>
  <c r="K133" i="85"/>
  <c r="L306" i="48" s="1"/>
  <c r="L91" i="84"/>
  <c r="K92" i="84"/>
  <c r="K126" i="49"/>
  <c r="L348" i="48" s="1"/>
  <c r="L125" i="49"/>
  <c r="L291" i="48"/>
  <c r="J126" i="70"/>
  <c r="K350" i="48" s="1"/>
  <c r="K125" i="70"/>
  <c r="O293" i="48"/>
  <c r="B168" i="75" s="1"/>
  <c r="M85" i="95"/>
  <c r="M86" i="95" s="1"/>
  <c r="L86" i="95"/>
  <c r="M214" i="48" s="1"/>
  <c r="L144" i="61"/>
  <c r="K145" i="61"/>
  <c r="L290" i="48" s="1"/>
  <c r="L131" i="95"/>
  <c r="K132" i="95"/>
  <c r="L316" i="48" s="1"/>
  <c r="M58" i="84"/>
  <c r="M59" i="84" s="1"/>
  <c r="L59" i="84"/>
  <c r="L154" i="86"/>
  <c r="K155" i="86"/>
  <c r="L360" i="48" s="1"/>
  <c r="K169" i="61"/>
  <c r="J170" i="61"/>
  <c r="K340" i="48" s="1"/>
  <c r="M22" i="86"/>
  <c r="M23" i="86" s="1"/>
  <c r="L23" i="86"/>
  <c r="M69" i="48" s="1"/>
  <c r="N367" i="48"/>
  <c r="N429" i="4"/>
  <c r="M85" i="86"/>
  <c r="M86" i="86" s="1"/>
  <c r="L86" i="86"/>
  <c r="M211" i="48" s="1"/>
  <c r="N343" i="48"/>
  <c r="M175" i="18"/>
  <c r="N168" i="18"/>
  <c r="L176" i="61"/>
  <c r="K177" i="61"/>
  <c r="N150" i="18"/>
  <c r="K290" i="48"/>
  <c r="M24" i="84"/>
  <c r="M25" i="84" s="1"/>
  <c r="L25" i="84"/>
  <c r="M22" i="95"/>
  <c r="M23" i="95" s="1"/>
  <c r="L23" i="95"/>
  <c r="M63" i="87"/>
  <c r="M64" i="87" s="1"/>
  <c r="L64" i="87"/>
  <c r="M157" i="48" s="1"/>
  <c r="M151" i="61"/>
  <c r="M152" i="61" s="1"/>
  <c r="L152" i="61"/>
  <c r="M86" i="87"/>
  <c r="M87" i="87" s="1"/>
  <c r="L87" i="87"/>
  <c r="M208" i="48" s="1"/>
  <c r="M62" i="95"/>
  <c r="M63" i="95" s="1"/>
  <c r="L63" i="95"/>
  <c r="M163" i="48" s="1"/>
  <c r="M62" i="86"/>
  <c r="M63" i="86" s="1"/>
  <c r="L63" i="86"/>
  <c r="M160" i="48" s="1"/>
  <c r="M75" i="84"/>
  <c r="M76" i="84" s="1"/>
  <c r="L76" i="84"/>
  <c r="L107" i="84"/>
  <c r="K108" i="84"/>
  <c r="L108" i="70"/>
  <c r="K109" i="70"/>
  <c r="L300" i="48" s="1"/>
  <c r="M108" i="49"/>
  <c r="M109" i="49" s="1"/>
  <c r="L109" i="49"/>
  <c r="M298" i="48" s="1"/>
  <c r="J340" i="48"/>
  <c r="D57" i="75"/>
  <c r="E57" i="75" s="1"/>
  <c r="M430" i="16"/>
  <c r="N408" i="16"/>
  <c r="K428" i="64"/>
  <c r="K429" i="64" s="1"/>
  <c r="L418" i="64"/>
  <c r="K419" i="64"/>
  <c r="K423" i="64"/>
  <c r="J424" i="64"/>
  <c r="J446" i="64" s="1"/>
  <c r="K368" i="48" s="1"/>
  <c r="N413" i="16"/>
  <c r="N66" i="4"/>
  <c r="N70" i="48"/>
  <c r="O70" i="48" s="1"/>
  <c r="O320" i="48"/>
  <c r="J326" i="48"/>
  <c r="J331" i="48" s="1"/>
  <c r="M205" i="16"/>
  <c r="H140" i="64"/>
  <c r="I117" i="48" s="1"/>
  <c r="M320" i="16"/>
  <c r="N272" i="48" s="1"/>
  <c r="O272" i="48" s="1"/>
  <c r="B152" i="75" s="1"/>
  <c r="D152" i="75" s="1"/>
  <c r="E152" i="75" s="1"/>
  <c r="B137" i="75"/>
  <c r="D137" i="75" s="1"/>
  <c r="E137" i="75" s="1"/>
  <c r="J133" i="64"/>
  <c r="J137" i="64" s="1"/>
  <c r="J138" i="64" s="1"/>
  <c r="I134" i="64"/>
  <c r="I65" i="64"/>
  <c r="M169" i="48"/>
  <c r="N13" i="64"/>
  <c r="J271" i="48"/>
  <c r="J276" i="48" s="1"/>
  <c r="J281" i="48" s="1"/>
  <c r="K359" i="64"/>
  <c r="L358" i="64"/>
  <c r="K368" i="64"/>
  <c r="K369" i="64" s="1"/>
  <c r="M376" i="16"/>
  <c r="M328" i="16"/>
  <c r="K363" i="64"/>
  <c r="J364" i="64"/>
  <c r="J386" i="64" s="1"/>
  <c r="K321" i="48" s="1"/>
  <c r="N327" i="64"/>
  <c r="O320" i="4" s="1"/>
  <c r="N358" i="16"/>
  <c r="N353" i="16"/>
  <c r="M88" i="24"/>
  <c r="N85" i="24"/>
  <c r="N270" i="48"/>
  <c r="O270" i="48" s="1"/>
  <c r="N118" i="48"/>
  <c r="O118" i="48" s="1"/>
  <c r="B56" i="75" s="1"/>
  <c r="D56" i="75" s="1"/>
  <c r="E56" i="75" s="1"/>
  <c r="G15" i="48"/>
  <c r="G31" i="48" s="1"/>
  <c r="G41" i="48" s="1"/>
  <c r="G49" i="48"/>
  <c r="F29" i="61"/>
  <c r="L57" i="70"/>
  <c r="L58" i="70" s="1"/>
  <c r="L145" i="48"/>
  <c r="H44" i="61"/>
  <c r="G45" i="61"/>
  <c r="K194" i="48"/>
  <c r="L138" i="48"/>
  <c r="K77" i="18"/>
  <c r="G24" i="70"/>
  <c r="H59" i="48" s="1"/>
  <c r="H23" i="70"/>
  <c r="H29" i="18"/>
  <c r="I52" i="48"/>
  <c r="O97" i="48"/>
  <c r="L126" i="61"/>
  <c r="K127" i="61"/>
  <c r="L239" i="48" s="1"/>
  <c r="L94" i="61"/>
  <c r="K95" i="61"/>
  <c r="L74" i="49"/>
  <c r="L75" i="49" s="1"/>
  <c r="L194" i="48"/>
  <c r="M69" i="18"/>
  <c r="M70" i="18" s="1"/>
  <c r="L70" i="18"/>
  <c r="N187" i="48"/>
  <c r="O187" i="48" s="1"/>
  <c r="N102" i="61"/>
  <c r="J304" i="64"/>
  <c r="J326" i="64" s="1"/>
  <c r="K271" i="48" s="1"/>
  <c r="K303" i="64"/>
  <c r="B41" i="75"/>
  <c r="D41" i="75" s="1"/>
  <c r="E41" i="75" s="1"/>
  <c r="I22" i="18"/>
  <c r="J21" i="18"/>
  <c r="K239" i="48"/>
  <c r="F31" i="48"/>
  <c r="F41" i="48" s="1"/>
  <c r="K299" i="64"/>
  <c r="L298" i="64"/>
  <c r="K308" i="64"/>
  <c r="K309" i="64" s="1"/>
  <c r="K186" i="48"/>
  <c r="J104" i="61"/>
  <c r="J31" i="14"/>
  <c r="K46" i="48"/>
  <c r="M40" i="73"/>
  <c r="N238" i="16"/>
  <c r="M265" i="16"/>
  <c r="J129" i="61"/>
  <c r="H19" i="61"/>
  <c r="G20" i="61"/>
  <c r="G89" i="48"/>
  <c r="F54" i="61"/>
  <c r="N136" i="48"/>
  <c r="O136" i="48" s="1"/>
  <c r="N77" i="61"/>
  <c r="L21" i="14"/>
  <c r="K22" i="14"/>
  <c r="I26" i="48"/>
  <c r="M189" i="48"/>
  <c r="L101" i="18"/>
  <c r="N94" i="18"/>
  <c r="L70" i="61"/>
  <c r="M69" i="61"/>
  <c r="M70" i="61" s="1"/>
  <c r="N196" i="48"/>
  <c r="O196" i="48" s="1"/>
  <c r="N75" i="70"/>
  <c r="M91" i="49"/>
  <c r="M92" i="49" s="1"/>
  <c r="M246" i="48"/>
  <c r="N241" i="48"/>
  <c r="M125" i="18"/>
  <c r="N118" i="18"/>
  <c r="M91" i="70"/>
  <c r="M92" i="70" s="1"/>
  <c r="M248" i="48"/>
  <c r="M27" i="48"/>
  <c r="M119" i="61"/>
  <c r="M120" i="61" s="1"/>
  <c r="L120" i="61"/>
  <c r="M241" i="48"/>
  <c r="L125" i="18"/>
  <c r="L238" i="48"/>
  <c r="N38" i="64"/>
  <c r="M92" i="48"/>
  <c r="L53" i="18"/>
  <c r="M40" i="70"/>
  <c r="M41" i="70" s="1"/>
  <c r="M99" i="48"/>
  <c r="M12" i="16"/>
  <c r="M64" i="16" s="1"/>
  <c r="N72" i="48" s="1"/>
  <c r="O72" i="48" s="1"/>
  <c r="N10" i="16"/>
  <c r="N65" i="16"/>
  <c r="P67" i="4" s="1"/>
  <c r="N189" i="48"/>
  <c r="M101" i="18"/>
  <c r="N92" i="48"/>
  <c r="M53" i="18"/>
  <c r="N46" i="18"/>
  <c r="L135" i="48"/>
  <c r="K79" i="61"/>
  <c r="N168" i="16"/>
  <c r="K48" i="64"/>
  <c r="L43" i="64"/>
  <c r="M43" i="64"/>
  <c r="B223" i="64"/>
  <c r="B219" i="64"/>
  <c r="N219" i="64" s="1"/>
  <c r="J63" i="64"/>
  <c r="J58" i="64"/>
  <c r="N214" i="64"/>
  <c r="N76" i="84" l="1"/>
  <c r="N25" i="84"/>
  <c r="O343" i="48"/>
  <c r="B199" i="75" s="1"/>
  <c r="D199" i="75" s="1"/>
  <c r="E199" i="75" s="1"/>
  <c r="N23" i="95"/>
  <c r="N59" i="84"/>
  <c r="N24" i="87"/>
  <c r="J179" i="61"/>
  <c r="N430" i="16"/>
  <c r="N369" i="48"/>
  <c r="M108" i="70"/>
  <c r="M109" i="70" s="1"/>
  <c r="L109" i="70"/>
  <c r="M300" i="48" s="1"/>
  <c r="N163" i="48"/>
  <c r="O163" i="48" s="1"/>
  <c r="B85" i="75" s="1"/>
  <c r="D85" i="75" s="1"/>
  <c r="E85" i="75" s="1"/>
  <c r="N63" i="95"/>
  <c r="N291" i="48"/>
  <c r="N211" i="48"/>
  <c r="O211" i="48" s="1"/>
  <c r="B116" i="75" s="1"/>
  <c r="D116" i="75" s="1"/>
  <c r="E116" i="75" s="1"/>
  <c r="N86" i="86"/>
  <c r="N69" i="48"/>
  <c r="O69" i="48" s="1"/>
  <c r="B23" i="75" s="1"/>
  <c r="D23" i="75" s="1"/>
  <c r="E23" i="75" s="1"/>
  <c r="N23" i="86"/>
  <c r="M154" i="86"/>
  <c r="M155" i="86" s="1"/>
  <c r="L155" i="86"/>
  <c r="M360" i="48" s="1"/>
  <c r="M131" i="95"/>
  <c r="M132" i="95" s="1"/>
  <c r="L132" i="95"/>
  <c r="M316" i="48" s="1"/>
  <c r="N214" i="48"/>
  <c r="O214" i="48" s="1"/>
  <c r="B117" i="75" s="1"/>
  <c r="D117" i="75" s="1"/>
  <c r="E117" i="75" s="1"/>
  <c r="N86" i="95"/>
  <c r="N152" i="61"/>
  <c r="M132" i="85"/>
  <c r="M133" i="85" s="1"/>
  <c r="L133" i="85"/>
  <c r="M306" i="48" s="1"/>
  <c r="M155" i="87"/>
  <c r="M156" i="87" s="1"/>
  <c r="L156" i="87"/>
  <c r="M357" i="48" s="1"/>
  <c r="M39" i="95"/>
  <c r="M40" i="95" s="1"/>
  <c r="L40" i="95"/>
  <c r="M39" i="86"/>
  <c r="M40" i="86" s="1"/>
  <c r="L40" i="86"/>
  <c r="M114" i="48" s="1"/>
  <c r="N175" i="18"/>
  <c r="D168" i="75"/>
  <c r="E168" i="75" s="1"/>
  <c r="K154" i="61"/>
  <c r="M40" i="87"/>
  <c r="M41" i="87" s="1"/>
  <c r="L41" i="87"/>
  <c r="M111" i="48" s="1"/>
  <c r="N298" i="48"/>
  <c r="O298" i="48" s="1"/>
  <c r="B172" i="75" s="1"/>
  <c r="D172" i="75" s="1"/>
  <c r="E172" i="75" s="1"/>
  <c r="N109" i="49"/>
  <c r="M107" i="84"/>
  <c r="M108" i="84" s="1"/>
  <c r="L108" i="84"/>
  <c r="N160" i="48"/>
  <c r="O160" i="48" s="1"/>
  <c r="N63" i="86"/>
  <c r="N208" i="48"/>
  <c r="O208" i="48" s="1"/>
  <c r="B115" i="75" s="1"/>
  <c r="D115" i="75" s="1"/>
  <c r="E115" i="75" s="1"/>
  <c r="N87" i="87"/>
  <c r="N157" i="48"/>
  <c r="O157" i="48" s="1"/>
  <c r="B83" i="75" s="1"/>
  <c r="D83" i="75" s="1"/>
  <c r="E83" i="75" s="1"/>
  <c r="N64" i="87"/>
  <c r="L341" i="48"/>
  <c r="L169" i="61"/>
  <c r="K170" i="61"/>
  <c r="L340" i="48" s="1"/>
  <c r="M144" i="61"/>
  <c r="M145" i="61" s="1"/>
  <c r="M154" i="61" s="1"/>
  <c r="L145" i="61"/>
  <c r="M290" i="48" s="1"/>
  <c r="K126" i="70"/>
  <c r="L350" i="48" s="1"/>
  <c r="L125" i="70"/>
  <c r="M91" i="84"/>
  <c r="M92" i="84" s="1"/>
  <c r="L92" i="84"/>
  <c r="M132" i="87"/>
  <c r="M133" i="87" s="1"/>
  <c r="L133" i="87"/>
  <c r="M310" i="48" s="1"/>
  <c r="M156" i="85"/>
  <c r="M157" i="85" s="1"/>
  <c r="L157" i="85"/>
  <c r="M354" i="48" s="1"/>
  <c r="M131" i="86"/>
  <c r="M132" i="86" s="1"/>
  <c r="L132" i="86"/>
  <c r="M313" i="48" s="1"/>
  <c r="L363" i="48"/>
  <c r="M291" i="48"/>
  <c r="M176" i="61"/>
  <c r="M177" i="61" s="1"/>
  <c r="L177" i="61"/>
  <c r="L126" i="49"/>
  <c r="M348" i="48" s="1"/>
  <c r="M125" i="49"/>
  <c r="M126" i="49" s="1"/>
  <c r="M41" i="84"/>
  <c r="M42" i="84" s="1"/>
  <c r="L42" i="84"/>
  <c r="M154" i="95"/>
  <c r="M155" i="95" s="1"/>
  <c r="N363" i="48" s="1"/>
  <c r="L155" i="95"/>
  <c r="M363" i="48" s="1"/>
  <c r="L423" i="64"/>
  <c r="K424" i="64"/>
  <c r="K446" i="64" s="1"/>
  <c r="L368" i="48" s="1"/>
  <c r="L428" i="64"/>
  <c r="L429" i="64" s="1"/>
  <c r="L419" i="64"/>
  <c r="M418" i="64"/>
  <c r="B26" i="75"/>
  <c r="J26" i="48"/>
  <c r="J71" i="48"/>
  <c r="J373" i="48"/>
  <c r="J378" i="48" s="1"/>
  <c r="O367" i="48"/>
  <c r="N320" i="16"/>
  <c r="I140" i="64"/>
  <c r="J117" i="48" s="1"/>
  <c r="J65" i="64"/>
  <c r="K71" i="48" s="1"/>
  <c r="K133" i="64"/>
  <c r="K137" i="64" s="1"/>
  <c r="K138" i="64" s="1"/>
  <c r="J134" i="64"/>
  <c r="J140" i="64" s="1"/>
  <c r="J376" i="16"/>
  <c r="N376" i="16" s="1"/>
  <c r="P375" i="4" s="1"/>
  <c r="J328" i="16"/>
  <c r="J375" i="16" s="1"/>
  <c r="K322" i="48" s="1"/>
  <c r="M358" i="64"/>
  <c r="L368" i="64"/>
  <c r="L369" i="64" s="1"/>
  <c r="L359" i="64"/>
  <c r="L363" i="64"/>
  <c r="K364" i="64"/>
  <c r="K386" i="64" s="1"/>
  <c r="L321" i="48" s="1"/>
  <c r="M375" i="16"/>
  <c r="N322" i="48" s="1"/>
  <c r="N326" i="16"/>
  <c r="M87" i="24"/>
  <c r="N87" i="24" s="1"/>
  <c r="M91" i="24"/>
  <c r="N88" i="24"/>
  <c r="N53" i="18"/>
  <c r="M21" i="14"/>
  <c r="M22" i="14" s="1"/>
  <c r="L22" i="14"/>
  <c r="I19" i="61"/>
  <c r="H20" i="61"/>
  <c r="N220" i="48"/>
  <c r="J52" i="48"/>
  <c r="I29" i="18"/>
  <c r="N138" i="48"/>
  <c r="M77" i="18"/>
  <c r="N70" i="18"/>
  <c r="L95" i="61"/>
  <c r="M94" i="61"/>
  <c r="M95" i="61" s="1"/>
  <c r="B46" i="75"/>
  <c r="D46" i="75" s="1"/>
  <c r="E46" i="75" s="1"/>
  <c r="I44" i="61"/>
  <c r="H45" i="61"/>
  <c r="N101" i="18"/>
  <c r="K129" i="61"/>
  <c r="L308" i="64"/>
  <c r="L309" i="64" s="1"/>
  <c r="M298" i="64"/>
  <c r="L299" i="64"/>
  <c r="H24" i="70"/>
  <c r="I59" i="48" s="1"/>
  <c r="I23" i="70"/>
  <c r="B103" i="75"/>
  <c r="D103" i="75" s="1"/>
  <c r="E103" i="75" s="1"/>
  <c r="M194" i="48"/>
  <c r="M74" i="49"/>
  <c r="M57" i="70"/>
  <c r="K276" i="48"/>
  <c r="K281" i="48" s="1"/>
  <c r="L46" i="48"/>
  <c r="K31" i="14"/>
  <c r="B71" i="75"/>
  <c r="D71" i="75" s="1"/>
  <c r="E71" i="75" s="1"/>
  <c r="G29" i="61"/>
  <c r="H49" i="48"/>
  <c r="H15" i="48"/>
  <c r="J22" i="18"/>
  <c r="K21" i="18"/>
  <c r="K304" i="64"/>
  <c r="K326" i="64" s="1"/>
  <c r="L303" i="64"/>
  <c r="L77" i="18"/>
  <c r="M138" i="48"/>
  <c r="L186" i="48"/>
  <c r="K104" i="61"/>
  <c r="L127" i="61"/>
  <c r="M239" i="48" s="1"/>
  <c r="M126" i="61"/>
  <c r="M127" i="61" s="1"/>
  <c r="N239" i="48" s="1"/>
  <c r="H89" i="48"/>
  <c r="G54" i="61"/>
  <c r="O189" i="48"/>
  <c r="B104" i="75" s="1"/>
  <c r="O92" i="48"/>
  <c r="B42" i="75" s="1"/>
  <c r="N248" i="48"/>
  <c r="O248" i="48" s="1"/>
  <c r="N92" i="70"/>
  <c r="N135" i="48"/>
  <c r="M79" i="61"/>
  <c r="N70" i="61"/>
  <c r="N169" i="48"/>
  <c r="B109" i="75"/>
  <c r="D109" i="75" s="1"/>
  <c r="E109" i="75" s="1"/>
  <c r="N238" i="48"/>
  <c r="N120" i="61"/>
  <c r="N246" i="48"/>
  <c r="O246" i="48" s="1"/>
  <c r="N92" i="49"/>
  <c r="O241" i="48"/>
  <c r="N99" i="48"/>
  <c r="O99" i="48" s="1"/>
  <c r="N41" i="70"/>
  <c r="M135" i="48"/>
  <c r="L79" i="61"/>
  <c r="N12" i="16"/>
  <c r="M238" i="48"/>
  <c r="N125" i="18"/>
  <c r="L48" i="64"/>
  <c r="N43" i="64"/>
  <c r="K58" i="64"/>
  <c r="K63" i="64"/>
  <c r="B224" i="64"/>
  <c r="B228" i="64"/>
  <c r="N42" i="84" l="1"/>
  <c r="N40" i="95"/>
  <c r="L154" i="61"/>
  <c r="N154" i="61" s="1"/>
  <c r="N92" i="84"/>
  <c r="N108" i="84"/>
  <c r="N341" i="48"/>
  <c r="N177" i="61"/>
  <c r="N354" i="48"/>
  <c r="O354" i="48" s="1"/>
  <c r="B208" i="75" s="1"/>
  <c r="D208" i="75" s="1"/>
  <c r="E208" i="75" s="1"/>
  <c r="N157" i="85"/>
  <c r="M58" i="70"/>
  <c r="N58" i="70" s="1"/>
  <c r="O363" i="48"/>
  <c r="B211" i="75" s="1"/>
  <c r="D211" i="75" s="1"/>
  <c r="E211" i="75" s="1"/>
  <c r="N313" i="48"/>
  <c r="O313" i="48" s="1"/>
  <c r="B180" i="75" s="1"/>
  <c r="D180" i="75" s="1"/>
  <c r="E180" i="75" s="1"/>
  <c r="N132" i="86"/>
  <c r="N310" i="48"/>
  <c r="O310" i="48" s="1"/>
  <c r="B179" i="75" s="1"/>
  <c r="D179" i="75" s="1"/>
  <c r="E179" i="75" s="1"/>
  <c r="N133" i="87"/>
  <c r="M169" i="61"/>
  <c r="M170" i="61" s="1"/>
  <c r="M179" i="61" s="1"/>
  <c r="L170" i="61"/>
  <c r="M340" i="48" s="1"/>
  <c r="N111" i="48"/>
  <c r="O111" i="48" s="1"/>
  <c r="B53" i="75" s="1"/>
  <c r="D53" i="75" s="1"/>
  <c r="E53" i="75" s="1"/>
  <c r="N41" i="87"/>
  <c r="N306" i="48"/>
  <c r="O306" i="48" s="1"/>
  <c r="B177" i="75" s="1"/>
  <c r="D177" i="75" s="1"/>
  <c r="E177" i="75" s="1"/>
  <c r="N133" i="85"/>
  <c r="M75" i="49"/>
  <c r="N75" i="49" s="1"/>
  <c r="M341" i="48"/>
  <c r="N155" i="95"/>
  <c r="N316" i="48"/>
  <c r="O316" i="48" s="1"/>
  <c r="B181" i="75" s="1"/>
  <c r="D181" i="75" s="1"/>
  <c r="E181" i="75" s="1"/>
  <c r="N132" i="95"/>
  <c r="O291" i="48"/>
  <c r="B167" i="75" s="1"/>
  <c r="D167" i="75" s="1"/>
  <c r="E167" i="75" s="1"/>
  <c r="N300" i="48"/>
  <c r="O300" i="48" s="1"/>
  <c r="B173" i="75" s="1"/>
  <c r="D173" i="75" s="1"/>
  <c r="E173" i="75" s="1"/>
  <c r="N109" i="70"/>
  <c r="N290" i="48"/>
  <c r="O290" i="48" s="1"/>
  <c r="B166" i="75" s="1"/>
  <c r="D166" i="75" s="1"/>
  <c r="E166" i="75" s="1"/>
  <c r="N145" i="61"/>
  <c r="B84" i="75"/>
  <c r="D84" i="75" s="1"/>
  <c r="E84" i="75" s="1"/>
  <c r="N114" i="48"/>
  <c r="O114" i="48" s="1"/>
  <c r="B54" i="75" s="1"/>
  <c r="D54" i="75" s="1"/>
  <c r="E54" i="75" s="1"/>
  <c r="N40" i="86"/>
  <c r="N357" i="48"/>
  <c r="O357" i="48" s="1"/>
  <c r="N156" i="87"/>
  <c r="N348" i="48"/>
  <c r="O348" i="48" s="1"/>
  <c r="B203" i="75" s="1"/>
  <c r="N126" i="49"/>
  <c r="L126" i="70"/>
  <c r="M350" i="48" s="1"/>
  <c r="M125" i="70"/>
  <c r="M126" i="70" s="1"/>
  <c r="K179" i="61"/>
  <c r="N360" i="48"/>
  <c r="O360" i="48" s="1"/>
  <c r="B213" i="75" s="1"/>
  <c r="D213" i="75" s="1"/>
  <c r="E213" i="75" s="1"/>
  <c r="N155" i="86"/>
  <c r="M428" i="64"/>
  <c r="M429" i="64" s="1"/>
  <c r="N429" i="64" s="1"/>
  <c r="M419" i="64"/>
  <c r="L424" i="64"/>
  <c r="L446" i="64" s="1"/>
  <c r="M368" i="48" s="1"/>
  <c r="M423" i="64"/>
  <c r="M424" i="64" s="1"/>
  <c r="K326" i="48"/>
  <c r="K331" i="48" s="1"/>
  <c r="K373" i="48"/>
  <c r="K378" i="48" s="1"/>
  <c r="L326" i="48"/>
  <c r="L331" i="48" s="1"/>
  <c r="L373" i="48"/>
  <c r="L378" i="48" s="1"/>
  <c r="K117" i="48"/>
  <c r="D42" i="75"/>
  <c r="E42" i="75" s="1"/>
  <c r="D104" i="75"/>
  <c r="E104" i="75" s="1"/>
  <c r="N91" i="24"/>
  <c r="N295" i="48"/>
  <c r="O295" i="48" s="1"/>
  <c r="B170" i="75" s="1"/>
  <c r="D170" i="75" s="1"/>
  <c r="E170" i="75" s="1"/>
  <c r="L133" i="64"/>
  <c r="L137" i="64" s="1"/>
  <c r="L138" i="64" s="1"/>
  <c r="K134" i="64"/>
  <c r="K65" i="64"/>
  <c r="L71" i="48" s="1"/>
  <c r="N328" i="16"/>
  <c r="M363" i="64"/>
  <c r="M364" i="64" s="1"/>
  <c r="L364" i="64"/>
  <c r="L386" i="64" s="1"/>
  <c r="M321" i="48" s="1"/>
  <c r="L271" i="48"/>
  <c r="L276" i="48" s="1"/>
  <c r="L281" i="48" s="1"/>
  <c r="N375" i="16"/>
  <c r="M368" i="64"/>
  <c r="M369" i="64" s="1"/>
  <c r="N369" i="64" s="1"/>
  <c r="M359" i="64"/>
  <c r="O322" i="48"/>
  <c r="N77" i="18"/>
  <c r="L129" i="61"/>
  <c r="O239" i="48"/>
  <c r="L304" i="64"/>
  <c r="M303" i="64"/>
  <c r="M304" i="64" s="1"/>
  <c r="I49" i="48"/>
  <c r="I15" i="48"/>
  <c r="I31" i="48" s="1"/>
  <c r="I41" i="48" s="1"/>
  <c r="H29" i="61"/>
  <c r="M129" i="61"/>
  <c r="H31" i="48"/>
  <c r="H41" i="48" s="1"/>
  <c r="M145" i="48"/>
  <c r="J23" i="70"/>
  <c r="I24" i="70"/>
  <c r="J59" i="48" s="1"/>
  <c r="M299" i="64"/>
  <c r="M308" i="64"/>
  <c r="M309" i="64" s="1"/>
  <c r="N309" i="64" s="1"/>
  <c r="H54" i="61"/>
  <c r="I89" i="48"/>
  <c r="I20" i="61"/>
  <c r="J19" i="61"/>
  <c r="L21" i="18"/>
  <c r="K22" i="18"/>
  <c r="I45" i="61"/>
  <c r="J44" i="61"/>
  <c r="N186" i="48"/>
  <c r="M104" i="61"/>
  <c r="O138" i="48"/>
  <c r="M46" i="48"/>
  <c r="L31" i="14"/>
  <c r="N22" i="14"/>
  <c r="J29" i="18"/>
  <c r="K52" i="48"/>
  <c r="N127" i="61"/>
  <c r="L104" i="61"/>
  <c r="M186" i="48"/>
  <c r="N95" i="61"/>
  <c r="N46" i="48"/>
  <c r="M31" i="14"/>
  <c r="K26" i="48"/>
  <c r="N27" i="48"/>
  <c r="O27" i="48" s="1"/>
  <c r="N64" i="16"/>
  <c r="B47" i="75"/>
  <c r="D47" i="75" s="1"/>
  <c r="E47" i="75" s="1"/>
  <c r="B141" i="75"/>
  <c r="D141" i="75" s="1"/>
  <c r="E141" i="75" s="1"/>
  <c r="B140" i="75"/>
  <c r="D140" i="75" s="1"/>
  <c r="E140" i="75" s="1"/>
  <c r="O135" i="48"/>
  <c r="B136" i="75"/>
  <c r="D136" i="75" s="1"/>
  <c r="E136" i="75" s="1"/>
  <c r="O238" i="48"/>
  <c r="N79" i="61"/>
  <c r="N224" i="64"/>
  <c r="L58" i="64"/>
  <c r="L63" i="64"/>
  <c r="B233" i="64"/>
  <c r="B229" i="64"/>
  <c r="N229" i="64" s="1"/>
  <c r="M48" i="64"/>
  <c r="N145" i="48" l="1"/>
  <c r="B192" i="75"/>
  <c r="D192" i="75" s="1"/>
  <c r="E192" i="75" s="1"/>
  <c r="L179" i="61"/>
  <c r="N179" i="61" s="1"/>
  <c r="B210" i="75"/>
  <c r="D210" i="75" s="1"/>
  <c r="E210" i="75" s="1"/>
  <c r="N194" i="48"/>
  <c r="O194" i="48" s="1"/>
  <c r="D203" i="75"/>
  <c r="E203" i="75" s="1"/>
  <c r="N350" i="48"/>
  <c r="O350" i="48" s="1"/>
  <c r="B204" i="75" s="1"/>
  <c r="D204" i="75" s="1"/>
  <c r="E204" i="75" s="1"/>
  <c r="N126" i="70"/>
  <c r="N340" i="48"/>
  <c r="O340" i="48" s="1"/>
  <c r="B197" i="75" s="1"/>
  <c r="D197" i="75" s="1"/>
  <c r="E197" i="75" s="1"/>
  <c r="N170" i="61"/>
  <c r="O341" i="48"/>
  <c r="B198" i="75" s="1"/>
  <c r="D198" i="75" s="1"/>
  <c r="E198" i="75" s="1"/>
  <c r="M446" i="64"/>
  <c r="N419" i="64"/>
  <c r="N424" i="64"/>
  <c r="M326" i="48"/>
  <c r="M331" i="48" s="1"/>
  <c r="M373" i="48"/>
  <c r="M378" i="48" s="1"/>
  <c r="O369" i="48"/>
  <c r="B215" i="75" s="1"/>
  <c r="D215" i="75" s="1"/>
  <c r="E215" i="75" s="1"/>
  <c r="K140" i="64"/>
  <c r="L117" i="48" s="1"/>
  <c r="O46" i="48"/>
  <c r="O145" i="48"/>
  <c r="B77" i="75" s="1"/>
  <c r="D77" i="75" s="1"/>
  <c r="E77" i="75" s="1"/>
  <c r="M133" i="64"/>
  <c r="L134" i="64"/>
  <c r="L140" i="64" s="1"/>
  <c r="L65" i="64"/>
  <c r="M71" i="48" s="1"/>
  <c r="N364" i="64"/>
  <c r="M386" i="64"/>
  <c r="N359" i="64"/>
  <c r="B184" i="75"/>
  <c r="D184" i="75" s="1"/>
  <c r="E184" i="75" s="1"/>
  <c r="N104" i="61"/>
  <c r="N129" i="61"/>
  <c r="B135" i="75"/>
  <c r="D135" i="75" s="1"/>
  <c r="E135" i="75" s="1"/>
  <c r="N31" i="14"/>
  <c r="M326" i="64"/>
  <c r="J45" i="61"/>
  <c r="K44" i="61"/>
  <c r="M21" i="18"/>
  <c r="M22" i="18" s="1"/>
  <c r="L22" i="18"/>
  <c r="O186" i="48"/>
  <c r="B72" i="75"/>
  <c r="I54" i="61"/>
  <c r="J89" i="48"/>
  <c r="J20" i="61"/>
  <c r="K19" i="61"/>
  <c r="L326" i="64"/>
  <c r="N304" i="64"/>
  <c r="N299" i="64"/>
  <c r="J49" i="48"/>
  <c r="J15" i="48"/>
  <c r="I29" i="61"/>
  <c r="K23" i="70"/>
  <c r="J24" i="70"/>
  <c r="L52" i="48"/>
  <c r="K29" i="18"/>
  <c r="B70" i="75"/>
  <c r="B134" i="75"/>
  <c r="D134" i="75" s="1"/>
  <c r="E134" i="75" s="1"/>
  <c r="M58" i="64"/>
  <c r="N58" i="64" s="1"/>
  <c r="M63" i="64"/>
  <c r="N63" i="64" s="1"/>
  <c r="N48" i="64"/>
  <c r="L26" i="48"/>
  <c r="B234" i="64"/>
  <c r="N234" i="64" s="1"/>
  <c r="B238" i="64"/>
  <c r="B108" i="75" l="1"/>
  <c r="D108" i="75" s="1"/>
  <c r="E108" i="75" s="1"/>
  <c r="N446" i="64"/>
  <c r="N368" i="48"/>
  <c r="B223" i="75"/>
  <c r="D223" i="75" s="1"/>
  <c r="E223" i="75" s="1"/>
  <c r="M134" i="64"/>
  <c r="N134" i="64" s="1"/>
  <c r="M137" i="64"/>
  <c r="M138" i="64" s="1"/>
  <c r="N138" i="64" s="1"/>
  <c r="M117" i="48"/>
  <c r="D72" i="75"/>
  <c r="E72" i="75" s="1"/>
  <c r="D70" i="75"/>
  <c r="E70" i="75" s="1"/>
  <c r="D26" i="75"/>
  <c r="E26" i="75" s="1"/>
  <c r="B9" i="75"/>
  <c r="M65" i="64"/>
  <c r="N71" i="48" s="1"/>
  <c r="O71" i="48" s="1"/>
  <c r="B25" i="75" s="1"/>
  <c r="N271" i="48"/>
  <c r="N276" i="48" s="1"/>
  <c r="N281" i="48" s="1"/>
  <c r="M271" i="48"/>
  <c r="M276" i="48" s="1"/>
  <c r="M281" i="48" s="1"/>
  <c r="N386" i="64"/>
  <c r="N321" i="48"/>
  <c r="K15" i="48"/>
  <c r="K31" i="48" s="1"/>
  <c r="K41" i="48" s="1"/>
  <c r="K49" i="48"/>
  <c r="J29" i="61"/>
  <c r="M52" i="48"/>
  <c r="L29" i="18"/>
  <c r="N22" i="18"/>
  <c r="K59" i="48"/>
  <c r="N52" i="48"/>
  <c r="M29" i="18"/>
  <c r="L23" i="70"/>
  <c r="K24" i="70"/>
  <c r="L59" i="48" s="1"/>
  <c r="J31" i="48"/>
  <c r="J41" i="48" s="1"/>
  <c r="B102" i="75"/>
  <c r="D102" i="75" s="1"/>
  <c r="E102" i="75" s="1"/>
  <c r="L44" i="61"/>
  <c r="K45" i="61"/>
  <c r="L19" i="61"/>
  <c r="K20" i="61"/>
  <c r="K89" i="48"/>
  <c r="J54" i="61"/>
  <c r="M26" i="48"/>
  <c r="B243" i="64"/>
  <c r="B248" i="64"/>
  <c r="B239" i="64"/>
  <c r="N29" i="18" l="1"/>
  <c r="N373" i="48"/>
  <c r="N378" i="48" s="1"/>
  <c r="O368" i="48"/>
  <c r="M140" i="64"/>
  <c r="N140" i="64" s="1"/>
  <c r="D9" i="75"/>
  <c r="E9" i="75" s="1"/>
  <c r="O321" i="48"/>
  <c r="N326" i="48"/>
  <c r="N331" i="48" s="1"/>
  <c r="O52" i="48"/>
  <c r="B13" i="75" s="1"/>
  <c r="L49" i="48"/>
  <c r="K29" i="61"/>
  <c r="L15" i="48"/>
  <c r="L31" i="48" s="1"/>
  <c r="L41" i="48" s="1"/>
  <c r="L89" i="48"/>
  <c r="K54" i="61"/>
  <c r="L20" i="61"/>
  <c r="M19" i="61"/>
  <c r="M20" i="61" s="1"/>
  <c r="M44" i="61"/>
  <c r="M45" i="61" s="1"/>
  <c r="L45" i="61"/>
  <c r="M23" i="70"/>
  <c r="M24" i="70" s="1"/>
  <c r="N59" i="48" s="1"/>
  <c r="L24" i="70"/>
  <c r="M59" i="48" s="1"/>
  <c r="N65" i="64"/>
  <c r="N26" i="48"/>
  <c r="O26" i="48" s="1"/>
  <c r="D25" i="75"/>
  <c r="E25" i="75" s="1"/>
  <c r="B258" i="64"/>
  <c r="B249" i="64"/>
  <c r="N249" i="64" s="1"/>
  <c r="B253" i="64"/>
  <c r="B254" i="64" s="1"/>
  <c r="N254" i="64" s="1"/>
  <c r="N239" i="64"/>
  <c r="O373" i="48" l="1"/>
  <c r="O378" i="48" s="1"/>
  <c r="B214" i="75"/>
  <c r="D214" i="75" s="1"/>
  <c r="E214" i="75" s="1"/>
  <c r="N117" i="48"/>
  <c r="O117" i="48" s="1"/>
  <c r="B183" i="75"/>
  <c r="D183" i="75" s="1"/>
  <c r="E183" i="75" s="1"/>
  <c r="O326" i="48"/>
  <c r="O331" i="48" s="1"/>
  <c r="N89" i="48"/>
  <c r="M54" i="61"/>
  <c r="N49" i="48"/>
  <c r="M29" i="61"/>
  <c r="N15" i="48"/>
  <c r="N20" i="61"/>
  <c r="D13" i="75"/>
  <c r="E13" i="75" s="1"/>
  <c r="O59" i="48"/>
  <c r="B18" i="75" s="1"/>
  <c r="L29" i="61"/>
  <c r="M15" i="48"/>
  <c r="M31" i="48" s="1"/>
  <c r="M41" i="48" s="1"/>
  <c r="M49" i="48"/>
  <c r="N24" i="70"/>
  <c r="M89" i="48"/>
  <c r="L54" i="61"/>
  <c r="N45" i="61"/>
  <c r="B263" i="64"/>
  <c r="B264" i="64" s="1"/>
  <c r="N264" i="64" s="1"/>
  <c r="B259" i="64"/>
  <c r="B273" i="64"/>
  <c r="B55" i="75" l="1"/>
  <c r="D55" i="75" s="1"/>
  <c r="E55" i="75" s="1"/>
  <c r="B218" i="75"/>
  <c r="B222" i="75" s="1"/>
  <c r="D222" i="75" s="1"/>
  <c r="E222" i="75" s="1"/>
  <c r="D18" i="75"/>
  <c r="E18" i="75" s="1"/>
  <c r="B187" i="75"/>
  <c r="B191" i="75" s="1"/>
  <c r="N29" i="61"/>
  <c r="O89" i="48"/>
  <c r="O49" i="48"/>
  <c r="N54" i="61"/>
  <c r="N31" i="48"/>
  <c r="N41" i="48" s="1"/>
  <c r="O15" i="48"/>
  <c r="O31" i="48" s="1"/>
  <c r="O41" i="48" s="1"/>
  <c r="N259" i="64"/>
  <c r="B278" i="64"/>
  <c r="B274" i="64"/>
  <c r="D218" i="75" l="1"/>
  <c r="E218" i="75" s="1"/>
  <c r="B11" i="75"/>
  <c r="B40" i="75"/>
  <c r="B279" i="64"/>
  <c r="N279" i="64" s="1"/>
  <c r="B283" i="64"/>
  <c r="B284" i="64" s="1"/>
  <c r="N284" i="64" s="1"/>
  <c r="N274" i="64"/>
  <c r="D40" i="75" l="1"/>
  <c r="E40" i="75" s="1"/>
  <c r="D11" i="75"/>
  <c r="E11" i="75" s="1"/>
  <c r="B326" i="64"/>
  <c r="C271" i="48" s="1"/>
  <c r="N326" i="64" l="1"/>
  <c r="O271" i="48" l="1"/>
  <c r="B151" i="75" l="1"/>
  <c r="D151" i="75" s="1"/>
  <c r="E151" i="75" s="1"/>
  <c r="N176" i="64"/>
  <c r="N207" i="64"/>
  <c r="O205" i="4" s="1"/>
  <c r="B171" i="16"/>
  <c r="B178" i="64"/>
  <c r="N178" i="64" l="1"/>
  <c r="B206" i="64"/>
  <c r="B173" i="16"/>
  <c r="B205" i="16" s="1"/>
  <c r="B206" i="16"/>
  <c r="N206" i="16" s="1"/>
  <c r="P205" i="4" s="1"/>
  <c r="N171" i="16"/>
  <c r="N173" i="16" l="1"/>
  <c r="N205" i="16"/>
  <c r="C169" i="48"/>
  <c r="O169" i="48" s="1"/>
  <c r="C168" i="48"/>
  <c r="N206" i="64"/>
  <c r="B88" i="75" l="1"/>
  <c r="O168" i="48"/>
  <c r="D88" i="75" l="1"/>
  <c r="E88" i="75" s="1"/>
  <c r="B87" i="75"/>
  <c r="D87" i="75" s="1"/>
  <c r="E87" i="75" s="1"/>
  <c r="N242" i="64" l="1"/>
  <c r="B267" i="64"/>
  <c r="N267" i="64" s="1"/>
  <c r="O265" i="4" s="1"/>
  <c r="B241" i="16"/>
  <c r="N241" i="16" s="1"/>
  <c r="B244" i="64"/>
  <c r="N244" i="64" s="1"/>
  <c r="B266" i="64" l="1"/>
  <c r="N266" i="64" s="1"/>
  <c r="B266" i="16"/>
  <c r="N266" i="16" s="1"/>
  <c r="P265" i="4" s="1"/>
  <c r="B243" i="16"/>
  <c r="C219" i="48" l="1"/>
  <c r="O219" i="48" s="1"/>
  <c r="B119" i="75" s="1"/>
  <c r="D119" i="75" s="1"/>
  <c r="E119" i="75" s="1"/>
  <c r="B265" i="16"/>
  <c r="N243" i="16"/>
  <c r="N265" i="16" l="1"/>
  <c r="C220" i="48"/>
  <c r="O220" i="48" l="1"/>
  <c r="B120" i="75" l="1"/>
  <c r="D120" i="75" s="1"/>
  <c r="E120" i="75" s="1"/>
  <c r="C12" i="79" l="1"/>
  <c r="J13" i="73"/>
  <c r="M29" i="79"/>
  <c r="D63" i="79"/>
  <c r="C79" i="79"/>
  <c r="I13" i="73"/>
  <c r="M13" i="73"/>
  <c r="F29" i="79"/>
  <c r="J29" i="79"/>
  <c r="L46" i="79"/>
  <c r="L63" i="79"/>
  <c r="F79" i="79"/>
  <c r="F46" i="79"/>
  <c r="I47" i="73"/>
  <c r="J47" i="73"/>
  <c r="C63" i="79"/>
  <c r="F64" i="73"/>
  <c r="J64" i="73"/>
  <c r="K63" i="79"/>
  <c r="D13" i="73"/>
  <c r="E12" i="79"/>
  <c r="I12" i="79"/>
  <c r="M12" i="79"/>
  <c r="C29" i="79"/>
  <c r="G29" i="79"/>
  <c r="K29" i="79"/>
  <c r="E46" i="79"/>
  <c r="I46" i="79"/>
  <c r="J46" i="79"/>
  <c r="M47" i="73"/>
  <c r="E64" i="73"/>
  <c r="F63" i="79"/>
  <c r="I64" i="73"/>
  <c r="J63" i="79"/>
  <c r="M64" i="73"/>
  <c r="G12" i="79"/>
  <c r="K12" i="79"/>
  <c r="E29" i="79"/>
  <c r="I29" i="79"/>
  <c r="C46" i="79"/>
  <c r="G46" i="79"/>
  <c r="H63" i="79"/>
  <c r="E13" i="73"/>
  <c r="F12" i="79"/>
  <c r="J12" i="79"/>
  <c r="G30" i="73"/>
  <c r="K30" i="73"/>
  <c r="E47" i="73"/>
  <c r="K46" i="79"/>
  <c r="G63" i="79"/>
  <c r="E79" i="79"/>
  <c r="D12" i="79"/>
  <c r="G13" i="73"/>
  <c r="H12" i="79"/>
  <c r="K13" i="73"/>
  <c r="L12" i="79"/>
  <c r="D29" i="79"/>
  <c r="H29" i="79"/>
  <c r="L29" i="79"/>
  <c r="D46" i="79"/>
  <c r="H46" i="79"/>
  <c r="L47" i="73"/>
  <c r="M46" i="79"/>
  <c r="D64" i="73"/>
  <c r="E63" i="79"/>
  <c r="H64" i="73"/>
  <c r="I63" i="79"/>
  <c r="L64" i="73"/>
  <c r="M63" i="79"/>
  <c r="D79" i="79"/>
  <c r="L14" i="90" l="1"/>
  <c r="L68" i="73"/>
  <c r="M197" i="48" s="1"/>
  <c r="L66" i="73"/>
  <c r="L65" i="73" s="1"/>
  <c r="D14" i="90"/>
  <c r="D66" i="73"/>
  <c r="D65" i="73"/>
  <c r="D68" i="73"/>
  <c r="E197" i="48" s="1"/>
  <c r="E14" i="89"/>
  <c r="E51" i="73"/>
  <c r="E49" i="73"/>
  <c r="E48" i="73" s="1"/>
  <c r="K14" i="94"/>
  <c r="K34" i="73"/>
  <c r="K32" i="73"/>
  <c r="K31" i="73" s="1"/>
  <c r="M14" i="90"/>
  <c r="M68" i="73"/>
  <c r="N197" i="48" s="1"/>
  <c r="M66" i="73"/>
  <c r="M65" i="73" s="1"/>
  <c r="E14" i="90"/>
  <c r="E68" i="73"/>
  <c r="E66" i="73"/>
  <c r="E65" i="73" s="1"/>
  <c r="J14" i="89"/>
  <c r="J51" i="73"/>
  <c r="J49" i="73"/>
  <c r="J48" i="73" s="1"/>
  <c r="H14" i="90"/>
  <c r="H68" i="73"/>
  <c r="I197" i="48" s="1"/>
  <c r="H66" i="73"/>
  <c r="H65" i="73" s="1"/>
  <c r="L14" i="89"/>
  <c r="L51" i="73"/>
  <c r="M146" i="48" s="1"/>
  <c r="L49" i="73"/>
  <c r="L48" i="73" s="1"/>
  <c r="G14" i="94"/>
  <c r="G34" i="73"/>
  <c r="G32" i="73"/>
  <c r="G31" i="73" s="1"/>
  <c r="M14" i="89"/>
  <c r="M51" i="73"/>
  <c r="N146" i="48" s="1"/>
  <c r="M49" i="73"/>
  <c r="M48" i="73" s="1"/>
  <c r="J14" i="90"/>
  <c r="J66" i="73"/>
  <c r="J65" i="73" s="1"/>
  <c r="J68" i="73"/>
  <c r="K197" i="48" s="1"/>
  <c r="I14" i="89"/>
  <c r="I51" i="73"/>
  <c r="J146" i="48" s="1"/>
  <c r="I49" i="73"/>
  <c r="I48" i="73" s="1"/>
  <c r="I14" i="90"/>
  <c r="I68" i="73"/>
  <c r="J197" i="48" s="1"/>
  <c r="I66" i="73"/>
  <c r="I65" i="73" s="1"/>
  <c r="F14" i="90"/>
  <c r="F66" i="73"/>
  <c r="F65" i="73" s="1"/>
  <c r="F68" i="73"/>
  <c r="G197" i="48" s="1"/>
  <c r="F67" i="79"/>
  <c r="G199" i="48" s="1"/>
  <c r="F65" i="79"/>
  <c r="F64" i="79" s="1"/>
  <c r="F10" i="90"/>
  <c r="I10" i="90"/>
  <c r="I67" i="79"/>
  <c r="J199" i="48" s="1"/>
  <c r="I65" i="79"/>
  <c r="I64" i="79" s="1"/>
  <c r="M10" i="89"/>
  <c r="M50" i="79"/>
  <c r="N148" i="48" s="1"/>
  <c r="M48" i="79"/>
  <c r="M47" i="79" s="1"/>
  <c r="L33" i="79"/>
  <c r="L31" i="79"/>
  <c r="L30" i="79" s="1"/>
  <c r="L10" i="94"/>
  <c r="I33" i="79"/>
  <c r="J102" i="48" s="1"/>
  <c r="I31" i="79"/>
  <c r="I30" i="79" s="1"/>
  <c r="I10" i="94"/>
  <c r="E10" i="89"/>
  <c r="E50" i="79"/>
  <c r="F148" i="48" s="1"/>
  <c r="E48" i="79"/>
  <c r="E47" i="79" s="1"/>
  <c r="K10" i="90"/>
  <c r="K67" i="79"/>
  <c r="L199" i="48" s="1"/>
  <c r="K65" i="79"/>
  <c r="K64" i="79" s="1"/>
  <c r="L67" i="79"/>
  <c r="M199" i="48" s="1"/>
  <c r="L10" i="90"/>
  <c r="L65" i="79"/>
  <c r="L64" i="79" s="1"/>
  <c r="M33" i="79"/>
  <c r="N102" i="48" s="1"/>
  <c r="M31" i="79"/>
  <c r="M30" i="79" s="1"/>
  <c r="M10" i="94"/>
  <c r="I10" i="89"/>
  <c r="I50" i="79"/>
  <c r="J148" i="48" s="1"/>
  <c r="I48" i="79"/>
  <c r="I47" i="79" s="1"/>
  <c r="C10" i="90"/>
  <c r="C65" i="79"/>
  <c r="C64" i="79" s="1"/>
  <c r="C67" i="79"/>
  <c r="D199" i="48" s="1"/>
  <c r="F33" i="79"/>
  <c r="G102" i="48" s="1"/>
  <c r="F31" i="79"/>
  <c r="F30" i="79" s="1"/>
  <c r="F10" i="94"/>
  <c r="H33" i="79"/>
  <c r="I102" i="48" s="1"/>
  <c r="H31" i="79"/>
  <c r="H30" i="79" s="1"/>
  <c r="H10" i="94"/>
  <c r="G10" i="90"/>
  <c r="G65" i="79"/>
  <c r="G64" i="79" s="1"/>
  <c r="G67" i="79"/>
  <c r="H67" i="79"/>
  <c r="I199" i="48" s="1"/>
  <c r="H10" i="90"/>
  <c r="H65" i="79"/>
  <c r="H64" i="79" s="1"/>
  <c r="E33" i="79"/>
  <c r="E31" i="79"/>
  <c r="E30" i="79" s="1"/>
  <c r="E10" i="94"/>
  <c r="J67" i="79"/>
  <c r="J65" i="79"/>
  <c r="J64" i="79" s="1"/>
  <c r="J10" i="90"/>
  <c r="K33" i="79"/>
  <c r="K31" i="79"/>
  <c r="K30" i="79" s="1"/>
  <c r="K10" i="94"/>
  <c r="L50" i="79"/>
  <c r="M148" i="48" s="1"/>
  <c r="L10" i="89"/>
  <c r="L48" i="79"/>
  <c r="L47" i="79" s="1"/>
  <c r="D50" i="79"/>
  <c r="E148" i="48" s="1"/>
  <c r="D10" i="89"/>
  <c r="D48" i="79"/>
  <c r="D47" i="79" s="1"/>
  <c r="C10" i="89"/>
  <c r="C50" i="79"/>
  <c r="D148" i="48" s="1"/>
  <c r="C48" i="79"/>
  <c r="C47" i="79" s="1"/>
  <c r="C33" i="79"/>
  <c r="D102" i="48" s="1"/>
  <c r="C31" i="79"/>
  <c r="C30" i="79" s="1"/>
  <c r="C10" i="94"/>
  <c r="D67" i="79"/>
  <c r="D10" i="90"/>
  <c r="D65" i="79"/>
  <c r="D64" i="79" s="1"/>
  <c r="M10" i="90"/>
  <c r="M67" i="79"/>
  <c r="M65" i="79"/>
  <c r="M64" i="79" s="1"/>
  <c r="E10" i="90"/>
  <c r="E67" i="79"/>
  <c r="E65" i="79"/>
  <c r="E64" i="79" s="1"/>
  <c r="H50" i="79"/>
  <c r="H10" i="89"/>
  <c r="H48" i="79"/>
  <c r="H47" i="79" s="1"/>
  <c r="D33" i="79"/>
  <c r="D31" i="79"/>
  <c r="D30" i="79" s="1"/>
  <c r="D10" i="94"/>
  <c r="K10" i="89"/>
  <c r="K50" i="79"/>
  <c r="K48" i="79"/>
  <c r="K47" i="79" s="1"/>
  <c r="G10" i="89"/>
  <c r="G50" i="79"/>
  <c r="G48" i="79"/>
  <c r="G47" i="79" s="1"/>
  <c r="J50" i="79"/>
  <c r="J48" i="79"/>
  <c r="J47" i="79" s="1"/>
  <c r="J10" i="89"/>
  <c r="G33" i="79"/>
  <c r="H102" i="48" s="1"/>
  <c r="G31" i="79"/>
  <c r="G30" i="79" s="1"/>
  <c r="G10" i="94"/>
  <c r="F50" i="79"/>
  <c r="G148" i="48" s="1"/>
  <c r="F48" i="79"/>
  <c r="F47" i="79" s="1"/>
  <c r="F10" i="89"/>
  <c r="J33" i="79"/>
  <c r="K102" i="48" s="1"/>
  <c r="J31" i="79"/>
  <c r="J30" i="79" s="1"/>
  <c r="J10" i="94"/>
  <c r="K70" i="79"/>
  <c r="F71" i="73"/>
  <c r="F80" i="79"/>
  <c r="F81" i="79" s="1"/>
  <c r="F83" i="79" s="1"/>
  <c r="G251" i="48" s="1"/>
  <c r="F86" i="79"/>
  <c r="F87" i="79" s="1"/>
  <c r="F88" i="79" s="1"/>
  <c r="F90" i="79" s="1"/>
  <c r="G252" i="48" s="1"/>
  <c r="C30" i="73"/>
  <c r="D80" i="79"/>
  <c r="D81" i="79" s="1"/>
  <c r="D83" i="79" s="1"/>
  <c r="E251" i="48" s="1"/>
  <c r="D86" i="79"/>
  <c r="D87" i="79" s="1"/>
  <c r="D88" i="79" s="1"/>
  <c r="D90" i="79" s="1"/>
  <c r="E252" i="48" s="1"/>
  <c r="L71" i="73"/>
  <c r="H71" i="73"/>
  <c r="D71" i="73"/>
  <c r="L54" i="73"/>
  <c r="G47" i="73"/>
  <c r="M30" i="73"/>
  <c r="I30" i="73"/>
  <c r="E30" i="73"/>
  <c r="H13" i="79"/>
  <c r="H14" i="79" s="1"/>
  <c r="H16" i="79" s="1"/>
  <c r="I62" i="48" s="1"/>
  <c r="H19" i="79"/>
  <c r="G20" i="73"/>
  <c r="G21" i="73" s="1"/>
  <c r="G22" i="73" s="1"/>
  <c r="G24" i="73" s="1"/>
  <c r="H61" i="48" s="1"/>
  <c r="G14" i="73"/>
  <c r="G15" i="73" s="1"/>
  <c r="G17" i="73" s="1"/>
  <c r="H60" i="48" s="1"/>
  <c r="G70" i="79"/>
  <c r="H199" i="48"/>
  <c r="K53" i="79"/>
  <c r="L148" i="48"/>
  <c r="G37" i="73"/>
  <c r="H100" i="48"/>
  <c r="J13" i="79"/>
  <c r="J14" i="79" s="1"/>
  <c r="J16" i="79" s="1"/>
  <c r="K62" i="48" s="1"/>
  <c r="J19" i="79"/>
  <c r="J20" i="79" s="1"/>
  <c r="J21" i="79" s="1"/>
  <c r="J23" i="79" s="1"/>
  <c r="K63" i="48" s="1"/>
  <c r="E20" i="73"/>
  <c r="E14" i="73"/>
  <c r="E15" i="73" s="1"/>
  <c r="E17" i="73" s="1"/>
  <c r="F60" i="48" s="1"/>
  <c r="H70" i="79"/>
  <c r="F47" i="73"/>
  <c r="I36" i="79"/>
  <c r="E36" i="79"/>
  <c r="F102" i="48"/>
  <c r="G13" i="79"/>
  <c r="G14" i="79" s="1"/>
  <c r="G16" i="79" s="1"/>
  <c r="H62" i="48" s="1"/>
  <c r="G19" i="79"/>
  <c r="G20" i="79" s="1"/>
  <c r="G21" i="79" s="1"/>
  <c r="G23" i="79" s="1"/>
  <c r="H63" i="48" s="1"/>
  <c r="K199" i="48"/>
  <c r="J70" i="79"/>
  <c r="F70" i="79"/>
  <c r="B63" i="79"/>
  <c r="Q13" i="78"/>
  <c r="O46" i="79" s="1"/>
  <c r="B81" i="73"/>
  <c r="B14" i="91" s="1"/>
  <c r="B23" i="91" s="1"/>
  <c r="Q14" i="72"/>
  <c r="I54" i="73"/>
  <c r="F53" i="79"/>
  <c r="F36" i="79"/>
  <c r="B29" i="79"/>
  <c r="Q11" i="78"/>
  <c r="O12" i="79" s="1"/>
  <c r="O19" i="79" s="1"/>
  <c r="E199" i="48"/>
  <c r="D70" i="79"/>
  <c r="M36" i="79"/>
  <c r="J20" i="73"/>
  <c r="J14" i="73"/>
  <c r="J15" i="73" s="1"/>
  <c r="J17" i="73" s="1"/>
  <c r="K60" i="48" s="1"/>
  <c r="C19" i="79"/>
  <c r="C20" i="79" s="1"/>
  <c r="C21" i="79" s="1"/>
  <c r="C23" i="79" s="1"/>
  <c r="D63" i="48" s="1"/>
  <c r="C13" i="79"/>
  <c r="C14" i="79" s="1"/>
  <c r="C16" i="79" s="1"/>
  <c r="D62" i="48" s="1"/>
  <c r="J53" i="79"/>
  <c r="K148" i="48"/>
  <c r="H47" i="73"/>
  <c r="D47" i="73"/>
  <c r="K36" i="79"/>
  <c r="L102" i="48"/>
  <c r="G36" i="79"/>
  <c r="C36" i="79"/>
  <c r="L13" i="73"/>
  <c r="H13" i="73"/>
  <c r="D20" i="73"/>
  <c r="D21" i="73" s="1"/>
  <c r="D22" i="73" s="1"/>
  <c r="D24" i="73" s="1"/>
  <c r="E61" i="48" s="1"/>
  <c r="D14" i="73"/>
  <c r="D15" i="73" s="1"/>
  <c r="D17" i="73" s="1"/>
  <c r="E60" i="48" s="1"/>
  <c r="J71" i="73"/>
  <c r="C70" i="79"/>
  <c r="L53" i="79"/>
  <c r="M20" i="73"/>
  <c r="M21" i="73" s="1"/>
  <c r="M22" i="73" s="1"/>
  <c r="M24" i="73" s="1"/>
  <c r="N61" i="48" s="1"/>
  <c r="M14" i="73"/>
  <c r="M15" i="73" s="1"/>
  <c r="M17" i="73" s="1"/>
  <c r="N60" i="48" s="1"/>
  <c r="B79" i="79"/>
  <c r="Q14" i="78"/>
  <c r="O63" i="79" s="1"/>
  <c r="M54" i="73"/>
  <c r="I53" i="79"/>
  <c r="E53" i="79"/>
  <c r="L30" i="73"/>
  <c r="H30" i="73"/>
  <c r="D30" i="73"/>
  <c r="M19" i="79"/>
  <c r="M13" i="79"/>
  <c r="M14" i="79" s="1"/>
  <c r="M16" i="79" s="1"/>
  <c r="N62" i="48" s="1"/>
  <c r="I19" i="79"/>
  <c r="I13" i="79"/>
  <c r="I14" i="79" s="1"/>
  <c r="I16" i="79" s="1"/>
  <c r="J62" i="48" s="1"/>
  <c r="E19" i="79"/>
  <c r="E20" i="79" s="1"/>
  <c r="E21" i="79" s="1"/>
  <c r="E23" i="79" s="1"/>
  <c r="F63" i="48" s="1"/>
  <c r="E13" i="79"/>
  <c r="E14" i="79" s="1"/>
  <c r="E16" i="79" s="1"/>
  <c r="F62" i="48" s="1"/>
  <c r="B64" i="73"/>
  <c r="L70" i="79"/>
  <c r="K47" i="73"/>
  <c r="I20" i="73"/>
  <c r="I21" i="73" s="1"/>
  <c r="I22" i="73" s="1"/>
  <c r="I24" i="73" s="1"/>
  <c r="J61" i="48" s="1"/>
  <c r="I14" i="73"/>
  <c r="I15" i="73" s="1"/>
  <c r="I17" i="73" s="1"/>
  <c r="J60" i="48" s="1"/>
  <c r="M70" i="79"/>
  <c r="N199" i="48"/>
  <c r="I70" i="79"/>
  <c r="E70" i="79"/>
  <c r="F199" i="48"/>
  <c r="M53" i="79"/>
  <c r="I148" i="48"/>
  <c r="H53" i="79"/>
  <c r="D53" i="79"/>
  <c r="M102" i="48"/>
  <c r="L36" i="79"/>
  <c r="H36" i="79"/>
  <c r="E102" i="48"/>
  <c r="D36" i="79"/>
  <c r="L13" i="79"/>
  <c r="L14" i="79" s="1"/>
  <c r="L16" i="79" s="1"/>
  <c r="M62" i="48" s="1"/>
  <c r="L19" i="79"/>
  <c r="K20" i="73"/>
  <c r="K14" i="73"/>
  <c r="K15" i="73" s="1"/>
  <c r="K17" i="73" s="1"/>
  <c r="L60" i="48" s="1"/>
  <c r="D13" i="79"/>
  <c r="D14" i="79" s="1"/>
  <c r="D16" i="79" s="1"/>
  <c r="E62" i="48" s="1"/>
  <c r="D19" i="79"/>
  <c r="C13" i="73"/>
  <c r="E80" i="79"/>
  <c r="E81" i="79" s="1"/>
  <c r="E83" i="79" s="1"/>
  <c r="F251" i="48" s="1"/>
  <c r="E86" i="79"/>
  <c r="E87" i="79" s="1"/>
  <c r="E88" i="79" s="1"/>
  <c r="E90" i="79" s="1"/>
  <c r="F252" i="48" s="1"/>
  <c r="E54" i="73"/>
  <c r="F146" i="48"/>
  <c r="L100" i="48"/>
  <c r="K37" i="73"/>
  <c r="F13" i="79"/>
  <c r="F14" i="79" s="1"/>
  <c r="F16" i="79" s="1"/>
  <c r="G62" i="48" s="1"/>
  <c r="F19" i="79"/>
  <c r="F20" i="79" s="1"/>
  <c r="F21" i="79" s="1"/>
  <c r="F23" i="79" s="1"/>
  <c r="G63" i="48" s="1"/>
  <c r="B12" i="79"/>
  <c r="Q10" i="78"/>
  <c r="K64" i="73"/>
  <c r="G64" i="73"/>
  <c r="H148" i="48"/>
  <c r="G53" i="79"/>
  <c r="C53" i="79"/>
  <c r="J30" i="73"/>
  <c r="F30" i="73"/>
  <c r="K19" i="79"/>
  <c r="K20" i="79" s="1"/>
  <c r="K21" i="79" s="1"/>
  <c r="K23" i="79" s="1"/>
  <c r="L63" i="48" s="1"/>
  <c r="K13" i="79"/>
  <c r="K14" i="79" s="1"/>
  <c r="K16" i="79" s="1"/>
  <c r="L62" i="48" s="1"/>
  <c r="M71" i="73"/>
  <c r="I71" i="73"/>
  <c r="E71" i="73"/>
  <c r="F197" i="48"/>
  <c r="J54" i="73"/>
  <c r="K146" i="48"/>
  <c r="B46" i="79"/>
  <c r="Q12" i="78"/>
  <c r="O29" i="79" s="1"/>
  <c r="J36" i="79"/>
  <c r="C86" i="79"/>
  <c r="C87" i="79" s="1"/>
  <c r="C88" i="79" s="1"/>
  <c r="C90" i="79" s="1"/>
  <c r="D252" i="48" s="1"/>
  <c r="C80" i="79"/>
  <c r="C81" i="79" s="1"/>
  <c r="C83" i="79" s="1"/>
  <c r="D251" i="48" s="1"/>
  <c r="F13" i="73"/>
  <c r="G21" i="94" l="1"/>
  <c r="G34" i="94" s="1"/>
  <c r="F14" i="94"/>
  <c r="F21" i="94" s="1"/>
  <c r="F34" i="94" s="1"/>
  <c r="F34" i="73"/>
  <c r="F32" i="73"/>
  <c r="F31" i="73" s="1"/>
  <c r="K41" i="73"/>
  <c r="L101" i="48" s="1"/>
  <c r="K39" i="73"/>
  <c r="K38" i="73" s="1"/>
  <c r="B14" i="90"/>
  <c r="B68" i="73"/>
  <c r="B66" i="73"/>
  <c r="B65" i="73" s="1"/>
  <c r="H14" i="94"/>
  <c r="H21" i="94" s="1"/>
  <c r="H34" i="94" s="1"/>
  <c r="H32" i="73"/>
  <c r="H31" i="73" s="1"/>
  <c r="H34" i="73"/>
  <c r="I100" i="48" s="1"/>
  <c r="H14" i="89"/>
  <c r="H23" i="89" s="1"/>
  <c r="H36" i="89" s="1"/>
  <c r="H51" i="73"/>
  <c r="I146" i="48" s="1"/>
  <c r="H49" i="73"/>
  <c r="H48" i="73" s="1"/>
  <c r="M14" i="94"/>
  <c r="M34" i="73"/>
  <c r="N100" i="48" s="1"/>
  <c r="M32" i="73"/>
  <c r="M31" i="73" s="1"/>
  <c r="D73" i="73"/>
  <c r="D72" i="73" s="1"/>
  <c r="L73" i="73"/>
  <c r="L72" i="73" s="1"/>
  <c r="C14" i="94"/>
  <c r="C21" i="94" s="1"/>
  <c r="C34" i="94" s="1"/>
  <c r="C34" i="73"/>
  <c r="D100" i="48" s="1"/>
  <c r="C32" i="73"/>
  <c r="C31" i="73" s="1"/>
  <c r="F73" i="73"/>
  <c r="F72" i="73" s="1"/>
  <c r="J23" i="90"/>
  <c r="J36" i="90" s="1"/>
  <c r="L23" i="90"/>
  <c r="L36" i="90" s="1"/>
  <c r="E73" i="73"/>
  <c r="E75" i="73" s="1"/>
  <c r="F198" i="48" s="1"/>
  <c r="M73" i="73"/>
  <c r="M75" i="73" s="1"/>
  <c r="N198" i="48" s="1"/>
  <c r="J14" i="94"/>
  <c r="J21" i="94" s="1"/>
  <c r="J34" i="94" s="1"/>
  <c r="J34" i="73"/>
  <c r="K100" i="48" s="1"/>
  <c r="J32" i="73"/>
  <c r="J31" i="73" s="1"/>
  <c r="K14" i="89"/>
  <c r="K23" i="89" s="1"/>
  <c r="K36" i="89" s="1"/>
  <c r="K51" i="73"/>
  <c r="L146" i="48" s="1"/>
  <c r="K49" i="73"/>
  <c r="K48" i="73" s="1"/>
  <c r="L14" i="94"/>
  <c r="L34" i="73"/>
  <c r="M100" i="48" s="1"/>
  <c r="L32" i="73"/>
  <c r="L31" i="73" s="1"/>
  <c r="I58" i="73"/>
  <c r="J147" i="48" s="1"/>
  <c r="I56" i="73"/>
  <c r="I55" i="73" s="1"/>
  <c r="F14" i="89"/>
  <c r="F23" i="89" s="1"/>
  <c r="F36" i="89" s="1"/>
  <c r="F51" i="73"/>
  <c r="F49" i="73"/>
  <c r="F48" i="73" s="1"/>
  <c r="G41" i="73"/>
  <c r="H101" i="48" s="1"/>
  <c r="G39" i="73"/>
  <c r="G38" i="73" s="1"/>
  <c r="G14" i="89"/>
  <c r="G23" i="89" s="1"/>
  <c r="G36" i="89" s="1"/>
  <c r="G51" i="73"/>
  <c r="G49" i="73"/>
  <c r="G48" i="73" s="1"/>
  <c r="J23" i="89"/>
  <c r="J36" i="89" s="1"/>
  <c r="D23" i="90"/>
  <c r="D36" i="90" s="1"/>
  <c r="K21" i="94"/>
  <c r="K34" i="94" s="1"/>
  <c r="H23" i="90"/>
  <c r="H36" i="90" s="1"/>
  <c r="E23" i="89"/>
  <c r="E36" i="89" s="1"/>
  <c r="G14" i="90"/>
  <c r="G23" i="90" s="1"/>
  <c r="G36" i="90" s="1"/>
  <c r="G68" i="73"/>
  <c r="G66" i="73"/>
  <c r="G65" i="73" s="1"/>
  <c r="E14" i="94"/>
  <c r="E34" i="73"/>
  <c r="F100" i="48" s="1"/>
  <c r="E32" i="73"/>
  <c r="E31" i="73" s="1"/>
  <c r="H73" i="73"/>
  <c r="H72" i="73" s="1"/>
  <c r="E23" i="90"/>
  <c r="E36" i="90" s="1"/>
  <c r="M23" i="90"/>
  <c r="M36" i="90" s="1"/>
  <c r="I23" i="89"/>
  <c r="I36" i="89" s="1"/>
  <c r="I23" i="90"/>
  <c r="I36" i="90" s="1"/>
  <c r="J58" i="73"/>
  <c r="K147" i="48" s="1"/>
  <c r="J56" i="73"/>
  <c r="J55" i="73" s="1"/>
  <c r="I73" i="73"/>
  <c r="I75" i="73" s="1"/>
  <c r="J198" i="48" s="1"/>
  <c r="K14" i="90"/>
  <c r="K23" i="90" s="1"/>
  <c r="K36" i="90" s="1"/>
  <c r="K66" i="73"/>
  <c r="K65" i="73" s="1"/>
  <c r="K68" i="73"/>
  <c r="L197" i="48" s="1"/>
  <c r="E58" i="73"/>
  <c r="F147" i="48" s="1"/>
  <c r="E56" i="73"/>
  <c r="E55" i="73" s="1"/>
  <c r="D14" i="94"/>
  <c r="D21" i="94" s="1"/>
  <c r="D34" i="94" s="1"/>
  <c r="D32" i="73"/>
  <c r="D31" i="73" s="1"/>
  <c r="D34" i="73"/>
  <c r="E100" i="48" s="1"/>
  <c r="M58" i="73"/>
  <c r="N147" i="48" s="1"/>
  <c r="M56" i="73"/>
  <c r="M55" i="73" s="1"/>
  <c r="J73" i="73"/>
  <c r="J72" i="73" s="1"/>
  <c r="D14" i="89"/>
  <c r="D23" i="89" s="1"/>
  <c r="D36" i="89" s="1"/>
  <c r="D51" i="73"/>
  <c r="E146" i="48" s="1"/>
  <c r="D49" i="73"/>
  <c r="D48" i="73" s="1"/>
  <c r="I14" i="94"/>
  <c r="I21" i="94" s="1"/>
  <c r="I34" i="94" s="1"/>
  <c r="I34" i="73"/>
  <c r="J100" i="48" s="1"/>
  <c r="I32" i="73"/>
  <c r="I31" i="73" s="1"/>
  <c r="L56" i="73"/>
  <c r="L55" i="73" s="1"/>
  <c r="L58" i="73"/>
  <c r="M147" i="48" s="1"/>
  <c r="L23" i="89"/>
  <c r="L36" i="89" s="1"/>
  <c r="M23" i="89"/>
  <c r="M36" i="89" s="1"/>
  <c r="F23" i="90"/>
  <c r="F36" i="90" s="1"/>
  <c r="E21" i="94"/>
  <c r="E34" i="94" s="1"/>
  <c r="L40" i="79"/>
  <c r="M103" i="48" s="1"/>
  <c r="L38" i="79"/>
  <c r="L37" i="79" s="1"/>
  <c r="M40" i="79"/>
  <c r="N103" i="48" s="1"/>
  <c r="M38" i="79"/>
  <c r="M37" i="79" s="1"/>
  <c r="F57" i="79"/>
  <c r="G149" i="48" s="1"/>
  <c r="F55" i="79"/>
  <c r="F54" i="79" s="1"/>
  <c r="F74" i="79"/>
  <c r="G200" i="48" s="1"/>
  <c r="F72" i="79"/>
  <c r="F71" i="79" s="1"/>
  <c r="M21" i="94"/>
  <c r="M34" i="94" s="1"/>
  <c r="J40" i="79"/>
  <c r="K103" i="48" s="1"/>
  <c r="J38" i="79"/>
  <c r="J37" i="79" s="1"/>
  <c r="E74" i="79"/>
  <c r="F200" i="48" s="1"/>
  <c r="E72" i="79"/>
  <c r="E71" i="79" s="1"/>
  <c r="M74" i="79"/>
  <c r="M72" i="79"/>
  <c r="M71" i="79" s="1"/>
  <c r="L74" i="79"/>
  <c r="M200" i="48" s="1"/>
  <c r="L72" i="79"/>
  <c r="L71" i="79" s="1"/>
  <c r="C40" i="79"/>
  <c r="D103" i="48" s="1"/>
  <c r="C38" i="79"/>
  <c r="C37" i="79" s="1"/>
  <c r="D74" i="79"/>
  <c r="E200" i="48" s="1"/>
  <c r="D72" i="79"/>
  <c r="D71" i="79" s="1"/>
  <c r="F40" i="79"/>
  <c r="G103" i="48" s="1"/>
  <c r="F38" i="79"/>
  <c r="F37" i="79" s="1"/>
  <c r="J74" i="79"/>
  <c r="K200" i="48" s="1"/>
  <c r="J72" i="79"/>
  <c r="J71" i="79" s="1"/>
  <c r="G74" i="79"/>
  <c r="H200" i="48" s="1"/>
  <c r="G72" i="79"/>
  <c r="G71" i="79" s="1"/>
  <c r="B50" i="79"/>
  <c r="B10" i="89"/>
  <c r="B48" i="79"/>
  <c r="B47" i="79" s="1"/>
  <c r="N47" i="79" s="1"/>
  <c r="H57" i="79"/>
  <c r="I149" i="48" s="1"/>
  <c r="H55" i="79"/>
  <c r="H54" i="79" s="1"/>
  <c r="L57" i="79"/>
  <c r="M149" i="48" s="1"/>
  <c r="L55" i="79"/>
  <c r="L54" i="79" s="1"/>
  <c r="B31" i="79"/>
  <c r="B30" i="79" s="1"/>
  <c r="B33" i="79"/>
  <c r="B10" i="94"/>
  <c r="I40" i="79"/>
  <c r="J103" i="48" s="1"/>
  <c r="I38" i="79"/>
  <c r="I37" i="79" s="1"/>
  <c r="L21" i="94"/>
  <c r="L34" i="94" s="1"/>
  <c r="C57" i="79"/>
  <c r="D149" i="48" s="1"/>
  <c r="C55" i="79"/>
  <c r="C54" i="79" s="1"/>
  <c r="H40" i="79"/>
  <c r="I103" i="48" s="1"/>
  <c r="H38" i="79"/>
  <c r="H37" i="79" s="1"/>
  <c r="E57" i="79"/>
  <c r="F149" i="48" s="1"/>
  <c r="E55" i="79"/>
  <c r="E54" i="79" s="1"/>
  <c r="C74" i="79"/>
  <c r="C72" i="79"/>
  <c r="C71" i="79" s="1"/>
  <c r="K40" i="79"/>
  <c r="L103" i="48" s="1"/>
  <c r="K38" i="79"/>
  <c r="K37" i="79" s="1"/>
  <c r="J57" i="79"/>
  <c r="K149" i="48" s="1"/>
  <c r="J55" i="79"/>
  <c r="J54" i="79" s="1"/>
  <c r="B67" i="79"/>
  <c r="B65" i="79"/>
  <c r="B64" i="79" s="1"/>
  <c r="B10" i="90"/>
  <c r="E40" i="79"/>
  <c r="F103" i="48" s="1"/>
  <c r="E38" i="79"/>
  <c r="E37" i="79" s="1"/>
  <c r="K74" i="79"/>
  <c r="L200" i="48" s="1"/>
  <c r="K72" i="79"/>
  <c r="K71" i="79" s="1"/>
  <c r="D40" i="79"/>
  <c r="E103" i="48" s="1"/>
  <c r="D38" i="79"/>
  <c r="D37" i="79" s="1"/>
  <c r="G38" i="79"/>
  <c r="G37" i="79" s="1"/>
  <c r="G40" i="79"/>
  <c r="H103" i="48" s="1"/>
  <c r="N14" i="91"/>
  <c r="O14" i="91"/>
  <c r="B36" i="91"/>
  <c r="G57" i="79"/>
  <c r="H149" i="48" s="1"/>
  <c r="G55" i="79"/>
  <c r="G54" i="79" s="1"/>
  <c r="D57" i="79"/>
  <c r="D55" i="79"/>
  <c r="D54" i="79" s="1"/>
  <c r="M57" i="79"/>
  <c r="N149" i="48" s="1"/>
  <c r="M55" i="79"/>
  <c r="M54" i="79" s="1"/>
  <c r="I74" i="79"/>
  <c r="J200" i="48" s="1"/>
  <c r="I72" i="79"/>
  <c r="I71" i="79" s="1"/>
  <c r="I57" i="79"/>
  <c r="J149" i="48" s="1"/>
  <c r="I55" i="79"/>
  <c r="I54" i="79" s="1"/>
  <c r="H74" i="79"/>
  <c r="I200" i="48" s="1"/>
  <c r="H72" i="79"/>
  <c r="H71" i="79" s="1"/>
  <c r="K57" i="79"/>
  <c r="L149" i="48" s="1"/>
  <c r="K55" i="79"/>
  <c r="K54" i="79" s="1"/>
  <c r="E149" i="48"/>
  <c r="E276" i="48"/>
  <c r="E281" i="48" s="1"/>
  <c r="F276" i="48"/>
  <c r="F281" i="48" s="1"/>
  <c r="B30" i="73"/>
  <c r="Q11" i="72"/>
  <c r="B13" i="79"/>
  <c r="N13" i="79" s="1"/>
  <c r="B19" i="79"/>
  <c r="N12" i="79"/>
  <c r="P12" i="79" s="1"/>
  <c r="B71" i="73"/>
  <c r="M20" i="79"/>
  <c r="M21" i="79" s="1"/>
  <c r="M23" i="79" s="1"/>
  <c r="N63" i="48" s="1"/>
  <c r="N76" i="48" s="1"/>
  <c r="N81" i="48" s="1"/>
  <c r="B80" i="79"/>
  <c r="N80" i="79" s="1"/>
  <c r="N79" i="79"/>
  <c r="P79" i="79" s="1"/>
  <c r="B86" i="79"/>
  <c r="B36" i="79"/>
  <c r="N29" i="79"/>
  <c r="P29" i="79" s="1"/>
  <c r="H20" i="79"/>
  <c r="H21" i="79" s="1"/>
  <c r="H23" i="79" s="1"/>
  <c r="I63" i="48" s="1"/>
  <c r="I37" i="73"/>
  <c r="D276" i="48"/>
  <c r="D281" i="48" s="1"/>
  <c r="B53" i="79"/>
  <c r="N46" i="79"/>
  <c r="P46" i="79" s="1"/>
  <c r="J37" i="73"/>
  <c r="K71" i="73"/>
  <c r="K54" i="73"/>
  <c r="D37" i="73"/>
  <c r="L37" i="73"/>
  <c r="L14" i="73"/>
  <c r="L15" i="73" s="1"/>
  <c r="L17" i="73" s="1"/>
  <c r="M60" i="48" s="1"/>
  <c r="L20" i="73"/>
  <c r="L21" i="73" s="1"/>
  <c r="L22" i="73" s="1"/>
  <c r="L24" i="73" s="1"/>
  <c r="M61" i="48" s="1"/>
  <c r="B88" i="73"/>
  <c r="B82" i="73"/>
  <c r="N81" i="73"/>
  <c r="G146" i="48"/>
  <c r="F54" i="73"/>
  <c r="C47" i="73"/>
  <c r="G276" i="48"/>
  <c r="G281" i="48" s="1"/>
  <c r="H54" i="73"/>
  <c r="F14" i="73"/>
  <c r="F15" i="73" s="1"/>
  <c r="F17" i="73" s="1"/>
  <c r="G60" i="48" s="1"/>
  <c r="F20" i="73"/>
  <c r="F21" i="73" s="1"/>
  <c r="F22" i="73" s="1"/>
  <c r="F24" i="73" s="1"/>
  <c r="G61" i="48" s="1"/>
  <c r="C14" i="73"/>
  <c r="C15" i="73" s="1"/>
  <c r="C17" i="73" s="1"/>
  <c r="D60" i="48" s="1"/>
  <c r="C20" i="73"/>
  <c r="N200" i="48"/>
  <c r="I20" i="79"/>
  <c r="I21" i="79" s="1"/>
  <c r="I23" i="79" s="1"/>
  <c r="J63" i="48" s="1"/>
  <c r="J76" i="48" s="1"/>
  <c r="J81" i="48" s="1"/>
  <c r="D200" i="48"/>
  <c r="D54" i="73"/>
  <c r="J21" i="73"/>
  <c r="J22" i="73" s="1"/>
  <c r="J24" i="73" s="1"/>
  <c r="K61" i="48" s="1"/>
  <c r="K76" i="48" s="1"/>
  <c r="K81" i="48" s="1"/>
  <c r="N63" i="79"/>
  <c r="P63" i="79" s="1"/>
  <c r="B70" i="79"/>
  <c r="B47" i="73"/>
  <c r="H76" i="48"/>
  <c r="H81" i="48" s="1"/>
  <c r="E37" i="73"/>
  <c r="M37" i="73"/>
  <c r="H146" i="48"/>
  <c r="G54" i="73"/>
  <c r="D75" i="73"/>
  <c r="E198" i="48" s="1"/>
  <c r="C37" i="73"/>
  <c r="D20" i="79"/>
  <c r="D21" i="79" s="1"/>
  <c r="D23" i="79" s="1"/>
  <c r="E63" i="48" s="1"/>
  <c r="E76" i="48" s="1"/>
  <c r="E81" i="48" s="1"/>
  <c r="L20" i="79"/>
  <c r="L21" i="79" s="1"/>
  <c r="L23" i="79" s="1"/>
  <c r="M63" i="48" s="1"/>
  <c r="E21" i="73"/>
  <c r="E22" i="73" s="1"/>
  <c r="E24" i="73" s="1"/>
  <c r="F61" i="48" s="1"/>
  <c r="F76" i="48" s="1"/>
  <c r="F81" i="48" s="1"/>
  <c r="B13" i="73"/>
  <c r="Q10" i="72"/>
  <c r="F37" i="73"/>
  <c r="G100" i="48"/>
  <c r="G71" i="73"/>
  <c r="H197" i="48"/>
  <c r="K21" i="73"/>
  <c r="K22" i="73" s="1"/>
  <c r="K24" i="73" s="1"/>
  <c r="L61" i="48" s="1"/>
  <c r="L76" i="48" s="1"/>
  <c r="L81" i="48" s="1"/>
  <c r="H37" i="73"/>
  <c r="H20" i="73"/>
  <c r="H21" i="73" s="1"/>
  <c r="H22" i="73" s="1"/>
  <c r="H24" i="73" s="1"/>
  <c r="I61" i="48" s="1"/>
  <c r="H14" i="73"/>
  <c r="H15" i="73" s="1"/>
  <c r="H17" i="73" s="1"/>
  <c r="I60" i="48" s="1"/>
  <c r="F75" i="73"/>
  <c r="G198" i="48" s="1"/>
  <c r="H75" i="73" l="1"/>
  <c r="I198" i="48" s="1"/>
  <c r="I224" i="48" s="1"/>
  <c r="I229" i="48" s="1"/>
  <c r="B23" i="90"/>
  <c r="B36" i="90" s="1"/>
  <c r="I72" i="73"/>
  <c r="E72" i="73"/>
  <c r="J173" i="48"/>
  <c r="J178" i="48" s="1"/>
  <c r="K173" i="48"/>
  <c r="K178" i="48" s="1"/>
  <c r="F224" i="48"/>
  <c r="F229" i="48" s="1"/>
  <c r="N173" i="48"/>
  <c r="N178" i="48" s="1"/>
  <c r="J75" i="73"/>
  <c r="K198" i="48" s="1"/>
  <c r="K224" i="48" s="1"/>
  <c r="K229" i="48" s="1"/>
  <c r="G73" i="73"/>
  <c r="G72" i="73" s="1"/>
  <c r="F41" i="73"/>
  <c r="G101" i="48" s="1"/>
  <c r="G122" i="48" s="1"/>
  <c r="G127" i="48" s="1"/>
  <c r="F39" i="73"/>
  <c r="F38" i="73" s="1"/>
  <c r="C14" i="89"/>
  <c r="C51" i="73"/>
  <c r="D146" i="48" s="1"/>
  <c r="C49" i="73"/>
  <c r="C48" i="73" s="1"/>
  <c r="K73" i="73"/>
  <c r="K72" i="73" s="1"/>
  <c r="B73" i="73"/>
  <c r="B72" i="73" s="1"/>
  <c r="L75" i="73"/>
  <c r="M198" i="48" s="1"/>
  <c r="M224" i="48" s="1"/>
  <c r="M229" i="48" s="1"/>
  <c r="H56" i="73"/>
  <c r="H55" i="73" s="1"/>
  <c r="H58" i="73"/>
  <c r="I147" i="48" s="1"/>
  <c r="I173" i="48" s="1"/>
  <c r="I178" i="48" s="1"/>
  <c r="L41" i="73"/>
  <c r="L39" i="73"/>
  <c r="L38" i="73" s="1"/>
  <c r="J41" i="73"/>
  <c r="K101" i="48" s="1"/>
  <c r="K122" i="48" s="1"/>
  <c r="K127" i="48" s="1"/>
  <c r="J39" i="73"/>
  <c r="J38" i="73" s="1"/>
  <c r="B14" i="94"/>
  <c r="N14" i="94" s="1"/>
  <c r="B32" i="73"/>
  <c r="B31" i="73" s="1"/>
  <c r="N31" i="73" s="1"/>
  <c r="B34" i="73"/>
  <c r="O23" i="91"/>
  <c r="O36" i="91" s="1"/>
  <c r="M173" i="48"/>
  <c r="M178" i="48" s="1"/>
  <c r="M72" i="73"/>
  <c r="M41" i="73"/>
  <c r="N101" i="48" s="1"/>
  <c r="N122" i="48" s="1"/>
  <c r="N127" i="48" s="1"/>
  <c r="M39" i="73"/>
  <c r="M38" i="73" s="1"/>
  <c r="B14" i="89"/>
  <c r="B23" i="89" s="1"/>
  <c r="B36" i="89" s="1"/>
  <c r="B51" i="73"/>
  <c r="B49" i="73"/>
  <c r="B48" i="73" s="1"/>
  <c r="D58" i="73"/>
  <c r="E147" i="48" s="1"/>
  <c r="E173" i="48" s="1"/>
  <c r="E178" i="48" s="1"/>
  <c r="D56" i="73"/>
  <c r="D55" i="73" s="1"/>
  <c r="N224" i="48"/>
  <c r="N229" i="48" s="1"/>
  <c r="F56" i="73"/>
  <c r="F55" i="73" s="1"/>
  <c r="F58" i="73"/>
  <c r="G147" i="48" s="1"/>
  <c r="G173" i="48" s="1"/>
  <c r="G178" i="48" s="1"/>
  <c r="K58" i="73"/>
  <c r="K56" i="73"/>
  <c r="K55" i="73" s="1"/>
  <c r="F173" i="48"/>
  <c r="F178" i="48" s="1"/>
  <c r="N23" i="91"/>
  <c r="N36" i="91" s="1"/>
  <c r="L122" i="48"/>
  <c r="L127" i="48" s="1"/>
  <c r="H39" i="73"/>
  <c r="H38" i="73" s="1"/>
  <c r="H41" i="73"/>
  <c r="I101" i="48" s="1"/>
  <c r="I122" i="48" s="1"/>
  <c r="I127" i="48" s="1"/>
  <c r="C39" i="73"/>
  <c r="C38" i="73" s="1"/>
  <c r="C41" i="73"/>
  <c r="D101" i="48" s="1"/>
  <c r="D122" i="48" s="1"/>
  <c r="D127" i="48" s="1"/>
  <c r="G56" i="73"/>
  <c r="G55" i="73" s="1"/>
  <c r="G58" i="73"/>
  <c r="H147" i="48" s="1"/>
  <c r="H173" i="48" s="1"/>
  <c r="H178" i="48" s="1"/>
  <c r="E41" i="73"/>
  <c r="F101" i="48" s="1"/>
  <c r="F122" i="48" s="1"/>
  <c r="F127" i="48" s="1"/>
  <c r="E39" i="73"/>
  <c r="E38" i="73" s="1"/>
  <c r="D39" i="73"/>
  <c r="D38" i="73" s="1"/>
  <c r="D41" i="73"/>
  <c r="E101" i="48" s="1"/>
  <c r="E122" i="48" s="1"/>
  <c r="E127" i="48" s="1"/>
  <c r="I41" i="73"/>
  <c r="J101" i="48" s="1"/>
  <c r="J122" i="48" s="1"/>
  <c r="J127" i="48" s="1"/>
  <c r="I39" i="73"/>
  <c r="I38" i="73" s="1"/>
  <c r="J224" i="48"/>
  <c r="J229" i="48" s="1"/>
  <c r="N10" i="89"/>
  <c r="O10" i="89"/>
  <c r="E224" i="48"/>
  <c r="E229" i="48" s="1"/>
  <c r="O14" i="89"/>
  <c r="B40" i="79"/>
  <c r="B38" i="79"/>
  <c r="O10" i="90"/>
  <c r="N10" i="90"/>
  <c r="B74" i="79"/>
  <c r="B72" i="79"/>
  <c r="B71" i="79" s="1"/>
  <c r="N71" i="79" s="1"/>
  <c r="N10" i="94"/>
  <c r="O10" i="94"/>
  <c r="B57" i="79"/>
  <c r="B55" i="79"/>
  <c r="B54" i="79" s="1"/>
  <c r="G76" i="48"/>
  <c r="G81" i="48" s="1"/>
  <c r="G224" i="48"/>
  <c r="G229" i="48" s="1"/>
  <c r="Q12" i="72"/>
  <c r="H122" i="48"/>
  <c r="H127" i="48" s="1"/>
  <c r="N19" i="79"/>
  <c r="P19" i="79" s="1"/>
  <c r="B20" i="79"/>
  <c r="N20" i="79" s="1"/>
  <c r="C64" i="73"/>
  <c r="Q13" i="72"/>
  <c r="B54" i="73"/>
  <c r="N47" i="73"/>
  <c r="C54" i="73"/>
  <c r="N36" i="79"/>
  <c r="B81" i="79"/>
  <c r="B14" i="79"/>
  <c r="C21" i="73"/>
  <c r="C22" i="73" s="1"/>
  <c r="C24" i="73" s="1"/>
  <c r="D61" i="48" s="1"/>
  <c r="D76" i="48" s="1"/>
  <c r="D81" i="48" s="1"/>
  <c r="N64" i="79"/>
  <c r="B83" i="73"/>
  <c r="N82" i="73"/>
  <c r="M76" i="48"/>
  <c r="M81" i="48" s="1"/>
  <c r="L147" i="48"/>
  <c r="L173" i="48" s="1"/>
  <c r="L178" i="48" s="1"/>
  <c r="N53" i="79"/>
  <c r="N30" i="79"/>
  <c r="B87" i="79"/>
  <c r="N86" i="79"/>
  <c r="M101" i="48"/>
  <c r="M122" i="48" s="1"/>
  <c r="M127" i="48" s="1"/>
  <c r="I76" i="48"/>
  <c r="I81" i="48" s="1"/>
  <c r="N13" i="73"/>
  <c r="B14" i="73"/>
  <c r="N14" i="73" s="1"/>
  <c r="B20" i="73"/>
  <c r="N70" i="79"/>
  <c r="B89" i="73"/>
  <c r="N88" i="73"/>
  <c r="N30" i="73"/>
  <c r="B37" i="73"/>
  <c r="G75" i="73" l="1"/>
  <c r="H198" i="48" s="1"/>
  <c r="H224" i="48" s="1"/>
  <c r="H229" i="48" s="1"/>
  <c r="K75" i="73"/>
  <c r="L198" i="48" s="1"/>
  <c r="L224" i="48" s="1"/>
  <c r="L229" i="48" s="1"/>
  <c r="C23" i="89"/>
  <c r="C36" i="89" s="1"/>
  <c r="C56" i="73"/>
  <c r="C55" i="73" s="1"/>
  <c r="C58" i="73"/>
  <c r="D147" i="48" s="1"/>
  <c r="D173" i="48" s="1"/>
  <c r="D178" i="48" s="1"/>
  <c r="C14" i="90"/>
  <c r="C23" i="90" s="1"/>
  <c r="C36" i="90" s="1"/>
  <c r="C68" i="73"/>
  <c r="C66" i="73"/>
  <c r="C65" i="73" s="1"/>
  <c r="N21" i="94"/>
  <c r="N34" i="94" s="1"/>
  <c r="O14" i="94"/>
  <c r="O21" i="94" s="1"/>
  <c r="O34" i="94" s="1"/>
  <c r="B41" i="73"/>
  <c r="B39" i="73"/>
  <c r="B38" i="73" s="1"/>
  <c r="N38" i="73" s="1"/>
  <c r="B56" i="73"/>
  <c r="B55" i="73" s="1"/>
  <c r="B58" i="73"/>
  <c r="B21" i="94"/>
  <c r="B34" i="94" s="1"/>
  <c r="N14" i="89"/>
  <c r="N23" i="89" s="1"/>
  <c r="N36" i="89" s="1"/>
  <c r="O23" i="89"/>
  <c r="O36" i="89" s="1"/>
  <c r="B37" i="79"/>
  <c r="N37" i="79" s="1"/>
  <c r="N48" i="79"/>
  <c r="B15" i="73"/>
  <c r="B17" i="73" s="1"/>
  <c r="N48" i="73"/>
  <c r="B75" i="73"/>
  <c r="N50" i="79"/>
  <c r="C148" i="48"/>
  <c r="O148" i="48" s="1"/>
  <c r="B21" i="73"/>
  <c r="N21" i="73" s="1"/>
  <c r="N20" i="73"/>
  <c r="B88" i="79"/>
  <c r="N87" i="79"/>
  <c r="N54" i="79"/>
  <c r="C71" i="73"/>
  <c r="N64" i="73"/>
  <c r="N37" i="73"/>
  <c r="B85" i="73"/>
  <c r="N83" i="73"/>
  <c r="B16" i="79"/>
  <c r="N14" i="79"/>
  <c r="N54" i="73"/>
  <c r="B21" i="79"/>
  <c r="C197" i="48"/>
  <c r="N65" i="79"/>
  <c r="B90" i="73"/>
  <c r="N89" i="73"/>
  <c r="N31" i="79"/>
  <c r="B83" i="79"/>
  <c r="N81" i="79"/>
  <c r="O14" i="90" l="1"/>
  <c r="O23" i="90" s="1"/>
  <c r="O36" i="90" s="1"/>
  <c r="N55" i="73"/>
  <c r="C73" i="73"/>
  <c r="C72" i="73" s="1"/>
  <c r="N14" i="90"/>
  <c r="N38" i="79"/>
  <c r="N15" i="73"/>
  <c r="N72" i="79"/>
  <c r="N49" i="73"/>
  <c r="B22" i="73"/>
  <c r="N22" i="73" s="1"/>
  <c r="C102" i="48"/>
  <c r="O102" i="48" s="1"/>
  <c r="N33" i="79"/>
  <c r="N67" i="79"/>
  <c r="C199" i="48"/>
  <c r="O199" i="48" s="1"/>
  <c r="N55" i="79"/>
  <c r="N40" i="79"/>
  <c r="C103" i="48"/>
  <c r="O103" i="48" s="1"/>
  <c r="B23" i="79"/>
  <c r="N21" i="79"/>
  <c r="C249" i="48"/>
  <c r="N85" i="73"/>
  <c r="N65" i="73"/>
  <c r="C198" i="48"/>
  <c r="C146" i="48"/>
  <c r="N51" i="73"/>
  <c r="C251" i="48"/>
  <c r="N83" i="79"/>
  <c r="B92" i="73"/>
  <c r="N90" i="73"/>
  <c r="C200" i="48"/>
  <c r="O200" i="48" s="1"/>
  <c r="N74" i="79"/>
  <c r="C60" i="48"/>
  <c r="N17" i="73"/>
  <c r="N71" i="73"/>
  <c r="B90" i="79"/>
  <c r="N88" i="79"/>
  <c r="N32" i="73"/>
  <c r="N16" i="79"/>
  <c r="C62" i="48"/>
  <c r="O62" i="48" s="1"/>
  <c r="N23" i="90" l="1"/>
  <c r="N36" i="90" s="1"/>
  <c r="O251" i="48"/>
  <c r="C224" i="48"/>
  <c r="C229" i="48" s="1"/>
  <c r="B49" i="75"/>
  <c r="D49" i="75" s="1"/>
  <c r="E49" i="75" s="1"/>
  <c r="B111" i="75"/>
  <c r="D111" i="75" s="1"/>
  <c r="E111" i="75" s="1"/>
  <c r="B24" i="73"/>
  <c r="C61" i="48" s="1"/>
  <c r="N39" i="73"/>
  <c r="C100" i="48"/>
  <c r="N34" i="73"/>
  <c r="N56" i="73"/>
  <c r="C250" i="48" s="1"/>
  <c r="N92" i="73"/>
  <c r="N66" i="73"/>
  <c r="N23" i="79"/>
  <c r="C63" i="48"/>
  <c r="O63" i="48" s="1"/>
  <c r="C149" i="48"/>
  <c r="O149" i="48" s="1"/>
  <c r="B79" i="75" s="1"/>
  <c r="D79" i="75" s="1"/>
  <c r="E79" i="75" s="1"/>
  <c r="N57" i="79"/>
  <c r="O60" i="48"/>
  <c r="N72" i="73"/>
  <c r="C252" i="48"/>
  <c r="O252" i="48" s="1"/>
  <c r="N90" i="79"/>
  <c r="O146" i="48"/>
  <c r="O249" i="48"/>
  <c r="B143" i="75" l="1"/>
  <c r="D143" i="75" s="1"/>
  <c r="O250" i="48"/>
  <c r="B20" i="75"/>
  <c r="O61" i="48"/>
  <c r="C76" i="48"/>
  <c r="C81" i="48" s="1"/>
  <c r="N24" i="73"/>
  <c r="C276" i="48"/>
  <c r="C281" i="48" s="1"/>
  <c r="O100" i="48"/>
  <c r="C75" i="73"/>
  <c r="N73" i="73"/>
  <c r="D197" i="48"/>
  <c r="N68" i="73"/>
  <c r="C147" i="48"/>
  <c r="N58" i="73"/>
  <c r="C101" i="48"/>
  <c r="O101" i="48" s="1"/>
  <c r="N41" i="73"/>
  <c r="D20" i="75" l="1"/>
  <c r="E20" i="75" s="1"/>
  <c r="B142" i="75"/>
  <c r="D142" i="75" s="1"/>
  <c r="O276" i="48"/>
  <c r="O281" i="48" s="1"/>
  <c r="D191" i="75"/>
  <c r="E191" i="75" s="1"/>
  <c r="O76" i="48"/>
  <c r="O81" i="48" s="1"/>
  <c r="B19" i="75"/>
  <c r="B29" i="75" s="1"/>
  <c r="C122" i="48"/>
  <c r="C127" i="48" s="1"/>
  <c r="O147" i="48"/>
  <c r="O173" i="48" s="1"/>
  <c r="O178" i="48" s="1"/>
  <c r="C173" i="48"/>
  <c r="C178" i="48" s="1"/>
  <c r="B48" i="75"/>
  <c r="B65" i="75" s="1"/>
  <c r="O122" i="48"/>
  <c r="O127" i="48" s="1"/>
  <c r="O197" i="48"/>
  <c r="D198" i="48"/>
  <c r="O198" i="48" s="1"/>
  <c r="N75" i="73"/>
  <c r="B161" i="75" l="1"/>
  <c r="D161" i="75" s="1"/>
  <c r="E161" i="75" s="1"/>
  <c r="B35" i="75"/>
  <c r="D35" i="75" s="1"/>
  <c r="E35" i="75" s="1"/>
  <c r="B34" i="75"/>
  <c r="B155" i="75"/>
  <c r="D187" i="75"/>
  <c r="E187" i="75" s="1"/>
  <c r="D48" i="75"/>
  <c r="E48" i="75" s="1"/>
  <c r="D65" i="75"/>
  <c r="E65" i="75" s="1"/>
  <c r="D19" i="75"/>
  <c r="E19" i="75" s="1"/>
  <c r="B59" i="75"/>
  <c r="B110" i="75"/>
  <c r="B129" i="75" s="1"/>
  <c r="O224" i="48"/>
  <c r="O229" i="48" s="1"/>
  <c r="D224" i="48"/>
  <c r="D229" i="48" s="1"/>
  <c r="B78" i="75"/>
  <c r="B97" i="75" s="1"/>
  <c r="B160" i="75" l="1"/>
  <c r="D160" i="75" s="1"/>
  <c r="E160" i="75" s="1"/>
  <c r="D155" i="75"/>
  <c r="E155" i="75" s="1"/>
  <c r="D29" i="75"/>
  <c r="E29" i="75" s="1"/>
  <c r="D110" i="75"/>
  <c r="E110" i="75" s="1"/>
  <c r="D129" i="75"/>
  <c r="E129" i="75" s="1"/>
  <c r="B64" i="75"/>
  <c r="D64" i="75" s="1"/>
  <c r="E64" i="75" s="1"/>
  <c r="D34" i="75"/>
  <c r="E34" i="75" s="1"/>
  <c r="D78" i="75"/>
  <c r="E78" i="75" s="1"/>
  <c r="B91" i="75"/>
  <c r="D97" i="75"/>
  <c r="E97" i="75" s="1"/>
  <c r="D59" i="75"/>
  <c r="E59" i="75" s="1"/>
  <c r="B123" i="75"/>
  <c r="B128" i="75" l="1"/>
  <c r="D128" i="75" s="1"/>
  <c r="E128" i="75" s="1"/>
  <c r="B96" i="75"/>
  <c r="D96" i="75" s="1"/>
  <c r="E96" i="75" s="1"/>
  <c r="D123" i="75"/>
  <c r="E123" i="75" s="1"/>
  <c r="D91" i="75"/>
  <c r="E91" i="75" s="1"/>
</calcChain>
</file>

<file path=xl/sharedStrings.xml><?xml version="1.0" encoding="utf-8"?>
<sst xmlns="http://schemas.openxmlformats.org/spreadsheetml/2006/main" count="5361" uniqueCount="501">
  <si>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</si>
  <si>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</si>
  <si>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</si>
  <si>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</si>
  <si>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</si>
  <si>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</si>
  <si>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</si>
  <si>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</si>
  <si>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</si>
  <si>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</si>
  <si>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</si>
  <si>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</si>
  <si>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</si>
  <si>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  New Smyrna Beach Reserve Transmission Service</t>
  </si>
  <si>
    <t xml:space="preserve">   Long-Term Transmission Service - Demand Revenues</t>
  </si>
  <si>
    <t>WHOLESALE REVENUE BUDGET</t>
  </si>
  <si>
    <t xml:space="preserve">       Contract Dmd</t>
  </si>
  <si>
    <t xml:space="preserve">       Revenue</t>
  </si>
  <si>
    <t>DEMAND REVENUES</t>
  </si>
  <si>
    <t>TRANSMISSION SERVICE AGREEMENTS</t>
  </si>
  <si>
    <t xml:space="preserve">       Demand Charge</t>
  </si>
  <si>
    <t>Stanton I</t>
  </si>
  <si>
    <t>Stanton II</t>
  </si>
  <si>
    <t>FMPA St Lucie Delivery Service</t>
  </si>
  <si>
    <t>OUC St Lucie Delivery Service</t>
  </si>
  <si>
    <t>Total Revenues</t>
  </si>
  <si>
    <t>SERVICE</t>
  </si>
  <si>
    <t>COMMENTS</t>
  </si>
  <si>
    <t>$/KW-MONTH</t>
  </si>
  <si>
    <t xml:space="preserve">   Reactive Supply &amp; Voltage Control Demand Rate *</t>
  </si>
  <si>
    <t>FMPA St. Lucie Delivery Service</t>
  </si>
  <si>
    <t>Metro Dade - Florida Power Corp.</t>
  </si>
  <si>
    <t>Stanton II (Long-Term Firm Point-to-Point)</t>
  </si>
  <si>
    <t>TOTAL</t>
  </si>
  <si>
    <t>SHORT TERM FIRM AND NON FIRM TRANSMISSION SERVICE REVENUE FORECAST</t>
  </si>
  <si>
    <t>REACTIVE DEMAND REVENUES</t>
  </si>
  <si>
    <t>OUC St. Lucie Delivery Service</t>
  </si>
  <si>
    <t>TRANSMISSION SERVICE CAPACITY CHARGE</t>
  </si>
  <si>
    <t>TRANSMISSION SERVICE REACTIVE CHARGE</t>
  </si>
  <si>
    <t>SECI NETWORK TRANSMISSION SERVICE</t>
  </si>
  <si>
    <t xml:space="preserve">       Coincident Dmd</t>
  </si>
  <si>
    <t>Schedule TR</t>
  </si>
  <si>
    <t>City of New Smyrna Beach</t>
  </si>
  <si>
    <t>Revenues</t>
  </si>
  <si>
    <t>Georgia Transmission Corp.</t>
  </si>
  <si>
    <t xml:space="preserve">       Loss Schedule</t>
  </si>
  <si>
    <t xml:space="preserve">       FMPA Load</t>
  </si>
  <si>
    <t xml:space="preserve">       Total Coincident Dmd</t>
  </si>
  <si>
    <t xml:space="preserve">       Distribution Coincident Dmd</t>
  </si>
  <si>
    <t xml:space="preserve">       Transmission Coincident Dmd</t>
  </si>
  <si>
    <t xml:space="preserve">       SECI Load</t>
  </si>
  <si>
    <t>REGULATION/FREQUENCY CHARGE</t>
  </si>
  <si>
    <t xml:space="preserve">       % SECI Load</t>
  </si>
  <si>
    <t xml:space="preserve">       Regulation/Frequency Charge</t>
  </si>
  <si>
    <t>2010 REVENUES</t>
  </si>
  <si>
    <t xml:space="preserve">TRANSMISSION SERVICE </t>
  </si>
  <si>
    <t xml:space="preserve">   SECI Network Regulation Service Revenues</t>
  </si>
  <si>
    <t xml:space="preserve">   Short-Term Firm &amp; Non-Firm Transmission Service</t>
  </si>
  <si>
    <t>Network Transmission Service (Monthly CP in MW)</t>
  </si>
  <si>
    <t>Total Monthly Demand</t>
  </si>
  <si>
    <t>Forecast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</si>
  <si>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</si>
  <si>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</si>
  <si>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</si>
  <si>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</si>
  <si>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</si>
  <si>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</si>
  <si>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</si>
  <si>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</si>
  <si>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</si>
  <si>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</si>
  <si>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</si>
  <si>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Total 2010 Transmission Service Revenues </t>
  </si>
  <si>
    <t xml:space="preserve">   FMPA Network Transmission Service Reactive  Revenues</t>
  </si>
  <si>
    <t xml:space="preserve">   SECI Network Transmission Service Reactive Revenues</t>
  </si>
  <si>
    <t xml:space="preserve">   Long-Term Transmission Service - Reactive Revenues</t>
  </si>
  <si>
    <t xml:space="preserve">   FMPA Network Transmission Service Reactive Revenues</t>
  </si>
  <si>
    <t xml:space="preserve">   FMPA Network Transmission Service Capacity Revenues</t>
  </si>
  <si>
    <t xml:space="preserve">   SECI Network Transmission Service Capacity Revenues</t>
  </si>
  <si>
    <t>Total Transmission Revenues (Acct 456.200 - 456.250)</t>
  </si>
  <si>
    <t xml:space="preserve">       LEE Load</t>
  </si>
  <si>
    <t>JXB</t>
  </si>
  <si>
    <t>GCS</t>
  </si>
  <si>
    <t>CLW</t>
  </si>
  <si>
    <t>STK</t>
  </si>
  <si>
    <t>CKW</t>
  </si>
  <si>
    <t>FTP</t>
  </si>
  <si>
    <t>Ratio to Summer Peak</t>
  </si>
  <si>
    <t>(1) No reactive charge for Lee County (included in purchased power agreement)</t>
  </si>
  <si>
    <t>TRANSMISSION REVENUE BUDGET</t>
  </si>
  <si>
    <t>Variance</t>
  </si>
  <si>
    <t>% Variance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</si>
  <si>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</si>
  <si>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</si>
  <si>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</si>
  <si>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</si>
  <si>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</si>
  <si>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</si>
  <si>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</si>
  <si>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</si>
  <si>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</si>
  <si>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</si>
  <si>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</si>
  <si>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</si>
  <si>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 xml:space="preserve">  Seminole Energy LLC</t>
  </si>
  <si>
    <t xml:space="preserve">  Brevard Energy LLC</t>
  </si>
  <si>
    <t>TRANSMISSION SERVICE REVENUE FORECAST</t>
  </si>
  <si>
    <t>(all amounts are expressed in dollars)</t>
  </si>
  <si>
    <t xml:space="preserve">   SECI Distribution Wheeling Revenues</t>
  </si>
  <si>
    <t>2014 REVENUES</t>
  </si>
  <si>
    <t xml:space="preserve">Total 2014 Transmission Service Revenues </t>
  </si>
  <si>
    <t>Homestead</t>
  </si>
  <si>
    <t>Seminole</t>
  </si>
  <si>
    <t>Dynamic Scheduling Service</t>
  </si>
  <si>
    <t>Oleander</t>
  </si>
  <si>
    <t>FMPA Treasure Coast</t>
  </si>
  <si>
    <t>Seminole Energy</t>
  </si>
  <si>
    <t>Brevard Energy</t>
  </si>
  <si>
    <t>Total Dynamic Scheduling</t>
  </si>
  <si>
    <t xml:space="preserve">   Transmission Service - Dynamic Scheduling </t>
  </si>
  <si>
    <t xml:space="preserve">   Vero Beach Network Transmission Service Capacity Revenues</t>
  </si>
  <si>
    <t xml:space="preserve">   Vero Beach Network Transmission Service Reactive  Revenues</t>
  </si>
  <si>
    <t>VERO BEACH NETWORK TRANSMISSION SERVICE</t>
  </si>
  <si>
    <t xml:space="preserve">       Vero Beach Load</t>
  </si>
  <si>
    <t xml:space="preserve">   LCEC Network Transmission Service Capacity Revenues</t>
  </si>
  <si>
    <t>FMPA Network Transmission Forecast</t>
  </si>
  <si>
    <t>SECI Network Transmission Service Settlement Credit</t>
  </si>
  <si>
    <t>Check</t>
  </si>
  <si>
    <t>SECI Network Transmission Service Settlement</t>
  </si>
  <si>
    <t>Total Network Service (excluding ancillary and SECI credit)</t>
  </si>
  <si>
    <t>Note:  The City of Vero Beach was terminated at the end of 2009.</t>
  </si>
  <si>
    <t>INPUT REQUIREMENTS (RATES REFLECT 2000 &amp; 2004 SETTLEMENT RATES, 2005 FERC FILING &amp; TRANSMISSION FORMULA RATE EFFECTIVE JULY 1, 2010)</t>
  </si>
  <si>
    <t xml:space="preserve">   FMPA REACTIVE RATE - per settlement</t>
  </si>
  <si>
    <t xml:space="preserve">   SECI REACTIVE RATE - per settlement</t>
  </si>
  <si>
    <t xml:space="preserve">   LEE REACTIVE RATE - per settlement (1)</t>
  </si>
  <si>
    <t>TRANSMISSION SERVICE SCHEDULING CHARGE</t>
  </si>
  <si>
    <t xml:space="preserve">   FMPA Network Transmission Service Scheduling Revenues</t>
  </si>
  <si>
    <t xml:space="preserve">   Vero Beach Network Transmission Service Scheduling Revenues</t>
  </si>
  <si>
    <t xml:space="preserve">   SECI Network Transmission Service Scheduling Revenues</t>
  </si>
  <si>
    <t xml:space="preserve">   LCEC Network Transmission Service Scheduling Revenues</t>
  </si>
  <si>
    <t xml:space="preserve">   Long-Term Transmission Service - Scheduling Revenues</t>
  </si>
  <si>
    <t>2015 REVENUES</t>
  </si>
  <si>
    <t xml:space="preserve">Total 2015 Transmission Service Revenues </t>
  </si>
  <si>
    <t xml:space="preserve">       Scheduling Charge</t>
  </si>
  <si>
    <t xml:space="preserve">       Reactive Charge</t>
  </si>
  <si>
    <t>SCHEDULING REVENUES</t>
  </si>
  <si>
    <t>Account</t>
  </si>
  <si>
    <t xml:space="preserve">   Short-Term Firm  &amp; Non-Firm Transmission Capacity Revenues</t>
  </si>
  <si>
    <t xml:space="preserve">   Short-Term Firm  &amp; Non-Firm Transmission Scheduling Revenues</t>
  </si>
  <si>
    <t>Subtotal Transmission Revenues</t>
  </si>
  <si>
    <t xml:space="preserve">  Energy Imbalance Service</t>
  </si>
  <si>
    <t xml:space="preserve">  Energy Imbalance Service Penalty Revenue</t>
  </si>
  <si>
    <t xml:space="preserve">  Energy Imbalance Service Penalty Revenue Refund</t>
  </si>
  <si>
    <t xml:space="preserve">  Unreserved Use Penalty Revenues</t>
  </si>
  <si>
    <t xml:space="preserve">  Unreserved Use Penalty Revenues Refund</t>
  </si>
  <si>
    <t>Transmission Formula Rate</t>
  </si>
  <si>
    <t>Estimated Transmission Demand Charge</t>
  </si>
  <si>
    <t>Transmission Demand Charge ($/kW-month)</t>
  </si>
  <si>
    <t>Forecast Year 2014</t>
  </si>
  <si>
    <t>Forecast Year 2015</t>
  </si>
  <si>
    <t xml:space="preserve">FMPA NETWORK Rate </t>
  </si>
  <si>
    <t>SECI NETWORK Rate</t>
  </si>
  <si>
    <t>LCEC NETWORK Rate</t>
  </si>
  <si>
    <t>VERO NETWORK Rate</t>
  </si>
  <si>
    <t>Total FPL Load</t>
  </si>
  <si>
    <t>Reedy Creek</t>
  </si>
  <si>
    <t>From January 24, 2007 Settlement</t>
  </si>
  <si>
    <t>SECI Monthly Credit</t>
  </si>
  <si>
    <t>LCEC Monthly Credit</t>
  </si>
  <si>
    <t>Total Monthly Adjustment</t>
  </si>
  <si>
    <t>FKEC NETWORK TRANSMISSION SERVICE</t>
  </si>
  <si>
    <t>Regulation/Frequency Charge</t>
  </si>
  <si>
    <t>PSL Uprate FMPA</t>
  </si>
  <si>
    <t>OUC PSL2 Uprate</t>
  </si>
  <si>
    <t>2016 REVENUES</t>
  </si>
  <si>
    <t xml:space="preserve">Total 2016 Transmission Service Revenues </t>
  </si>
  <si>
    <t xml:space="preserve">  Port Charlotte L/F Gas Gen</t>
  </si>
  <si>
    <t xml:space="preserve">   FKEC Network Transmission Service Capacity Revenues</t>
  </si>
  <si>
    <t xml:space="preserve">   FKEC Network Transmission Service Scheduling Revenues</t>
  </si>
  <si>
    <t>Forecast Year 2016</t>
  </si>
  <si>
    <t>Forecast Year 2017</t>
  </si>
  <si>
    <t>(LCEC) LEE NETWORK TRANSMISSION SERVICE</t>
  </si>
  <si>
    <t>Georgia Transmission Corp</t>
  </si>
  <si>
    <t xml:space="preserve">As provided by Original Service Agreement </t>
  </si>
  <si>
    <t>FKEC NETWORK Rate</t>
  </si>
  <si>
    <t xml:space="preserve">   FKEC REACTIVE RATE *</t>
  </si>
  <si>
    <t>Distribution Charge</t>
  </si>
  <si>
    <t>Regulation Service Factor</t>
  </si>
  <si>
    <t>Transmission Line Loss</t>
  </si>
  <si>
    <t>WAUCHULA NETWORK TRANSMISSION SERVICE</t>
  </si>
  <si>
    <t>Total Demands</t>
  </si>
  <si>
    <t xml:space="preserve">   Wauchula Network Transmission Service Capacity Revenues</t>
  </si>
  <si>
    <t xml:space="preserve">   Wauchula Network Transmission Service Scheduling Revenues</t>
  </si>
  <si>
    <t>New Contracts</t>
  </si>
  <si>
    <t>Revised Actuals for Forecasting Purposes, Not including Penalty Revenue as of 2012</t>
  </si>
  <si>
    <t xml:space="preserve">June </t>
  </si>
  <si>
    <t xml:space="preserve">July </t>
  </si>
  <si>
    <t xml:space="preserve">Sept </t>
  </si>
  <si>
    <t xml:space="preserve">       Wauchula Load</t>
  </si>
  <si>
    <t xml:space="preserve">       FKEC Load</t>
  </si>
  <si>
    <t>From Jason Chin_07/22/2011</t>
  </si>
  <si>
    <t>Added additional service for OUC share of SL2 uprate</t>
  </si>
  <si>
    <t>2017 REVENUES</t>
  </si>
  <si>
    <t>2018 REVENUES</t>
  </si>
  <si>
    <t xml:space="preserve">  Updated based on SECI 2010 - FPL Contract Forecast _BL_Final 12-27-10 2012-2022</t>
  </si>
  <si>
    <t>WHOLESALE REVENUE BUDGET - Distribution Wheeling Revenues (now called Revenues for Radial Facilities)</t>
  </si>
  <si>
    <t xml:space="preserve">  Lee County Radial Charge</t>
  </si>
  <si>
    <t xml:space="preserve">  Seminole Radial Charges</t>
  </si>
  <si>
    <t>(per SAP)</t>
  </si>
  <si>
    <t>Seminiole Radials (1-1-12)</t>
  </si>
  <si>
    <t>Contract Link</t>
  </si>
  <si>
    <t>LEC Radials Eff (1-1-12)</t>
  </si>
  <si>
    <t>* In 2014, annual charges for FPL - owned radial facility tap lines shall be reduced by the annual payment reduces by amount in Appendix F-1 (per settlement contract)</t>
  </si>
  <si>
    <t xml:space="preserve">* Expect the charge to Lee will cease in 2015 </t>
  </si>
  <si>
    <t>Total Distribution Charge (2014)</t>
  </si>
  <si>
    <t>Total Distribution Charge (2016)</t>
  </si>
  <si>
    <t>Total Distribution Charge (2018)</t>
  </si>
  <si>
    <t>*Wachula Contract ends December 31, 2016</t>
  </si>
  <si>
    <t>Wachula Power Purchase Contract</t>
  </si>
  <si>
    <t>Link</t>
  </si>
  <si>
    <t>* Georgia Transmission Corp estimated start on completion of facilities 12/1/2012</t>
  </si>
  <si>
    <t>* Reedy Creek Contract to end 12/31/2014</t>
  </si>
  <si>
    <t>OUC Port Charlotte</t>
  </si>
  <si>
    <t>* OUC Port Charlotte ends 10/01/2016</t>
  </si>
  <si>
    <t>TEC Oleander Purchase</t>
  </si>
  <si>
    <t>* TEC expires 01/01/2016</t>
  </si>
  <si>
    <t>Forecast Year 2018</t>
  </si>
  <si>
    <t>* Rates based on OATT Settlement Agreement.</t>
  </si>
  <si>
    <t xml:space="preserve">   Scheduling Charge (Schedule 1) *</t>
  </si>
  <si>
    <t xml:space="preserve">*Contract ends 2016 </t>
  </si>
  <si>
    <t xml:space="preserve">Total 2017 Transmission Service Revenues </t>
  </si>
  <si>
    <t xml:space="preserve">Total 2018 Transmission Service Revenues </t>
  </si>
  <si>
    <t>Old Acct</t>
  </si>
  <si>
    <t>G/L Acct</t>
  </si>
  <si>
    <t>I/O</t>
  </si>
  <si>
    <t>FERC Acct</t>
  </si>
  <si>
    <t>Description</t>
  </si>
  <si>
    <t>GPP, MDC</t>
  </si>
  <si>
    <t>FERC Assessment</t>
  </si>
  <si>
    <t>LTF TS Demand</t>
  </si>
  <si>
    <t>STF/NF TS Demand</t>
  </si>
  <si>
    <t>LTF Trans Sched</t>
  </si>
  <si>
    <t>Reactive</t>
  </si>
  <si>
    <t>STF/NF Trans Sched</t>
  </si>
  <si>
    <t>Regulation</t>
  </si>
  <si>
    <t>Energy Imbalance</t>
  </si>
  <si>
    <t>Spinning Reserve</t>
  </si>
  <si>
    <t>Supplemental Res</t>
  </si>
  <si>
    <t>Energy Imbal Pen Rev</t>
  </si>
  <si>
    <t>Energy Imbal Pen Rev Ref</t>
  </si>
  <si>
    <t>Unreserv Use Pen Rev</t>
  </si>
  <si>
    <t>Unreserv Use Pen Rev Ref</t>
  </si>
  <si>
    <t>Dist Wheeling</t>
  </si>
  <si>
    <t>Radial Line Charge</t>
  </si>
  <si>
    <t>*Contract ends 5/1/2017</t>
  </si>
  <si>
    <t>BLOUNTSTOWN NETWORK TRANSMISSION SERVICE</t>
  </si>
  <si>
    <t>*Blountstown 5/1/2017</t>
  </si>
  <si>
    <t xml:space="preserve">   Blountstown Network Transmission Service Capacity Revenues</t>
  </si>
  <si>
    <t xml:space="preserve">   Blountstown Network Transmission Service Scheduling Revenues</t>
  </si>
  <si>
    <t xml:space="preserve">** Per Luke Whiting FPL looking to purchase these facilities where credit will no longer exist. As of now credit remains. </t>
  </si>
  <si>
    <t xml:space="preserve">   Radial Facilities Revenue</t>
  </si>
  <si>
    <t>FKEC Contract</t>
  </si>
  <si>
    <t xml:space="preserve">Contract Link </t>
  </si>
  <si>
    <t xml:space="preserve">Blountstown Full Req Electric Service Contract </t>
  </si>
  <si>
    <t>Blountstown Maximum Peak Demand</t>
  </si>
  <si>
    <t>* Reedy Creek contract ends 12/31/2014</t>
  </si>
  <si>
    <t>*Added 1/1/2013-1/1/2016</t>
  </si>
  <si>
    <t>*Added 10/1/2011-10/1/2016</t>
  </si>
  <si>
    <t>* Seminole starts 150 MW (6/1/14 - 12/31/15)</t>
  </si>
  <si>
    <t>Georgia Transmission Company</t>
  </si>
  <si>
    <t>Georgia  Transmission Corp</t>
  </si>
  <si>
    <t xml:space="preserve">OUC Port Charlotte </t>
  </si>
  <si>
    <t xml:space="preserve">TEC Oleander Purchase </t>
  </si>
  <si>
    <t>Wasn't updated because of 2014 Moratorium (Will keep 1.59 rate for this forecast period)</t>
  </si>
  <si>
    <t xml:space="preserve">Forecast Link </t>
  </si>
  <si>
    <t>* clean up file don't need line 12 or 13</t>
  </si>
  <si>
    <t xml:space="preserve">* Use Coincident Peak Demands </t>
  </si>
  <si>
    <t>FMPA</t>
  </si>
  <si>
    <t>Winter / Summer differential</t>
  </si>
  <si>
    <t>TRANSMISSION SERVICE REVENUE FORECAST UPDATE</t>
  </si>
  <si>
    <t>Winter Park Maximum Peak Demand</t>
  </si>
  <si>
    <t xml:space="preserve">       Blountstown Load</t>
  </si>
  <si>
    <t xml:space="preserve">       Winter Park Load</t>
  </si>
  <si>
    <t>Winter Park NETWORK TRANSMISSION SERVICE</t>
  </si>
  <si>
    <t xml:space="preserve">Winter Park Full Req Electric Service Contract </t>
  </si>
  <si>
    <t xml:space="preserve">   City of Winter Park Transmission Capacity Revenues</t>
  </si>
  <si>
    <t xml:space="preserve">   Winter Park Network Transmission Service Capacity Revenues</t>
  </si>
  <si>
    <t>FPL EMT (Winter Park)</t>
  </si>
  <si>
    <t>* Added 1/1/14 - 1/1/15</t>
  </si>
  <si>
    <t>Lake Worth NETWORK TRANSMISSION SERVICE</t>
  </si>
  <si>
    <t xml:space="preserve">       Lake Worth Load</t>
  </si>
  <si>
    <t xml:space="preserve">Lake Worth Full Req Electric Service Contract </t>
  </si>
  <si>
    <t>City of Lake Worth</t>
  </si>
  <si>
    <t>Provided by Charles Knight</t>
  </si>
  <si>
    <t>Oth Elec Rev-Trans Scheduling-STF &amp; NF</t>
  </si>
  <si>
    <t>Oth Elec Rev-Transm Srce Demand-STF &amp; NF</t>
  </si>
  <si>
    <t xml:space="preserve">  All coincident peak demands are demands that are coincident with the East Group.</t>
  </si>
  <si>
    <t xml:space="preserve">  Jacksonville Beach is served from the Sampson substation at 230 kV.</t>
  </si>
  <si>
    <t xml:space="preserve">  Green Cove Springs is served from the Chapman substation at 230 kV.</t>
  </si>
  <si>
    <t xml:space="preserve">  Clewiston is served from the McCarthy substation at 138 kV.</t>
  </si>
  <si>
    <t xml:space="preserve">   Starke is served from the Call Street (STK) substation at 13.8 kV.</t>
  </si>
  <si>
    <t xml:space="preserve">   Key West  is served from the Marathon  (FKEC) substation at 138 kV.</t>
  </si>
  <si>
    <t xml:space="preserve">   Ft. Pierce is served from the Hartman and Garden City substations at 138 kV.</t>
  </si>
  <si>
    <t xml:space="preserve">   Lake Worth is served from the Hypoluxo substation at 138 kV.</t>
  </si>
  <si>
    <t xml:space="preserve">   Lake Worth load will not be included in All-requirements Project  after 12/31/2013, it is included here just for reference.</t>
  </si>
  <si>
    <t xml:space="preserve">FMPA Provides Forecast once a year end of October </t>
  </si>
  <si>
    <t xml:space="preserve">   City of New Smyrna Beach Transmission Capacity Revenues</t>
  </si>
  <si>
    <t xml:space="preserve">   City of New Smyrna Beach Transmission Service Scheduling Revenues</t>
  </si>
  <si>
    <t>New Smyrna NETWORK TRANSMISSION SERVICE</t>
  </si>
  <si>
    <t xml:space="preserve">       New Smyrna Load</t>
  </si>
  <si>
    <t xml:space="preserve">   City of Lake Worth Transmission Capacity Revenues</t>
  </si>
  <si>
    <t xml:space="preserve">   City of Lake Worth Transmission Service Scheduling Revenues</t>
  </si>
  <si>
    <t>2019 REVENUES</t>
  </si>
  <si>
    <t xml:space="preserve">Total 2019 Transmission Service Revenues </t>
  </si>
  <si>
    <t>Provided by Charles Knight October 2014</t>
  </si>
  <si>
    <t>Make sure these are accounted for in final page</t>
  </si>
  <si>
    <t>Revenues provided by Charles Knight - 10/01/2014</t>
  </si>
  <si>
    <t>Matt will provide exact numbers.</t>
  </si>
  <si>
    <t>Forecast Year 2019</t>
  </si>
  <si>
    <t>Haven't updated</t>
  </si>
  <si>
    <t>You need to launch the BEx Analyzer toolbar in Microsoft Excel first</t>
  </si>
  <si>
    <t>Launch the "SAP Financial BW" system from the Corporate Portal</t>
  </si>
  <si>
    <t>and then enter "RRMX" in the transaction code box and a new MS Excel window should open with the toolbar activated</t>
  </si>
  <si>
    <t>Once you have the window opened, you can open up your report, right-click, and "Refresh" the report</t>
  </si>
  <si>
    <t>Instructions for retrieving actuals from SAP</t>
  </si>
  <si>
    <t>Total Distribution Charge (2017)</t>
  </si>
  <si>
    <t>Total Distribution Charge (2019)</t>
  </si>
  <si>
    <t xml:space="preserve">  Reedy Creek (Discontinued 12/31/2014)</t>
  </si>
  <si>
    <t>*Reedy Creek Discontinued as of 12/31/14</t>
  </si>
  <si>
    <t xml:space="preserve">  Sarasota L/F Gas Gen</t>
  </si>
  <si>
    <t>November 1, 2014 estimated forcast (provided by Rosemary Morely)</t>
  </si>
  <si>
    <t>2014 Actual Data</t>
  </si>
  <si>
    <t>Draft Contract provided by Charles Knight October 2014 - File Pending</t>
  </si>
  <si>
    <t>FMPA Forecast Provided October 31, 2014 by Charles Knight</t>
  </si>
  <si>
    <t xml:space="preserve">FMPA NETWORK TRANSMISSION SERVICE (Forecast dated October 1, 2014) </t>
  </si>
  <si>
    <t>New Smyrna Contract Termination Date February 1, 2019</t>
  </si>
  <si>
    <t xml:space="preserve">OATT Rate Link </t>
  </si>
  <si>
    <t>OATT Schedule Rates</t>
  </si>
  <si>
    <t>As provided by Charles Knight</t>
  </si>
  <si>
    <t xml:space="preserve">Lake Worth Contract </t>
  </si>
  <si>
    <t>Lake Worth\FPL and Lake Worth,FL NITSA-SA No. 321-FINAL.pdf</t>
  </si>
  <si>
    <t>*Contract ends 1/1/2019</t>
  </si>
  <si>
    <t>Contracted - Long Term Point to Point Contract Demands</t>
  </si>
  <si>
    <t>Ends 01/01/2016</t>
  </si>
  <si>
    <t>Sarasota Landfill</t>
  </si>
  <si>
    <t>* Discontinued as of 12/31/2014</t>
  </si>
  <si>
    <t>Ends 12/31/2014</t>
  </si>
  <si>
    <t xml:space="preserve">   New Smyrna Network Transmission Service Capacity Revenues</t>
  </si>
  <si>
    <t xml:space="preserve">   New Smyrna Network Transmission Service Scheduling Revenues</t>
  </si>
  <si>
    <t>As provided by Rosemary Morley</t>
  </si>
  <si>
    <t>Wauchula Maximum Coincidental Peak Demand</t>
  </si>
  <si>
    <t>2020 REVENUES</t>
  </si>
  <si>
    <t xml:space="preserve">Total 2020 Transmission Service Revenues </t>
  </si>
  <si>
    <t>FKEC Coincidental Peak Demand</t>
  </si>
  <si>
    <t xml:space="preserve">  Updated based on SECI 2012 - FPL Contract Forecast _BL_Final 12-9-13</t>
  </si>
  <si>
    <t>Avg  Change 2014-2020</t>
  </si>
  <si>
    <t>Total Distribution Charge (2020)</t>
  </si>
  <si>
    <t>(2014 through 2020)</t>
  </si>
  <si>
    <t>Georgia Transmission NETWORK TRANSMISSION SERVICE</t>
  </si>
  <si>
    <t>Transmission Revenue Forecast</t>
  </si>
  <si>
    <t xml:space="preserve">   Georgia Transmission Corporation Transmission Capacity Revenues</t>
  </si>
  <si>
    <t xml:space="preserve">   Georgia Transmission Corporation Transmission Service Scheduling Revenues</t>
  </si>
  <si>
    <t xml:space="preserve">   Georgia Transmission Corporation Transmission Service</t>
  </si>
  <si>
    <t>2014-2020 Forecast Provided December 2014 New Methodology</t>
  </si>
  <si>
    <t>* Lee Contract to Expire 12/31/2015</t>
  </si>
  <si>
    <t>* Discontinued 12/31/14</t>
  </si>
  <si>
    <t>* Through 11/1/24</t>
  </si>
  <si>
    <t>Through 12/31/19</t>
  </si>
  <si>
    <t>Forecast Year 2020</t>
  </si>
  <si>
    <t>* Includes Customer provided Forecast in email from New Smyrna to Luke Whiting 7/27/2015</t>
  </si>
  <si>
    <t>Use for 2015 through 2020</t>
  </si>
  <si>
    <t>Average</t>
  </si>
  <si>
    <t xml:space="preserve">Weighted </t>
  </si>
  <si>
    <t>2015 Actual Data</t>
  </si>
  <si>
    <t>SECI Transmission Network Service Forecast (2015 through 2024)</t>
  </si>
  <si>
    <t>* Forecasted numbers taken from GTC forecast provided by</t>
  </si>
  <si>
    <t xml:space="preserve">  Charles Knight on PDF 7/30/15</t>
  </si>
  <si>
    <t>1/1/15 begins network service</t>
  </si>
  <si>
    <t>FLORIDA POWER &amp; LIGHT COMPANY</t>
  </si>
  <si>
    <t>AVERAGE</t>
  </si>
  <si>
    <t>FIRM NETWORK</t>
  </si>
  <si>
    <t>Blountstown</t>
  </si>
  <si>
    <t>Winter Park</t>
  </si>
  <si>
    <t>LCEC</t>
  </si>
  <si>
    <t>FKEC</t>
  </si>
  <si>
    <t>Wauchula</t>
  </si>
  <si>
    <t>Vero Beach</t>
  </si>
  <si>
    <t>SECI</t>
  </si>
  <si>
    <t>Lake Worth</t>
  </si>
  <si>
    <t>FNO TOTALS</t>
  </si>
  <si>
    <t>LT POINT-TO-POINT</t>
  </si>
  <si>
    <t>LES Sarasota</t>
  </si>
  <si>
    <t>LFP TOTALS</t>
  </si>
  <si>
    <t>New Smyrna Beach</t>
  </si>
  <si>
    <t>TOTAL 2016 TRANS SERVICES FORECAST</t>
  </si>
  <si>
    <t>TEC Oleander</t>
  </si>
  <si>
    <t>* Contract extended through 10/1/21</t>
  </si>
  <si>
    <t>YEARS 2015-2020 - Updated to include approved forecast October 2015 (all amounts are expressed in dollars)</t>
  </si>
  <si>
    <t xml:space="preserve">2014-2020 Forecast Updated October 2015 </t>
  </si>
  <si>
    <t>October 1, 2015 estimated forcast (provided by Rosemary Morely)</t>
  </si>
  <si>
    <t>October 2015</t>
  </si>
  <si>
    <t xml:space="preserve">2015-2020 Forecast Updated October 2015 </t>
  </si>
  <si>
    <t>2016 TRANSMISSION SERVICES FORECAST (KW) - OCTOBER 2015 FORECAST</t>
  </si>
  <si>
    <t>2015 - 2020  TRANSMISSION REVENUE FORECAST</t>
  </si>
  <si>
    <t xml:space="preserve">       Georgia Transmission Load</t>
  </si>
  <si>
    <t xml:space="preserve">   Georgia Transmission Corporation Transmission Service Reactive Revenues</t>
  </si>
  <si>
    <t>Contract Ends 1/1/19</t>
  </si>
  <si>
    <t xml:space="preserve">   City of Lake Worth Transmission Service Reactive Revenues</t>
  </si>
  <si>
    <t xml:space="preserve">   City of New Smyrna Beach Transmission Service Reactive Revenues</t>
  </si>
  <si>
    <t xml:space="preserve">*Winter Park 1/1/2020 </t>
  </si>
  <si>
    <t>2015 TRANSMISSION SERVICES FORECAST (KW) - OCTOBER 2015 FORECAST</t>
  </si>
  <si>
    <t>2017 TRANSMISSION SERVICES FORECAST (KW) - OCTOBER 2015 FORECAST</t>
  </si>
  <si>
    <t>2018 TRANSMISSION SERVICES FORECAST (KW) - OCTOBER 2015 FORECAST</t>
  </si>
  <si>
    <t>2019 TRANSMISSION SERVICES FORECAST (KW) - OCTOBER 2015 FORECAST</t>
  </si>
  <si>
    <t>2020 TRANSMISSION SERVICES FORECAST (KW) - OCTOBER 2015 FORECAST</t>
  </si>
  <si>
    <t>*Contract ends 1/1/2020</t>
  </si>
  <si>
    <t xml:space="preserve">   City of Winter Park Transmission Scheduling Revenues</t>
  </si>
  <si>
    <t>Homestead NETWORK TRANSMISSION SERVICE</t>
  </si>
  <si>
    <t xml:space="preserve">       Homestead Load</t>
  </si>
  <si>
    <t>*Contract ends 1/1/2021</t>
  </si>
  <si>
    <t>Contract Ends 1/1/21</t>
  </si>
  <si>
    <t xml:space="preserve">   City of Homestead Transmission Capacity Revenues</t>
  </si>
  <si>
    <t xml:space="preserve">   City of Homestead Transmission Service Scheduling Revenues</t>
  </si>
  <si>
    <t xml:space="preserve">   City of Homestead Transmission Service Reactive Revenues</t>
  </si>
  <si>
    <t xml:space="preserve">Per Renae Deaton, January and August are taken from Rosemary's Firm Load forecast and </t>
  </si>
  <si>
    <t>the  other months are taken from the Non-Firm Interruptible forecast</t>
  </si>
  <si>
    <t>*New Customer 1/1/16 Contract ends 1/1/2021</t>
  </si>
  <si>
    <t>As provided by Rosemary Morley October 2015</t>
  </si>
  <si>
    <t>As provided by Rosemary Morley Non-Firm Forecast 2015</t>
  </si>
  <si>
    <t>Quincy Maximum Peak Demand</t>
  </si>
  <si>
    <t>Quincy NETWORK TRANSMISSION SERVICE</t>
  </si>
  <si>
    <t xml:space="preserve">       Quincy Load</t>
  </si>
  <si>
    <t>*Quincy 1/1/2021</t>
  </si>
  <si>
    <t xml:space="preserve">   City of Quincy Transmission Capacity Revenues</t>
  </si>
  <si>
    <t xml:space="preserve">   City of Quincy Transmission Service Scheduling Revenues</t>
  </si>
  <si>
    <t>Quincy</t>
  </si>
  <si>
    <t>Per Renae Deaton, when available use Firm Load Forecast and</t>
  </si>
  <si>
    <t>Reduction in Capacity Requirements</t>
  </si>
  <si>
    <t>Contract Ends 1/1/20</t>
  </si>
  <si>
    <t>Transmission Credit still active.  May change December 2015</t>
  </si>
  <si>
    <t>New customer 2016</t>
  </si>
  <si>
    <t>New customer 2015</t>
  </si>
  <si>
    <t>New Customer 2015</t>
  </si>
  <si>
    <t>Winter Park was extended from 12/31/16 to 1/1/20</t>
  </si>
  <si>
    <t>Contract ends 1/1/19</t>
  </si>
  <si>
    <t>Contract ends 12/31/2016</t>
  </si>
  <si>
    <t>Contract ends 5/1/2017</t>
  </si>
  <si>
    <t>Contract ends 2/1/19</t>
  </si>
  <si>
    <t>No forecast last year</t>
  </si>
  <si>
    <t>TOTAL 2020 TRANS SERVICES FORECAST</t>
  </si>
  <si>
    <t>TOTAL 2019 TRANS SERVICES FORECAST</t>
  </si>
  <si>
    <t>TOTAL 2018 TRANS SERVICES FORECAST</t>
  </si>
  <si>
    <t>TOTAL 2017 TRANS SERVICES FORECAST</t>
  </si>
  <si>
    <t>TOTAL 2015 TRANS SERVICES FORECAST</t>
  </si>
  <si>
    <t>No 2020 forecast last year</t>
  </si>
  <si>
    <t>Not charged due to being full requirements customer</t>
  </si>
  <si>
    <t>No longer charged as of 2015 per Luke Whiting.</t>
  </si>
  <si>
    <t>OPC 013016</t>
  </si>
  <si>
    <t>FPL RC-16</t>
  </si>
  <si>
    <t>OPC 013017</t>
  </si>
  <si>
    <t>OPC 013018</t>
  </si>
  <si>
    <t>OPC 013019</t>
  </si>
  <si>
    <t>OPC 013020</t>
  </si>
  <si>
    <t>OPC 013021</t>
  </si>
  <si>
    <t>OPC 013022</t>
  </si>
  <si>
    <t>OPC 013023</t>
  </si>
  <si>
    <t>OPC 013024</t>
  </si>
  <si>
    <t>OPC 013025</t>
  </si>
  <si>
    <t>OPC 013026</t>
  </si>
  <si>
    <t>OPC 013027</t>
  </si>
  <si>
    <t>OPC 013028</t>
  </si>
  <si>
    <t>OPC 013029</t>
  </si>
  <si>
    <t>OPC 013030</t>
  </si>
  <si>
    <t>OPC 013031</t>
  </si>
  <si>
    <t>OPC 013032</t>
  </si>
  <si>
    <t>OPC 013033</t>
  </si>
  <si>
    <t>OPC 013034</t>
  </si>
  <si>
    <t>OPC 013035</t>
  </si>
  <si>
    <t>OPC 013036</t>
  </si>
  <si>
    <t>OPC 013037</t>
  </si>
  <si>
    <t>OPC 013038</t>
  </si>
  <si>
    <t>OPC 013039</t>
  </si>
  <si>
    <t>OPC 013040</t>
  </si>
  <si>
    <t>OPC 013041</t>
  </si>
  <si>
    <t>OPC 013042</t>
  </si>
  <si>
    <t>OPC 013043</t>
  </si>
  <si>
    <t>OPC 013044</t>
  </si>
  <si>
    <t>OPC 013045</t>
  </si>
  <si>
    <t>OPC 013047</t>
  </si>
  <si>
    <t>OPC 013048</t>
  </si>
  <si>
    <t>OPC 013049</t>
  </si>
  <si>
    <t>OPC 013050</t>
  </si>
  <si>
    <t>OPC 013051</t>
  </si>
  <si>
    <t>OPC 013052</t>
  </si>
  <si>
    <t>OPC 013053</t>
  </si>
  <si>
    <t>OPC 013054</t>
  </si>
  <si>
    <t>OPC 013055</t>
  </si>
  <si>
    <t>OPC 013056</t>
  </si>
  <si>
    <t>OPC 013057</t>
  </si>
  <si>
    <t>OPC 013058</t>
  </si>
  <si>
    <t>OPC 013046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</si>
</sst>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dd\-mmm\-yy_)"/>
    <numFmt numFmtId="166" formatCode="hh:mm\ AM/PM_)"/>
    <numFmt numFmtId="167" formatCode="0.00_)"/>
    <numFmt numFmtId="168" formatCode="#,##0.000_);[Red]\(#,##0.000\)"/>
    <numFmt numFmtId="169" formatCode="&quot;$&quot;#,##0.000_);[Red]\(&quot;$&quot;#,##0.000\)"/>
    <numFmt numFmtId="170" formatCode="&quot;$&quot;#,##0.00000_);[Red]\(&quot;$&quot;#,##0.00000\)"/>
    <numFmt numFmtId="171" formatCode="&quot;$&quot;#,##0.000_);\(&quot;$&quot;#,##0.000\)"/>
    <numFmt numFmtId="172" formatCode="&quot;$&quot;#,##0.00000_);\(&quot;$&quot;#,##0.00000\)"/>
    <numFmt numFmtId="173" formatCode="0.000"/>
    <numFmt numFmtId="174" formatCode="#,###.0000"/>
    <numFmt numFmtId="175" formatCode="0.0%"/>
    <numFmt numFmtId="176" formatCode="_(* #,##0.000_);_(* \(#,##0.000\);_(* &quot;-&quot;??_);_(@_)"/>
    <numFmt numFmtId="177" formatCode="0.000000"/>
    <numFmt numFmtId="178" formatCode="0.0"/>
    <numFmt numFmtId="179" formatCode="0.0_)"/>
    <numFmt numFmtId="180" formatCode="_(* #,##0.00000_);_(* \(#,##0.00000\);_(* &quot;-&quot;??_);_(@_)"/>
    <numFmt numFmtId="181" formatCode="_(* #,##0.0_);_(* \(#,##0.0\);_(* &quot;-&quot;??_);_(@_)"/>
    <numFmt numFmtId="182" formatCode="_(* #,##0_);_(* \(#,##0\);_(* &quot;-&quot;??_);_(@_)"/>
    <numFmt numFmtId="183" formatCode="&quot;$&quot;#,##0.00"/>
    <numFmt numFmtId="184" formatCode="0_);\(0\)"/>
    <numFmt numFmtId="185" formatCode="#,##0.000_);\(#,##0.000\)"/>
    <numFmt numFmtId="186" formatCode="0.000_);\(0.000\)"/>
    <numFmt numFmtId="187" formatCode="m\-d\-yy"/>
    <numFmt numFmtId="188" formatCode=";;;\(@\)"/>
    <numFmt numFmtId="189" formatCode="0."/>
    <numFmt numFmtId="190" formatCode="_-* #,##0.0_-;\-* #,##0.0_-;_-* &quot;-&quot;??_-;_-@_-"/>
    <numFmt numFmtId="191" formatCode="#,##0.00&quot; $&quot;;\-#,##0.00&quot; $&quot;"/>
    <numFmt numFmtId="192" formatCode="_(* #,##0_);_(* \(#,##0\);_(* &quot;&quot;_);_(@_)"/>
    <numFmt numFmtId="193" formatCode="_(* #,##0,_);_(* \(#,##0,\);_(* &quot;-   &quot;_);_(@_)"/>
    <numFmt numFmtId="194" formatCode="_(* #,##0.0,_);_(* \(#,##0.0,\);_(* &quot;-   &quot;_);_(@_)"/>
    <numFmt numFmtId="195" formatCode="&quot;£&quot;#,##0_);[Red]\(&quot;£&quot;#,##0\)"/>
    <numFmt numFmtId="196" formatCode="&quot;$&quot;#,##0.0000_);[Red]\(&quot;$&quot;#,##0.0000\)"/>
    <numFmt numFmtId="197" formatCode="_(&quot;$&quot;* #,##0_);_(&quot;$&quot;* \(#,##0\);_(&quot;$&quot;* &quot;-&quot;??_);_(@_)"/>
    <numFmt numFmtId="198" formatCode="&quot;$&quot;#,##0.00000"/>
    <numFmt numFmtId="199" formatCode="&quot;$&quot;#,##0"/>
    <numFmt numFmtId="200" formatCode="[$-409]mmm\-yy;@"/>
  </numFmts>
  <fonts count="1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Helvetica-Narrow"/>
      <family val="2"/>
    </font>
    <font>
      <sz val="8"/>
      <name val="Helvetica-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Courier"/>
      <family val="3"/>
    </font>
    <font>
      <sz val="8.5"/>
      <name val="MS Sans Serif"/>
      <family val="2"/>
    </font>
    <font>
      <sz val="8"/>
      <name val="Arial"/>
      <family val="2"/>
    </font>
    <font>
      <b/>
      <u/>
      <sz val="8.5"/>
      <name val="Arial Narrow"/>
      <family val="2"/>
    </font>
    <font>
      <sz val="8.5"/>
      <name val="Arial Narrow"/>
      <family val="2"/>
    </font>
    <font>
      <b/>
      <sz val="8.5"/>
      <name val="Arial Narrow"/>
      <family val="2"/>
    </font>
    <font>
      <b/>
      <sz val="8.5"/>
      <name val="Arial Narrow"/>
      <family val="2"/>
    </font>
    <font>
      <sz val="10"/>
      <name val="Arial"/>
      <family val="2"/>
    </font>
    <font>
      <b/>
      <sz val="12"/>
      <name val="Comic Sans MS"/>
      <family val="4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b/>
      <sz val="10"/>
      <name val="Helvetica-Narrow"/>
    </font>
    <font>
      <b/>
      <sz val="8"/>
      <name val="Arial"/>
      <family val="2"/>
    </font>
    <font>
      <b/>
      <sz val="14"/>
      <name val="Arial"/>
      <family val="2"/>
    </font>
    <font>
      <sz val="8"/>
      <name val="Courier"/>
      <family val="3"/>
    </font>
    <font>
      <sz val="8"/>
      <name val="Helvetica-Narrow"/>
    </font>
    <font>
      <sz val="10"/>
      <name val="Courier"/>
      <family val="3"/>
    </font>
    <font>
      <b/>
      <u/>
      <sz val="8"/>
      <name val="Arial"/>
      <family val="2"/>
    </font>
    <font>
      <sz val="8.5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Garamond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u val="singleAccounting"/>
      <sz val="10"/>
      <name val="Times"/>
      <family val="1"/>
    </font>
    <font>
      <sz val="10"/>
      <name val="MS Sans Serif"/>
      <family val="2"/>
    </font>
    <font>
      <sz val="9"/>
      <name val="Univers (WN)"/>
    </font>
    <font>
      <b/>
      <sz val="10"/>
      <color indexed="64"/>
      <name val="Arial"/>
      <family val="2"/>
    </font>
    <font>
      <sz val="10"/>
      <name val="MS Serif"/>
      <family val="1"/>
    </font>
    <font>
      <sz val="11"/>
      <name val="??"/>
      <family val="3"/>
      <charset val="129"/>
    </font>
    <font>
      <sz val="12"/>
      <name val="Times New Roman"/>
      <family val="1"/>
    </font>
    <font>
      <sz val="10"/>
      <color indexed="16"/>
      <name val="MS Serif"/>
      <family val="1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64"/>
      <name val="Arial"/>
      <family val="2"/>
    </font>
    <font>
      <sz val="8"/>
      <name val="Tahoma"/>
      <family val="2"/>
    </font>
    <font>
      <sz val="10"/>
      <name val="Courier"/>
      <family val="3"/>
    </font>
    <font>
      <sz val="10"/>
      <color indexed="72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18"/>
      <color indexed="62"/>
      <name val="Cambria"/>
      <family val="2"/>
    </font>
    <font>
      <sz val="8"/>
      <color indexed="12"/>
      <name val="Arial"/>
      <family val="2"/>
    </font>
    <font>
      <sz val="10"/>
      <name val="Helvetica-Narrow"/>
    </font>
    <font>
      <b/>
      <sz val="8"/>
      <name val="Arial Narrow"/>
      <family val="2"/>
    </font>
    <font>
      <b/>
      <sz val="8"/>
      <name val="Helvetica-Narrow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8.5"/>
      <color rgb="FFFF0000"/>
      <name val="Arial Narrow"/>
      <family val="2"/>
    </font>
    <font>
      <sz val="10"/>
      <color rgb="FFFF0000"/>
      <name val="Courier"/>
      <family val="3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Helvetica-Narrow"/>
      <family val="2"/>
    </font>
    <font>
      <sz val="10"/>
      <name val="Cambria"/>
      <family val="1"/>
      <scheme val="major"/>
    </font>
    <font>
      <u/>
      <sz val="10"/>
      <color theme="10"/>
      <name val="Courier"/>
      <family val="3"/>
    </font>
    <font>
      <b/>
      <sz val="10"/>
      <color theme="3" tint="-0.499984740745262"/>
      <name val="Arial"/>
      <family val="2"/>
    </font>
    <font>
      <u/>
      <sz val="10"/>
      <color rgb="FFFF0000"/>
      <name val="Arial"/>
      <family val="2"/>
    </font>
    <font>
      <b/>
      <i/>
      <sz val="10"/>
      <color theme="3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ourier"/>
      <family val="3"/>
    </font>
    <font>
      <b/>
      <sz val="8"/>
      <color rgb="FFFF0000"/>
      <name val="Helvetica-Narrow"/>
    </font>
    <font>
      <b/>
      <sz val="7"/>
      <color rgb="FFFF0000"/>
      <name val="Courier"/>
      <family val="3"/>
    </font>
    <font>
      <b/>
      <sz val="8.5"/>
      <color rgb="FFFF0000"/>
      <name val="Arial Narrow"/>
      <family val="2"/>
    </font>
    <font>
      <b/>
      <sz val="10"/>
      <color rgb="FFFF0000"/>
      <name val="Helvetica-Narrow"/>
    </font>
    <font>
      <sz val="11"/>
      <color rgb="FF1F497D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FF0000"/>
      <name val="Helvetica-Narrow"/>
    </font>
    <font>
      <i/>
      <sz val="8"/>
      <color rgb="FFFF0000"/>
      <name val="Helvetica-Narrow"/>
    </font>
    <font>
      <i/>
      <sz val="10"/>
      <color rgb="FFFF0000"/>
      <name val="Courier"/>
      <family val="3"/>
    </font>
    <font>
      <i/>
      <sz val="8"/>
      <name val="Arial"/>
      <family val="2"/>
    </font>
    <font>
      <sz val="8"/>
      <color rgb="FF000000"/>
      <name val="Arial"/>
      <family val="2"/>
    </font>
    <font>
      <sz val="14"/>
      <name val="Arial MT"/>
      <family val="2"/>
    </font>
    <font>
      <sz val="14"/>
      <color rgb="FFFF0000"/>
      <name val="Arial MT"/>
      <family val="2"/>
    </font>
    <font>
      <i/>
      <sz val="8"/>
      <color rgb="FFFF0000"/>
      <name val="Arial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Helvetica-Narrow"/>
    </font>
    <font>
      <b/>
      <u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514">
    <xf numFmtId="164" fontId="0" fillId="0" borderId="0"/>
    <xf numFmtId="177" fontId="19" fillId="0" borderId="0">
      <alignment horizontal="left" wrapText="1"/>
    </xf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3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18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9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87" fontId="18" fillId="25" borderId="1">
      <alignment horizontal="center" vertical="center"/>
    </xf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195" fontId="19" fillId="0" borderId="0" applyFill="0" applyBorder="0" applyAlignment="0"/>
    <xf numFmtId="0" fontId="43" fillId="10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188" fontId="61" fillId="0" borderId="0">
      <alignment horizontal="center" wrapText="1"/>
    </xf>
    <xf numFmtId="40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0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0" borderId="4"/>
    <xf numFmtId="0" fontId="65" fillId="0" borderId="0" applyNumberFormat="0" applyAlignment="0">
      <alignment horizontal="left"/>
    </xf>
    <xf numFmtId="8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62" fillId="0" borderId="0" applyFont="0" applyFill="0" applyBorder="0" applyAlignment="0" applyProtection="0"/>
    <xf numFmtId="8" fontId="6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6" fontId="66" fillId="0" borderId="0">
      <protection locked="0"/>
    </xf>
    <xf numFmtId="189" fontId="67" fillId="0" borderId="0"/>
    <xf numFmtId="0" fontId="68" fillId="0" borderId="0" applyNumberFormat="0" applyAlignment="0">
      <alignment horizontal="left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0" fontId="19" fillId="0" borderId="0">
      <protection locked="0"/>
    </xf>
    <xf numFmtId="0" fontId="47" fillId="6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38" fontId="10" fillId="28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0" borderId="5" applyNumberFormat="0" applyAlignment="0" applyProtection="0">
      <alignment horizontal="left" vertical="center"/>
    </xf>
    <xf numFmtId="0" fontId="70" fillId="0" borderId="6">
      <alignment horizontal="left" vertical="center"/>
    </xf>
    <xf numFmtId="0" fontId="48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49" fillId="0" borderId="9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50" fillId="0" borderId="11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91" fontId="19" fillId="0" borderId="0">
      <protection locked="0"/>
    </xf>
    <xf numFmtId="191" fontId="19" fillId="0" borderId="0">
      <protection locked="0"/>
    </xf>
    <xf numFmtId="0" fontId="74" fillId="0" borderId="13" applyNumberFormat="0" applyFill="0" applyAlignment="0" applyProtection="0"/>
    <xf numFmtId="0" fontId="51" fillId="9" borderId="2" applyNumberFormat="0" applyAlignment="0" applyProtection="0"/>
    <xf numFmtId="10" fontId="10" fillId="29" borderId="14" applyNumberFormat="0" applyBorder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2" fillId="0" borderId="15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0" fontId="53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37" fontId="76" fillId="0" borderId="0"/>
    <xf numFmtId="167" fontId="77" fillId="0" borderId="0"/>
    <xf numFmtId="177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77" fontId="63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 applyAlignment="0">
      <alignment vertical="top" wrapText="1"/>
      <protection locked="0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4" fontId="8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1" fillId="0" borderId="0" applyAlignment="0">
      <alignment vertical="top"/>
      <protection locked="0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9" fillId="0" borderId="0"/>
    <xf numFmtId="177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192" fontId="19" fillId="0" borderId="0"/>
    <xf numFmtId="174" fontId="10" fillId="0" borderId="0"/>
    <xf numFmtId="0" fontId="54" fillId="10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9" fontId="3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82" fillId="0" borderId="19">
      <alignment horizontal="center"/>
    </xf>
    <xf numFmtId="3" fontId="62" fillId="0" borderId="0" applyFont="0" applyFill="0" applyBorder="0" applyAlignment="0" applyProtection="0"/>
    <xf numFmtId="0" fontId="62" fillId="30" borderId="0" applyNumberFormat="0" applyFont="0" applyBorder="0" applyAlignment="0" applyProtection="0"/>
    <xf numFmtId="0" fontId="83" fillId="0" borderId="20"/>
    <xf numFmtId="14" fontId="84" fillId="0" borderId="0" applyNumberFormat="0" applyFill="0" applyBorder="0" applyAlignment="0" applyProtection="0">
      <alignment horizontal="left"/>
    </xf>
    <xf numFmtId="4" fontId="59" fillId="31" borderId="18" applyNumberFormat="0" applyProtection="0">
      <alignment vertical="center"/>
    </xf>
    <xf numFmtId="4" fontId="85" fillId="31" borderId="18" applyNumberFormat="0" applyProtection="0">
      <alignment vertical="center"/>
    </xf>
    <xf numFmtId="4" fontId="59" fillId="31" borderId="18" applyNumberFormat="0" applyProtection="0">
      <alignment horizontal="left" vertical="center" indent="1"/>
    </xf>
    <xf numFmtId="4" fontId="59" fillId="31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4" fontId="59" fillId="33" borderId="18" applyNumberFormat="0" applyProtection="0">
      <alignment horizontal="right" vertical="center"/>
    </xf>
    <xf numFmtId="4" fontId="59" fillId="34" borderId="18" applyNumberFormat="0" applyProtection="0">
      <alignment horizontal="right" vertical="center"/>
    </xf>
    <xf numFmtId="4" fontId="59" fillId="35" borderId="18" applyNumberFormat="0" applyProtection="0">
      <alignment horizontal="right" vertical="center"/>
    </xf>
    <xf numFmtId="4" fontId="59" fillId="36" borderId="18" applyNumberFormat="0" applyProtection="0">
      <alignment horizontal="right" vertical="center"/>
    </xf>
    <xf numFmtId="4" fontId="59" fillId="37" borderId="18" applyNumberFormat="0" applyProtection="0">
      <alignment horizontal="right" vertical="center"/>
    </xf>
    <xf numFmtId="4" fontId="59" fillId="38" borderId="18" applyNumberFormat="0" applyProtection="0">
      <alignment horizontal="right" vertical="center"/>
    </xf>
    <xf numFmtId="4" fontId="59" fillId="39" borderId="18" applyNumberFormat="0" applyProtection="0">
      <alignment horizontal="right" vertical="center"/>
    </xf>
    <xf numFmtId="4" fontId="59" fillId="40" borderId="18" applyNumberFormat="0" applyProtection="0">
      <alignment horizontal="right" vertical="center"/>
    </xf>
    <xf numFmtId="4" fontId="59" fillId="41" borderId="18" applyNumberFormat="0" applyProtection="0">
      <alignment horizontal="right" vertical="center"/>
    </xf>
    <xf numFmtId="4" fontId="86" fillId="42" borderId="18" applyNumberFormat="0" applyProtection="0">
      <alignment horizontal="left" vertical="center" indent="1"/>
    </xf>
    <xf numFmtId="4" fontId="59" fillId="43" borderId="21" applyNumberFormat="0" applyProtection="0">
      <alignment horizontal="left" vertical="center" indent="1"/>
    </xf>
    <xf numFmtId="4" fontId="87" fillId="44" borderId="0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4" fontId="59" fillId="43" borderId="18" applyNumberFormat="0" applyProtection="0">
      <alignment horizontal="left" vertical="center" indent="1"/>
    </xf>
    <xf numFmtId="4" fontId="59" fillId="45" borderId="18" applyNumberFormat="0" applyProtection="0">
      <alignment horizontal="left" vertical="center" indent="1"/>
    </xf>
    <xf numFmtId="0" fontId="19" fillId="45" borderId="18" applyNumberFormat="0" applyProtection="0">
      <alignment horizontal="left" vertical="center" indent="1"/>
    </xf>
    <xf numFmtId="0" fontId="19" fillId="45" borderId="18" applyNumberFormat="0" applyProtection="0">
      <alignment horizontal="left" vertical="center" indent="1"/>
    </xf>
    <xf numFmtId="0" fontId="19" fillId="46" borderId="18" applyNumberFormat="0" applyProtection="0">
      <alignment horizontal="left" vertical="center" indent="1"/>
    </xf>
    <xf numFmtId="0" fontId="19" fillId="46" borderId="18" applyNumberFormat="0" applyProtection="0">
      <alignment horizontal="left" vertical="center" indent="1"/>
    </xf>
    <xf numFmtId="0" fontId="19" fillId="28" borderId="18" applyNumberFormat="0" applyProtection="0">
      <alignment horizontal="left" vertical="center" indent="1"/>
    </xf>
    <xf numFmtId="0" fontId="19" fillId="28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4" fontId="59" fillId="29" borderId="18" applyNumberFormat="0" applyProtection="0">
      <alignment vertical="center"/>
    </xf>
    <xf numFmtId="4" fontId="85" fillId="29" borderId="18" applyNumberFormat="0" applyProtection="0">
      <alignment vertical="center"/>
    </xf>
    <xf numFmtId="4" fontId="59" fillId="29" borderId="18" applyNumberFormat="0" applyProtection="0">
      <alignment horizontal="left" vertical="center" indent="1"/>
    </xf>
    <xf numFmtId="4" fontId="59" fillId="29" borderId="18" applyNumberFormat="0" applyProtection="0">
      <alignment horizontal="left" vertical="center" indent="1"/>
    </xf>
    <xf numFmtId="4" fontId="59" fillId="43" borderId="18" applyNumberFormat="0" applyProtection="0">
      <alignment horizontal="right" vertical="center"/>
    </xf>
    <xf numFmtId="4" fontId="85" fillId="43" borderId="18" applyNumberFormat="0" applyProtection="0">
      <alignment horizontal="right" vertical="center"/>
    </xf>
    <xf numFmtId="0" fontId="19" fillId="32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0" fontId="88" fillId="0" borderId="0"/>
    <xf numFmtId="4" fontId="89" fillId="43" borderId="18" applyNumberFormat="0" applyProtection="0">
      <alignment horizontal="right" vertical="center"/>
    </xf>
    <xf numFmtId="0" fontId="22" fillId="47" borderId="0"/>
    <xf numFmtId="177" fontId="19" fillId="0" borderId="0">
      <alignment horizontal="left" wrapText="1"/>
    </xf>
    <xf numFmtId="0" fontId="90" fillId="0" borderId="22"/>
    <xf numFmtId="40" fontId="91" fillId="0" borderId="0" applyBorder="0">
      <alignment horizontal="right"/>
    </xf>
    <xf numFmtId="0" fontId="19" fillId="28" borderId="4" applyNumberFormat="0" applyFont="0" applyAlignment="0"/>
    <xf numFmtId="0" fontId="19" fillId="0" borderId="0"/>
    <xf numFmtId="193" fontId="19" fillId="0" borderId="0">
      <alignment wrapText="1"/>
    </xf>
    <xf numFmtId="194" fontId="19" fillId="0" borderId="0">
      <alignment wrapText="1"/>
    </xf>
    <xf numFmtId="0" fontId="5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6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37" fontId="10" fillId="31" borderId="0" applyNumberFormat="0" applyBorder="0" applyAlignment="0" applyProtection="0"/>
    <xf numFmtId="37" fontId="10" fillId="0" borderId="0"/>
    <xf numFmtId="3" fontId="93" fillId="0" borderId="13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/>
    <xf numFmtId="164" fontId="106" fillId="0" borderId="0" applyNumberFormat="0" applyFill="0" applyBorder="0" applyAlignment="0" applyProtection="0"/>
    <xf numFmtId="0" fontId="15" fillId="0" borderId="0"/>
    <xf numFmtId="164" fontId="8" fillId="0" borderId="0"/>
    <xf numFmtId="164" fontId="8" fillId="0" borderId="0"/>
    <xf numFmtId="40" fontId="3" fillId="0" borderId="0" applyFont="0" applyFill="0" applyBorder="0" applyAlignment="0" applyProtection="0"/>
    <xf numFmtId="43" fontId="15" fillId="0" borderId="0" applyNumberForma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</cellStyleXfs>
  <cellXfs count="486">
    <xf numFmtId="164" fontId="0" fillId="0" borderId="0" xfId="0"/>
    <xf numFmtId="0" fontId="16" fillId="0" borderId="0" xfId="1196" applyFont="1" applyAlignment="1">
      <alignment horizontal="left"/>
    </xf>
    <xf numFmtId="0" fontId="17" fillId="0" borderId="0" xfId="1196" applyFont="1" applyAlignment="1">
      <alignment horizontal="centerContinuous"/>
    </xf>
    <xf numFmtId="0" fontId="15" fillId="0" borderId="0" xfId="1196"/>
    <xf numFmtId="0" fontId="15" fillId="0" borderId="0" xfId="1196" applyAlignment="1">
      <alignment horizontal="center"/>
    </xf>
    <xf numFmtId="165" fontId="21" fillId="0" borderId="0" xfId="0" applyNumberFormat="1" applyFont="1" applyFill="1" applyProtection="1"/>
    <xf numFmtId="164" fontId="10" fillId="0" borderId="0" xfId="0" applyFont="1" applyFill="1"/>
    <xf numFmtId="38" fontId="10" fillId="0" borderId="0" xfId="572" applyNumberFormat="1" applyFont="1" applyFill="1"/>
    <xf numFmtId="164" fontId="21" fillId="0" borderId="0" xfId="0" applyFont="1" applyFill="1" applyAlignment="1" applyProtection="1">
      <alignment horizontal="left"/>
    </xf>
    <xf numFmtId="166" fontId="21" fillId="0" borderId="0" xfId="0" applyNumberFormat="1" applyFont="1" applyFill="1" applyProtection="1"/>
    <xf numFmtId="164" fontId="21" fillId="0" borderId="0" xfId="0" applyFont="1" applyFill="1"/>
    <xf numFmtId="9" fontId="10" fillId="0" borderId="0" xfId="1242" applyFont="1" applyFill="1"/>
    <xf numFmtId="0" fontId="15" fillId="0" borderId="0" xfId="1196" applyFont="1" applyAlignment="1">
      <alignment horizontal="left"/>
    </xf>
    <xf numFmtId="165" fontId="6" fillId="0" borderId="0" xfId="0" applyNumberFormat="1" applyFont="1" applyFill="1" applyProtection="1"/>
    <xf numFmtId="164" fontId="6" fillId="0" borderId="0" xfId="0" applyFont="1" applyFill="1"/>
    <xf numFmtId="164" fontId="7" fillId="0" borderId="0" xfId="0" applyFont="1" applyFill="1"/>
    <xf numFmtId="164" fontId="6" fillId="0" borderId="0" xfId="0" applyFont="1" applyFill="1" applyAlignment="1" applyProtection="1">
      <alignment horizontal="left"/>
    </xf>
    <xf numFmtId="166" fontId="6" fillId="0" borderId="0" xfId="0" applyNumberFormat="1" applyFont="1" applyFill="1" applyProtection="1"/>
    <xf numFmtId="164" fontId="4" fillId="0" borderId="0" xfId="0" applyFont="1" applyFill="1"/>
    <xf numFmtId="164" fontId="5" fillId="0" borderId="0" xfId="0" applyFont="1" applyFill="1"/>
    <xf numFmtId="37" fontId="5" fillId="0" borderId="0" xfId="0" applyNumberFormat="1" applyFont="1" applyFill="1" applyProtection="1"/>
    <xf numFmtId="164" fontId="8" fillId="0" borderId="0" xfId="0" applyFont="1" applyFill="1"/>
    <xf numFmtId="164" fontId="5" fillId="0" borderId="0" xfId="0" applyFont="1" applyFill="1" applyProtection="1"/>
    <xf numFmtId="164" fontId="5" fillId="0" borderId="0" xfId="0" applyFont="1" applyFill="1" applyAlignment="1" applyProtection="1">
      <alignment horizontal="center"/>
    </xf>
    <xf numFmtId="164" fontId="5" fillId="0" borderId="0" xfId="0" applyFont="1" applyFill="1" applyAlignment="1" applyProtection="1">
      <alignment horizontal="right"/>
    </xf>
    <xf numFmtId="164" fontId="5" fillId="0" borderId="0" xfId="0" applyFont="1" applyFill="1" applyAlignment="1" applyProtection="1">
      <alignment horizontal="left"/>
    </xf>
    <xf numFmtId="168" fontId="5" fillId="0" borderId="0" xfId="572" applyNumberFormat="1" applyFont="1" applyFill="1" applyAlignment="1" applyProtection="1">
      <alignment horizontal="left"/>
    </xf>
    <xf numFmtId="38" fontId="5" fillId="0" borderId="0" xfId="572" applyNumberFormat="1" applyFont="1" applyFill="1"/>
    <xf numFmtId="168" fontId="5" fillId="0" borderId="0" xfId="572" applyNumberFormat="1" applyFont="1" applyFill="1"/>
    <xf numFmtId="7" fontId="5" fillId="0" borderId="0" xfId="0" applyNumberFormat="1" applyFont="1" applyFill="1" applyProtection="1"/>
    <xf numFmtId="8" fontId="5" fillId="0" borderId="0" xfId="687" applyFont="1" applyFill="1" applyProtection="1"/>
    <xf numFmtId="172" fontId="5" fillId="0" borderId="0" xfId="0" applyNumberFormat="1" applyFont="1" applyFill="1" applyProtection="1"/>
    <xf numFmtId="170" fontId="5" fillId="0" borderId="0" xfId="687" applyNumberFormat="1" applyFont="1" applyFill="1" applyProtection="1"/>
    <xf numFmtId="164" fontId="20" fillId="0" borderId="0" xfId="0" applyFont="1" applyFill="1" applyProtection="1"/>
    <xf numFmtId="38" fontId="24" fillId="0" borderId="0" xfId="572" applyNumberFormat="1" applyFont="1" applyFill="1"/>
    <xf numFmtId="37" fontId="24" fillId="0" borderId="0" xfId="572" applyNumberFormat="1" applyFont="1" applyFill="1"/>
    <xf numFmtId="164" fontId="25" fillId="0" borderId="0" xfId="0" applyFont="1" applyFill="1"/>
    <xf numFmtId="38" fontId="26" fillId="0" borderId="0" xfId="572" applyNumberFormat="1" applyFont="1" applyFill="1" applyAlignment="1">
      <alignment horizontal="center"/>
    </xf>
    <xf numFmtId="164" fontId="26" fillId="0" borderId="0" xfId="0" applyFont="1" applyFill="1" applyAlignment="1">
      <alignment horizontal="center"/>
    </xf>
    <xf numFmtId="6" fontId="10" fillId="0" borderId="0" xfId="687" applyNumberFormat="1" applyFont="1" applyFill="1" applyProtection="1"/>
    <xf numFmtId="5" fontId="10" fillId="0" borderId="0" xfId="687" applyNumberFormat="1" applyFont="1" applyFill="1" applyProtection="1"/>
    <xf numFmtId="37" fontId="21" fillId="0" borderId="0" xfId="0" applyNumberFormat="1" applyFont="1" applyFill="1" applyProtection="1"/>
    <xf numFmtId="6" fontId="10" fillId="0" borderId="0" xfId="687" applyNumberFormat="1" applyFont="1" applyFill="1" applyBorder="1" applyProtection="1"/>
    <xf numFmtId="5" fontId="10" fillId="0" borderId="0" xfId="687" applyNumberFormat="1" applyFont="1" applyFill="1" applyBorder="1" applyProtection="1"/>
    <xf numFmtId="37" fontId="21" fillId="0" borderId="0" xfId="0" applyNumberFormat="1" applyFont="1" applyFill="1" applyBorder="1" applyProtection="1"/>
    <xf numFmtId="37" fontId="10" fillId="0" borderId="0" xfId="0" applyNumberFormat="1" applyFont="1" applyFill="1" applyProtection="1"/>
    <xf numFmtId="164" fontId="6" fillId="0" borderId="0" xfId="0" applyFont="1" applyFill="1" applyAlignment="1">
      <alignment horizontal="left" indent="1"/>
    </xf>
    <xf numFmtId="10" fontId="5" fillId="0" borderId="0" xfId="1242" applyNumberFormat="1" applyFont="1" applyFill="1"/>
    <xf numFmtId="171" fontId="5" fillId="0" borderId="0" xfId="0" applyNumberFormat="1" applyFont="1" applyFill="1" applyProtection="1"/>
    <xf numFmtId="169" fontId="5" fillId="0" borderId="0" xfId="687" applyNumberFormat="1" applyFont="1" applyFill="1"/>
    <xf numFmtId="164" fontId="11" fillId="0" borderId="0" xfId="0" quotePrefix="1" applyFont="1" applyFill="1" applyAlignment="1">
      <alignment horizontal="left"/>
    </xf>
    <xf numFmtId="164" fontId="12" fillId="0" borderId="0" xfId="0" applyFont="1" applyFill="1"/>
    <xf numFmtId="164" fontId="11" fillId="0" borderId="0" xfId="0" applyFont="1" applyFill="1"/>
    <xf numFmtId="164" fontId="14" fillId="0" borderId="0" xfId="0" applyFont="1" applyFill="1"/>
    <xf numFmtId="164" fontId="11" fillId="0" borderId="0" xfId="0" applyFont="1" applyFill="1" applyBorder="1" applyAlignment="1">
      <alignment horizontal="center"/>
    </xf>
    <xf numFmtId="164" fontId="11" fillId="0" borderId="0" xfId="0" applyFont="1" applyFill="1" applyAlignment="1">
      <alignment horizontal="center"/>
    </xf>
    <xf numFmtId="164" fontId="11" fillId="0" borderId="0" xfId="0" applyFont="1" applyFill="1" applyAlignment="1"/>
    <xf numFmtId="164" fontId="12" fillId="0" borderId="0" xfId="0" applyFont="1" applyFill="1" applyAlignment="1"/>
    <xf numFmtId="164" fontId="12" fillId="0" borderId="0" xfId="0" applyFont="1" applyFill="1" applyAlignment="1">
      <alignment horizontal="centerContinuous"/>
    </xf>
    <xf numFmtId="164" fontId="13" fillId="0" borderId="0" xfId="0" quotePrefix="1" applyFont="1" applyFill="1" applyAlignment="1">
      <alignment horizontal="left"/>
    </xf>
    <xf numFmtId="8" fontId="27" fillId="0" borderId="0" xfId="687" applyFont="1" applyFill="1"/>
    <xf numFmtId="8" fontId="12" fillId="0" borderId="0" xfId="687" applyFont="1" applyFill="1"/>
    <xf numFmtId="164" fontId="12" fillId="0" borderId="0" xfId="0" quotePrefix="1" applyFont="1" applyFill="1" applyAlignment="1">
      <alignment horizontal="left"/>
    </xf>
    <xf numFmtId="164" fontId="13" fillId="0" borderId="0" xfId="0" applyFont="1" applyFill="1"/>
    <xf numFmtId="8" fontId="27" fillId="0" borderId="0" xfId="687" applyFont="1" applyFill="1" applyAlignment="1">
      <alignment horizontal="right"/>
    </xf>
    <xf numFmtId="164" fontId="6" fillId="0" borderId="0" xfId="0" quotePrefix="1" applyFont="1" applyFill="1" applyAlignment="1">
      <alignment horizontal="left"/>
    </xf>
    <xf numFmtId="37" fontId="10" fillId="0" borderId="0" xfId="0" applyNumberFormat="1" applyFont="1" applyFill="1" applyBorder="1" applyProtection="1"/>
    <xf numFmtId="164" fontId="19" fillId="0" borderId="0" xfId="0" applyFont="1" applyFill="1"/>
    <xf numFmtId="0" fontId="15" fillId="0" borderId="0" xfId="1194"/>
    <xf numFmtId="0" fontId="31" fillId="0" borderId="0" xfId="1194" applyFont="1"/>
    <xf numFmtId="3" fontId="30" fillId="0" borderId="0" xfId="1194" applyNumberFormat="1" applyFont="1" applyAlignment="1"/>
    <xf numFmtId="0" fontId="32" fillId="0" borderId="0" xfId="1194" applyFont="1" applyAlignment="1">
      <alignment horizontal="center"/>
    </xf>
    <xf numFmtId="0" fontId="29" fillId="0" borderId="0" xfId="1194" applyFont="1"/>
    <xf numFmtId="0" fontId="29" fillId="0" borderId="0" xfId="1194" applyFont="1" applyAlignment="1">
      <alignment horizontal="center"/>
    </xf>
    <xf numFmtId="0" fontId="29" fillId="0" borderId="14" xfId="1194" applyFont="1" applyBorder="1" applyAlignment="1">
      <alignment horizontal="center"/>
    </xf>
    <xf numFmtId="176" fontId="33" fillId="0" borderId="14" xfId="683" applyNumberFormat="1" applyFont="1" applyBorder="1"/>
    <xf numFmtId="176" fontId="29" fillId="0" borderId="14" xfId="683" applyNumberFormat="1" applyFont="1" applyBorder="1"/>
    <xf numFmtId="176" fontId="29" fillId="0" borderId="14" xfId="683" applyNumberFormat="1" applyFont="1" applyBorder="1" applyAlignment="1">
      <alignment horizontal="center"/>
    </xf>
    <xf numFmtId="10" fontId="34" fillId="0" borderId="0" xfId="1242" applyNumberFormat="1" applyFont="1" applyFill="1" applyBorder="1" applyAlignment="1" applyProtection="1">
      <alignment horizontal="center"/>
      <protection locked="0"/>
    </xf>
    <xf numFmtId="176" fontId="10" fillId="0" borderId="14" xfId="683" applyNumberFormat="1" applyFont="1" applyBorder="1" applyAlignment="1">
      <alignment horizontal="center"/>
    </xf>
    <xf numFmtId="175" fontId="35" fillId="0" borderId="0" xfId="1242" applyNumberFormat="1" applyFont="1" applyFill="1" applyBorder="1" applyAlignment="1" applyProtection="1">
      <alignment horizontal="center"/>
      <protection locked="0"/>
    </xf>
    <xf numFmtId="10" fontId="29" fillId="0" borderId="14" xfId="1242" applyNumberFormat="1" applyFont="1" applyBorder="1"/>
    <xf numFmtId="175" fontId="19" fillId="0" borderId="0" xfId="1194" applyNumberFormat="1" applyFont="1"/>
    <xf numFmtId="0" fontId="29" fillId="0" borderId="0" xfId="1194" applyFont="1" applyAlignment="1">
      <alignment horizontal="right"/>
    </xf>
    <xf numFmtId="10" fontId="33" fillId="0" borderId="0" xfId="1242" applyNumberFormat="1" applyFont="1"/>
    <xf numFmtId="10" fontId="29" fillId="0" borderId="0" xfId="1242" applyNumberFormat="1" applyFont="1"/>
    <xf numFmtId="10" fontId="29" fillId="0" borderId="0" xfId="1242" applyNumberFormat="1" applyFont="1" applyAlignment="1">
      <alignment horizontal="center"/>
    </xf>
    <xf numFmtId="164" fontId="36" fillId="0" borderId="0" xfId="0" applyFont="1" applyFill="1" applyAlignment="1" applyProtection="1">
      <alignment horizontal="left"/>
    </xf>
    <xf numFmtId="164" fontId="37" fillId="0" borderId="0" xfId="0" applyFont="1" applyFill="1" applyAlignment="1" applyProtection="1">
      <alignment horizontal="left"/>
    </xf>
    <xf numFmtId="164" fontId="37" fillId="0" borderId="0" xfId="0" applyFont="1" applyFill="1"/>
    <xf numFmtId="164" fontId="18" fillId="0" borderId="0" xfId="0" applyFont="1" applyFill="1"/>
    <xf numFmtId="164" fontId="29" fillId="0" borderId="0" xfId="0" applyFont="1" applyFill="1" applyAlignment="1" applyProtection="1">
      <alignment horizontal="left"/>
    </xf>
    <xf numFmtId="0" fontId="18" fillId="0" borderId="0" xfId="1194" applyFont="1"/>
    <xf numFmtId="176" fontId="21" fillId="0" borderId="0" xfId="1194" applyNumberFormat="1" applyFont="1"/>
    <xf numFmtId="175" fontId="21" fillId="0" borderId="0" xfId="1242" applyNumberFormat="1" applyFont="1"/>
    <xf numFmtId="170" fontId="12" fillId="0" borderId="0" xfId="687" applyNumberFormat="1" applyFont="1" applyFill="1"/>
    <xf numFmtId="0" fontId="15" fillId="0" borderId="0" xfId="1197"/>
    <xf numFmtId="178" fontId="34" fillId="0" borderId="0" xfId="1197" applyNumberFormat="1" applyFont="1" applyFill="1" applyBorder="1" applyAlignment="1" applyProtection="1">
      <alignment horizontal="center"/>
      <protection locked="0"/>
    </xf>
    <xf numFmtId="181" fontId="34" fillId="0" borderId="0" xfId="684" applyNumberFormat="1" applyFont="1" applyFill="1" applyBorder="1" applyAlignment="1" applyProtection="1">
      <alignment horizontal="center"/>
      <protection locked="0"/>
    </xf>
    <xf numFmtId="0" fontId="15" fillId="0" borderId="0" xfId="1197" applyFill="1" applyBorder="1"/>
    <xf numFmtId="0" fontId="15" fillId="0" borderId="0" xfId="1197" applyAlignment="1">
      <alignment horizontal="center"/>
    </xf>
    <xf numFmtId="43" fontId="15" fillId="0" borderId="0" xfId="1197" applyNumberFormat="1"/>
    <xf numFmtId="173" fontId="15" fillId="0" borderId="0" xfId="1197" applyNumberFormat="1"/>
    <xf numFmtId="0" fontId="18" fillId="0" borderId="0" xfId="1197" applyFont="1"/>
    <xf numFmtId="0" fontId="18" fillId="0" borderId="0" xfId="1197" applyFont="1" applyAlignment="1">
      <alignment horizontal="center"/>
    </xf>
    <xf numFmtId="173" fontId="18" fillId="0" borderId="0" xfId="684" applyNumberFormat="1" applyFont="1"/>
    <xf numFmtId="173" fontId="15" fillId="0" borderId="0" xfId="684" applyNumberFormat="1"/>
    <xf numFmtId="173" fontId="19" fillId="0" borderId="0" xfId="684" applyNumberFormat="1" applyFont="1"/>
    <xf numFmtId="0" fontId="19" fillId="0" borderId="0" xfId="1197" applyFont="1"/>
    <xf numFmtId="180" fontId="19" fillId="0" borderId="0" xfId="684" applyNumberFormat="1" applyFont="1"/>
    <xf numFmtId="181" fontId="15" fillId="0" borderId="0" xfId="1197" applyNumberFormat="1"/>
    <xf numFmtId="175" fontId="34" fillId="0" borderId="0" xfId="1242" applyNumberFormat="1" applyFont="1" applyFill="1" applyBorder="1" applyAlignment="1" applyProtection="1">
      <alignment horizontal="center"/>
      <protection locked="0"/>
    </xf>
    <xf numFmtId="0" fontId="22" fillId="0" borderId="0" xfId="1197" applyFont="1"/>
    <xf numFmtId="0" fontId="38" fillId="0" borderId="0" xfId="1194" applyFont="1"/>
    <xf numFmtId="0" fontId="38" fillId="0" borderId="0" xfId="1194" applyFont="1" applyAlignment="1">
      <alignment horizontal="left"/>
    </xf>
    <xf numFmtId="0" fontId="39" fillId="0" borderId="0" xfId="1194" applyFont="1"/>
    <xf numFmtId="0" fontId="15" fillId="0" borderId="0" xfId="1197" applyFont="1"/>
    <xf numFmtId="0" fontId="15" fillId="28" borderId="14" xfId="1197" applyFill="1" applyBorder="1"/>
    <xf numFmtId="176" fontId="15" fillId="0" borderId="0" xfId="1197" applyNumberFormat="1"/>
    <xf numFmtId="0" fontId="15" fillId="0" borderId="14" xfId="1197" applyBorder="1" applyAlignment="1">
      <alignment horizontal="center"/>
    </xf>
    <xf numFmtId="0" fontId="15" fillId="0" borderId="25" xfId="1197" applyBorder="1" applyAlignment="1">
      <alignment horizontal="center"/>
    </xf>
    <xf numFmtId="0" fontId="15" fillId="0" borderId="14" xfId="1197" applyFont="1" applyBorder="1" applyAlignment="1">
      <alignment horizontal="center"/>
    </xf>
    <xf numFmtId="0" fontId="15" fillId="0" borderId="14" xfId="1197" applyBorder="1"/>
    <xf numFmtId="37" fontId="5" fillId="28" borderId="0" xfId="0" applyNumberFormat="1" applyFont="1" applyFill="1" applyProtection="1"/>
    <xf numFmtId="164" fontId="21" fillId="28" borderId="26" xfId="0" applyFont="1" applyFill="1" applyBorder="1" applyAlignment="1" applyProtection="1">
      <alignment horizontal="center" wrapText="1"/>
    </xf>
    <xf numFmtId="164" fontId="21" fillId="28" borderId="14" xfId="0" applyFont="1" applyFill="1" applyBorder="1" applyAlignment="1" applyProtection="1">
      <alignment horizontal="center" wrapText="1"/>
    </xf>
    <xf numFmtId="5" fontId="10" fillId="0" borderId="27" xfId="1242" applyNumberFormat="1" applyFont="1" applyFill="1" applyBorder="1"/>
    <xf numFmtId="5" fontId="10" fillId="0" borderId="25" xfId="1242" applyNumberFormat="1" applyFont="1" applyFill="1" applyBorder="1"/>
    <xf numFmtId="9" fontId="10" fillId="0" borderId="27" xfId="1242" applyFont="1" applyFill="1" applyBorder="1"/>
    <xf numFmtId="164" fontId="10" fillId="0" borderId="27" xfId="0" applyFont="1" applyFill="1" applyBorder="1"/>
    <xf numFmtId="164" fontId="10" fillId="0" borderId="25" xfId="0" applyFont="1" applyFill="1" applyBorder="1"/>
    <xf numFmtId="9" fontId="10" fillId="0" borderId="28" xfId="1242" applyFont="1" applyFill="1" applyBorder="1"/>
    <xf numFmtId="164" fontId="21" fillId="0" borderId="28" xfId="0" applyFont="1" applyFill="1" applyBorder="1"/>
    <xf numFmtId="164" fontId="37" fillId="0" borderId="28" xfId="0" applyFont="1" applyFill="1" applyBorder="1"/>
    <xf numFmtId="164" fontId="37" fillId="0" borderId="27" xfId="0" applyFont="1" applyFill="1" applyBorder="1" applyAlignment="1" applyProtection="1">
      <alignment horizontal="left"/>
    </xf>
    <xf numFmtId="164" fontId="36" fillId="0" borderId="27" xfId="0" applyFont="1" applyFill="1" applyBorder="1" applyAlignment="1" applyProtection="1">
      <alignment horizontal="left"/>
    </xf>
    <xf numFmtId="164" fontId="37" fillId="0" borderId="25" xfId="0" applyFont="1" applyFill="1" applyBorder="1" applyAlignment="1" applyProtection="1">
      <alignment horizontal="left"/>
    </xf>
    <xf numFmtId="164" fontId="10" fillId="31" borderId="28" xfId="0" applyFont="1" applyFill="1" applyBorder="1"/>
    <xf numFmtId="6" fontId="10" fillId="31" borderId="27" xfId="687" applyNumberFormat="1" applyFont="1" applyFill="1" applyBorder="1" applyProtection="1"/>
    <xf numFmtId="5" fontId="10" fillId="31" borderId="27" xfId="687" applyNumberFormat="1" applyFont="1" applyFill="1" applyBorder="1" applyProtection="1"/>
    <xf numFmtId="37" fontId="10" fillId="31" borderId="27" xfId="0" applyNumberFormat="1" applyFont="1" applyFill="1" applyBorder="1" applyProtection="1"/>
    <xf numFmtId="5" fontId="10" fillId="31" borderId="25" xfId="0" applyNumberFormat="1" applyFont="1" applyFill="1" applyBorder="1" applyProtection="1"/>
    <xf numFmtId="37" fontId="5" fillId="31" borderId="0" xfId="0" applyNumberFormat="1" applyFont="1" applyFill="1" applyProtection="1"/>
    <xf numFmtId="164" fontId="5" fillId="31" borderId="0" xfId="0" applyFont="1" applyFill="1" applyAlignment="1" applyProtection="1">
      <alignment horizontal="left"/>
    </xf>
    <xf numFmtId="38" fontId="5" fillId="31" borderId="0" xfId="572" applyNumberFormat="1" applyFont="1" applyFill="1"/>
    <xf numFmtId="164" fontId="5" fillId="31" borderId="0" xfId="0" applyFont="1" applyFill="1"/>
    <xf numFmtId="164" fontId="19" fillId="0" borderId="0" xfId="0" applyFont="1" applyFill="1" applyAlignment="1" applyProtection="1">
      <alignment horizontal="left"/>
    </xf>
    <xf numFmtId="165" fontId="19" fillId="0" borderId="0" xfId="0" applyNumberFormat="1" applyFont="1" applyFill="1" applyProtection="1"/>
    <xf numFmtId="164" fontId="19" fillId="0" borderId="0" xfId="0" applyFont="1" applyFill="1" applyAlignment="1">
      <alignment horizontal="left" indent="1"/>
    </xf>
    <xf numFmtId="166" fontId="19" fillId="0" borderId="0" xfId="0" applyNumberFormat="1" applyFont="1" applyFill="1" applyProtection="1"/>
    <xf numFmtId="37" fontId="19" fillId="0" borderId="0" xfId="0" applyNumberFormat="1" applyFont="1" applyFill="1" applyProtection="1"/>
    <xf numFmtId="164" fontId="19" fillId="0" borderId="0" xfId="0" applyFont="1" applyFill="1" applyAlignment="1" applyProtection="1">
      <alignment horizontal="center"/>
    </xf>
    <xf numFmtId="38" fontId="19" fillId="0" borderId="0" xfId="572" applyNumberFormat="1" applyFont="1" applyFill="1"/>
    <xf numFmtId="37" fontId="19" fillId="0" borderId="0" xfId="572" applyNumberFormat="1" applyFont="1" applyFill="1"/>
    <xf numFmtId="5" fontId="19" fillId="0" borderId="0" xfId="0" applyNumberFormat="1" applyFont="1" applyFill="1"/>
    <xf numFmtId="6" fontId="10" fillId="31" borderId="25" xfId="687" applyNumberFormat="1" applyFont="1" applyFill="1" applyBorder="1" applyProtection="1"/>
    <xf numFmtId="164" fontId="29" fillId="0" borderId="0" xfId="0" applyFont="1" applyFill="1"/>
    <xf numFmtId="0" fontId="18" fillId="0" borderId="0" xfId="1197" applyFont="1" applyFill="1" applyBorder="1"/>
    <xf numFmtId="0" fontId="15" fillId="0" borderId="0" xfId="1197" applyFont="1" applyFill="1" applyBorder="1"/>
    <xf numFmtId="176" fontId="29" fillId="0" borderId="14" xfId="683" applyNumberFormat="1" applyFont="1" applyFill="1" applyBorder="1"/>
    <xf numFmtId="6" fontId="10" fillId="31" borderId="29" xfId="687" applyNumberFormat="1" applyFont="1" applyFill="1" applyBorder="1" applyProtection="1"/>
    <xf numFmtId="164" fontId="36" fillId="28" borderId="14" xfId="0" applyFont="1" applyFill="1" applyBorder="1"/>
    <xf numFmtId="5" fontId="10" fillId="0" borderId="29" xfId="1242" applyNumberFormat="1" applyFont="1" applyFill="1" applyBorder="1"/>
    <xf numFmtId="175" fontId="10" fillId="0" borderId="25" xfId="1242" applyNumberFormat="1" applyFont="1" applyFill="1" applyBorder="1"/>
    <xf numFmtId="175" fontId="10" fillId="0" borderId="29" xfId="1242" applyNumberFormat="1" applyFont="1" applyFill="1" applyBorder="1"/>
    <xf numFmtId="5" fontId="15" fillId="0" borderId="0" xfId="1196" applyNumberFormat="1"/>
    <xf numFmtId="172" fontId="9" fillId="0" borderId="0" xfId="692" applyNumberFormat="1" applyFont="1" applyFill="1"/>
    <xf numFmtId="172" fontId="27" fillId="0" borderId="0" xfId="687" applyNumberFormat="1" applyFont="1" applyFill="1"/>
    <xf numFmtId="164" fontId="19" fillId="31" borderId="0" xfId="0" applyFont="1" applyFill="1"/>
    <xf numFmtId="5" fontId="19" fillId="31" borderId="0" xfId="0" applyNumberFormat="1" applyFont="1" applyFill="1"/>
    <xf numFmtId="164" fontId="19" fillId="0" borderId="30" xfId="0" applyFont="1" applyFill="1" applyBorder="1" applyAlignment="1" applyProtection="1">
      <alignment horizontal="left"/>
    </xf>
    <xf numFmtId="1" fontId="34" fillId="0" borderId="0" xfId="1197" quotePrefix="1" applyNumberFormat="1" applyFont="1" applyFill="1" applyBorder="1" applyAlignment="1" applyProtection="1">
      <alignment horizontal="center"/>
      <protection locked="0"/>
    </xf>
    <xf numFmtId="179" fontId="34" fillId="0" borderId="0" xfId="1197" quotePrefix="1" applyNumberFormat="1" applyFont="1" applyFill="1" applyBorder="1" applyAlignment="1" applyProtection="1">
      <alignment horizontal="center"/>
      <protection locked="0"/>
    </xf>
    <xf numFmtId="186" fontId="15" fillId="0" borderId="14" xfId="1197" applyNumberFormat="1" applyBorder="1"/>
    <xf numFmtId="1" fontId="58" fillId="0" borderId="0" xfId="1197" applyNumberFormat="1" applyFont="1" applyFill="1" applyBorder="1" applyAlignment="1" applyProtection="1">
      <alignment horizontal="left"/>
      <protection locked="0"/>
    </xf>
    <xf numFmtId="37" fontId="15" fillId="0" borderId="0" xfId="1194" applyNumberFormat="1"/>
    <xf numFmtId="0" fontId="15" fillId="0" borderId="0" xfId="1194" applyFont="1" applyAlignment="1">
      <alignment horizontal="center"/>
    </xf>
    <xf numFmtId="5" fontId="10" fillId="0" borderId="31" xfId="1242" applyNumberFormat="1" applyFont="1" applyFill="1" applyBorder="1"/>
    <xf numFmtId="175" fontId="10" fillId="0" borderId="31" xfId="1242" applyNumberFormat="1" applyFont="1" applyFill="1" applyBorder="1"/>
    <xf numFmtId="5" fontId="10" fillId="0" borderId="32" xfId="572" applyNumberFormat="1" applyFont="1" applyFill="1" applyBorder="1"/>
    <xf numFmtId="5" fontId="10" fillId="0" borderId="0" xfId="572" applyNumberFormat="1" applyFont="1" applyFill="1" applyBorder="1"/>
    <xf numFmtId="175" fontId="10" fillId="0" borderId="0" xfId="1242" applyNumberFormat="1" applyFont="1" applyFill="1" applyBorder="1"/>
    <xf numFmtId="164" fontId="37" fillId="0" borderId="33" xfId="0" applyFont="1" applyFill="1" applyBorder="1" applyAlignment="1" applyProtection="1">
      <alignment horizontal="left"/>
    </xf>
    <xf numFmtId="176" fontId="10" fillId="31" borderId="14" xfId="683" applyNumberFormat="1" applyFont="1" applyFill="1" applyBorder="1"/>
    <xf numFmtId="185" fontId="28" fillId="0" borderId="0" xfId="1194" applyNumberFormat="1" applyFont="1"/>
    <xf numFmtId="184" fontId="28" fillId="0" borderId="0" xfId="1194" applyNumberFormat="1" applyFont="1"/>
    <xf numFmtId="164" fontId="19" fillId="0" borderId="0" xfId="0" applyFont="1"/>
    <xf numFmtId="164" fontId="19" fillId="0" borderId="0" xfId="0" applyFont="1" applyAlignment="1">
      <alignment horizontal="center"/>
    </xf>
    <xf numFmtId="164" fontId="19" fillId="0" borderId="0" xfId="0" quotePrefix="1" applyFont="1" applyAlignment="1">
      <alignment horizontal="center"/>
    </xf>
    <xf numFmtId="183" fontId="12" fillId="0" borderId="0" xfId="0" applyNumberFormat="1" applyFont="1" applyFill="1"/>
    <xf numFmtId="164" fontId="13" fillId="0" borderId="0" xfId="0" applyFont="1" applyFill="1" applyAlignment="1">
      <alignment horizontal="left"/>
    </xf>
    <xf numFmtId="5" fontId="5" fillId="31" borderId="0" xfId="0" applyNumberFormat="1" applyFont="1" applyFill="1" applyProtection="1"/>
    <xf numFmtId="5" fontId="5" fillId="0" borderId="0" xfId="0" applyNumberFormat="1" applyFont="1" applyFill="1" applyProtection="1"/>
    <xf numFmtId="5" fontId="5" fillId="0" borderId="0" xfId="0" applyNumberFormat="1" applyFont="1" applyFill="1"/>
    <xf numFmtId="164" fontId="21" fillId="0" borderId="6" xfId="0" applyFont="1" applyFill="1" applyBorder="1" applyAlignment="1" applyProtection="1">
      <alignment horizontal="center"/>
    </xf>
    <xf numFmtId="164" fontId="21" fillId="0" borderId="26" xfId="0" applyFont="1" applyFill="1" applyBorder="1" applyAlignment="1" applyProtection="1">
      <alignment horizontal="center"/>
    </xf>
    <xf numFmtId="164" fontId="36" fillId="0" borderId="34" xfId="0" applyFont="1" applyFill="1" applyBorder="1"/>
    <xf numFmtId="0" fontId="15" fillId="48" borderId="0" xfId="1197" applyFill="1"/>
    <xf numFmtId="173" fontId="19" fillId="48" borderId="14" xfId="1197" applyNumberFormat="1" applyFont="1" applyFill="1" applyBorder="1"/>
    <xf numFmtId="186" fontId="35" fillId="48" borderId="14" xfId="1197" applyNumberFormat="1" applyFont="1" applyFill="1" applyBorder="1" applyAlignment="1" applyProtection="1">
      <alignment horizontal="center"/>
      <protection locked="0"/>
    </xf>
    <xf numFmtId="0" fontId="15" fillId="0" borderId="0" xfId="1194" applyFill="1" applyBorder="1"/>
    <xf numFmtId="0" fontId="15" fillId="0" borderId="0" xfId="1194" applyFont="1" applyFill="1" applyBorder="1"/>
    <xf numFmtId="164" fontId="36" fillId="0" borderId="6" xfId="0" applyFont="1" applyFill="1" applyBorder="1"/>
    <xf numFmtId="164" fontId="36" fillId="0" borderId="6" xfId="0" applyFont="1" applyFill="1" applyBorder="1" applyAlignment="1">
      <alignment horizontal="center"/>
    </xf>
    <xf numFmtId="173" fontId="37" fillId="0" borderId="0" xfId="0" applyNumberFormat="1" applyFont="1" applyFill="1" applyAlignment="1" applyProtection="1">
      <alignment horizontal="center"/>
    </xf>
    <xf numFmtId="0" fontId="15" fillId="0" borderId="0" xfId="1196" applyFont="1"/>
    <xf numFmtId="0" fontId="28" fillId="0" borderId="0" xfId="1196" applyFont="1"/>
    <xf numFmtId="0" fontId="28" fillId="0" borderId="0" xfId="1196" applyFont="1" applyAlignment="1">
      <alignment horizontal="center"/>
    </xf>
    <xf numFmtId="164" fontId="28" fillId="0" borderId="0" xfId="0" applyFont="1" applyFill="1" applyAlignment="1" applyProtection="1">
      <alignment horizontal="center"/>
    </xf>
    <xf numFmtId="164" fontId="37" fillId="0" borderId="0" xfId="0" applyFont="1" applyFill="1" applyAlignment="1" applyProtection="1">
      <alignment horizontal="center"/>
    </xf>
    <xf numFmtId="5" fontId="10" fillId="0" borderId="30" xfId="687" applyNumberFormat="1" applyFont="1" applyFill="1" applyBorder="1" applyProtection="1"/>
    <xf numFmtId="0" fontId="22" fillId="0" borderId="0" xfId="1195" applyFont="1"/>
    <xf numFmtId="0" fontId="15" fillId="0" borderId="0" xfId="1195"/>
    <xf numFmtId="0" fontId="18" fillId="0" borderId="0" xfId="1195" applyFont="1"/>
    <xf numFmtId="0" fontId="18" fillId="28" borderId="28" xfId="1195" applyFont="1" applyFill="1" applyBorder="1" applyAlignment="1">
      <alignment horizontal="left"/>
    </xf>
    <xf numFmtId="0" fontId="18" fillId="28" borderId="28" xfId="1195" applyFont="1" applyFill="1" applyBorder="1" applyAlignment="1">
      <alignment horizontal="center"/>
    </xf>
    <xf numFmtId="0" fontId="15" fillId="0" borderId="28" xfId="1195" applyBorder="1" applyAlignment="1">
      <alignment horizontal="left"/>
    </xf>
    <xf numFmtId="183" fontId="15" fillId="0" borderId="28" xfId="1195" applyNumberFormat="1" applyBorder="1" applyAlignment="1">
      <alignment horizontal="center"/>
    </xf>
    <xf numFmtId="0" fontId="18" fillId="28" borderId="14" xfId="1195" applyFont="1" applyFill="1" applyBorder="1" applyAlignment="1">
      <alignment horizontal="left"/>
    </xf>
    <xf numFmtId="0" fontId="18" fillId="28" borderId="14" xfId="1195" applyFont="1" applyFill="1" applyBorder="1" applyAlignment="1">
      <alignment horizontal="center"/>
    </xf>
    <xf numFmtId="0" fontId="15" fillId="0" borderId="14" xfId="1195" applyBorder="1" applyAlignment="1">
      <alignment horizontal="left"/>
    </xf>
    <xf numFmtId="0" fontId="15" fillId="0" borderId="35" xfId="1196" applyFont="1" applyBorder="1"/>
    <xf numFmtId="7" fontId="19" fillId="0" borderId="0" xfId="0" applyNumberFormat="1" applyFont="1" applyFill="1"/>
    <xf numFmtId="7" fontId="19" fillId="0" borderId="0" xfId="0" applyNumberFormat="1" applyFont="1" applyFill="1" applyAlignment="1">
      <alignment horizontal="center"/>
    </xf>
    <xf numFmtId="0" fontId="15" fillId="0" borderId="0" xfId="1197" applyFont="1" applyAlignment="1">
      <alignment horizontal="center"/>
    </xf>
    <xf numFmtId="0" fontId="15" fillId="48" borderId="36" xfId="1197" applyFont="1" applyFill="1" applyBorder="1"/>
    <xf numFmtId="0" fontId="15" fillId="48" borderId="32" xfId="1197" applyFill="1" applyBorder="1"/>
    <xf numFmtId="0" fontId="15" fillId="48" borderId="37" xfId="1197" applyFill="1" applyBorder="1"/>
    <xf numFmtId="0" fontId="15" fillId="48" borderId="30" xfId="1197" applyFill="1" applyBorder="1"/>
    <xf numFmtId="0" fontId="15" fillId="48" borderId="38" xfId="1197" applyFill="1" applyBorder="1"/>
    <xf numFmtId="186" fontId="59" fillId="48" borderId="14" xfId="1197" applyNumberFormat="1" applyFont="1" applyFill="1" applyBorder="1" applyAlignment="1" applyProtection="1">
      <alignment horizontal="center"/>
      <protection locked="0"/>
    </xf>
    <xf numFmtId="173" fontId="19" fillId="48" borderId="14" xfId="1197" applyNumberFormat="1" applyFont="1" applyFill="1" applyBorder="1" applyAlignment="1">
      <alignment horizontal="center"/>
    </xf>
    <xf numFmtId="38" fontId="5" fillId="48" borderId="0" xfId="572" applyNumberFormat="1" applyFont="1" applyFill="1"/>
    <xf numFmtId="0" fontId="10" fillId="0" borderId="14" xfId="1194" applyFont="1" applyBorder="1" applyAlignment="1">
      <alignment horizontal="center" wrapText="1"/>
    </xf>
    <xf numFmtId="164" fontId="94" fillId="0" borderId="0" xfId="0" applyFont="1"/>
    <xf numFmtId="164" fontId="24" fillId="0" borderId="0" xfId="0" applyFont="1" applyFill="1" applyAlignment="1" applyProtection="1">
      <alignment horizontal="center"/>
    </xf>
    <xf numFmtId="164" fontId="94" fillId="0" borderId="0" xfId="0" applyFont="1" applyAlignment="1">
      <alignment horizontal="center"/>
    </xf>
    <xf numFmtId="38" fontId="24" fillId="0" borderId="0" xfId="572" applyNumberFormat="1" applyFont="1" applyFill="1" applyAlignment="1">
      <alignment horizontal="center"/>
    </xf>
    <xf numFmtId="164" fontId="6" fillId="0" borderId="0" xfId="0" applyFont="1" applyFill="1" applyAlignment="1">
      <alignment horizontal="center"/>
    </xf>
    <xf numFmtId="164" fontId="23" fillId="0" borderId="0" xfId="0" applyFont="1" applyAlignment="1">
      <alignment wrapText="1"/>
    </xf>
    <xf numFmtId="164" fontId="23" fillId="0" borderId="0" xfId="0" applyFont="1"/>
    <xf numFmtId="5" fontId="10" fillId="0" borderId="0" xfId="687" applyNumberFormat="1" applyFont="1" applyFill="1" applyBorder="1" applyAlignment="1" applyProtection="1">
      <alignment horizontal="center"/>
    </xf>
    <xf numFmtId="164" fontId="0" fillId="0" borderId="0" xfId="0" applyAlignment="1">
      <alignment horizontal="center"/>
    </xf>
    <xf numFmtId="164" fontId="8" fillId="0" borderId="39" xfId="0" applyFont="1" applyFill="1" applyBorder="1"/>
    <xf numFmtId="164" fontId="6" fillId="0" borderId="39" xfId="0" applyFont="1" applyFill="1" applyBorder="1" applyAlignment="1" applyProtection="1">
      <alignment horizontal="left"/>
    </xf>
    <xf numFmtId="164" fontId="20" fillId="0" borderId="39" xfId="0" applyFont="1" applyFill="1" applyBorder="1" applyProtection="1"/>
    <xf numFmtId="164" fontId="5" fillId="0" borderId="39" xfId="0" applyFont="1" applyFill="1" applyBorder="1" applyProtection="1"/>
    <xf numFmtId="164" fontId="5" fillId="0" borderId="39" xfId="0" applyFont="1" applyFill="1" applyBorder="1" applyAlignment="1" applyProtection="1">
      <alignment horizontal="left"/>
    </xf>
    <xf numFmtId="164" fontId="5" fillId="0" borderId="39" xfId="0" applyFont="1" applyFill="1" applyBorder="1" applyAlignment="1" applyProtection="1">
      <alignment horizontal="right"/>
    </xf>
    <xf numFmtId="168" fontId="5" fillId="0" borderId="39" xfId="572" applyNumberFormat="1" applyFont="1" applyFill="1" applyBorder="1" applyAlignment="1" applyProtection="1">
      <alignment horizontal="left"/>
    </xf>
    <xf numFmtId="164" fontId="5" fillId="0" borderId="39" xfId="0" applyFont="1" applyFill="1" applyBorder="1"/>
    <xf numFmtId="164" fontId="94" fillId="0" borderId="39" xfId="0" applyFont="1" applyBorder="1"/>
    <xf numFmtId="164" fontId="94" fillId="0" borderId="39" xfId="0" applyFont="1" applyBorder="1" applyAlignment="1">
      <alignment horizontal="center"/>
    </xf>
    <xf numFmtId="43" fontId="29" fillId="0" borderId="0" xfId="1194" applyNumberFormat="1" applyFont="1"/>
    <xf numFmtId="0" fontId="97" fillId="0" borderId="0" xfId="1194" applyFont="1"/>
    <xf numFmtId="185" fontId="98" fillId="0" borderId="0" xfId="1194" applyNumberFormat="1" applyFont="1"/>
    <xf numFmtId="0" fontId="99" fillId="0" borderId="0" xfId="1194" applyFont="1"/>
    <xf numFmtId="168" fontId="5" fillId="50" borderId="0" xfId="572" applyNumberFormat="1" applyFont="1" applyFill="1" applyAlignment="1" applyProtection="1">
      <alignment horizontal="left"/>
    </xf>
    <xf numFmtId="164" fontId="5" fillId="50" borderId="0" xfId="0" applyFont="1" applyFill="1" applyAlignment="1" applyProtection="1">
      <alignment horizontal="left"/>
    </xf>
    <xf numFmtId="10" fontId="15" fillId="50" borderId="0" xfId="1242" applyNumberFormat="1" applyFont="1" applyFill="1" applyAlignment="1">
      <alignment horizontal="center"/>
    </xf>
    <xf numFmtId="169" fontId="15" fillId="50" borderId="0" xfId="687" applyNumberFormat="1" applyFont="1" applyFill="1" applyAlignment="1">
      <alignment horizontal="center"/>
    </xf>
    <xf numFmtId="164" fontId="96" fillId="0" borderId="0" xfId="0" applyFont="1" applyFill="1" applyAlignment="1" applyProtection="1">
      <alignment horizontal="center"/>
    </xf>
    <xf numFmtId="164" fontId="100" fillId="0" borderId="0" xfId="0" applyFont="1" applyFill="1"/>
    <xf numFmtId="1" fontId="5" fillId="0" borderId="0" xfId="687" applyNumberFormat="1" applyFont="1" applyFill="1" applyProtection="1"/>
    <xf numFmtId="164" fontId="101" fillId="0" borderId="0" xfId="0" applyFont="1"/>
    <xf numFmtId="196" fontId="5" fillId="0" borderId="0" xfId="687" applyNumberFormat="1" applyFont="1" applyFill="1" applyProtection="1"/>
    <xf numFmtId="38" fontId="5" fillId="51" borderId="0" xfId="572" applyNumberFormat="1" applyFont="1" applyFill="1"/>
    <xf numFmtId="164" fontId="102" fillId="0" borderId="0" xfId="0" applyFont="1" applyFill="1"/>
    <xf numFmtId="164" fontId="103" fillId="0" borderId="0" xfId="0" applyFont="1" applyFill="1"/>
    <xf numFmtId="164" fontId="104" fillId="0" borderId="0" xfId="0" applyFont="1" applyFill="1"/>
    <xf numFmtId="164" fontId="101" fillId="0" borderId="0" xfId="0" applyFont="1" applyFill="1"/>
    <xf numFmtId="168" fontId="104" fillId="0" borderId="0" xfId="572" applyNumberFormat="1" applyFont="1" applyFill="1"/>
    <xf numFmtId="37" fontId="104" fillId="0" borderId="0" xfId="0" applyNumberFormat="1" applyFont="1" applyFill="1" applyProtection="1"/>
    <xf numFmtId="37" fontId="104" fillId="0" borderId="0" xfId="0" applyNumberFormat="1" applyFont="1" applyFill="1"/>
    <xf numFmtId="6" fontId="19" fillId="0" borderId="0" xfId="687" applyNumberFormat="1" applyFont="1" applyFill="1"/>
    <xf numFmtId="8" fontId="15" fillId="0" borderId="28" xfId="1195" applyNumberFormat="1" applyBorder="1" applyAlignment="1">
      <alignment horizontal="center"/>
    </xf>
    <xf numFmtId="0" fontId="97" fillId="0" borderId="0" xfId="1196" applyFont="1"/>
    <xf numFmtId="38" fontId="104" fillId="0" borderId="0" xfId="572" applyNumberFormat="1" applyFont="1" applyFill="1"/>
    <xf numFmtId="9" fontId="35" fillId="0" borderId="0" xfId="1242" applyFont="1" applyFill="1" applyBorder="1" applyAlignment="1" applyProtection="1">
      <alignment horizontal="center"/>
      <protection locked="0"/>
    </xf>
    <xf numFmtId="164" fontId="20" fillId="0" borderId="0" xfId="0" applyFont="1"/>
    <xf numFmtId="164" fontId="104" fillId="0" borderId="0" xfId="0" applyFont="1" applyFill="1" applyAlignment="1" applyProtection="1">
      <alignment horizontal="center"/>
    </xf>
    <xf numFmtId="8" fontId="19" fillId="0" borderId="0" xfId="687" applyFont="1" applyFill="1"/>
    <xf numFmtId="5" fontId="19" fillId="49" borderId="0" xfId="0" applyNumberFormat="1" applyFont="1" applyFill="1" applyAlignment="1">
      <alignment horizontal="center"/>
    </xf>
    <xf numFmtId="164" fontId="94" fillId="0" borderId="0" xfId="0" applyFont="1" applyBorder="1" applyAlignment="1">
      <alignment horizontal="center"/>
    </xf>
    <xf numFmtId="164" fontId="94" fillId="0" borderId="0" xfId="0" applyFont="1" applyBorder="1"/>
    <xf numFmtId="38" fontId="94" fillId="0" borderId="0" xfId="572" applyNumberFormat="1" applyFont="1"/>
    <xf numFmtId="5" fontId="10" fillId="31" borderId="28" xfId="687" applyNumberFormat="1" applyFont="1" applyFill="1" applyBorder="1" applyProtection="1"/>
    <xf numFmtId="6" fontId="10" fillId="0" borderId="39" xfId="687" applyNumberFormat="1" applyFont="1" applyFill="1" applyBorder="1" applyProtection="1"/>
    <xf numFmtId="0" fontId="15" fillId="0" borderId="0" xfId="1196" applyFill="1"/>
    <xf numFmtId="0" fontId="28" fillId="0" borderId="0" xfId="1196" applyFont="1" applyFill="1"/>
    <xf numFmtId="5" fontId="28" fillId="0" borderId="0" xfId="693" applyNumberFormat="1" applyFont="1" applyFill="1" applyAlignment="1">
      <alignment horizontal="center"/>
    </xf>
    <xf numFmtId="0" fontId="15" fillId="0" borderId="5" xfId="1196" applyFill="1" applyBorder="1"/>
    <xf numFmtId="5" fontId="19" fillId="0" borderId="0" xfId="1196" applyNumberFormat="1" applyFont="1"/>
    <xf numFmtId="0" fontId="10" fillId="0" borderId="0" xfId="1196" applyFont="1" applyAlignment="1">
      <alignment horizontal="center"/>
    </xf>
    <xf numFmtId="5" fontId="19" fillId="52" borderId="0" xfId="693" applyNumberFormat="1" applyFont="1" applyFill="1" applyAlignment="1">
      <alignment horizontal="center"/>
    </xf>
    <xf numFmtId="164" fontId="5" fillId="0" borderId="0" xfId="0" applyFont="1" applyFill="1" applyBorder="1"/>
    <xf numFmtId="8" fontId="19" fillId="0" borderId="0" xfId="687" applyFont="1"/>
    <xf numFmtId="6" fontId="105" fillId="0" borderId="0" xfId="687" applyNumberFormat="1" applyFont="1"/>
    <xf numFmtId="164" fontId="95" fillId="0" borderId="0" xfId="0" applyFont="1" applyFill="1"/>
    <xf numFmtId="175" fontId="95" fillId="0" borderId="0" xfId="1242" applyNumberFormat="1" applyFont="1" applyFill="1"/>
    <xf numFmtId="5" fontId="5" fillId="53" borderId="0" xfId="0" applyNumberFormat="1" applyFont="1" applyFill="1" applyProtection="1"/>
    <xf numFmtId="164" fontId="21" fillId="0" borderId="0" xfId="0" applyFont="1" applyFill="1" applyAlignment="1" applyProtection="1">
      <alignment horizontal="center"/>
    </xf>
    <xf numFmtId="164" fontId="10" fillId="0" borderId="0" xfId="687" applyNumberFormat="1" applyFont="1" applyFill="1" applyBorder="1" applyProtection="1"/>
    <xf numFmtId="10" fontId="19" fillId="50" borderId="0" xfId="1242" applyNumberFormat="1" applyFont="1" applyFill="1" applyAlignment="1">
      <alignment horizontal="center"/>
    </xf>
    <xf numFmtId="175" fontId="10" fillId="0" borderId="27" xfId="1242" applyNumberFormat="1" applyFont="1" applyFill="1" applyBorder="1"/>
    <xf numFmtId="198" fontId="12" fillId="0" borderId="0" xfId="687" applyNumberFormat="1" applyFont="1" applyFill="1"/>
    <xf numFmtId="198" fontId="27" fillId="0" borderId="0" xfId="687" applyNumberFormat="1" applyFont="1" applyFill="1"/>
    <xf numFmtId="198" fontId="12" fillId="0" borderId="0" xfId="0" applyNumberFormat="1" applyFont="1" applyFill="1"/>
    <xf numFmtId="170" fontId="5" fillId="0" borderId="0" xfId="0" applyNumberFormat="1" applyFont="1" applyFill="1"/>
    <xf numFmtId="2" fontId="10" fillId="0" borderId="0" xfId="1242" applyNumberFormat="1" applyFont="1" applyFill="1"/>
    <xf numFmtId="164" fontId="15" fillId="0" borderId="0" xfId="0" applyFont="1" applyFill="1" applyAlignment="1" applyProtection="1">
      <alignment horizontal="left"/>
    </xf>
    <xf numFmtId="164" fontId="15" fillId="0" borderId="0" xfId="0" applyFont="1" applyFill="1"/>
    <xf numFmtId="8" fontId="19" fillId="0" borderId="0" xfId="687" applyNumberFormat="1" applyFont="1" applyFill="1"/>
    <xf numFmtId="164" fontId="8" fillId="52" borderId="14" xfId="0" applyFont="1" applyFill="1" applyBorder="1"/>
    <xf numFmtId="164" fontId="8" fillId="54" borderId="14" xfId="0" applyFont="1" applyFill="1" applyBorder="1"/>
    <xf numFmtId="164" fontId="15" fillId="0" borderId="0" xfId="0" applyFont="1" applyFill="1" applyAlignment="1">
      <alignment horizontal="center"/>
    </xf>
    <xf numFmtId="164" fontId="19" fillId="55" borderId="0" xfId="0" applyFont="1" applyFill="1"/>
    <xf numFmtId="164" fontId="107" fillId="55" borderId="0" xfId="0" applyFont="1" applyFill="1"/>
    <xf numFmtId="164" fontId="108" fillId="55" borderId="0" xfId="1506" applyFont="1" applyFill="1"/>
    <xf numFmtId="164" fontId="109" fillId="55" borderId="0" xfId="0" applyFont="1" applyFill="1" applyAlignment="1">
      <alignment horizontal="center"/>
    </xf>
    <xf numFmtId="0" fontId="15" fillId="0" borderId="0" xfId="1507" applyFont="1"/>
    <xf numFmtId="164" fontId="106" fillId="0" borderId="39" xfId="1506" applyFill="1" applyBorder="1"/>
    <xf numFmtId="17" fontId="15" fillId="0" borderId="0" xfId="1196" applyNumberFormat="1" applyAlignment="1">
      <alignment horizontal="center"/>
    </xf>
    <xf numFmtId="164" fontId="110" fillId="0" borderId="0" xfId="0" applyFont="1" applyFill="1"/>
    <xf numFmtId="199" fontId="19" fillId="0" borderId="0" xfId="0" applyNumberFormat="1" applyFont="1" applyFill="1"/>
    <xf numFmtId="199" fontId="19" fillId="0" borderId="0" xfId="687" applyNumberFormat="1" applyFont="1" applyFill="1"/>
    <xf numFmtId="164" fontId="111" fillId="0" borderId="0" xfId="0" applyFont="1" applyFill="1"/>
    <xf numFmtId="164" fontId="112" fillId="0" borderId="0" xfId="0" applyFont="1" applyFill="1"/>
    <xf numFmtId="164" fontId="5" fillId="56" borderId="0" xfId="0" applyFont="1" applyFill="1" applyAlignment="1" applyProtection="1">
      <alignment horizontal="left"/>
    </xf>
    <xf numFmtId="164" fontId="113" fillId="0" borderId="0" xfId="0" applyFont="1" applyFill="1"/>
    <xf numFmtId="164" fontId="114" fillId="0" borderId="0" xfId="0" applyFont="1" applyFill="1"/>
    <xf numFmtId="164" fontId="14" fillId="57" borderId="0" xfId="0" quotePrefix="1" applyFont="1" applyFill="1" applyAlignment="1">
      <alignment horizontal="left"/>
    </xf>
    <xf numFmtId="164" fontId="13" fillId="57" borderId="0" xfId="0" applyFont="1" applyFill="1" applyAlignment="1">
      <alignment horizontal="left"/>
    </xf>
    <xf numFmtId="164" fontId="13" fillId="57" borderId="0" xfId="0" applyFont="1" applyFill="1"/>
    <xf numFmtId="164" fontId="13" fillId="57" borderId="0" xfId="0" quotePrefix="1" applyFont="1" applyFill="1" applyAlignment="1">
      <alignment horizontal="left"/>
    </xf>
    <xf numFmtId="164" fontId="115" fillId="0" borderId="0" xfId="0" applyFont="1"/>
    <xf numFmtId="164" fontId="15" fillId="0" borderId="0" xfId="0" applyFont="1"/>
    <xf numFmtId="164" fontId="116" fillId="0" borderId="0" xfId="0" applyFont="1" applyAlignment="1">
      <alignment vertical="center"/>
    </xf>
    <xf numFmtId="164" fontId="117" fillId="0" borderId="0" xfId="0" applyFont="1" applyAlignment="1">
      <alignment vertical="center"/>
    </xf>
    <xf numFmtId="164" fontId="118" fillId="0" borderId="0" xfId="0" applyFont="1" applyAlignment="1">
      <alignment vertical="center"/>
    </xf>
    <xf numFmtId="0" fontId="29" fillId="58" borderId="14" xfId="1194" applyFont="1" applyFill="1" applyBorder="1"/>
    <xf numFmtId="0" fontId="15" fillId="58" borderId="14" xfId="1194" applyFill="1" applyBorder="1"/>
    <xf numFmtId="185" fontId="10" fillId="58" borderId="14" xfId="683" applyNumberFormat="1" applyFont="1" applyFill="1" applyBorder="1"/>
    <xf numFmtId="164" fontId="120" fillId="0" borderId="4" xfId="0" applyFont="1" applyBorder="1" applyAlignment="1">
      <alignment horizontal="center" vertical="center"/>
    </xf>
    <xf numFmtId="164" fontId="120" fillId="0" borderId="41" xfId="0" applyFont="1" applyBorder="1" applyAlignment="1">
      <alignment horizontal="center" vertical="center"/>
    </xf>
    <xf numFmtId="164" fontId="121" fillId="0" borderId="0" xfId="0" applyFont="1" applyAlignment="1">
      <alignment horizontal="center" vertical="center"/>
    </xf>
    <xf numFmtId="164" fontId="119" fillId="0" borderId="0" xfId="0" applyFont="1"/>
    <xf numFmtId="164" fontId="121" fillId="0" borderId="0" xfId="0" applyFont="1" applyAlignment="1">
      <alignment vertical="center"/>
    </xf>
    <xf numFmtId="164" fontId="10" fillId="59" borderId="0" xfId="0" applyFont="1" applyFill="1" applyAlignment="1" applyProtection="1">
      <alignment horizontal="center"/>
    </xf>
    <xf numFmtId="164" fontId="121" fillId="0" borderId="0" xfId="0" applyFont="1" applyFill="1" applyAlignment="1">
      <alignment horizontal="center" vertical="center"/>
    </xf>
    <xf numFmtId="164" fontId="121" fillId="0" borderId="0" xfId="0" applyFont="1" applyFill="1" applyAlignment="1">
      <alignment vertical="center"/>
    </xf>
    <xf numFmtId="164" fontId="119" fillId="0" borderId="0" xfId="0" applyFont="1" applyFill="1"/>
    <xf numFmtId="164" fontId="121" fillId="54" borderId="0" xfId="0" applyFont="1" applyFill="1" applyAlignment="1">
      <alignment horizontal="center" vertical="center"/>
    </xf>
    <xf numFmtId="164" fontId="121" fillId="54" borderId="0" xfId="0" applyFont="1" applyFill="1" applyAlignment="1">
      <alignment vertical="center"/>
    </xf>
    <xf numFmtId="164" fontId="8" fillId="54" borderId="0" xfId="0" applyFont="1" applyFill="1"/>
    <xf numFmtId="5" fontId="5" fillId="52" borderId="0" xfId="0" applyNumberFormat="1" applyFont="1" applyFill="1" applyProtection="1"/>
    <xf numFmtId="38" fontId="5" fillId="56" borderId="0" xfId="572" applyNumberFormat="1" applyFont="1" applyFill="1"/>
    <xf numFmtId="37" fontId="5" fillId="56" borderId="0" xfId="0" applyNumberFormat="1" applyFont="1" applyFill="1" applyProtection="1"/>
    <xf numFmtId="38" fontId="106" fillId="0" borderId="0" xfId="1506" applyNumberFormat="1" applyFill="1" applyAlignment="1">
      <alignment horizontal="left"/>
    </xf>
    <xf numFmtId="164" fontId="122" fillId="0" borderId="39" xfId="0" applyFont="1" applyBorder="1" applyAlignment="1">
      <alignment horizontal="center"/>
    </xf>
    <xf numFmtId="164" fontId="101" fillId="0" borderId="0" xfId="0" applyFont="1" applyFill="1" applyAlignment="1">
      <alignment horizontal="center"/>
    </xf>
    <xf numFmtId="164" fontId="106" fillId="0" borderId="0" xfId="1506" applyFill="1"/>
    <xf numFmtId="164" fontId="123" fillId="0" borderId="0" xfId="0" applyFont="1" applyFill="1"/>
    <xf numFmtId="164" fontId="124" fillId="0" borderId="0" xfId="0" applyFont="1" applyFill="1"/>
    <xf numFmtId="3" fontId="0" fillId="0" borderId="14" xfId="0" applyNumberFormat="1" applyBorder="1"/>
    <xf numFmtId="38" fontId="106" fillId="0" borderId="0" xfId="1506" applyNumberFormat="1" applyFill="1" applyAlignment="1">
      <alignment horizontal="center"/>
    </xf>
    <xf numFmtId="0" fontId="97" fillId="0" borderId="0" xfId="1197" applyFont="1" applyAlignment="1">
      <alignment horizontal="center"/>
    </xf>
    <xf numFmtId="0" fontId="106" fillId="0" borderId="0" xfId="1506" applyNumberFormat="1"/>
    <xf numFmtId="0" fontId="15" fillId="48" borderId="40" xfId="1197" applyFont="1" applyFill="1" applyBorder="1"/>
    <xf numFmtId="176" fontId="125" fillId="58" borderId="14" xfId="683" applyNumberFormat="1" applyFont="1" applyFill="1" applyBorder="1"/>
    <xf numFmtId="175" fontId="10" fillId="0" borderId="27" xfId="0" applyNumberFormat="1" applyFont="1" applyFill="1" applyBorder="1"/>
    <xf numFmtId="164" fontId="21" fillId="56" borderId="0" xfId="0" applyFont="1" applyFill="1"/>
    <xf numFmtId="164" fontId="10" fillId="56" borderId="0" xfId="0" applyFont="1" applyFill="1"/>
    <xf numFmtId="38" fontId="10" fillId="56" borderId="0" xfId="572" applyNumberFormat="1" applyFont="1" applyFill="1"/>
    <xf numFmtId="44" fontId="19" fillId="0" borderId="0" xfId="687" applyNumberFormat="1" applyFont="1" applyFill="1"/>
    <xf numFmtId="197" fontId="19" fillId="0" borderId="0" xfId="687" applyNumberFormat="1" applyFont="1" applyFill="1"/>
    <xf numFmtId="6" fontId="10" fillId="0" borderId="42" xfId="687" applyNumberFormat="1" applyFont="1" applyFill="1" applyBorder="1" applyProtection="1"/>
    <xf numFmtId="6" fontId="10" fillId="0" borderId="43" xfId="687" applyNumberFormat="1" applyFont="1" applyFill="1" applyBorder="1" applyProtection="1"/>
    <xf numFmtId="0" fontId="19" fillId="32" borderId="18" xfId="1427" quotePrefix="1" applyNumberFormat="1" applyProtection="1">
      <alignment horizontal="left" vertical="center" indent="1"/>
    </xf>
    <xf numFmtId="5" fontId="10" fillId="0" borderId="38" xfId="572" applyNumberFormat="1" applyFont="1" applyFill="1" applyBorder="1"/>
    <xf numFmtId="5" fontId="10" fillId="0" borderId="30" xfId="572" applyNumberFormat="1" applyFont="1" applyFill="1" applyBorder="1"/>
    <xf numFmtId="164" fontId="126" fillId="0" borderId="39" xfId="0" applyFont="1" applyBorder="1" applyAlignment="1">
      <alignment vertical="center" wrapText="1"/>
    </xf>
    <xf numFmtId="0" fontId="129" fillId="48" borderId="0" xfId="1197" applyFont="1" applyFill="1"/>
    <xf numFmtId="164" fontId="15" fillId="52" borderId="0" xfId="0" applyFont="1" applyFill="1"/>
    <xf numFmtId="164" fontId="19" fillId="52" borderId="0" xfId="0" applyFont="1" applyFill="1"/>
    <xf numFmtId="164" fontId="0" fillId="52" borderId="0" xfId="0" applyFill="1"/>
    <xf numFmtId="164" fontId="6" fillId="52" borderId="0" xfId="0" applyFont="1" applyFill="1"/>
    <xf numFmtId="0" fontId="15" fillId="52" borderId="0" xfId="1197" applyFill="1"/>
    <xf numFmtId="164" fontId="127" fillId="52" borderId="0" xfId="0" applyFont="1" applyFill="1" applyAlignment="1">
      <alignment horizontal="left"/>
    </xf>
    <xf numFmtId="164" fontId="127" fillId="52" borderId="0" xfId="0" quotePrefix="1" applyFont="1" applyFill="1" applyAlignment="1">
      <alignment horizontal="left"/>
    </xf>
    <xf numFmtId="164" fontId="128" fillId="52" borderId="0" xfId="0" applyFont="1" applyFill="1" applyAlignment="1">
      <alignment horizontal="left"/>
    </xf>
    <xf numFmtId="164" fontId="106" fillId="0" borderId="0" xfId="1506"/>
    <xf numFmtId="164" fontId="130" fillId="0" borderId="0" xfId="0" applyFont="1" applyFill="1"/>
    <xf numFmtId="164" fontId="5" fillId="52" borderId="0" xfId="0" applyFont="1" applyFill="1" applyAlignment="1" applyProtection="1">
      <alignment horizontal="left"/>
    </xf>
    <xf numFmtId="164" fontId="96" fillId="52" borderId="0" xfId="0" applyFont="1" applyFill="1"/>
    <xf numFmtId="164" fontId="8" fillId="52" borderId="0" xfId="0" applyFont="1" applyFill="1"/>
    <xf numFmtId="168" fontId="5" fillId="52" borderId="0" xfId="572" applyNumberFormat="1" applyFont="1" applyFill="1"/>
    <xf numFmtId="164" fontId="5" fillId="0" borderId="36" xfId="0" applyFont="1" applyFill="1" applyBorder="1" applyAlignment="1" applyProtection="1">
      <alignment horizontal="right"/>
    </xf>
    <xf numFmtId="37" fontId="5" fillId="0" borderId="32" xfId="0" applyNumberFormat="1" applyFont="1" applyFill="1" applyBorder="1" applyProtection="1"/>
    <xf numFmtId="37" fontId="5" fillId="0" borderId="37" xfId="0" applyNumberFormat="1" applyFont="1" applyFill="1" applyBorder="1" applyProtection="1"/>
    <xf numFmtId="164" fontId="5" fillId="0" borderId="33" xfId="0" applyFont="1" applyFill="1" applyBorder="1" applyProtection="1"/>
    <xf numFmtId="164" fontId="5" fillId="0" borderId="0" xfId="0" applyFont="1" applyFill="1" applyBorder="1" applyAlignment="1" applyProtection="1">
      <alignment horizontal="center"/>
    </xf>
    <xf numFmtId="164" fontId="5" fillId="0" borderId="39" xfId="0" applyFont="1" applyFill="1" applyBorder="1" applyAlignment="1" applyProtection="1">
      <alignment horizontal="center"/>
    </xf>
    <xf numFmtId="164" fontId="4" fillId="0" borderId="0" xfId="0" applyFont="1" applyFill="1" applyBorder="1"/>
    <xf numFmtId="164" fontId="4" fillId="0" borderId="39" xfId="0" applyFont="1" applyFill="1" applyBorder="1"/>
    <xf numFmtId="164" fontId="5" fillId="52" borderId="33" xfId="0" applyFont="1" applyFill="1" applyBorder="1" applyAlignment="1" applyProtection="1">
      <alignment horizontal="left"/>
    </xf>
    <xf numFmtId="168" fontId="5" fillId="0" borderId="33" xfId="572" applyNumberFormat="1" applyFont="1" applyFill="1" applyBorder="1" applyAlignment="1" applyProtection="1">
      <alignment horizontal="left"/>
    </xf>
    <xf numFmtId="38" fontId="5" fillId="0" borderId="0" xfId="572" applyNumberFormat="1" applyFont="1" applyFill="1" applyBorder="1"/>
    <xf numFmtId="38" fontId="5" fillId="0" borderId="39" xfId="572" applyNumberFormat="1" applyFont="1" applyFill="1" applyBorder="1"/>
    <xf numFmtId="164" fontId="5" fillId="0" borderId="33" xfId="0" applyFont="1" applyFill="1" applyBorder="1" applyAlignment="1" applyProtection="1">
      <alignment horizontal="left"/>
    </xf>
    <xf numFmtId="7" fontId="5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39" xfId="0" applyNumberFormat="1" applyFont="1" applyFill="1" applyBorder="1" applyProtection="1"/>
    <xf numFmtId="164" fontId="5" fillId="0" borderId="33" xfId="0" applyFont="1" applyFill="1" applyBorder="1"/>
    <xf numFmtId="8" fontId="5" fillId="0" borderId="0" xfId="687" applyFont="1" applyFill="1" applyBorder="1" applyProtection="1"/>
    <xf numFmtId="164" fontId="5" fillId="31" borderId="33" xfId="0" applyFont="1" applyFill="1" applyBorder="1" applyAlignment="1" applyProtection="1">
      <alignment horizontal="left"/>
    </xf>
    <xf numFmtId="37" fontId="5" fillId="31" borderId="0" xfId="0" applyNumberFormat="1" applyFont="1" applyFill="1" applyBorder="1" applyProtection="1"/>
    <xf numFmtId="37" fontId="5" fillId="31" borderId="39" xfId="0" applyNumberFormat="1" applyFont="1" applyFill="1" applyBorder="1" applyProtection="1"/>
    <xf numFmtId="164" fontId="5" fillId="31" borderId="40" xfId="0" applyFont="1" applyFill="1" applyBorder="1" applyAlignment="1" applyProtection="1">
      <alignment horizontal="left"/>
    </xf>
    <xf numFmtId="37" fontId="5" fillId="31" borderId="30" xfId="0" applyNumberFormat="1" applyFont="1" applyFill="1" applyBorder="1" applyProtection="1"/>
    <xf numFmtId="37" fontId="5" fillId="31" borderId="38" xfId="0" applyNumberFormat="1" applyFont="1" applyFill="1" applyBorder="1" applyProtection="1"/>
    <xf numFmtId="164" fontId="5" fillId="52" borderId="36" xfId="0" applyFont="1" applyFill="1" applyBorder="1" applyAlignment="1" applyProtection="1">
      <alignment horizontal="right"/>
    </xf>
    <xf numFmtId="164" fontId="5" fillId="56" borderId="33" xfId="0" applyFont="1" applyFill="1" applyBorder="1" applyAlignment="1" applyProtection="1">
      <alignment horizontal="left"/>
    </xf>
    <xf numFmtId="38" fontId="5" fillId="31" borderId="30" xfId="572" applyNumberFormat="1" applyFont="1" applyFill="1" applyBorder="1"/>
    <xf numFmtId="164" fontId="94" fillId="0" borderId="0" xfId="0" quotePrefix="1" applyFont="1"/>
    <xf numFmtId="0" fontId="29" fillId="0" borderId="14" xfId="1194" applyFont="1" applyFill="1" applyBorder="1" applyAlignment="1">
      <alignment horizontal="center"/>
    </xf>
    <xf numFmtId="164" fontId="131" fillId="0" borderId="39" xfId="0" applyFont="1" applyFill="1" applyBorder="1" applyProtection="1"/>
    <xf numFmtId="165" fontId="132" fillId="0" borderId="0" xfId="0" applyNumberFormat="1" applyFont="1" applyFill="1" applyProtection="1"/>
    <xf numFmtId="164" fontId="132" fillId="0" borderId="0" xfId="0" applyFont="1" applyFill="1"/>
    <xf numFmtId="164" fontId="131" fillId="0" borderId="0" xfId="0" applyFont="1" applyFill="1" applyAlignment="1" applyProtection="1">
      <alignment horizontal="left"/>
    </xf>
    <xf numFmtId="166" fontId="132" fillId="0" borderId="0" xfId="0" applyNumberFormat="1" applyFont="1" applyFill="1" applyProtection="1"/>
    <xf numFmtId="164" fontId="132" fillId="0" borderId="39" xfId="0" applyFont="1" applyFill="1" applyBorder="1" applyProtection="1"/>
    <xf numFmtId="164" fontId="132" fillId="0" borderId="0" xfId="0" applyFont="1" applyFill="1" applyAlignment="1">
      <alignment horizontal="center"/>
    </xf>
    <xf numFmtId="164" fontId="132" fillId="0" borderId="0" xfId="0" applyFont="1" applyFill="1" applyAlignment="1" applyProtection="1">
      <alignment horizontal="center"/>
    </xf>
    <xf numFmtId="164" fontId="132" fillId="0" borderId="39" xfId="0" applyFont="1" applyFill="1" applyBorder="1" applyAlignment="1" applyProtection="1">
      <alignment horizontal="left"/>
    </xf>
    <xf numFmtId="37" fontId="132" fillId="0" borderId="0" xfId="0" applyNumberFormat="1" applyFont="1" applyFill="1" applyProtection="1"/>
    <xf numFmtId="164" fontId="132" fillId="0" borderId="39" xfId="0" applyFont="1" applyFill="1" applyBorder="1"/>
    <xf numFmtId="164" fontId="132" fillId="0" borderId="39" xfId="0" applyFont="1" applyFill="1" applyBorder="1" applyAlignment="1" applyProtection="1">
      <alignment horizontal="right"/>
    </xf>
    <xf numFmtId="168" fontId="132" fillId="0" borderId="39" xfId="572" applyNumberFormat="1" applyFont="1" applyFill="1" applyBorder="1" applyAlignment="1" applyProtection="1">
      <alignment horizontal="left"/>
    </xf>
    <xf numFmtId="38" fontId="132" fillId="48" borderId="0" xfId="572" applyNumberFormat="1" applyFont="1" applyFill="1"/>
    <xf numFmtId="38" fontId="132" fillId="0" borderId="0" xfId="572" applyNumberFormat="1" applyFont="1" applyFill="1"/>
    <xf numFmtId="37" fontId="132" fillId="28" borderId="0" xfId="0" applyNumberFormat="1" applyFont="1" applyFill="1" applyProtection="1"/>
    <xf numFmtId="7" fontId="132" fillId="0" borderId="0" xfId="0" applyNumberFormat="1" applyFont="1" applyFill="1" applyProtection="1"/>
    <xf numFmtId="172" fontId="132" fillId="0" borderId="0" xfId="0" applyNumberFormat="1" applyFont="1" applyFill="1" applyProtection="1"/>
    <xf numFmtId="164" fontId="133" fillId="0" borderId="0" xfId="0" applyFont="1" applyFill="1"/>
    <xf numFmtId="164" fontId="37" fillId="57" borderId="0" xfId="0" applyFont="1" applyFill="1" applyAlignment="1" applyProtection="1">
      <alignment horizontal="left"/>
    </xf>
    <xf numFmtId="164" fontId="19" fillId="60" borderId="0" xfId="0" applyFont="1" applyFill="1"/>
    <xf numFmtId="164" fontId="15" fillId="60" borderId="0" xfId="0" applyFont="1" applyFill="1"/>
    <xf numFmtId="164" fontId="5" fillId="60" borderId="0" xfId="0" applyFont="1" applyFill="1"/>
    <xf numFmtId="168" fontId="5" fillId="60" borderId="0" xfId="572" applyNumberFormat="1" applyFont="1" applyFill="1"/>
    <xf numFmtId="164" fontId="8" fillId="60" borderId="0" xfId="0" applyFont="1" applyFill="1"/>
    <xf numFmtId="0" fontId="15" fillId="0" borderId="0" xfId="1195" applyBorder="1" applyAlignment="1">
      <alignment horizontal="left"/>
    </xf>
    <xf numFmtId="183" fontId="15" fillId="0" borderId="0" xfId="1195" applyNumberFormat="1" applyBorder="1" applyAlignment="1">
      <alignment horizontal="center"/>
    </xf>
    <xf numFmtId="164" fontId="134" fillId="0" borderId="0" xfId="0" applyFont="1" applyFill="1"/>
    <xf numFmtId="0" fontId="97" fillId="0" borderId="0" xfId="1197" applyFont="1" applyFill="1"/>
    <xf numFmtId="2" fontId="15" fillId="0" borderId="0" xfId="1197" applyNumberFormat="1"/>
    <xf numFmtId="6" fontId="15" fillId="54" borderId="0" xfId="687" applyNumberFormat="1" applyFont="1" applyFill="1" applyBorder="1"/>
    <xf numFmtId="6" fontId="15" fillId="54" borderId="32" xfId="687" applyNumberFormat="1" applyFont="1" applyFill="1" applyBorder="1"/>
    <xf numFmtId="38" fontId="24" fillId="0" borderId="0" xfId="572" applyNumberFormat="1" applyFont="1" applyFill="1" applyAlignment="1" applyProtection="1">
      <alignment horizontal="center"/>
    </xf>
    <xf numFmtId="38" fontId="24" fillId="0" borderId="0" xfId="0" applyNumberFormat="1" applyFont="1" applyFill="1" applyAlignment="1" applyProtection="1">
      <alignment horizontal="center"/>
    </xf>
    <xf numFmtId="164" fontId="15" fillId="0" borderId="0" xfId="1509" applyFont="1"/>
    <xf numFmtId="164" fontId="70" fillId="0" borderId="0" xfId="1509" applyFont="1"/>
    <xf numFmtId="164" fontId="15" fillId="0" borderId="44" xfId="1509" applyFont="1" applyBorder="1"/>
    <xf numFmtId="164" fontId="15" fillId="61" borderId="35" xfId="1509" applyFont="1" applyFill="1" applyBorder="1"/>
    <xf numFmtId="200" fontId="18" fillId="61" borderId="5" xfId="1509" applyNumberFormat="1" applyFont="1" applyFill="1" applyBorder="1" applyAlignment="1">
      <alignment horizontal="center"/>
    </xf>
    <xf numFmtId="164" fontId="18" fillId="61" borderId="5" xfId="1509" applyFont="1" applyFill="1" applyBorder="1" applyAlignment="1">
      <alignment horizontal="center"/>
    </xf>
    <xf numFmtId="164" fontId="18" fillId="61" borderId="45" xfId="1509" applyFont="1" applyFill="1" applyBorder="1" applyAlignment="1">
      <alignment horizontal="center"/>
    </xf>
    <xf numFmtId="164" fontId="135" fillId="0" borderId="0" xfId="1509" applyFont="1"/>
    <xf numFmtId="164" fontId="15" fillId="0" borderId="46" xfId="1509" applyFont="1" applyBorder="1"/>
    <xf numFmtId="38" fontId="15" fillId="0" borderId="0" xfId="1510" applyNumberFormat="1" applyFont="1"/>
    <xf numFmtId="38" fontId="15" fillId="0" borderId="46" xfId="1510" applyNumberFormat="1" applyFont="1" applyBorder="1"/>
    <xf numFmtId="164" fontId="18" fillId="0" borderId="0" xfId="1509" applyFont="1"/>
    <xf numFmtId="38" fontId="18" fillId="0" borderId="6" xfId="1510" applyNumberFormat="1" applyFont="1" applyBorder="1"/>
    <xf numFmtId="38" fontId="18" fillId="0" borderId="47" xfId="1510" applyNumberFormat="1" applyFont="1" applyBorder="1"/>
    <xf numFmtId="38" fontId="18" fillId="0" borderId="43" xfId="1510" applyNumberFormat="1" applyFont="1" applyBorder="1"/>
    <xf numFmtId="38" fontId="18" fillId="0" borderId="48" xfId="1510" applyNumberFormat="1" applyFont="1" applyBorder="1"/>
    <xf numFmtId="164" fontId="15" fillId="0" borderId="49" xfId="1509" applyFont="1" applyBorder="1"/>
    <xf numFmtId="164" fontId="94" fillId="0" borderId="0" xfId="0" applyFont="1" applyFill="1"/>
    <xf numFmtId="8" fontId="10" fillId="0" borderId="0" xfId="687" applyFont="1" applyFill="1" applyProtection="1"/>
    <xf numFmtId="164" fontId="21" fillId="0" borderId="27" xfId="0" applyFont="1" applyFill="1" applyBorder="1"/>
    <xf numFmtId="38" fontId="18" fillId="0" borderId="0" xfId="1510" applyNumberFormat="1" applyFont="1"/>
    <xf numFmtId="164" fontId="32" fillId="0" borderId="0" xfId="1509" applyFont="1" applyAlignment="1">
      <alignment vertical="top"/>
    </xf>
    <xf numFmtId="164" fontId="32" fillId="0" borderId="0" xfId="1509" applyFont="1" applyAlignment="1"/>
    <xf numFmtId="164" fontId="22" fillId="0" borderId="0" xfId="1509" applyFont="1" applyAlignment="1">
      <alignment horizontal="center"/>
    </xf>
    <xf numFmtId="164" fontId="70" fillId="0" borderId="0" xfId="1509" applyFont="1" applyAlignment="1">
      <alignment horizontal="center"/>
    </xf>
    <xf numFmtId="164" fontId="104" fillId="0" borderId="0" xfId="0" applyFont="1" applyFill="1" applyAlignment="1">
      <alignment horizontal="center"/>
    </xf>
  </cellXfs>
  <cellStyles count="1514">
    <cellStyle name=" 1" xfId="1"/>
    <cellStyle name="20% - Accent1" xfId="2" builtinId="30" customBuiltin="1"/>
    <cellStyle name="20% - Accent1 10" xfId="3"/>
    <cellStyle name="20% - Accent1 11" xfId="4"/>
    <cellStyle name="20% - Accent1 12" xfId="5"/>
    <cellStyle name="20% - Accent1 13" xfId="6"/>
    <cellStyle name="20% - Accent1 14" xfId="7"/>
    <cellStyle name="20% - Accent1 15" xfId="8"/>
    <cellStyle name="20% - Accent1 16" xfId="9"/>
    <cellStyle name="20% - Accent1 17" xfId="10"/>
    <cellStyle name="20% - Accent1 18" xfId="11"/>
    <cellStyle name="20% - Accent1 19" xfId="12"/>
    <cellStyle name="20% - Accent1 2" xfId="13"/>
    <cellStyle name="20% - Accent1 20" xfId="14"/>
    <cellStyle name="20% - Accent1 21" xfId="15"/>
    <cellStyle name="20% - Accent1 3" xfId="16"/>
    <cellStyle name="20% - Accent1 4" xfId="17"/>
    <cellStyle name="20% - Accent1 5" xfId="18"/>
    <cellStyle name="20% - Accent1 6" xfId="19"/>
    <cellStyle name="20% - Accent1 7" xfId="20"/>
    <cellStyle name="20% - Accent1 8" xfId="21"/>
    <cellStyle name="20% - Accent1 9" xfId="22"/>
    <cellStyle name="20% - Accent2" xfId="23" builtinId="34" customBuiltin="1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17" xfId="31"/>
    <cellStyle name="20% - Accent2 18" xfId="32"/>
    <cellStyle name="20% - Accent2 19" xfId="33"/>
    <cellStyle name="20% - Accent2 2" xfId="34"/>
    <cellStyle name="20% - Accent2 20" xfId="35"/>
    <cellStyle name="20% - Accent2 21" xfId="36"/>
    <cellStyle name="20% - Accent2 3" xfId="37"/>
    <cellStyle name="20% - Accent2 4" xfId="38"/>
    <cellStyle name="20% - Accent2 5" xfId="39"/>
    <cellStyle name="20% - Accent2 6" xfId="40"/>
    <cellStyle name="20% - Accent2 7" xfId="41"/>
    <cellStyle name="20% - Accent2 8" xfId="42"/>
    <cellStyle name="20% - Accent2 9" xfId="43"/>
    <cellStyle name="20% - Accent3" xfId="44" builtinId="38" customBuiltin="1"/>
    <cellStyle name="20% - Accent3 10" xfId="45"/>
    <cellStyle name="20% - Accent3 11" xfId="46"/>
    <cellStyle name="20% - Accent3 12" xfId="47"/>
    <cellStyle name="20% - Accent3 13" xfId="48"/>
    <cellStyle name="20% - Accent3 14" xfId="49"/>
    <cellStyle name="20% - Accent3 15" xfId="50"/>
    <cellStyle name="20% - Accent3 16" xfId="51"/>
    <cellStyle name="20% - Accent3 17" xfId="52"/>
    <cellStyle name="20% - Accent3 18" xfId="53"/>
    <cellStyle name="20% - Accent3 19" xfId="54"/>
    <cellStyle name="20% - Accent3 2" xfId="55"/>
    <cellStyle name="20% - Accent3 20" xfId="56"/>
    <cellStyle name="20% - Accent3 21" xfId="57"/>
    <cellStyle name="20% - Accent3 3" xfId="58"/>
    <cellStyle name="20% - Accent3 4" xfId="59"/>
    <cellStyle name="20% - Accent3 5" xfId="60"/>
    <cellStyle name="20% - Accent3 6" xfId="61"/>
    <cellStyle name="20% - Accent3 7" xfId="62"/>
    <cellStyle name="20% - Accent3 8" xfId="63"/>
    <cellStyle name="20% - Accent3 9" xfId="64"/>
    <cellStyle name="20% - Accent4" xfId="65" builtinId="42" customBuiltin="1"/>
    <cellStyle name="20% - Accent4 10" xfId="66"/>
    <cellStyle name="20% - Accent4 11" xfId="67"/>
    <cellStyle name="20% - Accent4 12" xfId="68"/>
    <cellStyle name="20% - Accent4 13" xfId="69"/>
    <cellStyle name="20% - Accent4 14" xfId="70"/>
    <cellStyle name="20% - Accent4 15" xfId="71"/>
    <cellStyle name="20% - Accent4 16" xfId="72"/>
    <cellStyle name="20% - Accent4 17" xfId="73"/>
    <cellStyle name="20% - Accent4 18" xfId="74"/>
    <cellStyle name="20% - Accent4 19" xfId="75"/>
    <cellStyle name="20% - Accent4 2" xfId="76"/>
    <cellStyle name="20% - Accent4 20" xfId="77"/>
    <cellStyle name="20% - Accent4 21" xfId="78"/>
    <cellStyle name="20% - Accent4 3" xfId="79"/>
    <cellStyle name="20% - Accent4 4" xfId="80"/>
    <cellStyle name="20% - Accent4 5" xfId="81"/>
    <cellStyle name="20% - Accent4 6" xfId="82"/>
    <cellStyle name="20% - Accent4 7" xfId="83"/>
    <cellStyle name="20% - Accent4 8" xfId="84"/>
    <cellStyle name="20% - Accent4 9" xfId="85"/>
    <cellStyle name="20% - Accent5" xfId="86" builtinId="46" customBuiltin="1"/>
    <cellStyle name="20% - Accent5 10" xfId="87"/>
    <cellStyle name="20% - Accent5 11" xfId="88"/>
    <cellStyle name="20% - Accent5 12" xfId="89"/>
    <cellStyle name="20% - Accent5 13" xfId="90"/>
    <cellStyle name="20% - Accent5 14" xfId="91"/>
    <cellStyle name="20% - Accent5 15" xfId="92"/>
    <cellStyle name="20% - Accent5 16" xfId="93"/>
    <cellStyle name="20% - Accent5 17" xfId="94"/>
    <cellStyle name="20% - Accent5 18" xfId="95"/>
    <cellStyle name="20% - Accent5 19" xfId="96"/>
    <cellStyle name="20% - Accent5 2" xfId="97"/>
    <cellStyle name="20% - Accent5 20" xfId="98"/>
    <cellStyle name="20% - Accent5 21" xfId="99"/>
    <cellStyle name="20% - Accent5 3" xfId="100"/>
    <cellStyle name="20% - Accent5 4" xfId="101"/>
    <cellStyle name="20% - Accent5 5" xfId="102"/>
    <cellStyle name="20% - Accent5 6" xfId="103"/>
    <cellStyle name="20% - Accent5 7" xfId="104"/>
    <cellStyle name="20% - Accent5 8" xfId="105"/>
    <cellStyle name="20% - Accent5 9" xfId="106"/>
    <cellStyle name="20% - Accent6" xfId="107" builtinId="50" customBuiltin="1"/>
    <cellStyle name="20% - Accent6 10" xfId="108"/>
    <cellStyle name="20% - Accent6 11" xfId="109"/>
    <cellStyle name="20% - Accent6 12" xfId="110"/>
    <cellStyle name="20% - Accent6 13" xfId="111"/>
    <cellStyle name="20% - Accent6 14" xfId="112"/>
    <cellStyle name="20% - Accent6 15" xfId="113"/>
    <cellStyle name="20% - Accent6 16" xfId="114"/>
    <cellStyle name="20% - Accent6 17" xfId="115"/>
    <cellStyle name="20% - Accent6 18" xfId="116"/>
    <cellStyle name="20% - Accent6 19" xfId="117"/>
    <cellStyle name="20% - Accent6 2" xfId="118"/>
    <cellStyle name="20% - Accent6 20" xfId="119"/>
    <cellStyle name="20% - Accent6 21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40% - Accent1" xfId="128" builtinId="31" customBuiltin="1"/>
    <cellStyle name="40% - Accent1 10" xfId="129"/>
    <cellStyle name="40% - Accent1 11" xfId="130"/>
    <cellStyle name="40% - Accent1 12" xfId="131"/>
    <cellStyle name="40% - Accent1 13" xfId="132"/>
    <cellStyle name="40% - Accent1 14" xfId="133"/>
    <cellStyle name="40% - Accent1 15" xfId="134"/>
    <cellStyle name="40% - Accent1 16" xfId="135"/>
    <cellStyle name="40% - Accent1 17" xfId="136"/>
    <cellStyle name="40% - Accent1 18" xfId="137"/>
    <cellStyle name="40% - Accent1 19" xfId="138"/>
    <cellStyle name="40% - Accent1 2" xfId="139"/>
    <cellStyle name="40% - Accent1 20" xfId="140"/>
    <cellStyle name="40% - Accent1 21" xfId="141"/>
    <cellStyle name="40% - Accent1 3" xfId="142"/>
    <cellStyle name="40% - Accent1 4" xfId="143"/>
    <cellStyle name="40% - Accent1 5" xfId="144"/>
    <cellStyle name="40% - Accent1 6" xfId="145"/>
    <cellStyle name="40% - Accent1 7" xfId="146"/>
    <cellStyle name="40% - Accent1 8" xfId="147"/>
    <cellStyle name="40% - Accent1 9" xfId="148"/>
    <cellStyle name="40% - Accent2" xfId="149" builtinId="35" customBuiltin="1"/>
    <cellStyle name="40% - Accent2 10" xfId="150"/>
    <cellStyle name="40% - Accent2 11" xfId="151"/>
    <cellStyle name="40% - Accent2 12" xfId="152"/>
    <cellStyle name="40% - Accent2 13" xfId="153"/>
    <cellStyle name="40% - Accent2 14" xfId="154"/>
    <cellStyle name="40% - Accent2 15" xfId="155"/>
    <cellStyle name="40% - Accent2 16" xfId="156"/>
    <cellStyle name="40% - Accent2 17" xfId="157"/>
    <cellStyle name="40% - Accent2 18" xfId="158"/>
    <cellStyle name="40% - Accent2 19" xfId="159"/>
    <cellStyle name="40% - Accent2 2" xfId="160"/>
    <cellStyle name="40% - Accent2 20" xfId="161"/>
    <cellStyle name="40% - Accent2 21" xfId="162"/>
    <cellStyle name="40% - Accent2 3" xfId="163"/>
    <cellStyle name="40% - Accent2 4" xfId="164"/>
    <cellStyle name="40% - Accent2 5" xfId="165"/>
    <cellStyle name="40% - Accent2 6" xfId="166"/>
    <cellStyle name="40% - Accent2 7" xfId="167"/>
    <cellStyle name="40% - Accent2 8" xfId="168"/>
    <cellStyle name="40% - Accent2 9" xfId="169"/>
    <cellStyle name="40% - Accent3" xfId="170" builtinId="39" customBuiltin="1"/>
    <cellStyle name="40% - Accent3 10" xfId="171"/>
    <cellStyle name="40% - Accent3 11" xfId="172"/>
    <cellStyle name="40% - Accent3 12" xfId="173"/>
    <cellStyle name="40% - Accent3 13" xfId="174"/>
    <cellStyle name="40% - Accent3 14" xfId="175"/>
    <cellStyle name="40% - Accent3 15" xfId="176"/>
    <cellStyle name="40% - Accent3 16" xfId="177"/>
    <cellStyle name="40% - Accent3 17" xfId="178"/>
    <cellStyle name="40% - Accent3 18" xfId="179"/>
    <cellStyle name="40% - Accent3 19" xfId="180"/>
    <cellStyle name="40% - Accent3 2" xfId="181"/>
    <cellStyle name="40% - Accent3 20" xfId="182"/>
    <cellStyle name="40% - Accent3 21" xfId="183"/>
    <cellStyle name="40% - Accent3 3" xfId="184"/>
    <cellStyle name="40% - Accent3 4" xfId="185"/>
    <cellStyle name="40% - Accent3 5" xfId="186"/>
    <cellStyle name="40% - Accent3 6" xfId="187"/>
    <cellStyle name="40% - Accent3 7" xfId="188"/>
    <cellStyle name="40% - Accent3 8" xfId="189"/>
    <cellStyle name="40% - Accent3 9" xfId="190"/>
    <cellStyle name="40% - Accent4" xfId="191" builtinId="43" customBuiltin="1"/>
    <cellStyle name="40% - Accent4 10" xfId="192"/>
    <cellStyle name="40% - Accent4 11" xfId="193"/>
    <cellStyle name="40% - Accent4 12" xfId="194"/>
    <cellStyle name="40% - Accent4 13" xfId="195"/>
    <cellStyle name="40% - Accent4 14" xfId="196"/>
    <cellStyle name="40% - Accent4 15" xfId="197"/>
    <cellStyle name="40% - Accent4 16" xfId="198"/>
    <cellStyle name="40% - Accent4 17" xfId="199"/>
    <cellStyle name="40% - Accent4 18" xfId="200"/>
    <cellStyle name="40% - Accent4 19" xfId="201"/>
    <cellStyle name="40% - Accent4 2" xfId="202"/>
    <cellStyle name="40% - Accent4 20" xfId="203"/>
    <cellStyle name="40% - Accent4 21" xfId="204"/>
    <cellStyle name="40% - Accent4 3" xfId="205"/>
    <cellStyle name="40% - Accent4 4" xfId="206"/>
    <cellStyle name="40% - Accent4 5" xfId="207"/>
    <cellStyle name="40% - Accent4 6" xfId="208"/>
    <cellStyle name="40% - Accent4 7" xfId="209"/>
    <cellStyle name="40% - Accent4 8" xfId="210"/>
    <cellStyle name="40% - Accent4 9" xfId="211"/>
    <cellStyle name="40% - Accent5" xfId="212" builtinId="47" customBuiltin="1"/>
    <cellStyle name="40% - Accent5 10" xfId="213"/>
    <cellStyle name="40% - Accent5 11" xfId="214"/>
    <cellStyle name="40% - Accent5 12" xfId="215"/>
    <cellStyle name="40% - Accent5 13" xfId="216"/>
    <cellStyle name="40% - Accent5 14" xfId="217"/>
    <cellStyle name="40% - Accent5 15" xfId="218"/>
    <cellStyle name="40% - Accent5 16" xfId="219"/>
    <cellStyle name="40% - Accent5 17" xfId="220"/>
    <cellStyle name="40% - Accent5 18" xfId="221"/>
    <cellStyle name="40% - Accent5 19" xfId="222"/>
    <cellStyle name="40% - Accent5 2" xfId="223"/>
    <cellStyle name="40% - Accent5 20" xfId="224"/>
    <cellStyle name="40% - Accent5 21" xfId="225"/>
    <cellStyle name="40% - Accent5 3" xfId="226"/>
    <cellStyle name="40% - Accent5 4" xfId="227"/>
    <cellStyle name="40% - Accent5 5" xfId="228"/>
    <cellStyle name="40% - Accent5 6" xfId="229"/>
    <cellStyle name="40% - Accent5 7" xfId="230"/>
    <cellStyle name="40% - Accent5 8" xfId="231"/>
    <cellStyle name="40% - Accent5 9" xfId="232"/>
    <cellStyle name="40% - Accent6" xfId="233" builtinId="51" customBuiltin="1"/>
    <cellStyle name="40% - Accent6 10" xfId="234"/>
    <cellStyle name="40% - Accent6 11" xfId="235"/>
    <cellStyle name="40% - Accent6 12" xfId="236"/>
    <cellStyle name="40% - Accent6 13" xfId="237"/>
    <cellStyle name="40% - Accent6 14" xfId="238"/>
    <cellStyle name="40% - Accent6 15" xfId="239"/>
    <cellStyle name="40% - Accent6 16" xfId="240"/>
    <cellStyle name="40% - Accent6 17" xfId="241"/>
    <cellStyle name="40% - Accent6 18" xfId="242"/>
    <cellStyle name="40% - Accent6 19" xfId="243"/>
    <cellStyle name="40% - Accent6 2" xfId="244"/>
    <cellStyle name="40% - Accent6 20" xfId="245"/>
    <cellStyle name="40% - Accent6 21" xfId="246"/>
    <cellStyle name="40% - Accent6 3" xfId="247"/>
    <cellStyle name="40% - Accent6 4" xfId="248"/>
    <cellStyle name="40% - Accent6 5" xfId="249"/>
    <cellStyle name="40% - Accent6 6" xfId="250"/>
    <cellStyle name="40% - Accent6 7" xfId="251"/>
    <cellStyle name="40% - Accent6 8" xfId="252"/>
    <cellStyle name="40% - Accent6 9" xfId="253"/>
    <cellStyle name="60% - Accent1" xfId="254" builtinId="32" customBuiltin="1"/>
    <cellStyle name="60% - Accent1 10" xfId="255"/>
    <cellStyle name="60% - Accent1 11" xfId="256"/>
    <cellStyle name="60% - Accent1 12" xfId="257"/>
    <cellStyle name="60% - Accent1 13" xfId="258"/>
    <cellStyle name="60% - Accent1 14" xfId="259"/>
    <cellStyle name="60% - Accent1 15" xfId="260"/>
    <cellStyle name="60% - Accent1 16" xfId="261"/>
    <cellStyle name="60% - Accent1 17" xfId="262"/>
    <cellStyle name="60% - Accent1 18" xfId="263"/>
    <cellStyle name="60% - Accent1 19" xfId="264"/>
    <cellStyle name="60% - Accent1 2" xfId="265"/>
    <cellStyle name="60% - Accent1 20" xfId="266"/>
    <cellStyle name="60% - Accent1 21" xfId="267"/>
    <cellStyle name="60% - Accent1 3" xfId="268"/>
    <cellStyle name="60% - Accent1 4" xfId="269"/>
    <cellStyle name="60% - Accent1 5" xfId="270"/>
    <cellStyle name="60% - Accent1 6" xfId="271"/>
    <cellStyle name="60% - Accent1 7" xfId="272"/>
    <cellStyle name="60% - Accent1 8" xfId="273"/>
    <cellStyle name="60% - Accent1 9" xfId="274"/>
    <cellStyle name="60% - Accent2" xfId="275" builtinId="36" customBuiltin="1"/>
    <cellStyle name="60% - Accent2 10" xfId="276"/>
    <cellStyle name="60% - Accent2 11" xfId="277"/>
    <cellStyle name="60% - Accent2 12" xfId="278"/>
    <cellStyle name="60% - Accent2 13" xfId="279"/>
    <cellStyle name="60% - Accent2 14" xfId="280"/>
    <cellStyle name="60% - Accent2 15" xfId="281"/>
    <cellStyle name="60% - Accent2 16" xfId="282"/>
    <cellStyle name="60% - Accent2 17" xfId="283"/>
    <cellStyle name="60% - Accent2 18" xfId="284"/>
    <cellStyle name="60% - Accent2 19" xfId="285"/>
    <cellStyle name="60% - Accent2 2" xfId="286"/>
    <cellStyle name="60% - Accent2 20" xfId="287"/>
    <cellStyle name="60% - Accent2 21" xfId="288"/>
    <cellStyle name="60% - Accent2 3" xfId="289"/>
    <cellStyle name="60% - Accent2 4" xfId="290"/>
    <cellStyle name="60% - Accent2 5" xfId="291"/>
    <cellStyle name="60% - Accent2 6" xfId="292"/>
    <cellStyle name="60% - Accent2 7" xfId="293"/>
    <cellStyle name="60% - Accent2 8" xfId="294"/>
    <cellStyle name="60% - Accent2 9" xfId="295"/>
    <cellStyle name="60% - Accent3" xfId="296" builtinId="40" customBuiltin="1"/>
    <cellStyle name="60% - Accent3 10" xfId="297"/>
    <cellStyle name="60% - Accent3 11" xfId="298"/>
    <cellStyle name="60% - Accent3 12" xfId="299"/>
    <cellStyle name="60% - Accent3 13" xfId="300"/>
    <cellStyle name="60% - Accent3 14" xfId="301"/>
    <cellStyle name="60% - Accent3 15" xfId="302"/>
    <cellStyle name="60% - Accent3 16" xfId="303"/>
    <cellStyle name="60% - Accent3 17" xfId="304"/>
    <cellStyle name="60% - Accent3 18" xfId="305"/>
    <cellStyle name="60% - Accent3 19" xfId="306"/>
    <cellStyle name="60% - Accent3 2" xfId="307"/>
    <cellStyle name="60% - Accent3 20" xfId="308"/>
    <cellStyle name="60% - Accent3 21" xfId="309"/>
    <cellStyle name="60% - Accent3 3" xfId="310"/>
    <cellStyle name="60% - Accent3 4" xfId="311"/>
    <cellStyle name="60% - Accent3 5" xfId="312"/>
    <cellStyle name="60% - Accent3 6" xfId="313"/>
    <cellStyle name="60% - Accent3 7" xfId="314"/>
    <cellStyle name="60% - Accent3 8" xfId="315"/>
    <cellStyle name="60% - Accent3 9" xfId="316"/>
    <cellStyle name="60% - Accent4" xfId="317" builtinId="44" customBuiltin="1"/>
    <cellStyle name="60% - Accent4 10" xfId="318"/>
    <cellStyle name="60% - Accent4 11" xfId="319"/>
    <cellStyle name="60% - Accent4 12" xfId="320"/>
    <cellStyle name="60% - Accent4 13" xfId="321"/>
    <cellStyle name="60% - Accent4 14" xfId="322"/>
    <cellStyle name="60% - Accent4 15" xfId="323"/>
    <cellStyle name="60% - Accent4 16" xfId="324"/>
    <cellStyle name="60% - Accent4 17" xfId="325"/>
    <cellStyle name="60% - Accent4 18" xfId="326"/>
    <cellStyle name="60% - Accent4 19" xfId="327"/>
    <cellStyle name="60% - Accent4 2" xfId="328"/>
    <cellStyle name="60% - Accent4 20" xfId="329"/>
    <cellStyle name="60% - Accent4 21" xfId="330"/>
    <cellStyle name="60% - Accent4 3" xfId="331"/>
    <cellStyle name="60% - Accent4 4" xfId="332"/>
    <cellStyle name="60% - Accent4 5" xfId="333"/>
    <cellStyle name="60% - Accent4 6" xfId="334"/>
    <cellStyle name="60% - Accent4 7" xfId="335"/>
    <cellStyle name="60% - Accent4 8" xfId="336"/>
    <cellStyle name="60% - Accent4 9" xfId="337"/>
    <cellStyle name="60% - Accent5" xfId="338" builtinId="48" customBuiltin="1"/>
    <cellStyle name="60% - Accent5 10" xfId="339"/>
    <cellStyle name="60% - Accent5 11" xfId="340"/>
    <cellStyle name="60% - Accent5 12" xfId="341"/>
    <cellStyle name="60% - Accent5 13" xfId="342"/>
    <cellStyle name="60% - Accent5 14" xfId="343"/>
    <cellStyle name="60% - Accent5 15" xfId="344"/>
    <cellStyle name="60% - Accent5 16" xfId="345"/>
    <cellStyle name="60% - Accent5 17" xfId="346"/>
    <cellStyle name="60% - Accent5 18" xfId="347"/>
    <cellStyle name="60% - Accent5 19" xfId="348"/>
    <cellStyle name="60% - Accent5 2" xfId="349"/>
    <cellStyle name="60% - Accent5 20" xfId="350"/>
    <cellStyle name="60% - Accent5 21" xfId="351"/>
    <cellStyle name="60% - Accent5 3" xfId="352"/>
    <cellStyle name="60% - Accent5 4" xfId="353"/>
    <cellStyle name="60% - Accent5 5" xfId="354"/>
    <cellStyle name="60% - Accent5 6" xfId="355"/>
    <cellStyle name="60% - Accent5 7" xfId="356"/>
    <cellStyle name="60% - Accent5 8" xfId="357"/>
    <cellStyle name="60% - Accent5 9" xfId="358"/>
    <cellStyle name="60% - Accent6" xfId="359" builtinId="52" customBuiltin="1"/>
    <cellStyle name="60% - Accent6 10" xfId="360"/>
    <cellStyle name="60% - Accent6 11" xfId="361"/>
    <cellStyle name="60% - Accent6 12" xfId="362"/>
    <cellStyle name="60% - Accent6 13" xfId="363"/>
    <cellStyle name="60% - Accent6 14" xfId="364"/>
    <cellStyle name="60% - Accent6 15" xfId="365"/>
    <cellStyle name="60% - Accent6 16" xfId="366"/>
    <cellStyle name="60% - Accent6 17" xfId="367"/>
    <cellStyle name="60% - Accent6 18" xfId="368"/>
    <cellStyle name="60% - Accent6 19" xfId="369"/>
    <cellStyle name="60% - Accent6 2" xfId="370"/>
    <cellStyle name="60% - Accent6 20" xfId="371"/>
    <cellStyle name="60% - Accent6 21" xfId="372"/>
    <cellStyle name="60% - Accent6 3" xfId="373"/>
    <cellStyle name="60% - Accent6 4" xfId="374"/>
    <cellStyle name="60% - Accent6 5" xfId="375"/>
    <cellStyle name="60% - Accent6 6" xfId="376"/>
    <cellStyle name="60% - Accent6 7" xfId="377"/>
    <cellStyle name="60% - Accent6 8" xfId="378"/>
    <cellStyle name="60% - Accent6 9" xfId="379"/>
    <cellStyle name="Accent1" xfId="380" builtinId="29" customBuiltin="1"/>
    <cellStyle name="Accent1 10" xfId="381"/>
    <cellStyle name="Accent1 11" xfId="382"/>
    <cellStyle name="Accent1 12" xfId="383"/>
    <cellStyle name="Accent1 13" xfId="384"/>
    <cellStyle name="Accent1 14" xfId="385"/>
    <cellStyle name="Accent1 15" xfId="386"/>
    <cellStyle name="Accent1 16" xfId="387"/>
    <cellStyle name="Accent1 17" xfId="388"/>
    <cellStyle name="Accent1 18" xfId="389"/>
    <cellStyle name="Accent1 19" xfId="390"/>
    <cellStyle name="Accent1 2" xfId="391"/>
    <cellStyle name="Accent1 20" xfId="392"/>
    <cellStyle name="Accent1 21" xfId="393"/>
    <cellStyle name="Accent1 3" xfId="394"/>
    <cellStyle name="Accent1 4" xfId="395"/>
    <cellStyle name="Accent1 5" xfId="396"/>
    <cellStyle name="Accent1 6" xfId="397"/>
    <cellStyle name="Accent1 7" xfId="398"/>
    <cellStyle name="Accent1 8" xfId="399"/>
    <cellStyle name="Accent1 9" xfId="400"/>
    <cellStyle name="Accent2" xfId="401" builtinId="33" customBuiltin="1"/>
    <cellStyle name="Accent2 10" xfId="402"/>
    <cellStyle name="Accent2 11" xfId="403"/>
    <cellStyle name="Accent2 12" xfId="404"/>
    <cellStyle name="Accent2 13" xfId="405"/>
    <cellStyle name="Accent2 14" xfId="406"/>
    <cellStyle name="Accent2 15" xfId="407"/>
    <cellStyle name="Accent2 16" xfId="408"/>
    <cellStyle name="Accent2 17" xfId="409"/>
    <cellStyle name="Accent2 18" xfId="410"/>
    <cellStyle name="Accent2 19" xfId="411"/>
    <cellStyle name="Accent2 2" xfId="412"/>
    <cellStyle name="Accent2 20" xfId="413"/>
    <cellStyle name="Accent2 21" xfId="414"/>
    <cellStyle name="Accent2 3" xfId="415"/>
    <cellStyle name="Accent2 4" xfId="416"/>
    <cellStyle name="Accent2 5" xfId="417"/>
    <cellStyle name="Accent2 6" xfId="418"/>
    <cellStyle name="Accent2 7" xfId="419"/>
    <cellStyle name="Accent2 8" xfId="420"/>
    <cellStyle name="Accent2 9" xfId="421"/>
    <cellStyle name="Accent3" xfId="422" builtinId="37" customBuiltin="1"/>
    <cellStyle name="Accent3 10" xfId="423"/>
    <cellStyle name="Accent3 11" xfId="424"/>
    <cellStyle name="Accent3 12" xfId="425"/>
    <cellStyle name="Accent3 13" xfId="426"/>
    <cellStyle name="Accent3 14" xfId="427"/>
    <cellStyle name="Accent3 15" xfId="428"/>
    <cellStyle name="Accent3 16" xfId="429"/>
    <cellStyle name="Accent3 17" xfId="430"/>
    <cellStyle name="Accent3 18" xfId="431"/>
    <cellStyle name="Accent3 19" xfId="432"/>
    <cellStyle name="Accent3 2" xfId="433"/>
    <cellStyle name="Accent3 20" xfId="434"/>
    <cellStyle name="Accent3 21" xfId="435"/>
    <cellStyle name="Accent3 3" xfId="436"/>
    <cellStyle name="Accent3 4" xfId="437"/>
    <cellStyle name="Accent3 5" xfId="438"/>
    <cellStyle name="Accent3 6" xfId="439"/>
    <cellStyle name="Accent3 7" xfId="440"/>
    <cellStyle name="Accent3 8" xfId="441"/>
    <cellStyle name="Accent3 9" xfId="442"/>
    <cellStyle name="Accent4" xfId="443" builtinId="41" customBuiltin="1"/>
    <cellStyle name="Accent4 10" xfId="444"/>
    <cellStyle name="Accent4 11" xfId="445"/>
    <cellStyle name="Accent4 12" xfId="446"/>
    <cellStyle name="Accent4 13" xfId="447"/>
    <cellStyle name="Accent4 14" xfId="448"/>
    <cellStyle name="Accent4 15" xfId="449"/>
    <cellStyle name="Accent4 16" xfId="450"/>
    <cellStyle name="Accent4 17" xfId="451"/>
    <cellStyle name="Accent4 18" xfId="452"/>
    <cellStyle name="Accent4 19" xfId="453"/>
    <cellStyle name="Accent4 2" xfId="454"/>
    <cellStyle name="Accent4 20" xfId="455"/>
    <cellStyle name="Accent4 21" xfId="456"/>
    <cellStyle name="Accent4 3" xfId="457"/>
    <cellStyle name="Accent4 4" xfId="458"/>
    <cellStyle name="Accent4 5" xfId="459"/>
    <cellStyle name="Accent4 6" xfId="460"/>
    <cellStyle name="Accent4 7" xfId="461"/>
    <cellStyle name="Accent4 8" xfId="462"/>
    <cellStyle name="Accent4 9" xfId="463"/>
    <cellStyle name="Accent5" xfId="464" builtinId="45" customBuiltin="1"/>
    <cellStyle name="Accent5 10" xfId="465"/>
    <cellStyle name="Accent5 11" xfId="466"/>
    <cellStyle name="Accent5 12" xfId="467"/>
    <cellStyle name="Accent5 13" xfId="468"/>
    <cellStyle name="Accent5 14" xfId="469"/>
    <cellStyle name="Accent5 15" xfId="470"/>
    <cellStyle name="Accent5 16" xfId="471"/>
    <cellStyle name="Accent5 17" xfId="472"/>
    <cellStyle name="Accent5 18" xfId="473"/>
    <cellStyle name="Accent5 19" xfId="474"/>
    <cellStyle name="Accent5 2" xfId="475"/>
    <cellStyle name="Accent5 20" xfId="476"/>
    <cellStyle name="Accent5 21" xfId="477"/>
    <cellStyle name="Accent5 3" xfId="478"/>
    <cellStyle name="Accent5 4" xfId="479"/>
    <cellStyle name="Accent5 5" xfId="480"/>
    <cellStyle name="Accent5 6" xfId="481"/>
    <cellStyle name="Accent5 7" xfId="482"/>
    <cellStyle name="Accent5 8" xfId="483"/>
    <cellStyle name="Accent5 9" xfId="484"/>
    <cellStyle name="Accent6" xfId="485" builtinId="49" customBuiltin="1"/>
    <cellStyle name="Accent6 10" xfId="486"/>
    <cellStyle name="Accent6 11" xfId="487"/>
    <cellStyle name="Accent6 12" xfId="488"/>
    <cellStyle name="Accent6 13" xfId="489"/>
    <cellStyle name="Accent6 14" xfId="490"/>
    <cellStyle name="Accent6 15" xfId="491"/>
    <cellStyle name="Accent6 16" xfId="492"/>
    <cellStyle name="Accent6 17" xfId="493"/>
    <cellStyle name="Accent6 18" xfId="494"/>
    <cellStyle name="Accent6 19" xfId="495"/>
    <cellStyle name="Accent6 2" xfId="496"/>
    <cellStyle name="Accent6 20" xfId="497"/>
    <cellStyle name="Accent6 21" xfId="498"/>
    <cellStyle name="Accent6 3" xfId="499"/>
    <cellStyle name="Accent6 4" xfId="500"/>
    <cellStyle name="Accent6 5" xfId="501"/>
    <cellStyle name="Accent6 6" xfId="502"/>
    <cellStyle name="Accent6 7" xfId="503"/>
    <cellStyle name="Accent6 8" xfId="504"/>
    <cellStyle name="Accent6 9" xfId="505"/>
    <cellStyle name="Actual Date" xfId="506"/>
    <cellStyle name="Bad" xfId="507" builtinId="27" customBuiltin="1"/>
    <cellStyle name="Bad 10" xfId="508"/>
    <cellStyle name="Bad 11" xfId="509"/>
    <cellStyle name="Bad 12" xfId="510"/>
    <cellStyle name="Bad 13" xfId="511"/>
    <cellStyle name="Bad 14" xfId="512"/>
    <cellStyle name="Bad 15" xfId="513"/>
    <cellStyle name="Bad 16" xfId="514"/>
    <cellStyle name="Bad 17" xfId="515"/>
    <cellStyle name="Bad 18" xfId="516"/>
    <cellStyle name="Bad 19" xfId="517"/>
    <cellStyle name="Bad 2" xfId="518"/>
    <cellStyle name="Bad 20" xfId="519"/>
    <cellStyle name="Bad 21" xfId="520"/>
    <cellStyle name="Bad 3" xfId="521"/>
    <cellStyle name="Bad 4" xfId="522"/>
    <cellStyle name="Bad 5" xfId="523"/>
    <cellStyle name="Bad 6" xfId="524"/>
    <cellStyle name="Bad 7" xfId="525"/>
    <cellStyle name="Bad 8" xfId="526"/>
    <cellStyle name="Bad 9" xfId="527"/>
    <cellStyle name="Calc Currency (0)" xfId="528"/>
    <cellStyle name="Calculation" xfId="529" builtinId="22" customBuiltin="1"/>
    <cellStyle name="Calculation 10" xfId="530"/>
    <cellStyle name="Calculation 11" xfId="531"/>
    <cellStyle name="Calculation 12" xfId="532"/>
    <cellStyle name="Calculation 13" xfId="533"/>
    <cellStyle name="Calculation 14" xfId="534"/>
    <cellStyle name="Calculation 15" xfId="535"/>
    <cellStyle name="Calculation 16" xfId="536"/>
    <cellStyle name="Calculation 17" xfId="537"/>
    <cellStyle name="Calculation 18" xfId="538"/>
    <cellStyle name="Calculation 19" xfId="539"/>
    <cellStyle name="Calculation 2" xfId="540"/>
    <cellStyle name="Calculation 20" xfId="541"/>
    <cellStyle name="Calculation 21" xfId="542"/>
    <cellStyle name="Calculation 3" xfId="543"/>
    <cellStyle name="Calculation 4" xfId="544"/>
    <cellStyle name="Calculation 5" xfId="545"/>
    <cellStyle name="Calculation 6" xfId="546"/>
    <cellStyle name="Calculation 7" xfId="547"/>
    <cellStyle name="Calculation 8" xfId="548"/>
    <cellStyle name="Calculation 9" xfId="549"/>
    <cellStyle name="Check Cell" xfId="550" builtinId="23" customBuiltin="1"/>
    <cellStyle name="Check Cell 10" xfId="551"/>
    <cellStyle name="Check Cell 11" xfId="552"/>
    <cellStyle name="Check Cell 12" xfId="553"/>
    <cellStyle name="Check Cell 13" xfId="554"/>
    <cellStyle name="Check Cell 14" xfId="555"/>
    <cellStyle name="Check Cell 15" xfId="556"/>
    <cellStyle name="Check Cell 16" xfId="557"/>
    <cellStyle name="Check Cell 17" xfId="558"/>
    <cellStyle name="Check Cell 18" xfId="559"/>
    <cellStyle name="Check Cell 19" xfId="560"/>
    <cellStyle name="Check Cell 2" xfId="561"/>
    <cellStyle name="Check Cell 20" xfId="562"/>
    <cellStyle name="Check Cell 21" xfId="563"/>
    <cellStyle name="Check Cell 3" xfId="564"/>
    <cellStyle name="Check Cell 4" xfId="565"/>
    <cellStyle name="Check Cell 5" xfId="566"/>
    <cellStyle name="Check Cell 6" xfId="567"/>
    <cellStyle name="Check Cell 7" xfId="568"/>
    <cellStyle name="Check Cell 8" xfId="569"/>
    <cellStyle name="Check Cell 9" xfId="570"/>
    <cellStyle name="Column.Head" xfId="571"/>
    <cellStyle name="Comma" xfId="572" builtinId="3"/>
    <cellStyle name="Comma 10" xfId="573"/>
    <cellStyle name="Comma 11" xfId="574"/>
    <cellStyle name="Comma 12" xfId="575"/>
    <cellStyle name="Comma 13" xfId="576"/>
    <cellStyle name="Comma 14" xfId="577"/>
    <cellStyle name="Comma 15" xfId="578"/>
    <cellStyle name="Comma 16" xfId="579"/>
    <cellStyle name="Comma 17" xfId="580"/>
    <cellStyle name="Comma 18" xfId="581"/>
    <cellStyle name="Comma 19" xfId="582"/>
    <cellStyle name="Comma 2" xfId="583"/>
    <cellStyle name="Comma 2 10" xfId="584"/>
    <cellStyle name="Comma 2 11" xfId="585"/>
    <cellStyle name="Comma 2 12" xfId="586"/>
    <cellStyle name="Comma 2 13" xfId="587"/>
    <cellStyle name="Comma 2 14" xfId="1510"/>
    <cellStyle name="Comma 2 2" xfId="588"/>
    <cellStyle name="Comma 2 3" xfId="589"/>
    <cellStyle name="Comma 2 4" xfId="590"/>
    <cellStyle name="Comma 2 5" xfId="591"/>
    <cellStyle name="Comma 2 6" xfId="592"/>
    <cellStyle name="Comma 2 7" xfId="593"/>
    <cellStyle name="Comma 2 8" xfId="594"/>
    <cellStyle name="Comma 2 9" xfId="595"/>
    <cellStyle name="Comma 20" xfId="596"/>
    <cellStyle name="Comma 21" xfId="597"/>
    <cellStyle name="Comma 22" xfId="598"/>
    <cellStyle name="Comma 23" xfId="599"/>
    <cellStyle name="Comma 24" xfId="600"/>
    <cellStyle name="Comma 25" xfId="601"/>
    <cellStyle name="Comma 26" xfId="602"/>
    <cellStyle name="Comma 27" xfId="603"/>
    <cellStyle name="Comma 28" xfId="604"/>
    <cellStyle name="Comma 29" xfId="605"/>
    <cellStyle name="Comma 3" xfId="606"/>
    <cellStyle name="Comma 30" xfId="607"/>
    <cellStyle name="Comma 31" xfId="608"/>
    <cellStyle name="Comma 32" xfId="609"/>
    <cellStyle name="Comma 33" xfId="610"/>
    <cellStyle name="Comma 34" xfId="611"/>
    <cellStyle name="Comma 35" xfId="612"/>
    <cellStyle name="Comma 36" xfId="613"/>
    <cellStyle name="Comma 37" xfId="614"/>
    <cellStyle name="Comma 38" xfId="615"/>
    <cellStyle name="Comma 39" xfId="616"/>
    <cellStyle name="Comma 4" xfId="617"/>
    <cellStyle name="Comma 40" xfId="618"/>
    <cellStyle name="Comma 41" xfId="619"/>
    <cellStyle name="Comma 42" xfId="620"/>
    <cellStyle name="Comma 43" xfId="621"/>
    <cellStyle name="Comma 44" xfId="622"/>
    <cellStyle name="Comma 45" xfId="623"/>
    <cellStyle name="Comma 46" xfId="624"/>
    <cellStyle name="Comma 47" xfId="625"/>
    <cellStyle name="Comma 48" xfId="626"/>
    <cellStyle name="Comma 49" xfId="627"/>
    <cellStyle name="Comma 5" xfId="628"/>
    <cellStyle name="Comma 50" xfId="629"/>
    <cellStyle name="Comma 51" xfId="630"/>
    <cellStyle name="Comma 52" xfId="631"/>
    <cellStyle name="Comma 53" xfId="632"/>
    <cellStyle name="Comma 54" xfId="633"/>
    <cellStyle name="Comma 55" xfId="634"/>
    <cellStyle name="Comma 56" xfId="635"/>
    <cellStyle name="Comma 57" xfId="636"/>
    <cellStyle name="Comma 58" xfId="637"/>
    <cellStyle name="Comma 59" xfId="638"/>
    <cellStyle name="Comma 6" xfId="639"/>
    <cellStyle name="Comma 60" xfId="640"/>
    <cellStyle name="Comma 61" xfId="641"/>
    <cellStyle name="Comma 62" xfId="642"/>
    <cellStyle name="Comma 63" xfId="643"/>
    <cellStyle name="Comma 64" xfId="644"/>
    <cellStyle name="Comma 65" xfId="645"/>
    <cellStyle name="Comma 66" xfId="646"/>
    <cellStyle name="Comma 67" xfId="647"/>
    <cellStyle name="Comma 68" xfId="648"/>
    <cellStyle name="Comma 69" xfId="649"/>
    <cellStyle name="Comma 7" xfId="650"/>
    <cellStyle name="Comma 70" xfId="651"/>
    <cellStyle name="Comma 71" xfId="652"/>
    <cellStyle name="Comma 72" xfId="653"/>
    <cellStyle name="Comma 73" xfId="654"/>
    <cellStyle name="Comma 74" xfId="655"/>
    <cellStyle name="Comma 75" xfId="656"/>
    <cellStyle name="Comma 76" xfId="657"/>
    <cellStyle name="Comma 77" xfId="658"/>
    <cellStyle name="Comma 78" xfId="659"/>
    <cellStyle name="Comma 79" xfId="660"/>
    <cellStyle name="Comma 8" xfId="661"/>
    <cellStyle name="Comma 80" xfId="662"/>
    <cellStyle name="Comma 81" xfId="663"/>
    <cellStyle name="Comma 82" xfId="664"/>
    <cellStyle name="Comma 83" xfId="665"/>
    <cellStyle name="Comma 84" xfId="666"/>
    <cellStyle name="Comma 85" xfId="667"/>
    <cellStyle name="Comma 86" xfId="668"/>
    <cellStyle name="Comma 87" xfId="669"/>
    <cellStyle name="Comma 88" xfId="670"/>
    <cellStyle name="Comma 89" xfId="671"/>
    <cellStyle name="Comma 9" xfId="672"/>
    <cellStyle name="Comma 90" xfId="673"/>
    <cellStyle name="Comma 91" xfId="674"/>
    <cellStyle name="Comma 92" xfId="675"/>
    <cellStyle name="Comma 93" xfId="676"/>
    <cellStyle name="Comma 94" xfId="677"/>
    <cellStyle name="Comma 95" xfId="678"/>
    <cellStyle name="Comma 96" xfId="679"/>
    <cellStyle name="Comma 97" xfId="680"/>
    <cellStyle name="Comma 98" xfId="681"/>
    <cellStyle name="Comma 99" xfId="1511"/>
    <cellStyle name="comma, 0" xfId="682"/>
    <cellStyle name="Comma_Final_Forecast_Network_Transmission" xfId="683"/>
    <cellStyle name="Comma_UPDATED_FMPA_Network_Transmission" xfId="684"/>
    <cellStyle name="Config Data" xfId="685"/>
    <cellStyle name="Copied" xfId="686"/>
    <cellStyle name="Currency" xfId="687" builtinId="4"/>
    <cellStyle name="Currency 2" xfId="688"/>
    <cellStyle name="Currency 3" xfId="689"/>
    <cellStyle name="Currency 4" xfId="690"/>
    <cellStyle name="Currency 5" xfId="1512"/>
    <cellStyle name="Currency.oo" xfId="691"/>
    <cellStyle name="Currency_LRS0004" xfId="692"/>
    <cellStyle name="Currency_STFXNF" xfId="693"/>
    <cellStyle name="Date" xfId="694"/>
    <cellStyle name="Dot" xfId="695"/>
    <cellStyle name="Entered" xfId="696"/>
    <cellStyle name="Explanatory Text" xfId="697" builtinId="53" customBuiltin="1"/>
    <cellStyle name="Explanatory Text 10" xfId="698"/>
    <cellStyle name="Explanatory Text 11" xfId="699"/>
    <cellStyle name="Explanatory Text 12" xfId="700"/>
    <cellStyle name="Explanatory Text 13" xfId="701"/>
    <cellStyle name="Explanatory Text 14" xfId="702"/>
    <cellStyle name="Explanatory Text 15" xfId="703"/>
    <cellStyle name="Explanatory Text 16" xfId="704"/>
    <cellStyle name="Explanatory Text 17" xfId="705"/>
    <cellStyle name="Explanatory Text 18" xfId="706"/>
    <cellStyle name="Explanatory Text 19" xfId="707"/>
    <cellStyle name="Explanatory Text 2" xfId="708"/>
    <cellStyle name="Explanatory Text 20" xfId="709"/>
    <cellStyle name="Explanatory Text 21" xfId="710"/>
    <cellStyle name="Explanatory Text 3" xfId="711"/>
    <cellStyle name="Explanatory Text 4" xfId="712"/>
    <cellStyle name="Explanatory Text 5" xfId="713"/>
    <cellStyle name="Explanatory Text 6" xfId="714"/>
    <cellStyle name="Explanatory Text 7" xfId="715"/>
    <cellStyle name="Explanatory Text 8" xfId="716"/>
    <cellStyle name="Explanatory Text 9" xfId="717"/>
    <cellStyle name="Fixed" xfId="718"/>
    <cellStyle name="Good" xfId="719" builtinId="26" customBuiltin="1"/>
    <cellStyle name="Good 10" xfId="720"/>
    <cellStyle name="Good 11" xfId="721"/>
    <cellStyle name="Good 12" xfId="722"/>
    <cellStyle name="Good 13" xfId="723"/>
    <cellStyle name="Good 14" xfId="724"/>
    <cellStyle name="Good 15" xfId="725"/>
    <cellStyle name="Good 16" xfId="726"/>
    <cellStyle name="Good 17" xfId="727"/>
    <cellStyle name="Good 18" xfId="728"/>
    <cellStyle name="Good 19" xfId="729"/>
    <cellStyle name="Good 2" xfId="730"/>
    <cellStyle name="Good 20" xfId="731"/>
    <cellStyle name="Good 21" xfId="732"/>
    <cellStyle name="Good 3" xfId="733"/>
    <cellStyle name="Good 4" xfId="734"/>
    <cellStyle name="Good 5" xfId="735"/>
    <cellStyle name="Good 6" xfId="736"/>
    <cellStyle name="Good 7" xfId="737"/>
    <cellStyle name="Good 8" xfId="738"/>
    <cellStyle name="Good 9" xfId="739"/>
    <cellStyle name="Grey" xfId="740"/>
    <cellStyle name="HEADER" xfId="741"/>
    <cellStyle name="Header1" xfId="742"/>
    <cellStyle name="Header2" xfId="743"/>
    <cellStyle name="Heading 1" xfId="744" builtinId="16" customBuiltin="1"/>
    <cellStyle name="Heading 1 10" xfId="745"/>
    <cellStyle name="Heading 1 11" xfId="746"/>
    <cellStyle name="Heading 1 12" xfId="747"/>
    <cellStyle name="Heading 1 13" xfId="748"/>
    <cellStyle name="Heading 1 14" xfId="749"/>
    <cellStyle name="Heading 1 15" xfId="750"/>
    <cellStyle name="Heading 1 16" xfId="751"/>
    <cellStyle name="Heading 1 17" xfId="752"/>
    <cellStyle name="Heading 1 18" xfId="753"/>
    <cellStyle name="Heading 1 19" xfId="754"/>
    <cellStyle name="Heading 1 2" xfId="755"/>
    <cellStyle name="Heading 1 20" xfId="756"/>
    <cellStyle name="Heading 1 21" xfId="757"/>
    <cellStyle name="Heading 1 3" xfId="758"/>
    <cellStyle name="Heading 1 4" xfId="759"/>
    <cellStyle name="Heading 1 5" xfId="760"/>
    <cellStyle name="Heading 1 6" xfId="761"/>
    <cellStyle name="Heading 1 7" xfId="762"/>
    <cellStyle name="Heading 1 8" xfId="763"/>
    <cellStyle name="Heading 1 9" xfId="764"/>
    <cellStyle name="Heading 2" xfId="765" builtinId="17" customBuiltin="1"/>
    <cellStyle name="Heading 2 10" xfId="766"/>
    <cellStyle name="Heading 2 11" xfId="767"/>
    <cellStyle name="Heading 2 12" xfId="768"/>
    <cellStyle name="Heading 2 13" xfId="769"/>
    <cellStyle name="Heading 2 14" xfId="770"/>
    <cellStyle name="Heading 2 15" xfId="771"/>
    <cellStyle name="Heading 2 16" xfId="772"/>
    <cellStyle name="Heading 2 17" xfId="773"/>
    <cellStyle name="Heading 2 18" xfId="774"/>
    <cellStyle name="Heading 2 19" xfId="775"/>
    <cellStyle name="Heading 2 2" xfId="776"/>
    <cellStyle name="Heading 2 20" xfId="777"/>
    <cellStyle name="Heading 2 21" xfId="778"/>
    <cellStyle name="Heading 2 3" xfId="779"/>
    <cellStyle name="Heading 2 4" xfId="780"/>
    <cellStyle name="Heading 2 5" xfId="781"/>
    <cellStyle name="Heading 2 6" xfId="782"/>
    <cellStyle name="Heading 2 7" xfId="783"/>
    <cellStyle name="Heading 2 8" xfId="784"/>
    <cellStyle name="Heading 2 9" xfId="785"/>
    <cellStyle name="Heading 3" xfId="786" builtinId="18" customBuiltin="1"/>
    <cellStyle name="Heading 3 10" xfId="787"/>
    <cellStyle name="Heading 3 11" xfId="788"/>
    <cellStyle name="Heading 3 12" xfId="789"/>
    <cellStyle name="Heading 3 13" xfId="790"/>
    <cellStyle name="Heading 3 14" xfId="791"/>
    <cellStyle name="Heading 3 15" xfId="792"/>
    <cellStyle name="Heading 3 16" xfId="793"/>
    <cellStyle name="Heading 3 17" xfId="794"/>
    <cellStyle name="Heading 3 18" xfId="795"/>
    <cellStyle name="Heading 3 19" xfId="796"/>
    <cellStyle name="Heading 3 2" xfId="797"/>
    <cellStyle name="Heading 3 20" xfId="798"/>
    <cellStyle name="Heading 3 21" xfId="799"/>
    <cellStyle name="Heading 3 3" xfId="800"/>
    <cellStyle name="Heading 3 4" xfId="801"/>
    <cellStyle name="Heading 3 5" xfId="802"/>
    <cellStyle name="Heading 3 6" xfId="803"/>
    <cellStyle name="Heading 3 7" xfId="804"/>
    <cellStyle name="Heading 3 8" xfId="805"/>
    <cellStyle name="Heading 3 9" xfId="806"/>
    <cellStyle name="Heading 4" xfId="807" builtinId="19" customBuiltin="1"/>
    <cellStyle name="Heading 4 10" xfId="808"/>
    <cellStyle name="Heading 4 11" xfId="809"/>
    <cellStyle name="Heading 4 12" xfId="810"/>
    <cellStyle name="Heading 4 13" xfId="811"/>
    <cellStyle name="Heading 4 14" xfId="812"/>
    <cellStyle name="Heading 4 15" xfId="813"/>
    <cellStyle name="Heading 4 16" xfId="814"/>
    <cellStyle name="Heading 4 17" xfId="815"/>
    <cellStyle name="Heading 4 18" xfId="816"/>
    <cellStyle name="Heading 4 19" xfId="817"/>
    <cellStyle name="Heading 4 2" xfId="818"/>
    <cellStyle name="Heading 4 20" xfId="819"/>
    <cellStyle name="Heading 4 21" xfId="820"/>
    <cellStyle name="Heading 4 3" xfId="821"/>
    <cellStyle name="Heading 4 4" xfId="822"/>
    <cellStyle name="Heading 4 5" xfId="823"/>
    <cellStyle name="Heading 4 6" xfId="824"/>
    <cellStyle name="Heading 4 7" xfId="825"/>
    <cellStyle name="Heading 4 8" xfId="826"/>
    <cellStyle name="Heading 4 9" xfId="827"/>
    <cellStyle name="Heading1" xfId="828"/>
    <cellStyle name="Heading2" xfId="829"/>
    <cellStyle name="HIGHLIGHT" xfId="830"/>
    <cellStyle name="Hyperlink" xfId="1506" builtinId="8"/>
    <cellStyle name="Input" xfId="831" builtinId="20" customBuiltin="1"/>
    <cellStyle name="Input [yellow]" xfId="832"/>
    <cellStyle name="Input 10" xfId="833"/>
    <cellStyle name="Input 11" xfId="834"/>
    <cellStyle name="Input 12" xfId="835"/>
    <cellStyle name="Input 13" xfId="836"/>
    <cellStyle name="Input 14" xfId="837"/>
    <cellStyle name="Input 15" xfId="838"/>
    <cellStyle name="Input 16" xfId="839"/>
    <cellStyle name="Input 17" xfId="840"/>
    <cellStyle name="Input 18" xfId="841"/>
    <cellStyle name="Input 19" xfId="842"/>
    <cellStyle name="Input 2" xfId="843"/>
    <cellStyle name="Input 20" xfId="844"/>
    <cellStyle name="Input 21" xfId="845"/>
    <cellStyle name="Input 3" xfId="846"/>
    <cellStyle name="Input 4" xfId="847"/>
    <cellStyle name="Input 5" xfId="848"/>
    <cellStyle name="Input 6" xfId="849"/>
    <cellStyle name="Input 7" xfId="850"/>
    <cellStyle name="Input 8" xfId="851"/>
    <cellStyle name="Input 9" xfId="852"/>
    <cellStyle name="Linked Cell" xfId="853" builtinId="24" customBuiltin="1"/>
    <cellStyle name="Linked Cell 10" xfId="854"/>
    <cellStyle name="Linked Cell 11" xfId="855"/>
    <cellStyle name="Linked Cell 12" xfId="856"/>
    <cellStyle name="Linked Cell 13" xfId="857"/>
    <cellStyle name="Linked Cell 14" xfId="858"/>
    <cellStyle name="Linked Cell 15" xfId="859"/>
    <cellStyle name="Linked Cell 16" xfId="860"/>
    <cellStyle name="Linked Cell 17" xfId="861"/>
    <cellStyle name="Linked Cell 18" xfId="862"/>
    <cellStyle name="Linked Cell 19" xfId="863"/>
    <cellStyle name="Linked Cell 2" xfId="864"/>
    <cellStyle name="Linked Cell 20" xfId="865"/>
    <cellStyle name="Linked Cell 21" xfId="866"/>
    <cellStyle name="Linked Cell 3" xfId="867"/>
    <cellStyle name="Linked Cell 4" xfId="868"/>
    <cellStyle name="Linked Cell 5" xfId="869"/>
    <cellStyle name="Linked Cell 6" xfId="870"/>
    <cellStyle name="Linked Cell 7" xfId="871"/>
    <cellStyle name="Linked Cell 8" xfId="872"/>
    <cellStyle name="Linked Cell 9" xfId="873"/>
    <cellStyle name="n" xfId="874"/>
    <cellStyle name="n_2009 FF1 FPL Transmission Formula Draft(with source documents)04202010" xfId="875"/>
    <cellStyle name="n_2009 FPL Transmission Formula (03182010)" xfId="876"/>
    <cellStyle name="n_2010_TR_Denominator_Data_March_11_2010 (2)" xfId="877"/>
    <cellStyle name="n_Accum Depr  Depr Exp (Updated)" xfId="878"/>
    <cellStyle name="n_FERC Inputs - 2009 - Don Moss" xfId="879"/>
    <cellStyle name="n_FERC Inputs - 2009 - Don Moss (3)" xfId="880"/>
    <cellStyle name="n_Forecasting Input Requirements w Templates" xfId="881"/>
    <cellStyle name="n_FPL Transmission Formula (2009ff1data)" xfId="882"/>
    <cellStyle name="n_FPL Transmission Formula 01122009(pm)" xfId="883"/>
    <cellStyle name="n_FPL Transmission Formula 01142009" xfId="884"/>
    <cellStyle name="n_FPL Transmission Formula 03182010" xfId="885"/>
    <cellStyle name="n_Reg Accounting Inputs w Templates (2009info)" xfId="886"/>
    <cellStyle name="Neutral" xfId="887" builtinId="28" customBuiltin="1"/>
    <cellStyle name="Neutral 10" xfId="888"/>
    <cellStyle name="Neutral 11" xfId="889"/>
    <cellStyle name="Neutral 12" xfId="890"/>
    <cellStyle name="Neutral 13" xfId="891"/>
    <cellStyle name="Neutral 14" xfId="892"/>
    <cellStyle name="Neutral 15" xfId="893"/>
    <cellStyle name="Neutral 16" xfId="894"/>
    <cellStyle name="Neutral 17" xfId="895"/>
    <cellStyle name="Neutral 18" xfId="896"/>
    <cellStyle name="Neutral 19" xfId="897"/>
    <cellStyle name="Neutral 2" xfId="898"/>
    <cellStyle name="Neutral 20" xfId="899"/>
    <cellStyle name="Neutral 21" xfId="900"/>
    <cellStyle name="Neutral 3" xfId="901"/>
    <cellStyle name="Neutral 4" xfId="902"/>
    <cellStyle name="Neutral 5" xfId="903"/>
    <cellStyle name="Neutral 6" xfId="904"/>
    <cellStyle name="Neutral 7" xfId="905"/>
    <cellStyle name="Neutral 8" xfId="906"/>
    <cellStyle name="Neutral 9" xfId="907"/>
    <cellStyle name="no dec" xfId="908"/>
    <cellStyle name="Normal" xfId="0" builtinId="0"/>
    <cellStyle name="Normal - Style1" xfId="909"/>
    <cellStyle name="Normal 10" xfId="910"/>
    <cellStyle name="Normal 100" xfId="911"/>
    <cellStyle name="Normal 101" xfId="912"/>
    <cellStyle name="Normal 102" xfId="913"/>
    <cellStyle name="Normal 103" xfId="914"/>
    <cellStyle name="Normal 104" xfId="915"/>
    <cellStyle name="Normal 105" xfId="916"/>
    <cellStyle name="Normal 106" xfId="917"/>
    <cellStyle name="Normal 107" xfId="918"/>
    <cellStyle name="Normal 108" xfId="919"/>
    <cellStyle name="Normal 109" xfId="920"/>
    <cellStyle name="Normal 11" xfId="921"/>
    <cellStyle name="Normal 110" xfId="922"/>
    <cellStyle name="Normal 111" xfId="923"/>
    <cellStyle name="Normal 112" xfId="924"/>
    <cellStyle name="Normal 113" xfId="925"/>
    <cellStyle name="Normal 114" xfId="926"/>
    <cellStyle name="Normal 115" xfId="927"/>
    <cellStyle name="Normal 116" xfId="928"/>
    <cellStyle name="Normal 117" xfId="929"/>
    <cellStyle name="Normal 118" xfId="930"/>
    <cellStyle name="Normal 119" xfId="931"/>
    <cellStyle name="Normal 12" xfId="932"/>
    <cellStyle name="Normal 120" xfId="933"/>
    <cellStyle name="Normal 121" xfId="934"/>
    <cellStyle name="Normal 122" xfId="935"/>
    <cellStyle name="Normal 123" xfId="936"/>
    <cellStyle name="Normal 124" xfId="937"/>
    <cellStyle name="Normal 125" xfId="938"/>
    <cellStyle name="Normal 126" xfId="939"/>
    <cellStyle name="Normal 127" xfId="940"/>
    <cellStyle name="Normal 128" xfId="941"/>
    <cellStyle name="Normal 129" xfId="942"/>
    <cellStyle name="Normal 13" xfId="943"/>
    <cellStyle name="Normal 130" xfId="944"/>
    <cellStyle name="Normal 131" xfId="1505"/>
    <cellStyle name="Normal 132" xfId="1509"/>
    <cellStyle name="Normal 132 2" xfId="1513"/>
    <cellStyle name="Normal 14" xfId="945"/>
    <cellStyle name="Normal 15" xfId="946"/>
    <cellStyle name="Normal 16" xfId="947"/>
    <cellStyle name="Normal 17" xfId="948"/>
    <cellStyle name="Normal 18" xfId="949"/>
    <cellStyle name="Normal 19" xfId="950"/>
    <cellStyle name="Normal 2" xfId="951"/>
    <cellStyle name="Normal 2 10" xfId="952"/>
    <cellStyle name="Normal 2 100" xfId="953"/>
    <cellStyle name="Normal 2 101" xfId="954"/>
    <cellStyle name="Normal 2 102" xfId="955"/>
    <cellStyle name="Normal 2 103" xfId="956"/>
    <cellStyle name="Normal 2 104" xfId="957"/>
    <cellStyle name="Normal 2 105" xfId="958"/>
    <cellStyle name="Normal 2 106" xfId="959"/>
    <cellStyle name="Normal 2 107" xfId="960"/>
    <cellStyle name="Normal 2 108" xfId="961"/>
    <cellStyle name="Normal 2 109" xfId="962"/>
    <cellStyle name="Normal 2 11" xfId="963"/>
    <cellStyle name="Normal 2 110" xfId="964"/>
    <cellStyle name="Normal 2 111" xfId="965"/>
    <cellStyle name="Normal 2 112" xfId="966"/>
    <cellStyle name="Normal 2 113" xfId="967"/>
    <cellStyle name="Normal 2 114" xfId="968"/>
    <cellStyle name="Normal 2 115" xfId="969"/>
    <cellStyle name="Normal 2 116" xfId="970"/>
    <cellStyle name="Normal 2 117" xfId="971"/>
    <cellStyle name="Normal 2 118" xfId="972"/>
    <cellStyle name="Normal 2 119" xfId="973"/>
    <cellStyle name="Normal 2 12" xfId="974"/>
    <cellStyle name="Normal 2 120" xfId="975"/>
    <cellStyle name="Normal 2 121" xfId="976"/>
    <cellStyle name="Normal 2 122" xfId="977"/>
    <cellStyle name="Normal 2 123" xfId="978"/>
    <cellStyle name="Normal 2 124" xfId="979"/>
    <cellStyle name="Normal 2 125" xfId="980"/>
    <cellStyle name="Normal 2 126" xfId="981"/>
    <cellStyle name="Normal 2 127" xfId="982"/>
    <cellStyle name="Normal 2 128" xfId="983"/>
    <cellStyle name="Normal 2 129" xfId="984"/>
    <cellStyle name="Normal 2 13" xfId="985"/>
    <cellStyle name="Normal 2 130" xfId="986"/>
    <cellStyle name="Normal 2 131" xfId="1508"/>
    <cellStyle name="Normal 2 14" xfId="987"/>
    <cellStyle name="Normal 2 15" xfId="988"/>
    <cellStyle name="Normal 2 16" xfId="989"/>
    <cellStyle name="Normal 2 17" xfId="990"/>
    <cellStyle name="Normal 2 18" xfId="991"/>
    <cellStyle name="Normal 2 19" xfId="992"/>
    <cellStyle name="Normal 2 2" xfId="993"/>
    <cellStyle name="Normal 2 2 10" xfId="994"/>
    <cellStyle name="Normal 2 2 11" xfId="995"/>
    <cellStyle name="Normal 2 2 12" xfId="996"/>
    <cellStyle name="Normal 2 2 13" xfId="997"/>
    <cellStyle name="Normal 2 2 2" xfId="998"/>
    <cellStyle name="Normal 2 2 2 10" xfId="999"/>
    <cellStyle name="Normal 2 2 2 11" xfId="1000"/>
    <cellStyle name="Normal 2 2 2 12" xfId="1001"/>
    <cellStyle name="Normal 2 2 2 13" xfId="1002"/>
    <cellStyle name="Normal 2 2 2 2" xfId="1003"/>
    <cellStyle name="Normal 2 2 2 3" xfId="1004"/>
    <cellStyle name="Normal 2 2 2 4" xfId="1005"/>
    <cellStyle name="Normal 2 2 2 5" xfId="1006"/>
    <cellStyle name="Normal 2 2 2 6" xfId="1007"/>
    <cellStyle name="Normal 2 2 2 7" xfId="1008"/>
    <cellStyle name="Normal 2 2 2 8" xfId="1009"/>
    <cellStyle name="Normal 2 2 2 9" xfId="1010"/>
    <cellStyle name="Normal 2 2 2_AFUDC WO depr calc (3)" xfId="1011"/>
    <cellStyle name="Normal 2 2 3" xfId="1012"/>
    <cellStyle name="Normal 2 2 4" xfId="1013"/>
    <cellStyle name="Normal 2 2 5" xfId="1014"/>
    <cellStyle name="Normal 2 2 6" xfId="1015"/>
    <cellStyle name="Normal 2 2 7" xfId="1016"/>
    <cellStyle name="Normal 2 2 8" xfId="1017"/>
    <cellStyle name="Normal 2 2 9" xfId="1018"/>
    <cellStyle name="Normal 2 20" xfId="1019"/>
    <cellStyle name="Normal 2 21" xfId="1020"/>
    <cellStyle name="Normal 2 22" xfId="1021"/>
    <cellStyle name="Normal 2 23" xfId="1022"/>
    <cellStyle name="Normal 2 24" xfId="1023"/>
    <cellStyle name="Normal 2 25" xfId="1024"/>
    <cellStyle name="Normal 2 26" xfId="1025"/>
    <cellStyle name="Normal 2 27" xfId="1026"/>
    <cellStyle name="Normal 2 28" xfId="1027"/>
    <cellStyle name="Normal 2 29" xfId="1028"/>
    <cellStyle name="Normal 2 3" xfId="1029"/>
    <cellStyle name="Normal 2 30" xfId="1030"/>
    <cellStyle name="Normal 2 31" xfId="1031"/>
    <cellStyle name="Normal 2 32" xfId="1032"/>
    <cellStyle name="Normal 2 33" xfId="1033"/>
    <cellStyle name="Normal 2 34" xfId="1034"/>
    <cellStyle name="Normal 2 35" xfId="1035"/>
    <cellStyle name="Normal 2 36" xfId="1036"/>
    <cellStyle name="Normal 2 37" xfId="1037"/>
    <cellStyle name="Normal 2 38" xfId="1038"/>
    <cellStyle name="Normal 2 39" xfId="1039"/>
    <cellStyle name="Normal 2 4" xfId="1040"/>
    <cellStyle name="Normal 2 40" xfId="1041"/>
    <cellStyle name="Normal 2 41" xfId="1042"/>
    <cellStyle name="Normal 2 42" xfId="1043"/>
    <cellStyle name="Normal 2 43" xfId="1044"/>
    <cellStyle name="Normal 2 44" xfId="1045"/>
    <cellStyle name="Normal 2 45" xfId="1046"/>
    <cellStyle name="Normal 2 46" xfId="1047"/>
    <cellStyle name="Normal 2 47" xfId="1048"/>
    <cellStyle name="Normal 2 48" xfId="1049"/>
    <cellStyle name="Normal 2 49" xfId="1050"/>
    <cellStyle name="Normal 2 5" xfId="1051"/>
    <cellStyle name="Normal 2 50" xfId="1052"/>
    <cellStyle name="Normal 2 51" xfId="1053"/>
    <cellStyle name="Normal 2 52" xfId="1054"/>
    <cellStyle name="Normal 2 53" xfId="1055"/>
    <cellStyle name="Normal 2 54" xfId="1056"/>
    <cellStyle name="Normal 2 55" xfId="1057"/>
    <cellStyle name="Normal 2 56" xfId="1058"/>
    <cellStyle name="Normal 2 57" xfId="1059"/>
    <cellStyle name="Normal 2 58" xfId="1060"/>
    <cellStyle name="Normal 2 59" xfId="1061"/>
    <cellStyle name="Normal 2 6" xfId="1062"/>
    <cellStyle name="Normal 2 60" xfId="1063"/>
    <cellStyle name="Normal 2 61" xfId="1064"/>
    <cellStyle name="Normal 2 62" xfId="1065"/>
    <cellStyle name="Normal 2 63" xfId="1066"/>
    <cellStyle name="Normal 2 64" xfId="1067"/>
    <cellStyle name="Normal 2 65" xfId="1068"/>
    <cellStyle name="Normal 2 66" xfId="1069"/>
    <cellStyle name="Normal 2 67" xfId="1070"/>
    <cellStyle name="Normal 2 68" xfId="1071"/>
    <cellStyle name="Normal 2 69" xfId="1072"/>
    <cellStyle name="Normal 2 7" xfId="1073"/>
    <cellStyle name="Normal 2 70" xfId="1074"/>
    <cellStyle name="Normal 2 71" xfId="1075"/>
    <cellStyle name="Normal 2 72" xfId="1076"/>
    <cellStyle name="Normal 2 73" xfId="1077"/>
    <cellStyle name="Normal 2 74" xfId="1078"/>
    <cellStyle name="Normal 2 75" xfId="1079"/>
    <cellStyle name="Normal 2 76" xfId="1080"/>
    <cellStyle name="Normal 2 77" xfId="1081"/>
    <cellStyle name="Normal 2 78" xfId="1082"/>
    <cellStyle name="Normal 2 79" xfId="1083"/>
    <cellStyle name="Normal 2 8" xfId="1084"/>
    <cellStyle name="Normal 2 80" xfId="1085"/>
    <cellStyle name="Normal 2 81" xfId="1086"/>
    <cellStyle name="Normal 2 82" xfId="1087"/>
    <cellStyle name="Normal 2 83" xfId="1088"/>
    <cellStyle name="Normal 2 84" xfId="1089"/>
    <cellStyle name="Normal 2 85" xfId="1090"/>
    <cellStyle name="Normal 2 86" xfId="1091"/>
    <cellStyle name="Normal 2 87" xfId="1092"/>
    <cellStyle name="Normal 2 88" xfId="1093"/>
    <cellStyle name="Normal 2 89" xfId="1094"/>
    <cellStyle name="Normal 2 9" xfId="1095"/>
    <cellStyle name="Normal 2 90" xfId="1096"/>
    <cellStyle name="Normal 2 91" xfId="1097"/>
    <cellStyle name="Normal 2 92" xfId="1098"/>
    <cellStyle name="Normal 2 93" xfId="1099"/>
    <cellStyle name="Normal 2 94" xfId="1100"/>
    <cellStyle name="Normal 2 95" xfId="1101"/>
    <cellStyle name="Normal 2 96" xfId="1102"/>
    <cellStyle name="Normal 2 97" xfId="1103"/>
    <cellStyle name="Normal 2 98" xfId="1104"/>
    <cellStyle name="Normal 2 99" xfId="1105"/>
    <cellStyle name="Normal 2_AFUDC WO depr calc without Dec 07 wo DG" xfId="1106"/>
    <cellStyle name="Normal 20" xfId="1107"/>
    <cellStyle name="Normal 21" xfId="1108"/>
    <cellStyle name="Normal 22" xfId="1109"/>
    <cellStyle name="Normal 23" xfId="1110"/>
    <cellStyle name="Normal 24" xfId="1111"/>
    <cellStyle name="Normal 25" xfId="1112"/>
    <cellStyle name="Normal 26" xfId="1113"/>
    <cellStyle name="Normal 27" xfId="1114"/>
    <cellStyle name="Normal 28" xfId="1115"/>
    <cellStyle name="Normal 29" xfId="1116"/>
    <cellStyle name="Normal 3" xfId="1117"/>
    <cellStyle name="Normal 30" xfId="1118"/>
    <cellStyle name="Normal 31" xfId="1119"/>
    <cellStyle name="Normal 32" xfId="1120"/>
    <cellStyle name="Normal 33" xfId="1121"/>
    <cellStyle name="Normal 34" xfId="1122"/>
    <cellStyle name="Normal 35" xfId="1123"/>
    <cellStyle name="Normal 36" xfId="1124"/>
    <cellStyle name="Normal 37" xfId="1125"/>
    <cellStyle name="Normal 38" xfId="1126"/>
    <cellStyle name="Normal 39" xfId="1127"/>
    <cellStyle name="Normal 4" xfId="1128"/>
    <cellStyle name="Normal 40" xfId="1129"/>
    <cellStyle name="Normal 41" xfId="1130"/>
    <cellStyle name="Normal 42" xfId="1131"/>
    <cellStyle name="Normal 43" xfId="1132"/>
    <cellStyle name="Normal 44" xfId="1133"/>
    <cellStyle name="Normal 45" xfId="1134"/>
    <cellStyle name="Normal 46" xfId="1135"/>
    <cellStyle name="Normal 47" xfId="1136"/>
    <cellStyle name="Normal 48" xfId="1137"/>
    <cellStyle name="Normal 49" xfId="1138"/>
    <cellStyle name="Normal 5" xfId="1139"/>
    <cellStyle name="Normal 50" xfId="1140"/>
    <cellStyle name="Normal 51" xfId="1141"/>
    <cellStyle name="Normal 52" xfId="1142"/>
    <cellStyle name="Normal 53" xfId="1143"/>
    <cellStyle name="Normal 54" xfId="1144"/>
    <cellStyle name="Normal 55" xfId="1145"/>
    <cellStyle name="Normal 56" xfId="1146"/>
    <cellStyle name="Normal 57" xfId="1147"/>
    <cellStyle name="Normal 58" xfId="1148"/>
    <cellStyle name="Normal 59" xfId="1149"/>
    <cellStyle name="Normal 6" xfId="1150"/>
    <cellStyle name="Normal 60" xfId="1151"/>
    <cellStyle name="Normal 61" xfId="1152"/>
    <cellStyle name="Normal 62" xfId="1153"/>
    <cellStyle name="Normal 63" xfId="1154"/>
    <cellStyle name="Normal 64" xfId="1155"/>
    <cellStyle name="Normal 65" xfId="1156"/>
    <cellStyle name="Normal 66" xfId="1157"/>
    <cellStyle name="Normal 67" xfId="1158"/>
    <cellStyle name="Normal 68" xfId="1159"/>
    <cellStyle name="Normal 69" xfId="1160"/>
    <cellStyle name="Normal 7" xfId="1161"/>
    <cellStyle name="Normal 70" xfId="1162"/>
    <cellStyle name="Normal 71" xfId="1163"/>
    <cellStyle name="Normal 72" xfId="1164"/>
    <cellStyle name="Normal 73" xfId="1165"/>
    <cellStyle name="Normal 74" xfId="1166"/>
    <cellStyle name="Normal 75" xfId="1167"/>
    <cellStyle name="Normal 76" xfId="1168"/>
    <cellStyle name="Normal 77" xfId="1169"/>
    <cellStyle name="Normal 78" xfId="1170"/>
    <cellStyle name="Normal 79" xfId="1171"/>
    <cellStyle name="Normal 8" xfId="1172"/>
    <cellStyle name="Normal 80" xfId="1173"/>
    <cellStyle name="Normal 81" xfId="1174"/>
    <cellStyle name="Normal 82" xfId="1175"/>
    <cellStyle name="Normal 83" xfId="1176"/>
    <cellStyle name="Normal 84" xfId="1177"/>
    <cellStyle name="Normal 85" xfId="1178"/>
    <cellStyle name="Normal 86" xfId="1179"/>
    <cellStyle name="Normal 87" xfId="1180"/>
    <cellStyle name="Normal 88" xfId="1181"/>
    <cellStyle name="Normal 89" xfId="1182"/>
    <cellStyle name="Normal 9" xfId="1183"/>
    <cellStyle name="Normal 90" xfId="1184"/>
    <cellStyle name="Normal 91" xfId="1185"/>
    <cellStyle name="Normal 92" xfId="1186"/>
    <cellStyle name="Normal 93" xfId="1187"/>
    <cellStyle name="Normal 94" xfId="1188"/>
    <cellStyle name="Normal 95" xfId="1189"/>
    <cellStyle name="Normal 96" xfId="1190"/>
    <cellStyle name="Normal 97" xfId="1191"/>
    <cellStyle name="Normal 98" xfId="1192"/>
    <cellStyle name="Normal 99" xfId="1193"/>
    <cellStyle name="Normal_Final_Forecast_Network_Transmission" xfId="1194"/>
    <cellStyle name="Normal_Forecast LT Trns Rev 2008-2013rev 9-08" xfId="1507"/>
    <cellStyle name="Normal_LCEC_TRANSMISSION_CHARGE_2010_2015" xfId="1195"/>
    <cellStyle name="Normal_STFXNF" xfId="1196"/>
    <cellStyle name="Normal_UPDATED_FMPA_Network_Transmission" xfId="1197"/>
    <cellStyle name="Note" xfId="1198" builtinId="10" customBuiltin="1"/>
    <cellStyle name="Note 10" xfId="1199"/>
    <cellStyle name="Note 11" xfId="1200"/>
    <cellStyle name="Note 12" xfId="1201"/>
    <cellStyle name="Note 13" xfId="1202"/>
    <cellStyle name="Note 14" xfId="1203"/>
    <cellStyle name="Note 15" xfId="1204"/>
    <cellStyle name="Note 16" xfId="1205"/>
    <cellStyle name="Note 17" xfId="1206"/>
    <cellStyle name="Note 18" xfId="1207"/>
    <cellStyle name="Note 19" xfId="1208"/>
    <cellStyle name="Note 2" xfId="1209"/>
    <cellStyle name="Note 20" xfId="1210"/>
    <cellStyle name="Note 21" xfId="1211"/>
    <cellStyle name="Note 3" xfId="1212"/>
    <cellStyle name="Note 4" xfId="1213"/>
    <cellStyle name="Note 5" xfId="1214"/>
    <cellStyle name="Note 6" xfId="1215"/>
    <cellStyle name="Note 7" xfId="1216"/>
    <cellStyle name="Note 8" xfId="1217"/>
    <cellStyle name="Note 9" xfId="1218"/>
    <cellStyle name="nozero" xfId="1219"/>
    <cellStyle name="NUMBER" xfId="1220"/>
    <cellStyle name="Output" xfId="1221" builtinId="21" customBuiltin="1"/>
    <cellStyle name="Output 10" xfId="1222"/>
    <cellStyle name="Output 11" xfId="1223"/>
    <cellStyle name="Output 12" xfId="1224"/>
    <cellStyle name="Output 13" xfId="1225"/>
    <cellStyle name="Output 14" xfId="1226"/>
    <cellStyle name="Output 15" xfId="1227"/>
    <cellStyle name="Output 16" xfId="1228"/>
    <cellStyle name="Output 17" xfId="1229"/>
    <cellStyle name="Output 18" xfId="1230"/>
    <cellStyle name="Output 19" xfId="1231"/>
    <cellStyle name="Output 2" xfId="1232"/>
    <cellStyle name="Output 20" xfId="1233"/>
    <cellStyle name="Output 21" xfId="1234"/>
    <cellStyle name="Output 3" xfId="1235"/>
    <cellStyle name="Output 4" xfId="1236"/>
    <cellStyle name="Output 5" xfId="1237"/>
    <cellStyle name="Output 6" xfId="1238"/>
    <cellStyle name="Output 7" xfId="1239"/>
    <cellStyle name="Output 8" xfId="1240"/>
    <cellStyle name="Output 9" xfId="1241"/>
    <cellStyle name="Percent" xfId="1242" builtinId="5"/>
    <cellStyle name="Percent [2]" xfId="1243"/>
    <cellStyle name="Percent 10" xfId="1244"/>
    <cellStyle name="Percent 100" xfId="1245"/>
    <cellStyle name="Percent 101" xfId="1246"/>
    <cellStyle name="Percent 102" xfId="1247"/>
    <cellStyle name="Percent 103" xfId="1248"/>
    <cellStyle name="Percent 104" xfId="1249"/>
    <cellStyle name="Percent 105" xfId="1250"/>
    <cellStyle name="Percent 106" xfId="1251"/>
    <cellStyle name="Percent 107" xfId="1252"/>
    <cellStyle name="Percent 108" xfId="1253"/>
    <cellStyle name="Percent 109" xfId="1254"/>
    <cellStyle name="Percent 11" xfId="1255"/>
    <cellStyle name="Percent 110" xfId="1256"/>
    <cellStyle name="Percent 111" xfId="1257"/>
    <cellStyle name="Percent 112" xfId="1258"/>
    <cellStyle name="Percent 113" xfId="1259"/>
    <cellStyle name="Percent 114" xfId="1260"/>
    <cellStyle name="Percent 115" xfId="1261"/>
    <cellStyle name="Percent 116" xfId="1262"/>
    <cellStyle name="Percent 117" xfId="1263"/>
    <cellStyle name="Percent 118" xfId="1264"/>
    <cellStyle name="Percent 119" xfId="1265"/>
    <cellStyle name="Percent 12" xfId="1266"/>
    <cellStyle name="Percent 120" xfId="1267"/>
    <cellStyle name="Percent 121" xfId="1268"/>
    <cellStyle name="Percent 122" xfId="1269"/>
    <cellStyle name="Percent 123" xfId="1270"/>
    <cellStyle name="Percent 124" xfId="1271"/>
    <cellStyle name="Percent 125" xfId="1272"/>
    <cellStyle name="Percent 126" xfId="1273"/>
    <cellStyle name="Percent 127" xfId="1274"/>
    <cellStyle name="Percent 128" xfId="1275"/>
    <cellStyle name="Percent 129" xfId="1276"/>
    <cellStyle name="Percent 13" xfId="1277"/>
    <cellStyle name="Percent 130" xfId="1278"/>
    <cellStyle name="Percent 14" xfId="1279"/>
    <cellStyle name="Percent 15" xfId="1280"/>
    <cellStyle name="Percent 16" xfId="1281"/>
    <cellStyle name="Percent 17" xfId="1282"/>
    <cellStyle name="Percent 18" xfId="1283"/>
    <cellStyle name="Percent 19" xfId="1284"/>
    <cellStyle name="Percent 2" xfId="1285"/>
    <cellStyle name="Percent 2 10" xfId="1286"/>
    <cellStyle name="Percent 2 11" xfId="1287"/>
    <cellStyle name="Percent 2 12" xfId="1288"/>
    <cellStyle name="Percent 2 13" xfId="1289"/>
    <cellStyle name="Percent 2 2" xfId="1290"/>
    <cellStyle name="Percent 2 3" xfId="1291"/>
    <cellStyle name="Percent 2 4" xfId="1292"/>
    <cellStyle name="Percent 2 5" xfId="1293"/>
    <cellStyle name="Percent 2 6" xfId="1294"/>
    <cellStyle name="Percent 2 7" xfId="1295"/>
    <cellStyle name="Percent 2 8" xfId="1296"/>
    <cellStyle name="Percent 2 9" xfId="1297"/>
    <cellStyle name="Percent 20" xfId="1298"/>
    <cellStyle name="Percent 21" xfId="1299"/>
    <cellStyle name="Percent 22" xfId="1300"/>
    <cellStyle name="Percent 23" xfId="1301"/>
    <cellStyle name="Percent 24" xfId="1302"/>
    <cellStyle name="Percent 25" xfId="1303"/>
    <cellStyle name="Percent 26" xfId="1304"/>
    <cellStyle name="Percent 27" xfId="1305"/>
    <cellStyle name="Percent 28" xfId="1306"/>
    <cellStyle name="Percent 29" xfId="1307"/>
    <cellStyle name="Percent 3" xfId="1308"/>
    <cellStyle name="Percent 30" xfId="1309"/>
    <cellStyle name="Percent 31" xfId="1310"/>
    <cellStyle name="Percent 32" xfId="1311"/>
    <cellStyle name="Percent 33" xfId="1312"/>
    <cellStyle name="Percent 34" xfId="1313"/>
    <cellStyle name="Percent 35" xfId="1314"/>
    <cellStyle name="Percent 36" xfId="1315"/>
    <cellStyle name="Percent 37" xfId="1316"/>
    <cellStyle name="Percent 38" xfId="1317"/>
    <cellStyle name="Percent 39" xfId="1318"/>
    <cellStyle name="Percent 4" xfId="1319"/>
    <cellStyle name="Percent 40" xfId="1320"/>
    <cellStyle name="Percent 41" xfId="1321"/>
    <cellStyle name="Percent 42" xfId="1322"/>
    <cellStyle name="Percent 43" xfId="1323"/>
    <cellStyle name="Percent 44" xfId="1324"/>
    <cellStyle name="Percent 45" xfId="1325"/>
    <cellStyle name="Percent 46" xfId="1326"/>
    <cellStyle name="Percent 47" xfId="1327"/>
    <cellStyle name="Percent 48" xfId="1328"/>
    <cellStyle name="Percent 49" xfId="1329"/>
    <cellStyle name="Percent 5" xfId="1330"/>
    <cellStyle name="Percent 50" xfId="1331"/>
    <cellStyle name="Percent 51" xfId="1332"/>
    <cellStyle name="Percent 52" xfId="1333"/>
    <cellStyle name="Percent 53" xfId="1334"/>
    <cellStyle name="Percent 54" xfId="1335"/>
    <cellStyle name="Percent 55" xfId="1336"/>
    <cellStyle name="Percent 56" xfId="1337"/>
    <cellStyle name="Percent 57" xfId="1338"/>
    <cellStyle name="Percent 58" xfId="1339"/>
    <cellStyle name="Percent 59" xfId="1340"/>
    <cellStyle name="Percent 6" xfId="1341"/>
    <cellStyle name="Percent 60" xfId="1342"/>
    <cellStyle name="Percent 61" xfId="1343"/>
    <cellStyle name="Percent 62" xfId="1344"/>
    <cellStyle name="Percent 63" xfId="1345"/>
    <cellStyle name="Percent 64" xfId="1346"/>
    <cellStyle name="Percent 65" xfId="1347"/>
    <cellStyle name="Percent 66" xfId="1348"/>
    <cellStyle name="Percent 67" xfId="1349"/>
    <cellStyle name="Percent 68" xfId="1350"/>
    <cellStyle name="Percent 69" xfId="1351"/>
    <cellStyle name="Percent 7" xfId="1352"/>
    <cellStyle name="Percent 70" xfId="1353"/>
    <cellStyle name="Percent 71" xfId="1354"/>
    <cellStyle name="Percent 72" xfId="1355"/>
    <cellStyle name="Percent 73" xfId="1356"/>
    <cellStyle name="Percent 74" xfId="1357"/>
    <cellStyle name="Percent 75" xfId="1358"/>
    <cellStyle name="Percent 76" xfId="1359"/>
    <cellStyle name="Percent 77" xfId="1360"/>
    <cellStyle name="Percent 78" xfId="1361"/>
    <cellStyle name="Percent 79" xfId="1362"/>
    <cellStyle name="Percent 8" xfId="1363"/>
    <cellStyle name="Percent 80" xfId="1364"/>
    <cellStyle name="Percent 81" xfId="1365"/>
    <cellStyle name="Percent 82" xfId="1366"/>
    <cellStyle name="Percent 83" xfId="1367"/>
    <cellStyle name="Percent 84" xfId="1368"/>
    <cellStyle name="Percent 85" xfId="1369"/>
    <cellStyle name="Percent 86" xfId="1370"/>
    <cellStyle name="Percent 87" xfId="1371"/>
    <cellStyle name="Percent 88" xfId="1372"/>
    <cellStyle name="Percent 89" xfId="1373"/>
    <cellStyle name="Percent 9" xfId="1374"/>
    <cellStyle name="Percent 90" xfId="1375"/>
    <cellStyle name="Percent 91" xfId="1376"/>
    <cellStyle name="Percent 92" xfId="1377"/>
    <cellStyle name="Percent 93" xfId="1378"/>
    <cellStyle name="Percent 94" xfId="1379"/>
    <cellStyle name="Percent 95" xfId="1380"/>
    <cellStyle name="Percent 96" xfId="1381"/>
    <cellStyle name="Percent 97" xfId="1382"/>
    <cellStyle name="Percent 98" xfId="1383"/>
    <cellStyle name="Percent 99" xfId="1384"/>
    <cellStyle name="PSChar" xfId="1385"/>
    <cellStyle name="PSDate" xfId="1386"/>
    <cellStyle name="PSDec" xfId="1387"/>
    <cellStyle name="PSHeading" xfId="1388"/>
    <cellStyle name="PSInt" xfId="1389"/>
    <cellStyle name="PSSpacer" xfId="1390"/>
    <cellStyle name="RangeBelow" xfId="1391"/>
    <cellStyle name="RevList" xfId="1392"/>
    <cellStyle name="SAPBEXaggData" xfId="1393"/>
    <cellStyle name="SAPBEXaggDataEmph" xfId="1394"/>
    <cellStyle name="SAPBEXaggItem" xfId="1395"/>
    <cellStyle name="SAPBEXaggItemX" xfId="1396"/>
    <cellStyle name="SAPBEXchaText" xfId="1397"/>
    <cellStyle name="SAPBEXexcBad7" xfId="1398"/>
    <cellStyle name="SAPBEXexcBad8" xfId="1399"/>
    <cellStyle name="SAPBEXexcBad9" xfId="1400"/>
    <cellStyle name="SAPBEXexcCritical4" xfId="1401"/>
    <cellStyle name="SAPBEXexcCritical5" xfId="1402"/>
    <cellStyle name="SAPBEXexcCritical6" xfId="1403"/>
    <cellStyle name="SAPBEXexcGood1" xfId="1404"/>
    <cellStyle name="SAPBEXexcGood2" xfId="1405"/>
    <cellStyle name="SAPBEXexcGood3" xfId="1406"/>
    <cellStyle name="SAPBEXfilterDrill" xfId="1407"/>
    <cellStyle name="SAPBEXfilterItem" xfId="1408"/>
    <cellStyle name="SAPBEXfilterText" xfId="1409"/>
    <cellStyle name="SAPBEXformats" xfId="1410"/>
    <cellStyle name="SAPBEXheaderItem" xfId="1411"/>
    <cellStyle name="SAPBEXheaderText" xfId="1412"/>
    <cellStyle name="SAPBEXHLevel0" xfId="1413"/>
    <cellStyle name="SAPBEXHLevel0X" xfId="1414"/>
    <cellStyle name="SAPBEXHLevel1" xfId="1415"/>
    <cellStyle name="SAPBEXHLevel1X" xfId="1416"/>
    <cellStyle name="SAPBEXHLevel2" xfId="1417"/>
    <cellStyle name="SAPBEXHLevel2X" xfId="1418"/>
    <cellStyle name="SAPBEXHLevel3" xfId="1419"/>
    <cellStyle name="SAPBEXHLevel3X" xfId="1420"/>
    <cellStyle name="SAPBEXresData" xfId="1421"/>
    <cellStyle name="SAPBEXresDataEmph" xfId="1422"/>
    <cellStyle name="SAPBEXresItem" xfId="1423"/>
    <cellStyle name="SAPBEXresItemX" xfId="1424"/>
    <cellStyle name="SAPBEXstdData" xfId="1425"/>
    <cellStyle name="SAPBEXstdDataEmph" xfId="1426"/>
    <cellStyle name="SAPBEXstdItem" xfId="1427"/>
    <cellStyle name="SAPBEXstdItemX" xfId="1428"/>
    <cellStyle name="SAPBEXtitle" xfId="1429"/>
    <cellStyle name="SAPBEXundefined" xfId="1430"/>
    <cellStyle name="SECTION" xfId="1431"/>
    <cellStyle name="Style 1" xfId="1432"/>
    <cellStyle name="SubRoutine" xfId="1433"/>
    <cellStyle name="Subtotal" xfId="1434"/>
    <cellStyle name="System Defined" xfId="1435"/>
    <cellStyle name="þ(Î'_x000c_ïþ÷_x000c_âþÖ_x0006__x0002_Þ”_x0013__x0007__x0001__x0001_" xfId="1436"/>
    <cellStyle name="Thousands" xfId="1437"/>
    <cellStyle name="Thousands1" xfId="1438"/>
    <cellStyle name="Title" xfId="1439" builtinId="15" customBuiltin="1"/>
    <cellStyle name="Title 10" xfId="1440"/>
    <cellStyle name="Title 11" xfId="1441"/>
    <cellStyle name="Title 12" xfId="1442"/>
    <cellStyle name="Title 13" xfId="1443"/>
    <cellStyle name="Title 14" xfId="1444"/>
    <cellStyle name="Title 15" xfId="1445"/>
    <cellStyle name="Title 16" xfId="1446"/>
    <cellStyle name="Title 17" xfId="1447"/>
    <cellStyle name="Title 18" xfId="1448"/>
    <cellStyle name="Title 19" xfId="1449"/>
    <cellStyle name="Title 2" xfId="1450"/>
    <cellStyle name="Title 20" xfId="1451"/>
    <cellStyle name="Title 21" xfId="1452"/>
    <cellStyle name="Title 3" xfId="1453"/>
    <cellStyle name="Title 4" xfId="1454"/>
    <cellStyle name="Title 5" xfId="1455"/>
    <cellStyle name="Title 6" xfId="1456"/>
    <cellStyle name="Title 7" xfId="1457"/>
    <cellStyle name="Title 8" xfId="1458"/>
    <cellStyle name="Title 9" xfId="1459"/>
    <cellStyle name="Total" xfId="1460" builtinId="25" customBuiltin="1"/>
    <cellStyle name="Total 10" xfId="1461"/>
    <cellStyle name="Total 11" xfId="1462"/>
    <cellStyle name="Total 12" xfId="1463"/>
    <cellStyle name="Total 13" xfId="1464"/>
    <cellStyle name="Total 14" xfId="1465"/>
    <cellStyle name="Total 15" xfId="1466"/>
    <cellStyle name="Total 16" xfId="1467"/>
    <cellStyle name="Total 17" xfId="1468"/>
    <cellStyle name="Total 18" xfId="1469"/>
    <cellStyle name="Total 19" xfId="1470"/>
    <cellStyle name="Total 2" xfId="1471"/>
    <cellStyle name="Total 20" xfId="1472"/>
    <cellStyle name="Total 21" xfId="1473"/>
    <cellStyle name="Total 3" xfId="1474"/>
    <cellStyle name="Total 4" xfId="1475"/>
    <cellStyle name="Total 5" xfId="1476"/>
    <cellStyle name="Total 6" xfId="1477"/>
    <cellStyle name="Total 7" xfId="1478"/>
    <cellStyle name="Total 8" xfId="1479"/>
    <cellStyle name="Total 9" xfId="1480"/>
    <cellStyle name="Unprot" xfId="1481"/>
    <cellStyle name="Unprot$" xfId="1482"/>
    <cellStyle name="Unprotect" xfId="1483"/>
    <cellStyle name="Warning Text" xfId="1484" builtinId="11" customBuiltin="1"/>
    <cellStyle name="Warning Text 10" xfId="1485"/>
    <cellStyle name="Warning Text 11" xfId="1486"/>
    <cellStyle name="Warning Text 12" xfId="1487"/>
    <cellStyle name="Warning Text 13" xfId="1488"/>
    <cellStyle name="Warning Text 14" xfId="1489"/>
    <cellStyle name="Warning Text 15" xfId="1490"/>
    <cellStyle name="Warning Text 16" xfId="1491"/>
    <cellStyle name="Warning Text 17" xfId="1492"/>
    <cellStyle name="Warning Text 18" xfId="1493"/>
    <cellStyle name="Warning Text 19" xfId="1494"/>
    <cellStyle name="Warning Text 2" xfId="1495"/>
    <cellStyle name="Warning Text 20" xfId="1496"/>
    <cellStyle name="Warning Text 21" xfId="1497"/>
    <cellStyle name="Warning Text 3" xfId="1498"/>
    <cellStyle name="Warning Text 4" xfId="1499"/>
    <cellStyle name="Warning Text 5" xfId="1500"/>
    <cellStyle name="Warning Text 6" xfId="1501"/>
    <cellStyle name="Warning Text 7" xfId="1502"/>
    <cellStyle name="Warning Text 8" xfId="1503"/>
    <cellStyle name="Warning Text 9" xfId="150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1FE5EF"/>
      <color rgb="FFC808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733975</xdr:colOff>
      <xdr:row>44</xdr:row>
      <xdr:rowOff>53871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3147" y="4235824"/>
          <a:ext cx="7257143" cy="38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68\VOL6\RATES\WHOLESAL\1997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REV_RATE\REPORTS\FORECAST\WHOLESAL\07-11\2007-2011_WORK_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al Requirements"/>
      <sheetName val="Full Requirements"/>
      <sheetName val="ABPRSA"/>
      <sheetName val="L.T.Contract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sale_Revenues_FNG"/>
      <sheetName val="graph_table_Transmission"/>
      <sheetName val="graph_table_power_sale"/>
      <sheetName val="TR NSB"/>
      <sheetName val="Assumptions"/>
      <sheetName val="Total Revenues"/>
      <sheetName val="FMPA Network"/>
      <sheetName val="SECI Network"/>
      <sheetName val="SECI Network Distribution"/>
      <sheetName val="SECI Regulation_Imbalance"/>
      <sheetName val="CES_rate"/>
      <sheetName val="charges"/>
      <sheetName val="FMPA (PR)"/>
      <sheetName val="FMPA (FUEL)"/>
      <sheetName val="L.T.Contracts"/>
      <sheetName val="TSAS Demand Revenues"/>
      <sheetName val="TSAS Reactive Revenues"/>
      <sheetName val="MDRR Losses Demand Revenues"/>
      <sheetName val="MDRR Losses Variable O&amp;M Rev"/>
      <sheetName val="st_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Lake%20Worth\FPL%20and%20Lake%20Worth,FL%20NITSA-SA%20No.%20321-FINAL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Lake%20Worth\FPL%20and%20Lake%20Worth,FL%20NITSA-SA%20No.%20321-FINAL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Contracts\OATT%20Schedule%20Rates%2010-04-12.pdf" TargetMode="External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Contracts\New%20Smyrna%20-%20New%20Contract\020114%20FPL-NSB%20NITS%20Agreement%20-%20Final.pdf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file:///C:\Users\CXD05XG\AppData\Local\Microsoft\Windows\Temporary%20Internet%20Files\Content.Outlook\2013-2018\Contracts\Bluntstown%20Full%20Req%20Electric%20Service%20Contract%20(2)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file:///C:\Users\CXD05XG\AppData\Local\Microsoft\Windows\Temporary%20Internet%20Files\Content.Outlook\2013-2018%20V2\Winter%20Park%20-%20New%20Contract\Winter%20Park%20Native%20Load%20Firm%20Fixed%20Capacity%20and%20Partial%20Requirements%20Transaction%20Confirmation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file:///C:\Users\CXD05XG\AppData\Local\Microsoft\Windows\Temporary%20Internet%20Files\Content.Outlook\2013-2018\Contracts\FINAL%20Complete%20FPL%20%20FKEC%20Original%20Service%20Agreement%20No%20%20293_3_17_2011.pdf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file:///C:\Users\CXD05XG\AppData\Local\Microsoft\Windows\Temporary%20Internet%20Files\Content.Outlook\2013-2018\Contracts\Wauchula%20PP%20Agmt%20-%20executed.pdf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Transmission%20Forecasts%20Provided%20by%20Customers\FMPA%20LR%20-2014%20(filing-10-30-2014)%20-%20Charles%20K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file:///C:\Users\CXD05XG\AppData\Local\Microsoft\Windows\Temporary%20Internet%20Files\Content.Outlook\KSCDJBIM\Contracts\OATT%20Schedule%20Rates%2010-04-12.pdf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Contracts\OATT%20Schedule%20Rates%2010-04-12.pdf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file:///C:\Users\CXD05XG\AppData\Local\Microsoft\Windows\Temporary%20Internet%20Files\Content.Outlook\2013-2018%20V2\Lake%20Worth%20-%20New%20Contract%20Pending%20Filing\FPL%20NITS%20Agreement%20-%20LWU%209-18-13%20V5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file:///C:\Users\CXD05XG\AppData\Local\Microsoft\Windows\Temporary%20Internet%20Files\Content.Outlook\2013-2018\Contracts\LEC%20Radials%20Eff%201-1-12.pdf" TargetMode="External"/><Relationship Id="rId1" Type="http://schemas.openxmlformats.org/officeDocument/2006/relationships/hyperlink" Target="file:///C:\Users\CXD05XG\AppData\Local\Microsoft\Windows\Temporary%20Internet%20Files\Content.Outlook\2013-2018\Seminole\SEC%20Radials%20Eff%201-1-12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5"/>
  <sheetViews>
    <sheetView tabSelected="1" zoomScale="80" zoomScaleNormal="80" workbookViewId="0">
      <selection sqref="A1:A2"/>
    </sheetView>
  </sheetViews>
  <sheetFormatPr defaultColWidth="9" defaultRowHeight="13.2"/>
  <cols>
    <col min="1" max="1" width="35.21875" style="460" customWidth="1"/>
    <col min="2" max="2" width="10.88671875" style="460" bestFit="1" customWidth="1"/>
    <col min="3" max="13" width="9.77734375" style="460" bestFit="1" customWidth="1"/>
    <col min="14" max="14" width="10.77734375" style="460" bestFit="1" customWidth="1"/>
    <col min="15" max="15" width="9.77734375" style="460" bestFit="1" customWidth="1"/>
    <col min="16" max="16384" width="9" style="460"/>
  </cols>
  <sheetData>
    <row r="1" spans="1:15" s="471" customFormat="1">
      <c r="A1" s="471" t="s">
        <v>457</v>
      </c>
    </row>
    <row r="2" spans="1:15">
      <c r="A2" s="471" t="s">
        <v>458</v>
      </c>
    </row>
    <row r="3" spans="1:15" ht="17.399999999999999">
      <c r="A3" s="483" t="s">
        <v>378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5.6">
      <c r="A4" s="484" t="s">
        <v>410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</row>
    <row r="5" spans="1:15" ht="15.6">
      <c r="A5" s="461"/>
    </row>
    <row r="6" spans="1:15" ht="13.8" thickBot="1"/>
    <row r="7" spans="1:15" ht="13.8" thickBot="1">
      <c r="O7" s="462"/>
    </row>
    <row r="8" spans="1:15" ht="13.8" thickBot="1">
      <c r="A8" s="463"/>
      <c r="B8" s="464">
        <v>42005</v>
      </c>
      <c r="C8" s="464">
        <v>42036</v>
      </c>
      <c r="D8" s="464">
        <v>42064</v>
      </c>
      <c r="E8" s="464">
        <v>42095</v>
      </c>
      <c r="F8" s="464">
        <v>42125</v>
      </c>
      <c r="G8" s="464">
        <v>42156</v>
      </c>
      <c r="H8" s="464">
        <v>42186</v>
      </c>
      <c r="I8" s="464">
        <v>42217</v>
      </c>
      <c r="J8" s="464">
        <v>42248</v>
      </c>
      <c r="K8" s="464">
        <v>42278</v>
      </c>
      <c r="L8" s="464">
        <v>42309</v>
      </c>
      <c r="M8" s="464">
        <v>42339</v>
      </c>
      <c r="N8" s="465" t="s">
        <v>33</v>
      </c>
      <c r="O8" s="466" t="s">
        <v>379</v>
      </c>
    </row>
    <row r="9" spans="1:15">
      <c r="A9" s="467" t="s">
        <v>380</v>
      </c>
      <c r="O9" s="468"/>
    </row>
    <row r="10" spans="1:15">
      <c r="A10" s="460" t="s">
        <v>381</v>
      </c>
      <c r="B10" s="469">
        <f>'Blountstown Network'!B29/(1+'Transmission Formula Rate (7)'!$B$27)</f>
        <v>3927.3441335297007</v>
      </c>
      <c r="C10" s="469">
        <f>'Blountstown Network'!C29/(1+'Transmission Formula Rate (7)'!$B$27)</f>
        <v>2945.5081001472754</v>
      </c>
      <c r="D10" s="469">
        <f>'Blountstown Network'!D29/(1+'Transmission Formula Rate (7)'!$B$27)</f>
        <v>7854.6882670594014</v>
      </c>
      <c r="E10" s="469">
        <f>'Blountstown Network'!E29/(1+'Transmission Formula Rate (7)'!$B$27)</f>
        <v>3927.3441335297007</v>
      </c>
      <c r="F10" s="469">
        <f>'Blountstown Network'!F29/(1+'Transmission Formula Rate (7)'!$B$27)</f>
        <v>4909.180166912126</v>
      </c>
      <c r="G10" s="469">
        <f>'Blountstown Network'!G29/(1+'Transmission Formula Rate (7)'!$B$27)</f>
        <v>6872.8522336769765</v>
      </c>
      <c r="H10" s="469">
        <f>'Blountstown Network'!H29/(1+'Transmission Formula Rate (7)'!$B$27)</f>
        <v>7854.6882670594014</v>
      </c>
      <c r="I10" s="469">
        <f>'Blountstown Network'!I29/(1+'Transmission Formula Rate (7)'!$B$27)</f>
        <v>6872.8522336769765</v>
      </c>
      <c r="J10" s="469">
        <f>'Blountstown Network'!J29/(1+'Transmission Formula Rate (7)'!$B$27)</f>
        <v>8836.5243004418262</v>
      </c>
      <c r="K10" s="469">
        <f>'Blountstown Network'!K29/(1+'Transmission Formula Rate (7)'!$B$27)</f>
        <v>8836.5243004418262</v>
      </c>
      <c r="L10" s="469">
        <f>'Blountstown Network'!L29/(1+'Transmission Formula Rate (7)'!$B$27)</f>
        <v>8836.5243004418262</v>
      </c>
      <c r="M10" s="469">
        <f>'Blountstown Network'!M29/(1+'Transmission Formula Rate (7)'!$B$27)</f>
        <v>8836.5243004418262</v>
      </c>
      <c r="N10" s="469">
        <f t="shared" ref="N10:N20" si="0">SUM(B10:M10)</f>
        <v>80510.554737358863</v>
      </c>
      <c r="O10" s="470">
        <f t="shared" ref="O10:O20" si="1">AVERAGE(B10:M10)</f>
        <v>6709.2128947799056</v>
      </c>
    </row>
    <row r="11" spans="1:15">
      <c r="A11" s="460" t="s">
        <v>382</v>
      </c>
      <c r="B11" s="469">
        <f>'Winter Park Network'!B23/(1+'Transmission Formula Rate (7)'!$B$27)</f>
        <v>22582.228767795779</v>
      </c>
      <c r="C11" s="469">
        <f>'Winter Park Network'!C23/(1+'Transmission Formula Rate (7)'!$B$27)</f>
        <v>25527.736867943055</v>
      </c>
      <c r="D11" s="469">
        <f>'Winter Park Network'!D23/(1+'Transmission Formula Rate (7)'!$B$27)</f>
        <v>44182.621502209135</v>
      </c>
      <c r="E11" s="469">
        <f>'Winter Park Network'!E23/(1+'Transmission Formula Rate (7)'!$B$27)</f>
        <v>35346.097201767305</v>
      </c>
      <c r="F11" s="469">
        <f>'Winter Park Network'!F23/(1+'Transmission Formula Rate (7)'!$B$27)</f>
        <v>44182.621502209135</v>
      </c>
      <c r="G11" s="469">
        <f>'Winter Park Network'!G23/(1+'Transmission Formula Rate (7)'!$B$27)</f>
        <v>53019.145802650957</v>
      </c>
      <c r="H11" s="469">
        <f>'Winter Park Network'!H23/(1+'Transmission Formula Rate (7)'!$B$27)</f>
        <v>58910.162002945508</v>
      </c>
      <c r="I11" s="469">
        <f>'Winter Park Network'!I23/(1+'Transmission Formula Rate (7)'!$B$27)</f>
        <v>54000.981836033381</v>
      </c>
      <c r="J11" s="469">
        <f>'Winter Park Network'!J23/(1+'Transmission Formula Rate (7)'!$B$27)</f>
        <v>58910.162002945508</v>
      </c>
      <c r="K11" s="469">
        <f>'Winter Park Network'!K23/(1+'Transmission Formula Rate (7)'!$B$27)</f>
        <v>58910.162002945508</v>
      </c>
      <c r="L11" s="469">
        <f>'Winter Park Network'!L23/(1+'Transmission Formula Rate (7)'!$B$27)</f>
        <v>58910.162002945508</v>
      </c>
      <c r="M11" s="469">
        <f>'Winter Park Network'!M23/(1+'Transmission Formula Rate (7)'!$B$27)</f>
        <v>58910.162002945508</v>
      </c>
      <c r="N11" s="469">
        <f t="shared" si="0"/>
        <v>573392.24349533627</v>
      </c>
      <c r="O11" s="470">
        <f t="shared" si="1"/>
        <v>47782.686957944687</v>
      </c>
    </row>
    <row r="12" spans="1:15">
      <c r="A12" s="460" t="s">
        <v>383</v>
      </c>
      <c r="B12" s="469">
        <f>'LCEC Network'!B30/(1+'Transmission Formula Rate (7)'!$B$27)</f>
        <v>546882.67059401085</v>
      </c>
      <c r="C12" s="469">
        <f>'LCEC Network'!C30/(1+'Transmission Formula Rate (7)'!$B$27)</f>
        <v>575355.91556210117</v>
      </c>
      <c r="D12" s="469">
        <f>'LCEC Network'!D30/(1+'Transmission Formula Rate (7)'!$B$27)</f>
        <v>890525.28227785963</v>
      </c>
      <c r="E12" s="469">
        <f>'LCEC Network'!E30/(1+'Transmission Formula Rate (7)'!$B$27)</f>
        <v>675503.19096710847</v>
      </c>
      <c r="F12" s="469">
        <f>'LCEC Network'!F30/(1+'Transmission Formula Rate (7)'!$B$27)</f>
        <v>772704.95827196864</v>
      </c>
      <c r="G12" s="469">
        <f>'LCEC Network'!G30/(1+'Transmission Formula Rate (7)'!$B$27)</f>
        <v>747177.22140402556</v>
      </c>
      <c r="H12" s="469">
        <f>'LCEC Network'!H30/(1+'Transmission Formula Rate (7)'!$B$27)</f>
        <v>820814.92390770745</v>
      </c>
      <c r="I12" s="469">
        <f>'LCEC Network'!I30/(1+'Transmission Formula Rate (7)'!$B$27)</f>
        <v>732449.68090328923</v>
      </c>
      <c r="J12" s="469">
        <f>'LCEC Network'!J30/(1+'Transmission Formula Rate (7)'!$B$27)</f>
        <v>754455.78982845868</v>
      </c>
      <c r="K12" s="469">
        <f>'LCEC Network'!K30/(1+'Transmission Formula Rate (7)'!$B$27)</f>
        <v>647529.20484910288</v>
      </c>
      <c r="L12" s="469">
        <f>'LCEC Network'!L30/(1+'Transmission Formula Rate (7)'!$B$27)</f>
        <v>668904.99104501214</v>
      </c>
      <c r="M12" s="469">
        <f>'LCEC Network'!M30/(1+'Transmission Formula Rate (7)'!$B$27)</f>
        <v>596818.62706610118</v>
      </c>
      <c r="N12" s="469">
        <f t="shared" si="0"/>
        <v>8429122.4566767458</v>
      </c>
      <c r="O12" s="470">
        <f t="shared" si="1"/>
        <v>702426.87138972885</v>
      </c>
    </row>
    <row r="13" spans="1:15">
      <c r="A13" s="460" t="s">
        <v>384</v>
      </c>
      <c r="B13" s="469">
        <f>'FKEC Network'!B30/(1+'Transmission Formula Rate (7)'!$B$27)</f>
        <v>103092.78350515464</v>
      </c>
      <c r="C13" s="469">
        <f>'FKEC Network'!C30/(1+'Transmission Formula Rate (7)'!$B$27)</f>
        <v>110947.47177221405</v>
      </c>
      <c r="D13" s="469">
        <f>'FKEC Network'!D30/(1+'Transmission Formula Rate (7)'!$B$27)</f>
        <v>113892.97987236132</v>
      </c>
      <c r="E13" s="469">
        <f>'FKEC Network'!E30/(1+'Transmission Formula Rate (7)'!$B$27)</f>
        <v>117820.32400589102</v>
      </c>
      <c r="F13" s="469">
        <f>'FKEC Network'!F30/(1+'Transmission Formula Rate (7)'!$B$27)</f>
        <v>148257.24104074619</v>
      </c>
      <c r="G13" s="469">
        <f>'FKEC Network'!G30/(1+'Transmission Formula Rate (7)'!$B$27)</f>
        <v>135493.37260677468</v>
      </c>
      <c r="H13" s="469">
        <f>'FKEC Network'!H30/(1+'Transmission Formula Rate (7)'!$B$27)</f>
        <v>143348.06087383407</v>
      </c>
      <c r="I13" s="469">
        <f>'FKEC Network'!I30/(1+'Transmission Formula Rate (7)'!$B$27)</f>
        <v>150028.46426235113</v>
      </c>
      <c r="J13" s="469">
        <f>'FKEC Network'!J30/(1+'Transmission Formula Rate (7)'!$B$27)</f>
        <v>146381.17640901689</v>
      </c>
      <c r="K13" s="469">
        <f>'FKEC Network'!K30/(1+'Transmission Formula Rate (7)'!$B$27)</f>
        <v>135025.32815822988</v>
      </c>
      <c r="L13" s="469">
        <f>'FKEC Network'!L30/(1+'Transmission Formula Rate (7)'!$B$27)</f>
        <v>129087.17941083862</v>
      </c>
      <c r="M13" s="469">
        <f>'FKEC Network'!M30/(1+'Transmission Formula Rate (7)'!$B$27)</f>
        <v>114494.9396547231</v>
      </c>
      <c r="N13" s="469">
        <f t="shared" si="0"/>
        <v>1547869.3215721354</v>
      </c>
      <c r="O13" s="470">
        <f t="shared" si="1"/>
        <v>128989.11013101129</v>
      </c>
    </row>
    <row r="14" spans="1:15">
      <c r="A14" s="460" t="s">
        <v>385</v>
      </c>
      <c r="B14" s="469">
        <f>'Wauchula Network'!B30/(1+'Transmission Formula Rate (7)'!$B$27)</f>
        <v>8836.5243004418262</v>
      </c>
      <c r="C14" s="469">
        <f>'Wauchula Network'!C30/(1+'Transmission Formula Rate (7)'!$B$27)</f>
        <v>7854.6882670594014</v>
      </c>
      <c r="D14" s="469">
        <f>'Wauchula Network'!D30/(1+'Transmission Formula Rate (7)'!$B$27)</f>
        <v>12763.868433971527</v>
      </c>
      <c r="E14" s="469">
        <f>'Wauchula Network'!E30/(1+'Transmission Formula Rate (7)'!$B$27)</f>
        <v>9818.3603338242519</v>
      </c>
      <c r="F14" s="469">
        <f>'Wauchula Network'!F30/(1+'Transmission Formula Rate (7)'!$B$27)</f>
        <v>10800.196367206678</v>
      </c>
      <c r="G14" s="469">
        <f>'Wauchula Network'!G30/(1+'Transmission Formula Rate (7)'!$B$27)</f>
        <v>11782.032400589102</v>
      </c>
      <c r="H14" s="469">
        <f>'Wauchula Network'!H30/(1+'Transmission Formula Rate (7)'!$B$27)</f>
        <v>12763.868433971527</v>
      </c>
      <c r="I14" s="469">
        <f>'Wauchula Network'!I30/(1+'Transmission Formula Rate (7)'!$B$27)</f>
        <v>11782.032400589102</v>
      </c>
      <c r="J14" s="469">
        <f>'Wauchula Network'!J30/(1+'Transmission Formula Rate (7)'!$B$27)</f>
        <v>12763.868433971527</v>
      </c>
      <c r="K14" s="469">
        <f>'Wauchula Network'!K30/(1+'Transmission Formula Rate (7)'!$B$27)</f>
        <v>12763.868433971527</v>
      </c>
      <c r="L14" s="469">
        <f>'Wauchula Network'!L30/(1+'Transmission Formula Rate (7)'!$B$27)</f>
        <v>12763.868433971527</v>
      </c>
      <c r="M14" s="469">
        <f>'Wauchula Network'!M30/(1+'Transmission Formula Rate (7)'!$B$27)</f>
        <v>12763.868433971527</v>
      </c>
      <c r="N14" s="469">
        <f t="shared" si="0"/>
        <v>137457.04467353952</v>
      </c>
      <c r="O14" s="470">
        <f t="shared" si="1"/>
        <v>11454.75372279496</v>
      </c>
    </row>
    <row r="15" spans="1:15">
      <c r="A15" s="460" t="s">
        <v>386</v>
      </c>
      <c r="B15" s="469">
        <f>'Vero Beach Network'!B34</f>
        <v>175000</v>
      </c>
      <c r="C15" s="469">
        <f>'Vero Beach Network'!C34</f>
        <v>151000</v>
      </c>
      <c r="D15" s="469">
        <f>'Vero Beach Network'!D34</f>
        <v>121000</v>
      </c>
      <c r="E15" s="469">
        <f>'Vero Beach Network'!E34</f>
        <v>126000</v>
      </c>
      <c r="F15" s="469">
        <f>'Vero Beach Network'!F34</f>
        <v>138000</v>
      </c>
      <c r="G15" s="469">
        <f>'Vero Beach Network'!G34</f>
        <v>152000</v>
      </c>
      <c r="H15" s="469">
        <f>'Vero Beach Network'!H34</f>
        <v>151000</v>
      </c>
      <c r="I15" s="469">
        <f>'Vero Beach Network'!I34</f>
        <v>162000</v>
      </c>
      <c r="J15" s="469">
        <f>'Vero Beach Network'!J34</f>
        <v>153000</v>
      </c>
      <c r="K15" s="469">
        <f>'Vero Beach Network'!K34</f>
        <v>144000</v>
      </c>
      <c r="L15" s="469">
        <f>'Vero Beach Network'!L34</f>
        <v>123000</v>
      </c>
      <c r="M15" s="469">
        <f>'Vero Beach Network'!M34</f>
        <v>138000</v>
      </c>
      <c r="N15" s="469">
        <f t="shared" si="0"/>
        <v>1734000</v>
      </c>
      <c r="O15" s="470">
        <f t="shared" si="1"/>
        <v>144500</v>
      </c>
    </row>
    <row r="16" spans="1:15">
      <c r="A16" s="460" t="s">
        <v>277</v>
      </c>
      <c r="B16" s="469">
        <f>'FMPA Network'!B36</f>
        <v>416700.00000000006</v>
      </c>
      <c r="C16" s="469">
        <f>'FMPA Network'!C36</f>
        <v>388500</v>
      </c>
      <c r="D16" s="469">
        <f>'FMPA Network'!D36</f>
        <v>339800</v>
      </c>
      <c r="E16" s="469">
        <f>'FMPA Network'!E36</f>
        <v>365100</v>
      </c>
      <c r="F16" s="469">
        <f>'FMPA Network'!F36</f>
        <v>411900</v>
      </c>
      <c r="G16" s="469">
        <f>'FMPA Network'!G36</f>
        <v>448000</v>
      </c>
      <c r="H16" s="469">
        <f>'FMPA Network'!H36</f>
        <v>463500</v>
      </c>
      <c r="I16" s="469">
        <f>'FMPA Network'!I36</f>
        <v>471400</v>
      </c>
      <c r="J16" s="469">
        <f>'FMPA Network'!J36</f>
        <v>430100</v>
      </c>
      <c r="K16" s="469">
        <f>'FMPA Network'!K36</f>
        <v>397400</v>
      </c>
      <c r="L16" s="469">
        <f>'FMPA Network'!L36</f>
        <v>355800</v>
      </c>
      <c r="M16" s="469">
        <f>'FMPA Network'!M36</f>
        <v>341500</v>
      </c>
      <c r="N16" s="469">
        <f t="shared" si="0"/>
        <v>4829700</v>
      </c>
      <c r="O16" s="470">
        <f t="shared" si="1"/>
        <v>402475</v>
      </c>
    </row>
    <row r="17" spans="1:15">
      <c r="A17" s="460" t="s">
        <v>387</v>
      </c>
      <c r="B17" s="469">
        <f>'SECI Network'!B37</f>
        <v>566819.99999999977</v>
      </c>
      <c r="C17" s="469">
        <f>'SECI Network'!C37</f>
        <v>462315.99999999977</v>
      </c>
      <c r="D17" s="469">
        <f>'SECI Network'!D37</f>
        <v>397681.00000000012</v>
      </c>
      <c r="E17" s="469">
        <f>'SECI Network'!E37</f>
        <v>374618.00000000017</v>
      </c>
      <c r="F17" s="469">
        <f>'SECI Network'!F37</f>
        <v>421063.00000000023</v>
      </c>
      <c r="G17" s="469">
        <f>'SECI Network'!G37</f>
        <v>458192.99999999953</v>
      </c>
      <c r="H17" s="469">
        <f>'SECI Network'!H37</f>
        <v>454653</v>
      </c>
      <c r="I17" s="469">
        <f>'SECI Network'!I37</f>
        <v>458307.00000000012</v>
      </c>
      <c r="J17" s="469">
        <f>'SECI Network'!J37</f>
        <v>427158.00000000006</v>
      </c>
      <c r="K17" s="469">
        <f>'SECI Network'!K37</f>
        <v>395161.00000000006</v>
      </c>
      <c r="L17" s="469">
        <f>'SECI Network'!L37</f>
        <v>339740.00000000041</v>
      </c>
      <c r="M17" s="469">
        <f>'SECI Network'!M37</f>
        <v>463474.00000000041</v>
      </c>
      <c r="N17" s="469">
        <f t="shared" si="0"/>
        <v>5219184</v>
      </c>
      <c r="O17" s="470">
        <f t="shared" si="1"/>
        <v>434932</v>
      </c>
    </row>
    <row r="18" spans="1:15">
      <c r="A18" s="460" t="s">
        <v>44</v>
      </c>
      <c r="B18" s="469">
        <f>'Georgia Trans Network'!B30</f>
        <v>18000</v>
      </c>
      <c r="C18" s="469">
        <f>'Georgia Trans Network'!C30</f>
        <v>18000</v>
      </c>
      <c r="D18" s="469">
        <f>'Georgia Trans Network'!D30</f>
        <v>18000</v>
      </c>
      <c r="E18" s="469">
        <f>'Georgia Trans Network'!E30</f>
        <v>18000</v>
      </c>
      <c r="F18" s="469">
        <f>'Georgia Trans Network'!F30</f>
        <v>18000</v>
      </c>
      <c r="G18" s="469">
        <f>'Georgia Trans Network'!G30</f>
        <v>15000</v>
      </c>
      <c r="H18" s="469">
        <f>'Georgia Trans Network'!H30</f>
        <v>15000</v>
      </c>
      <c r="I18" s="469">
        <f>'Georgia Trans Network'!I30</f>
        <v>15000</v>
      </c>
      <c r="J18" s="469">
        <f>'Georgia Trans Network'!J30</f>
        <v>15000</v>
      </c>
      <c r="K18" s="469">
        <f>'Georgia Trans Network'!K30</f>
        <v>18000</v>
      </c>
      <c r="L18" s="469">
        <f>'Georgia Trans Network'!L30</f>
        <v>18000</v>
      </c>
      <c r="M18" s="469">
        <f>'Georgia Trans Network'!M30</f>
        <v>18000</v>
      </c>
      <c r="N18" s="469">
        <f t="shared" si="0"/>
        <v>204000</v>
      </c>
      <c r="O18" s="470">
        <f t="shared" si="1"/>
        <v>17000</v>
      </c>
    </row>
    <row r="19" spans="1:15">
      <c r="A19" s="460" t="s">
        <v>388</v>
      </c>
      <c r="B19" s="469">
        <f>'Lake Worth Forecast'!E11</f>
        <v>72000</v>
      </c>
      <c r="C19" s="469">
        <f>'Lake Worth Forecast'!F11</f>
        <v>72000</v>
      </c>
      <c r="D19" s="469">
        <f>'Lake Worth Forecast'!G11</f>
        <v>72000</v>
      </c>
      <c r="E19" s="469">
        <f>'Lake Worth Forecast'!H11</f>
        <v>72000</v>
      </c>
      <c r="F19" s="469">
        <f>'Lake Worth Forecast'!I11</f>
        <v>85000</v>
      </c>
      <c r="G19" s="469">
        <f>'Lake Worth Forecast'!J11</f>
        <v>85000</v>
      </c>
      <c r="H19" s="469">
        <f>'Lake Worth Forecast'!K11</f>
        <v>85000</v>
      </c>
      <c r="I19" s="469">
        <f>'Lake Worth Forecast'!L11</f>
        <v>85000</v>
      </c>
      <c r="J19" s="469">
        <f>'Lake Worth Forecast'!M11</f>
        <v>85000</v>
      </c>
      <c r="K19" s="469">
        <f>'Lake Worth Forecast'!N11</f>
        <v>72000</v>
      </c>
      <c r="L19" s="469">
        <f>'Lake Worth Forecast'!O11</f>
        <v>72000</v>
      </c>
      <c r="M19" s="469">
        <f>'Lake Worth Forecast'!P11</f>
        <v>72000</v>
      </c>
      <c r="N19" s="469">
        <f t="shared" si="0"/>
        <v>929000</v>
      </c>
      <c r="O19" s="470">
        <f t="shared" si="1"/>
        <v>77416.666666666672</v>
      </c>
    </row>
    <row r="20" spans="1:15">
      <c r="A20" s="460" t="s">
        <v>393</v>
      </c>
      <c r="B20" s="469">
        <f>'New Smyrna Network'!B29/(1+'Transmission Formula Rate (7)'!$B$27)</f>
        <v>19636.720667648504</v>
      </c>
      <c r="C20" s="469">
        <f>'New Smyrna Network'!C29/(1+'Transmission Formula Rate (7)'!$B$27)</f>
        <v>34364.261168384881</v>
      </c>
      <c r="D20" s="469">
        <f>'New Smyrna Network'!D29/(1+'Transmission Formula Rate (7)'!$B$27)</f>
        <v>39273.441335297008</v>
      </c>
      <c r="E20" s="469">
        <f>'New Smyrna Network'!E29/(1+'Transmission Formula Rate (7)'!$B$27)</f>
        <v>19636.720667648504</v>
      </c>
      <c r="F20" s="469">
        <f>'New Smyrna Network'!F29/(1+'Transmission Formula Rate (7)'!$B$27)</f>
        <v>19636.720667648504</v>
      </c>
      <c r="G20" s="469">
        <f>'New Smyrna Network'!G29/(1+'Transmission Formula Rate (7)'!$B$27)</f>
        <v>24545.900834560631</v>
      </c>
      <c r="H20" s="469">
        <f>'New Smyrna Network'!H29/(1+'Transmission Formula Rate (7)'!$B$27)</f>
        <v>39273.441335297008</v>
      </c>
      <c r="I20" s="469">
        <f>'New Smyrna Network'!I29/(1+'Transmission Formula Rate (7)'!$B$27)</f>
        <v>44182.621502209135</v>
      </c>
      <c r="J20" s="469">
        <f>'New Smyrna Network'!J29/(1+'Transmission Formula Rate (7)'!$B$27)</f>
        <v>44182.621502209135</v>
      </c>
      <c r="K20" s="469">
        <f>'New Smyrna Network'!K29/(1+'Transmission Formula Rate (7)'!$B$27)</f>
        <v>29455.081001472754</v>
      </c>
      <c r="L20" s="469">
        <f>'New Smyrna Network'!L29/(1+'Transmission Formula Rate (7)'!$B$27)</f>
        <v>19636.720667648504</v>
      </c>
      <c r="M20" s="469">
        <f>'New Smyrna Network'!M29/(1+'Transmission Formula Rate (7)'!$B$27)</f>
        <v>14727.540500736377</v>
      </c>
      <c r="N20" s="469">
        <f t="shared" si="0"/>
        <v>348551.79185076099</v>
      </c>
      <c r="O20" s="470">
        <f t="shared" si="1"/>
        <v>29045.982654230083</v>
      </c>
    </row>
    <row r="21" spans="1:15">
      <c r="A21" s="471" t="s">
        <v>389</v>
      </c>
      <c r="B21" s="472">
        <f>SUM(B10:B20)</f>
        <v>1953478.2719685812</v>
      </c>
      <c r="C21" s="472">
        <f t="shared" ref="C21:N21" si="2">SUM(C10:C20)</f>
        <v>1848811.5817378496</v>
      </c>
      <c r="D21" s="472">
        <f t="shared" si="2"/>
        <v>2056973.881688758</v>
      </c>
      <c r="E21" s="472">
        <f t="shared" si="2"/>
        <v>1817770.0373097695</v>
      </c>
      <c r="F21" s="472">
        <f t="shared" si="2"/>
        <v>2074453.9180166915</v>
      </c>
      <c r="G21" s="472">
        <f t="shared" si="2"/>
        <v>2137083.5252822777</v>
      </c>
      <c r="H21" s="472">
        <f t="shared" si="2"/>
        <v>2252118.144820815</v>
      </c>
      <c r="I21" s="472">
        <f t="shared" si="2"/>
        <v>2191023.633138149</v>
      </c>
      <c r="J21" s="472">
        <f t="shared" si="2"/>
        <v>2135788.1424770434</v>
      </c>
      <c r="K21" s="472">
        <f t="shared" si="2"/>
        <v>1919081.1687461641</v>
      </c>
      <c r="L21" s="472">
        <f t="shared" si="2"/>
        <v>1806679.4458608588</v>
      </c>
      <c r="M21" s="472">
        <f t="shared" si="2"/>
        <v>1839525.6619589198</v>
      </c>
      <c r="N21" s="472">
        <f t="shared" si="2"/>
        <v>24032787.413005877</v>
      </c>
      <c r="O21" s="473">
        <f>SUM(O10:O20)</f>
        <v>2002732.2844171566</v>
      </c>
    </row>
    <row r="22" spans="1:15">
      <c r="O22" s="468"/>
    </row>
    <row r="23" spans="1:15">
      <c r="A23" s="467" t="s">
        <v>390</v>
      </c>
      <c r="O23" s="468"/>
    </row>
    <row r="24" spans="1:15">
      <c r="A24" s="460" t="s">
        <v>23</v>
      </c>
      <c r="B24" s="469">
        <f>'TSAS Demand Revenues (7)'!B87</f>
        <v>37056</v>
      </c>
      <c r="C24" s="469">
        <f>'TSAS Demand Revenues (7)'!C87</f>
        <v>37056</v>
      </c>
      <c r="D24" s="469">
        <f>'TSAS Demand Revenues (7)'!D87</f>
        <v>37056</v>
      </c>
      <c r="E24" s="469">
        <f>'TSAS Demand Revenues (7)'!E87</f>
        <v>37056</v>
      </c>
      <c r="F24" s="469">
        <f>'TSAS Demand Revenues (7)'!F87</f>
        <v>37056</v>
      </c>
      <c r="G24" s="469">
        <f>'TSAS Demand Revenues (7)'!G87</f>
        <v>37056</v>
      </c>
      <c r="H24" s="469">
        <f>'TSAS Demand Revenues (7)'!H87</f>
        <v>37056</v>
      </c>
      <c r="I24" s="469">
        <f>'TSAS Demand Revenues (7)'!I87</f>
        <v>37056</v>
      </c>
      <c r="J24" s="469">
        <f>'TSAS Demand Revenues (7)'!J87</f>
        <v>37056</v>
      </c>
      <c r="K24" s="469">
        <f>'TSAS Demand Revenues (7)'!K87</f>
        <v>37056</v>
      </c>
      <c r="L24" s="469">
        <f>'TSAS Demand Revenues (7)'!L87</f>
        <v>37056</v>
      </c>
      <c r="M24" s="469">
        <f>'TSAS Demand Revenues (7)'!M87</f>
        <v>37056</v>
      </c>
      <c r="N24" s="480">
        <f>SUM(B24:M24)</f>
        <v>444672</v>
      </c>
      <c r="O24" s="470">
        <f t="shared" ref="O24:O30" si="3">AVERAGE(B24:M24)</f>
        <v>37056</v>
      </c>
    </row>
    <row r="25" spans="1:15">
      <c r="A25" s="460" t="s">
        <v>24</v>
      </c>
      <c r="B25" s="469">
        <f>'TSAS Demand Revenues (7)'!B92</f>
        <v>62000</v>
      </c>
      <c r="C25" s="469">
        <f>'TSAS Demand Revenues (7)'!C92</f>
        <v>62000</v>
      </c>
      <c r="D25" s="469">
        <f>'TSAS Demand Revenues (7)'!D92</f>
        <v>62000</v>
      </c>
      <c r="E25" s="469">
        <f>'TSAS Demand Revenues (7)'!E92</f>
        <v>62000</v>
      </c>
      <c r="F25" s="469">
        <f>'TSAS Demand Revenues (7)'!F92</f>
        <v>62000</v>
      </c>
      <c r="G25" s="469">
        <f>'TSAS Demand Revenues (7)'!G92</f>
        <v>62000</v>
      </c>
      <c r="H25" s="469">
        <f>'TSAS Demand Revenues (7)'!H92</f>
        <v>62000</v>
      </c>
      <c r="I25" s="469">
        <f>'TSAS Demand Revenues (7)'!I92</f>
        <v>62000</v>
      </c>
      <c r="J25" s="469">
        <f>'TSAS Demand Revenues (7)'!J92</f>
        <v>62000</v>
      </c>
      <c r="K25" s="469">
        <f>'TSAS Demand Revenues (7)'!K92</f>
        <v>62000</v>
      </c>
      <c r="L25" s="469">
        <f>'TSAS Demand Revenues (7)'!L92</f>
        <v>62000</v>
      </c>
      <c r="M25" s="469">
        <f>'TSAS Demand Revenues (7)'!M92</f>
        <v>62000</v>
      </c>
      <c r="N25" s="480">
        <f t="shared" ref="N25:N30" si="4">SUM(B25:M25)</f>
        <v>744000</v>
      </c>
      <c r="O25" s="470">
        <f t="shared" si="3"/>
        <v>62000</v>
      </c>
    </row>
    <row r="26" spans="1:15">
      <c r="A26" s="460" t="s">
        <v>111</v>
      </c>
      <c r="B26" s="469">
        <f>'TSAS Demand Revenues (7)'!B97</f>
        <v>40000</v>
      </c>
      <c r="C26" s="469">
        <f>'TSAS Demand Revenues (7)'!C97</f>
        <v>40000</v>
      </c>
      <c r="D26" s="469">
        <f>'TSAS Demand Revenues (7)'!D97</f>
        <v>40000</v>
      </c>
      <c r="E26" s="469">
        <f>'TSAS Demand Revenues (7)'!E97</f>
        <v>40000</v>
      </c>
      <c r="F26" s="469">
        <f>'TSAS Demand Revenues (7)'!F97</f>
        <v>40000</v>
      </c>
      <c r="G26" s="469">
        <f>'TSAS Demand Revenues (7)'!G97</f>
        <v>40000</v>
      </c>
      <c r="H26" s="469">
        <f>'TSAS Demand Revenues (7)'!H97</f>
        <v>40000</v>
      </c>
      <c r="I26" s="469">
        <f>'TSAS Demand Revenues (7)'!I97</f>
        <v>40000</v>
      </c>
      <c r="J26" s="469">
        <f>'TSAS Demand Revenues (7)'!J97</f>
        <v>40000</v>
      </c>
      <c r="K26" s="469">
        <f>'TSAS Demand Revenues (7)'!K97</f>
        <v>40000</v>
      </c>
      <c r="L26" s="469">
        <f>'TSAS Demand Revenues (7)'!L97</f>
        <v>40000</v>
      </c>
      <c r="M26" s="469">
        <f>'TSAS Demand Revenues (7)'!M97</f>
        <v>40000</v>
      </c>
      <c r="N26" s="480">
        <f t="shared" si="4"/>
        <v>480000</v>
      </c>
      <c r="O26" s="470">
        <f t="shared" si="3"/>
        <v>40000</v>
      </c>
    </row>
    <row r="27" spans="1:15">
      <c r="A27" s="460" t="s">
        <v>222</v>
      </c>
      <c r="B27" s="469">
        <f>'TSAS Demand Revenues (7)'!B102</f>
        <v>4000</v>
      </c>
      <c r="C27" s="469">
        <f>'TSAS Demand Revenues (7)'!C102</f>
        <v>4000</v>
      </c>
      <c r="D27" s="469">
        <f>'TSAS Demand Revenues (7)'!D102</f>
        <v>4000</v>
      </c>
      <c r="E27" s="469">
        <f>'TSAS Demand Revenues (7)'!E102</f>
        <v>4000</v>
      </c>
      <c r="F27" s="469">
        <f>'TSAS Demand Revenues (7)'!F102</f>
        <v>4000</v>
      </c>
      <c r="G27" s="469">
        <f>'TSAS Demand Revenues (7)'!G102</f>
        <v>4000</v>
      </c>
      <c r="H27" s="469">
        <f>'TSAS Demand Revenues (7)'!H102</f>
        <v>4000</v>
      </c>
      <c r="I27" s="469">
        <f>'TSAS Demand Revenues (7)'!I102</f>
        <v>4000</v>
      </c>
      <c r="J27" s="469">
        <f>'TSAS Demand Revenues (7)'!J102</f>
        <v>4000</v>
      </c>
      <c r="K27" s="469">
        <f>'TSAS Demand Revenues (7)'!K102</f>
        <v>4000</v>
      </c>
      <c r="L27" s="469">
        <f>'TSAS Demand Revenues (7)'!L102</f>
        <v>4000</v>
      </c>
      <c r="M27" s="469">
        <f>'TSAS Demand Revenues (7)'!M102</f>
        <v>4000</v>
      </c>
      <c r="N27" s="480">
        <f t="shared" si="4"/>
        <v>48000</v>
      </c>
      <c r="O27" s="470">
        <f t="shared" si="3"/>
        <v>4000</v>
      </c>
    </row>
    <row r="28" spans="1:15">
      <c r="A28" s="460" t="s">
        <v>112</v>
      </c>
      <c r="B28" s="469">
        <f>'TSAS Demand Revenues (7)'!B117</f>
        <v>150000</v>
      </c>
      <c r="C28" s="469">
        <f>'TSAS Demand Revenues (7)'!C117</f>
        <v>150000</v>
      </c>
      <c r="D28" s="469">
        <f>'TSAS Demand Revenues (7)'!D117</f>
        <v>150000</v>
      </c>
      <c r="E28" s="469">
        <f>'TSAS Demand Revenues (7)'!E117</f>
        <v>150000</v>
      </c>
      <c r="F28" s="469">
        <f>'TSAS Demand Revenues (7)'!F117</f>
        <v>150000</v>
      </c>
      <c r="G28" s="469">
        <f>'TSAS Demand Revenues (7)'!G117</f>
        <v>150000</v>
      </c>
      <c r="H28" s="469">
        <f>'TSAS Demand Revenues (7)'!H117</f>
        <v>150000</v>
      </c>
      <c r="I28" s="469">
        <f>'TSAS Demand Revenues (7)'!I117</f>
        <v>150000</v>
      </c>
      <c r="J28" s="469">
        <f>'TSAS Demand Revenues (7)'!J117</f>
        <v>150000</v>
      </c>
      <c r="K28" s="469">
        <f>'TSAS Demand Revenues (7)'!K117</f>
        <v>150000</v>
      </c>
      <c r="L28" s="469">
        <f>'TSAS Demand Revenues (7)'!L117</f>
        <v>150000</v>
      </c>
      <c r="M28" s="469">
        <f>'TSAS Demand Revenues (7)'!M117</f>
        <v>150000</v>
      </c>
      <c r="N28" s="480">
        <f t="shared" si="4"/>
        <v>1800000</v>
      </c>
      <c r="O28" s="470">
        <f t="shared" si="3"/>
        <v>150000</v>
      </c>
    </row>
    <row r="29" spans="1:15">
      <c r="A29" s="460" t="s">
        <v>395</v>
      </c>
      <c r="B29" s="469">
        <f>'TSAS Demand Revenues (7)'!B127</f>
        <v>160000</v>
      </c>
      <c r="C29" s="469">
        <f>'TSAS Demand Revenues (7)'!C127</f>
        <v>160000</v>
      </c>
      <c r="D29" s="469">
        <f>'TSAS Demand Revenues (7)'!D127</f>
        <v>160000</v>
      </c>
      <c r="E29" s="469">
        <f>'TSAS Demand Revenues (7)'!E127</f>
        <v>160000</v>
      </c>
      <c r="F29" s="469">
        <f>'TSAS Demand Revenues (7)'!F127</f>
        <v>160000</v>
      </c>
      <c r="G29" s="469">
        <f>'TSAS Demand Revenues (7)'!G127</f>
        <v>160000</v>
      </c>
      <c r="H29" s="469">
        <f>'TSAS Demand Revenues (7)'!H127</f>
        <v>160000</v>
      </c>
      <c r="I29" s="469">
        <f>'TSAS Demand Revenues (7)'!I127</f>
        <v>160000</v>
      </c>
      <c r="J29" s="469">
        <f>'TSAS Demand Revenues (7)'!J127</f>
        <v>160000</v>
      </c>
      <c r="K29" s="469">
        <f>'TSAS Demand Revenues (7)'!K127</f>
        <v>160000</v>
      </c>
      <c r="L29" s="469">
        <f>'TSAS Demand Revenues (7)'!L127</f>
        <v>160000</v>
      </c>
      <c r="M29" s="469">
        <f>'TSAS Demand Revenues (7)'!M127</f>
        <v>160000</v>
      </c>
      <c r="N29" s="480">
        <f t="shared" si="4"/>
        <v>1920000</v>
      </c>
      <c r="O29" s="470">
        <f t="shared" si="3"/>
        <v>160000</v>
      </c>
    </row>
    <row r="30" spans="1:15">
      <c r="A30" s="460" t="s">
        <v>391</v>
      </c>
      <c r="B30" s="469">
        <f>'TSAS Demand Revenues (7)'!B72</f>
        <v>5000</v>
      </c>
      <c r="C30" s="469">
        <f>'TSAS Demand Revenues (7)'!C72</f>
        <v>5000</v>
      </c>
      <c r="D30" s="469">
        <f>'TSAS Demand Revenues (7)'!D72</f>
        <v>5000</v>
      </c>
      <c r="E30" s="469">
        <f>'TSAS Demand Revenues (7)'!E72</f>
        <v>5000</v>
      </c>
      <c r="F30" s="469">
        <f>'TSAS Demand Revenues (7)'!F72</f>
        <v>5000</v>
      </c>
      <c r="G30" s="469">
        <f>'TSAS Demand Revenues (7)'!G72</f>
        <v>5000</v>
      </c>
      <c r="H30" s="469">
        <f>'TSAS Demand Revenues (7)'!H72</f>
        <v>5000</v>
      </c>
      <c r="I30" s="469">
        <f>'TSAS Demand Revenues (7)'!I72</f>
        <v>5000</v>
      </c>
      <c r="J30" s="469">
        <f>'TSAS Demand Revenues (7)'!J72</f>
        <v>5000</v>
      </c>
      <c r="K30" s="469">
        <f>'TSAS Demand Revenues (7)'!K72</f>
        <v>5000</v>
      </c>
      <c r="L30" s="469">
        <f>'TSAS Demand Revenues (7)'!L72</f>
        <v>5000</v>
      </c>
      <c r="M30" s="469">
        <f>'TSAS Demand Revenues (7)'!M72</f>
        <v>5000</v>
      </c>
      <c r="N30" s="480">
        <f t="shared" si="4"/>
        <v>60000</v>
      </c>
      <c r="O30" s="470">
        <f t="shared" si="3"/>
        <v>5000</v>
      </c>
    </row>
    <row r="31" spans="1:15">
      <c r="A31" s="471" t="s">
        <v>392</v>
      </c>
      <c r="B31" s="472">
        <f t="shared" ref="B31:O31" si="5">SUM(B24:B30)</f>
        <v>458056</v>
      </c>
      <c r="C31" s="472">
        <f t="shared" si="5"/>
        <v>458056</v>
      </c>
      <c r="D31" s="472">
        <f t="shared" si="5"/>
        <v>458056</v>
      </c>
      <c r="E31" s="472">
        <f t="shared" si="5"/>
        <v>458056</v>
      </c>
      <c r="F31" s="472">
        <f t="shared" si="5"/>
        <v>458056</v>
      </c>
      <c r="G31" s="472">
        <f t="shared" si="5"/>
        <v>458056</v>
      </c>
      <c r="H31" s="472">
        <f t="shared" si="5"/>
        <v>458056</v>
      </c>
      <c r="I31" s="472">
        <f t="shared" si="5"/>
        <v>458056</v>
      </c>
      <c r="J31" s="472">
        <f t="shared" si="5"/>
        <v>458056</v>
      </c>
      <c r="K31" s="472">
        <f t="shared" si="5"/>
        <v>458056</v>
      </c>
      <c r="L31" s="472">
        <f t="shared" si="5"/>
        <v>458056</v>
      </c>
      <c r="M31" s="472">
        <f t="shared" si="5"/>
        <v>458056</v>
      </c>
      <c r="N31" s="472">
        <f t="shared" si="5"/>
        <v>5496672</v>
      </c>
      <c r="O31" s="473">
        <f t="shared" si="5"/>
        <v>458056</v>
      </c>
    </row>
    <row r="32" spans="1:15">
      <c r="O32" s="468"/>
    </row>
    <row r="33" spans="1:15">
      <c r="O33" s="468"/>
    </row>
    <row r="34" spans="1:15" ht="13.8" thickBot="1">
      <c r="A34" s="471" t="s">
        <v>453</v>
      </c>
      <c r="B34" s="474">
        <f t="shared" ref="B34:O34" si="6">+B21+B31</f>
        <v>2411534.2719685812</v>
      </c>
      <c r="C34" s="474">
        <f t="shared" si="6"/>
        <v>2306867.5817378499</v>
      </c>
      <c r="D34" s="474">
        <f t="shared" si="6"/>
        <v>2515029.8816887578</v>
      </c>
      <c r="E34" s="474">
        <f t="shared" si="6"/>
        <v>2275826.0373097695</v>
      </c>
      <c r="F34" s="474">
        <f t="shared" si="6"/>
        <v>2532509.9180166917</v>
      </c>
      <c r="G34" s="474">
        <f t="shared" si="6"/>
        <v>2595139.5252822777</v>
      </c>
      <c r="H34" s="474">
        <f t="shared" si="6"/>
        <v>2710174.144820815</v>
      </c>
      <c r="I34" s="474">
        <f t="shared" si="6"/>
        <v>2649079.633138149</v>
      </c>
      <c r="J34" s="474">
        <f t="shared" si="6"/>
        <v>2593844.1424770434</v>
      </c>
      <c r="K34" s="474">
        <f t="shared" si="6"/>
        <v>2377137.1687461641</v>
      </c>
      <c r="L34" s="474">
        <f t="shared" si="6"/>
        <v>2264735.445860859</v>
      </c>
      <c r="M34" s="474">
        <f t="shared" si="6"/>
        <v>2297581.6619589198</v>
      </c>
      <c r="N34" s="474">
        <f t="shared" si="6"/>
        <v>29529459.413005877</v>
      </c>
      <c r="O34" s="475">
        <f t="shared" si="6"/>
        <v>2460788.2844171566</v>
      </c>
    </row>
    <row r="35" spans="1:15" ht="14.4" thickTop="1" thickBot="1">
      <c r="O35" s="476"/>
    </row>
  </sheetData>
  <mergeCells count="2">
    <mergeCell ref="A3:O3"/>
    <mergeCell ref="A4:O4"/>
  </mergeCells>
  <pageMargins left="0.7" right="0.7" top="0.75" bottom="0.75" header="0.3" footer="0.3"/>
  <pageSetup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3"/>
  <sheetViews>
    <sheetView zoomScaleNormal="100" workbookViewId="0">
      <selection activeCell="A2" sqref="A1:A2"/>
    </sheetView>
  </sheetViews>
  <sheetFormatPr defaultColWidth="10.33203125" defaultRowHeight="15.6"/>
  <cols>
    <col min="1" max="1" width="24" style="436" customWidth="1"/>
    <col min="2" max="16384" width="10.33203125" style="428"/>
  </cols>
  <sheetData>
    <row r="1" spans="1:14">
      <c r="A1" s="481" t="s">
        <v>467</v>
      </c>
    </row>
    <row r="2" spans="1:14">
      <c r="A2" s="481" t="s">
        <v>458</v>
      </c>
    </row>
    <row r="3" spans="1:14">
      <c r="A3" s="426" t="s">
        <v>358</v>
      </c>
      <c r="B3" s="427"/>
    </row>
    <row r="4" spans="1:14">
      <c r="A4" s="429" t="s">
        <v>359</v>
      </c>
      <c r="B4" s="430"/>
    </row>
    <row r="5" spans="1:14">
      <c r="A5" s="428"/>
    </row>
    <row r="6" spans="1:14">
      <c r="A6" s="431"/>
      <c r="B6" s="432">
        <v>1</v>
      </c>
      <c r="C6" s="432">
        <f>1+B6</f>
        <v>2</v>
      </c>
      <c r="D6" s="432">
        <f t="shared" ref="D6:M6" si="0">1+C6</f>
        <v>3</v>
      </c>
      <c r="E6" s="432">
        <f t="shared" si="0"/>
        <v>4</v>
      </c>
      <c r="F6" s="432">
        <f t="shared" si="0"/>
        <v>5</v>
      </c>
      <c r="G6" s="432">
        <f t="shared" si="0"/>
        <v>6</v>
      </c>
      <c r="H6" s="432">
        <f t="shared" si="0"/>
        <v>7</v>
      </c>
      <c r="I6" s="432">
        <f t="shared" si="0"/>
        <v>8</v>
      </c>
      <c r="J6" s="432">
        <f t="shared" si="0"/>
        <v>9</v>
      </c>
      <c r="K6" s="432">
        <f t="shared" si="0"/>
        <v>10</v>
      </c>
      <c r="L6" s="432">
        <f t="shared" si="0"/>
        <v>11</v>
      </c>
      <c r="M6" s="432">
        <f t="shared" si="0"/>
        <v>12</v>
      </c>
    </row>
    <row r="7" spans="1:14">
      <c r="A7" s="431"/>
      <c r="B7" s="433" t="s">
        <v>0</v>
      </c>
      <c r="C7" s="433" t="s">
        <v>1</v>
      </c>
      <c r="D7" s="433" t="s">
        <v>2</v>
      </c>
      <c r="E7" s="433" t="s">
        <v>3</v>
      </c>
      <c r="F7" s="433" t="s">
        <v>4</v>
      </c>
      <c r="G7" s="433" t="s">
        <v>5</v>
      </c>
      <c r="H7" s="433" t="s">
        <v>6</v>
      </c>
      <c r="I7" s="433" t="s">
        <v>7</v>
      </c>
      <c r="J7" s="433" t="s">
        <v>8</v>
      </c>
      <c r="K7" s="433" t="s">
        <v>9</v>
      </c>
      <c r="L7" s="433" t="s">
        <v>10</v>
      </c>
      <c r="M7" s="433" t="s">
        <v>11</v>
      </c>
      <c r="N7" s="433" t="s">
        <v>12</v>
      </c>
    </row>
    <row r="8" spans="1:14">
      <c r="A8" s="434"/>
    </row>
    <row r="9" spans="1:14">
      <c r="A9" s="434"/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</row>
    <row r="10" spans="1:14">
      <c r="B10" s="433" t="s">
        <v>0</v>
      </c>
      <c r="C10" s="433" t="s">
        <v>1</v>
      </c>
      <c r="D10" s="433" t="s">
        <v>2</v>
      </c>
      <c r="E10" s="433" t="s">
        <v>3</v>
      </c>
      <c r="F10" s="433" t="s">
        <v>4</v>
      </c>
      <c r="G10" s="433" t="s">
        <v>5</v>
      </c>
      <c r="H10" s="433" t="s">
        <v>6</v>
      </c>
      <c r="I10" s="433" t="s">
        <v>7</v>
      </c>
      <c r="J10" s="433" t="s">
        <v>8</v>
      </c>
      <c r="K10" s="433" t="s">
        <v>9</v>
      </c>
      <c r="L10" s="433" t="s">
        <v>10</v>
      </c>
      <c r="M10" s="433" t="s">
        <v>11</v>
      </c>
      <c r="N10" s="433" t="s">
        <v>12</v>
      </c>
    </row>
    <row r="11" spans="1:14">
      <c r="A11" s="437">
        <v>2014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</row>
    <row r="12" spans="1:14">
      <c r="A12" s="434" t="s">
        <v>37</v>
      </c>
    </row>
    <row r="13" spans="1:14">
      <c r="A13" s="438" t="s">
        <v>47</v>
      </c>
      <c r="B13" s="439"/>
      <c r="C13" s="439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35">
        <f>SUM(B13:M13)</f>
        <v>0</v>
      </c>
    </row>
    <row r="14" spans="1:14">
      <c r="A14" s="438" t="s">
        <v>45</v>
      </c>
      <c r="B14" s="440">
        <f>ROUND(B13*'Transmission Formula Rate (7)'!$B$27,0)</f>
        <v>0</v>
      </c>
      <c r="C14" s="440">
        <f>ROUND(C13*'Transmission Formula Rate (7)'!$B$27,0)</f>
        <v>0</v>
      </c>
      <c r="D14" s="440">
        <f>ROUND(D13*'Transmission Formula Rate (7)'!$B$27,0)</f>
        <v>0</v>
      </c>
      <c r="E14" s="440">
        <f>ROUND(E13*'Transmission Formula Rate (7)'!$B$27,0)</f>
        <v>0</v>
      </c>
      <c r="F14" s="440">
        <f>ROUND(F13*'Transmission Formula Rate (7)'!$B$27,0)</f>
        <v>0</v>
      </c>
      <c r="G14" s="440">
        <f>ROUND(G13*'Transmission Formula Rate (7)'!$B$27,0)</f>
        <v>0</v>
      </c>
      <c r="H14" s="440">
        <f>ROUND(H13*'Transmission Formula Rate (7)'!$B$27,0)</f>
        <v>0</v>
      </c>
      <c r="I14" s="440">
        <f>ROUND(I13*'Transmission Formula Rate (7)'!$B$27,0)</f>
        <v>0</v>
      </c>
      <c r="J14" s="440">
        <f>ROUND(J13*'Transmission Formula Rate (7)'!$B$27,0)</f>
        <v>0</v>
      </c>
      <c r="K14" s="440">
        <f>ROUND(K13*'Transmission Formula Rate (7)'!$B$27,0)</f>
        <v>0</v>
      </c>
      <c r="L14" s="440">
        <f>ROUND(L13*'Transmission Formula Rate (7)'!$B$27,0)</f>
        <v>0</v>
      </c>
      <c r="M14" s="440">
        <f>ROUND(M13*'Transmission Formula Rate (7)'!$B$27,0)</f>
        <v>0</v>
      </c>
      <c r="N14" s="435">
        <f>SUM(B14:M14)</f>
        <v>0</v>
      </c>
    </row>
    <row r="15" spans="1:14">
      <c r="A15" s="438" t="s">
        <v>404</v>
      </c>
      <c r="B15" s="440">
        <f t="shared" ref="B15:M15" si="1">B13+B14</f>
        <v>0</v>
      </c>
      <c r="C15" s="440">
        <f t="shared" si="1"/>
        <v>0</v>
      </c>
      <c r="D15" s="440">
        <f t="shared" si="1"/>
        <v>0</v>
      </c>
      <c r="E15" s="440">
        <f t="shared" si="1"/>
        <v>0</v>
      </c>
      <c r="F15" s="440">
        <f t="shared" si="1"/>
        <v>0</v>
      </c>
      <c r="G15" s="440">
        <f t="shared" si="1"/>
        <v>0</v>
      </c>
      <c r="H15" s="440">
        <f t="shared" si="1"/>
        <v>0</v>
      </c>
      <c r="I15" s="440">
        <f t="shared" si="1"/>
        <v>0</v>
      </c>
      <c r="J15" s="440">
        <f t="shared" si="1"/>
        <v>0</v>
      </c>
      <c r="K15" s="440">
        <f t="shared" si="1"/>
        <v>0</v>
      </c>
      <c r="L15" s="440">
        <f t="shared" si="1"/>
        <v>0</v>
      </c>
      <c r="M15" s="440">
        <f t="shared" si="1"/>
        <v>0</v>
      </c>
      <c r="N15" s="441">
        <f>SUM(B15:M15)</f>
        <v>0</v>
      </c>
    </row>
    <row r="16" spans="1:14">
      <c r="A16" s="434" t="s">
        <v>20</v>
      </c>
      <c r="B16" s="442">
        <f>'Transmission Formula Rate (7)'!B8</f>
        <v>1.59</v>
      </c>
      <c r="C16" s="442">
        <f>'Transmission Formula Rate (7)'!C8</f>
        <v>1.59</v>
      </c>
      <c r="D16" s="442">
        <f>'Transmission Formula Rate (7)'!D8</f>
        <v>1.59</v>
      </c>
      <c r="E16" s="442">
        <f>'Transmission Formula Rate (7)'!E8</f>
        <v>1.59</v>
      </c>
      <c r="F16" s="442">
        <f>'Transmission Formula Rate (7)'!F8</f>
        <v>1.59</v>
      </c>
      <c r="G16" s="442">
        <f>'Transmission Formula Rate (7)'!G8</f>
        <v>1.59</v>
      </c>
      <c r="H16" s="442">
        <f>'Transmission Formula Rate (7)'!H8</f>
        <v>1.59</v>
      </c>
      <c r="I16" s="442">
        <f>'Transmission Formula Rate (7)'!I8</f>
        <v>1.59</v>
      </c>
      <c r="J16" s="442">
        <f>'Transmission Formula Rate (7)'!J8</f>
        <v>1.59</v>
      </c>
      <c r="K16" s="442">
        <f>'Transmission Formula Rate (7)'!K8</f>
        <v>1.59</v>
      </c>
      <c r="L16" s="442">
        <f>'Transmission Formula Rate (7)'!L8</f>
        <v>1.59</v>
      </c>
      <c r="M16" s="442">
        <f>'Transmission Formula Rate (7)'!M8</f>
        <v>1.59</v>
      </c>
    </row>
    <row r="17" spans="1:15">
      <c r="A17" s="434" t="s">
        <v>17</v>
      </c>
      <c r="B17" s="435">
        <f t="shared" ref="B17:M17" si="2">B15*B16</f>
        <v>0</v>
      </c>
      <c r="C17" s="435">
        <f t="shared" si="2"/>
        <v>0</v>
      </c>
      <c r="D17" s="435">
        <f>D15*D16</f>
        <v>0</v>
      </c>
      <c r="E17" s="435">
        <f t="shared" si="2"/>
        <v>0</v>
      </c>
      <c r="F17" s="435">
        <f t="shared" si="2"/>
        <v>0</v>
      </c>
      <c r="G17" s="435">
        <f t="shared" si="2"/>
        <v>0</v>
      </c>
      <c r="H17" s="435">
        <f t="shared" si="2"/>
        <v>0</v>
      </c>
      <c r="I17" s="435">
        <f t="shared" si="2"/>
        <v>0</v>
      </c>
      <c r="J17" s="435">
        <f t="shared" si="2"/>
        <v>0</v>
      </c>
      <c r="K17" s="435">
        <f t="shared" si="2"/>
        <v>0</v>
      </c>
      <c r="L17" s="435">
        <f t="shared" si="2"/>
        <v>0</v>
      </c>
      <c r="M17" s="435">
        <f t="shared" si="2"/>
        <v>0</v>
      </c>
      <c r="N17" s="435">
        <f>SUM(B17:M17)</f>
        <v>0</v>
      </c>
    </row>
    <row r="18" spans="1:15">
      <c r="A18" s="437"/>
      <c r="B18" s="435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</row>
    <row r="19" spans="1:15">
      <c r="A19" s="434" t="s">
        <v>135</v>
      </c>
    </row>
    <row r="20" spans="1:15">
      <c r="A20" s="438" t="s">
        <v>47</v>
      </c>
      <c r="B20" s="439">
        <f>B13</f>
        <v>0</v>
      </c>
      <c r="C20" s="439">
        <f t="shared" ref="C20:M20" si="3">C13</f>
        <v>0</v>
      </c>
      <c r="D20" s="439">
        <f t="shared" si="3"/>
        <v>0</v>
      </c>
      <c r="E20" s="439">
        <f t="shared" si="3"/>
        <v>0</v>
      </c>
      <c r="F20" s="439">
        <f t="shared" si="3"/>
        <v>0</v>
      </c>
      <c r="G20" s="439">
        <f t="shared" si="3"/>
        <v>0</v>
      </c>
      <c r="H20" s="439">
        <f t="shared" si="3"/>
        <v>0</v>
      </c>
      <c r="I20" s="439">
        <f t="shared" si="3"/>
        <v>0</v>
      </c>
      <c r="J20" s="439">
        <f t="shared" si="3"/>
        <v>0</v>
      </c>
      <c r="K20" s="439">
        <f t="shared" si="3"/>
        <v>0</v>
      </c>
      <c r="L20" s="439">
        <f t="shared" si="3"/>
        <v>0</v>
      </c>
      <c r="M20" s="439">
        <f t="shared" si="3"/>
        <v>0</v>
      </c>
      <c r="N20" s="435">
        <f>SUM(B20:M20)</f>
        <v>0</v>
      </c>
    </row>
    <row r="21" spans="1:15">
      <c r="A21" s="438" t="s">
        <v>45</v>
      </c>
      <c r="B21" s="440">
        <f>ROUND(B20*'Transmission Formula Rate (7)'!$B$27,0)</f>
        <v>0</v>
      </c>
      <c r="C21" s="440">
        <f>ROUND(C20*'Transmission Formula Rate (7)'!$B$27,0)</f>
        <v>0</v>
      </c>
      <c r="D21" s="440">
        <f>ROUND(D20*'Transmission Formula Rate (7)'!$B$27,0)</f>
        <v>0</v>
      </c>
      <c r="E21" s="440">
        <f>ROUND(E20*'Transmission Formula Rate (7)'!$B$27,0)</f>
        <v>0</v>
      </c>
      <c r="F21" s="440">
        <f>ROUND(F20*'Transmission Formula Rate (7)'!$B$27,0)</f>
        <v>0</v>
      </c>
      <c r="G21" s="440">
        <f>ROUND(G20*'Transmission Formula Rate (7)'!$B$27,0)</f>
        <v>0</v>
      </c>
      <c r="H21" s="440">
        <f>ROUND(H20*'Transmission Formula Rate (7)'!$B$27,0)</f>
        <v>0</v>
      </c>
      <c r="I21" s="440">
        <f>ROUND(I20*'Transmission Formula Rate (7)'!$B$27,0)</f>
        <v>0</v>
      </c>
      <c r="J21" s="440">
        <f>ROUND(J20*'Transmission Formula Rate (7)'!$B$27,0)</f>
        <v>0</v>
      </c>
      <c r="K21" s="440">
        <f>ROUND(K20*'Transmission Formula Rate (7)'!$B$27,0)</f>
        <v>0</v>
      </c>
      <c r="L21" s="440">
        <f>ROUND(L20*'Transmission Formula Rate (7)'!$B$27,0)</f>
        <v>0</v>
      </c>
      <c r="M21" s="440">
        <f>ROUND(M20*'Transmission Formula Rate (7)'!$B$27,0)</f>
        <v>0</v>
      </c>
      <c r="N21" s="435">
        <f>SUM(B21:M21)</f>
        <v>0</v>
      </c>
    </row>
    <row r="22" spans="1:15">
      <c r="A22" s="438" t="str">
        <f>$A$15</f>
        <v xml:space="preserve">       Georgia Transmission Load</v>
      </c>
      <c r="B22" s="440">
        <f>B20+B21</f>
        <v>0</v>
      </c>
      <c r="C22" s="440">
        <f t="shared" ref="C22:M22" si="4">C20+C21</f>
        <v>0</v>
      </c>
      <c r="D22" s="440">
        <f t="shared" si="4"/>
        <v>0</v>
      </c>
      <c r="E22" s="440">
        <f t="shared" si="4"/>
        <v>0</v>
      </c>
      <c r="F22" s="440">
        <f t="shared" si="4"/>
        <v>0</v>
      </c>
      <c r="G22" s="440">
        <f t="shared" si="4"/>
        <v>0</v>
      </c>
      <c r="H22" s="440">
        <f t="shared" si="4"/>
        <v>0</v>
      </c>
      <c r="I22" s="440">
        <f t="shared" si="4"/>
        <v>0</v>
      </c>
      <c r="J22" s="440">
        <f t="shared" si="4"/>
        <v>0</v>
      </c>
      <c r="K22" s="440">
        <f t="shared" si="4"/>
        <v>0</v>
      </c>
      <c r="L22" s="440">
        <f t="shared" si="4"/>
        <v>0</v>
      </c>
      <c r="M22" s="440">
        <f t="shared" si="4"/>
        <v>0</v>
      </c>
      <c r="N22" s="441">
        <f>SUM(B22:M22)</f>
        <v>0</v>
      </c>
    </row>
    <row r="23" spans="1:15">
      <c r="A23" s="434" t="s">
        <v>143</v>
      </c>
      <c r="B23" s="443">
        <f>'charges (1 &amp; 2)'!E32</f>
        <v>1.274E-2</v>
      </c>
      <c r="C23" s="443">
        <f>B23</f>
        <v>1.274E-2</v>
      </c>
      <c r="D23" s="443">
        <f t="shared" ref="D23:M23" si="5">C23</f>
        <v>1.274E-2</v>
      </c>
      <c r="E23" s="443">
        <f t="shared" si="5"/>
        <v>1.274E-2</v>
      </c>
      <c r="F23" s="443">
        <f t="shared" si="5"/>
        <v>1.274E-2</v>
      </c>
      <c r="G23" s="443">
        <f t="shared" si="5"/>
        <v>1.274E-2</v>
      </c>
      <c r="H23" s="443">
        <f t="shared" si="5"/>
        <v>1.274E-2</v>
      </c>
      <c r="I23" s="443">
        <f t="shared" si="5"/>
        <v>1.274E-2</v>
      </c>
      <c r="J23" s="443">
        <f t="shared" si="5"/>
        <v>1.274E-2</v>
      </c>
      <c r="K23" s="443">
        <f t="shared" si="5"/>
        <v>1.274E-2</v>
      </c>
      <c r="L23" s="443">
        <f t="shared" si="5"/>
        <v>1.274E-2</v>
      </c>
      <c r="M23" s="443">
        <f t="shared" si="5"/>
        <v>1.274E-2</v>
      </c>
    </row>
    <row r="24" spans="1:15">
      <c r="A24" s="434" t="s">
        <v>17</v>
      </c>
      <c r="B24" s="435">
        <f t="shared" ref="B24:M24" si="6">B22*B23</f>
        <v>0</v>
      </c>
      <c r="C24" s="435">
        <f t="shared" si="6"/>
        <v>0</v>
      </c>
      <c r="D24" s="435">
        <f t="shared" si="6"/>
        <v>0</v>
      </c>
      <c r="E24" s="435">
        <f t="shared" si="6"/>
        <v>0</v>
      </c>
      <c r="F24" s="435">
        <f t="shared" si="6"/>
        <v>0</v>
      </c>
      <c r="G24" s="435">
        <f t="shared" si="6"/>
        <v>0</v>
      </c>
      <c r="H24" s="435">
        <f t="shared" si="6"/>
        <v>0</v>
      </c>
      <c r="I24" s="435">
        <f t="shared" si="6"/>
        <v>0</v>
      </c>
      <c r="J24" s="435">
        <f t="shared" si="6"/>
        <v>0</v>
      </c>
      <c r="K24" s="435">
        <f t="shared" si="6"/>
        <v>0</v>
      </c>
      <c r="L24" s="435">
        <f t="shared" si="6"/>
        <v>0</v>
      </c>
      <c r="M24" s="435">
        <f t="shared" si="6"/>
        <v>0</v>
      </c>
      <c r="N24" s="435">
        <f>SUM(B24:M24)</f>
        <v>0</v>
      </c>
    </row>
    <row r="27" spans="1:15">
      <c r="B27" s="433" t="s">
        <v>0</v>
      </c>
      <c r="C27" s="433" t="s">
        <v>1</v>
      </c>
      <c r="D27" s="433" t="s">
        <v>2</v>
      </c>
      <c r="E27" s="433" t="s">
        <v>3</v>
      </c>
      <c r="F27" s="433" t="s">
        <v>4</v>
      </c>
      <c r="G27" s="433" t="s">
        <v>5</v>
      </c>
      <c r="H27" s="433" t="s">
        <v>6</v>
      </c>
      <c r="I27" s="433" t="s">
        <v>7</v>
      </c>
      <c r="J27" s="433" t="s">
        <v>8</v>
      </c>
      <c r="K27" s="433" t="s">
        <v>9</v>
      </c>
      <c r="L27" s="433" t="s">
        <v>10</v>
      </c>
      <c r="M27" s="433" t="s">
        <v>11</v>
      </c>
      <c r="N27" s="433" t="s">
        <v>12</v>
      </c>
    </row>
    <row r="28" spans="1:15">
      <c r="A28" s="437">
        <f>+A11+1</f>
        <v>2015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435"/>
    </row>
    <row r="29" spans="1:15">
      <c r="A29" s="434" t="s">
        <v>37</v>
      </c>
    </row>
    <row r="30" spans="1:15">
      <c r="A30" s="438" t="s">
        <v>47</v>
      </c>
      <c r="B30" s="439">
        <v>18000</v>
      </c>
      <c r="C30" s="439">
        <v>18000</v>
      </c>
      <c r="D30" s="439">
        <v>18000</v>
      </c>
      <c r="E30" s="439">
        <v>18000</v>
      </c>
      <c r="F30" s="439">
        <v>18000</v>
      </c>
      <c r="G30" s="439">
        <v>15000</v>
      </c>
      <c r="H30" s="439">
        <v>15000</v>
      </c>
      <c r="I30" s="439">
        <v>15000</v>
      </c>
      <c r="J30" s="439">
        <v>15000</v>
      </c>
      <c r="K30" s="439">
        <v>18000</v>
      </c>
      <c r="L30" s="439">
        <v>18000</v>
      </c>
      <c r="M30" s="439">
        <v>18000</v>
      </c>
      <c r="N30" s="435">
        <f>SUM(B30:M30)</f>
        <v>204000</v>
      </c>
      <c r="O30" s="428" t="s">
        <v>375</v>
      </c>
    </row>
    <row r="31" spans="1:15">
      <c r="A31" s="438" t="s">
        <v>45</v>
      </c>
      <c r="B31" s="440">
        <f>ROUND(B30*'Transmission Formula Rate (7)'!$B$27,0)</f>
        <v>333</v>
      </c>
      <c r="C31" s="440">
        <f>ROUND(C30*'Transmission Formula Rate (7)'!$B$27,0)</f>
        <v>333</v>
      </c>
      <c r="D31" s="440">
        <f>ROUND(D30*'Transmission Formula Rate (7)'!$B$27,0)</f>
        <v>333</v>
      </c>
      <c r="E31" s="440">
        <f>ROUND(E30*'Transmission Formula Rate (7)'!$B$27,0)</f>
        <v>333</v>
      </c>
      <c r="F31" s="440">
        <f>ROUND(F30*'Transmission Formula Rate (7)'!$B$27,0)</f>
        <v>333</v>
      </c>
      <c r="G31" s="440">
        <f>ROUND(G30*'Transmission Formula Rate (7)'!$B$27,0)</f>
        <v>278</v>
      </c>
      <c r="H31" s="440">
        <f>ROUND(H30*'Transmission Formula Rate (7)'!$B$27,0)</f>
        <v>278</v>
      </c>
      <c r="I31" s="440">
        <f>ROUND(I30*'Transmission Formula Rate (7)'!$B$27,0)</f>
        <v>278</v>
      </c>
      <c r="J31" s="440">
        <f>ROUND(J30*'Transmission Formula Rate (7)'!$B$27,0)</f>
        <v>278</v>
      </c>
      <c r="K31" s="440">
        <f>ROUND(K30*'Transmission Formula Rate (7)'!$B$27,0)</f>
        <v>333</v>
      </c>
      <c r="L31" s="440">
        <f>ROUND(L30*'Transmission Formula Rate (7)'!$B$27,0)</f>
        <v>333</v>
      </c>
      <c r="M31" s="440">
        <f>ROUND(M30*'Transmission Formula Rate (7)'!$B$27,0)</f>
        <v>333</v>
      </c>
      <c r="N31" s="435">
        <f>SUM(B31:M31)</f>
        <v>3776</v>
      </c>
      <c r="O31" s="428" t="s">
        <v>376</v>
      </c>
    </row>
    <row r="32" spans="1:15">
      <c r="A32" s="438" t="str">
        <f>$A$15</f>
        <v xml:space="preserve">       Georgia Transmission Load</v>
      </c>
      <c r="B32" s="440">
        <f t="shared" ref="B32:M32" si="7">B30+B31</f>
        <v>18333</v>
      </c>
      <c r="C32" s="440">
        <f t="shared" si="7"/>
        <v>18333</v>
      </c>
      <c r="D32" s="440">
        <f t="shared" si="7"/>
        <v>18333</v>
      </c>
      <c r="E32" s="440">
        <f t="shared" si="7"/>
        <v>18333</v>
      </c>
      <c r="F32" s="440">
        <f t="shared" si="7"/>
        <v>18333</v>
      </c>
      <c r="G32" s="440">
        <f t="shared" si="7"/>
        <v>15278</v>
      </c>
      <c r="H32" s="440">
        <f t="shared" si="7"/>
        <v>15278</v>
      </c>
      <c r="I32" s="440">
        <f t="shared" si="7"/>
        <v>15278</v>
      </c>
      <c r="J32" s="440">
        <f t="shared" si="7"/>
        <v>15278</v>
      </c>
      <c r="K32" s="440">
        <f t="shared" si="7"/>
        <v>18333</v>
      </c>
      <c r="L32" s="440">
        <f t="shared" si="7"/>
        <v>18333</v>
      </c>
      <c r="M32" s="440">
        <f t="shared" si="7"/>
        <v>18333</v>
      </c>
      <c r="N32" s="441">
        <f>SUM(B32:M32)</f>
        <v>207776</v>
      </c>
    </row>
    <row r="33" spans="1:14">
      <c r="A33" s="434" t="s">
        <v>20</v>
      </c>
      <c r="B33" s="442">
        <f>'Transmission Formula Rate (7)'!B10</f>
        <v>1.59</v>
      </c>
      <c r="C33" s="442">
        <f>'Transmission Formula Rate (7)'!C10</f>
        <v>1.59</v>
      </c>
      <c r="D33" s="442">
        <f>'Transmission Formula Rate (7)'!D10</f>
        <v>1.59</v>
      </c>
      <c r="E33" s="442">
        <f>'Transmission Formula Rate (7)'!E10</f>
        <v>1.59</v>
      </c>
      <c r="F33" s="442">
        <f>'Transmission Formula Rate (7)'!F10</f>
        <v>1.59</v>
      </c>
      <c r="G33" s="442">
        <f>'Transmission Formula Rate (7)'!G10</f>
        <v>1.59</v>
      </c>
      <c r="H33" s="442">
        <f>'Transmission Formula Rate (7)'!H10</f>
        <v>1.59</v>
      </c>
      <c r="I33" s="442">
        <f>'Transmission Formula Rate (7)'!I10</f>
        <v>1.59</v>
      </c>
      <c r="J33" s="442">
        <f>'Transmission Formula Rate (7)'!J10</f>
        <v>1.59</v>
      </c>
      <c r="K33" s="442">
        <f>'Transmission Formula Rate (7)'!K10</f>
        <v>1.59</v>
      </c>
      <c r="L33" s="442">
        <f>'Transmission Formula Rate (7)'!L10</f>
        <v>1.59</v>
      </c>
      <c r="M33" s="442">
        <f>'Transmission Formula Rate (7)'!M10</f>
        <v>1.59</v>
      </c>
    </row>
    <row r="34" spans="1:14">
      <c r="A34" s="434" t="s">
        <v>17</v>
      </c>
      <c r="B34" s="435">
        <f t="shared" ref="B34:M34" si="8">B32*B33</f>
        <v>29149.47</v>
      </c>
      <c r="C34" s="435">
        <f t="shared" si="8"/>
        <v>29149.47</v>
      </c>
      <c r="D34" s="435">
        <f t="shared" si="8"/>
        <v>29149.47</v>
      </c>
      <c r="E34" s="435">
        <f t="shared" si="8"/>
        <v>29149.47</v>
      </c>
      <c r="F34" s="435">
        <f t="shared" si="8"/>
        <v>29149.47</v>
      </c>
      <c r="G34" s="435">
        <f t="shared" si="8"/>
        <v>24292.02</v>
      </c>
      <c r="H34" s="435">
        <f t="shared" si="8"/>
        <v>24292.02</v>
      </c>
      <c r="I34" s="435">
        <f t="shared" si="8"/>
        <v>24292.02</v>
      </c>
      <c r="J34" s="435">
        <f t="shared" si="8"/>
        <v>24292.02</v>
      </c>
      <c r="K34" s="435">
        <f>K32*K33</f>
        <v>29149.47</v>
      </c>
      <c r="L34" s="435">
        <f t="shared" si="8"/>
        <v>29149.47</v>
      </c>
      <c r="M34" s="435">
        <f t="shared" si="8"/>
        <v>29149.47</v>
      </c>
      <c r="N34" s="435">
        <f>SUM(B34:M34)</f>
        <v>330363.83999999997</v>
      </c>
    </row>
    <row r="36" spans="1:14">
      <c r="A36" s="434" t="s">
        <v>135</v>
      </c>
    </row>
    <row r="37" spans="1:14">
      <c r="A37" s="438" t="s">
        <v>47</v>
      </c>
      <c r="B37" s="439">
        <f>B30</f>
        <v>18000</v>
      </c>
      <c r="C37" s="439">
        <f t="shared" ref="C37:M37" si="9">C30</f>
        <v>18000</v>
      </c>
      <c r="D37" s="439">
        <f t="shared" si="9"/>
        <v>18000</v>
      </c>
      <c r="E37" s="439">
        <f t="shared" si="9"/>
        <v>18000</v>
      </c>
      <c r="F37" s="439">
        <f t="shared" si="9"/>
        <v>18000</v>
      </c>
      <c r="G37" s="439">
        <f t="shared" si="9"/>
        <v>15000</v>
      </c>
      <c r="H37" s="439">
        <f t="shared" si="9"/>
        <v>15000</v>
      </c>
      <c r="I37" s="439">
        <f t="shared" si="9"/>
        <v>15000</v>
      </c>
      <c r="J37" s="439">
        <f t="shared" si="9"/>
        <v>15000</v>
      </c>
      <c r="K37" s="439">
        <f t="shared" si="9"/>
        <v>18000</v>
      </c>
      <c r="L37" s="439">
        <f t="shared" si="9"/>
        <v>18000</v>
      </c>
      <c r="M37" s="439">
        <f t="shared" si="9"/>
        <v>18000</v>
      </c>
      <c r="N37" s="435">
        <f>SUM(B37:M37)</f>
        <v>204000</v>
      </c>
    </row>
    <row r="38" spans="1:14">
      <c r="A38" s="438" t="s">
        <v>45</v>
      </c>
      <c r="B38" s="440">
        <f>ROUND(B37*'Transmission Formula Rate (7)'!$B$27,0)</f>
        <v>333</v>
      </c>
      <c r="C38" s="440">
        <f>ROUND(C37*'Transmission Formula Rate (7)'!$B$27,0)</f>
        <v>333</v>
      </c>
      <c r="D38" s="440">
        <f>ROUND(D37*'Transmission Formula Rate (7)'!$B$27,0)</f>
        <v>333</v>
      </c>
      <c r="E38" s="440">
        <f>ROUND(E37*'Transmission Formula Rate (7)'!$B$27,0)</f>
        <v>333</v>
      </c>
      <c r="F38" s="440">
        <f>ROUND(F37*'Transmission Formula Rate (7)'!$B$27,0)</f>
        <v>333</v>
      </c>
      <c r="G38" s="440">
        <f>ROUND(G37*'Transmission Formula Rate (7)'!$B$27,0)</f>
        <v>278</v>
      </c>
      <c r="H38" s="440">
        <f>ROUND(H37*'Transmission Formula Rate (7)'!$B$27,0)</f>
        <v>278</v>
      </c>
      <c r="I38" s="440">
        <f>ROUND(I37*'Transmission Formula Rate (7)'!$B$27,0)</f>
        <v>278</v>
      </c>
      <c r="J38" s="440">
        <f>ROUND(J37*'Transmission Formula Rate (7)'!$B$27,0)</f>
        <v>278</v>
      </c>
      <c r="K38" s="440">
        <f>ROUND(K37*'Transmission Formula Rate (7)'!$B$27,0)</f>
        <v>333</v>
      </c>
      <c r="L38" s="440">
        <f>ROUND(L37*'Transmission Formula Rate (7)'!$B$27,0)</f>
        <v>333</v>
      </c>
      <c r="M38" s="440">
        <f>ROUND(M37*'Transmission Formula Rate (7)'!$B$27,0)</f>
        <v>333</v>
      </c>
      <c r="N38" s="435">
        <f>SUM(B38:M38)</f>
        <v>3776</v>
      </c>
    </row>
    <row r="39" spans="1:14">
      <c r="A39" s="438" t="str">
        <f>$A$15</f>
        <v xml:space="preserve">       Georgia Transmission Load</v>
      </c>
      <c r="B39" s="440">
        <f t="shared" ref="B39:M39" si="10">B37+B38</f>
        <v>18333</v>
      </c>
      <c r="C39" s="440">
        <f t="shared" si="10"/>
        <v>18333</v>
      </c>
      <c r="D39" s="440">
        <f t="shared" si="10"/>
        <v>18333</v>
      </c>
      <c r="E39" s="440">
        <f t="shared" si="10"/>
        <v>18333</v>
      </c>
      <c r="F39" s="440">
        <f t="shared" si="10"/>
        <v>18333</v>
      </c>
      <c r="G39" s="440">
        <f t="shared" si="10"/>
        <v>15278</v>
      </c>
      <c r="H39" s="440">
        <f t="shared" si="10"/>
        <v>15278</v>
      </c>
      <c r="I39" s="440">
        <f t="shared" si="10"/>
        <v>15278</v>
      </c>
      <c r="J39" s="440">
        <f t="shared" si="10"/>
        <v>15278</v>
      </c>
      <c r="K39" s="440">
        <f t="shared" si="10"/>
        <v>18333</v>
      </c>
      <c r="L39" s="440">
        <f t="shared" si="10"/>
        <v>18333</v>
      </c>
      <c r="M39" s="440">
        <f t="shared" si="10"/>
        <v>18333</v>
      </c>
      <c r="N39" s="441">
        <f>SUM(B39:M39)</f>
        <v>207776</v>
      </c>
    </row>
    <row r="40" spans="1:14">
      <c r="A40" s="434" t="s">
        <v>143</v>
      </c>
      <c r="B40" s="443">
        <f>'charges (1 &amp; 2)'!F32</f>
        <v>1.274E-2</v>
      </c>
      <c r="C40" s="443">
        <f>B40</f>
        <v>1.274E-2</v>
      </c>
      <c r="D40" s="443">
        <f t="shared" ref="D40:M40" si="11">C40</f>
        <v>1.274E-2</v>
      </c>
      <c r="E40" s="443">
        <f t="shared" si="11"/>
        <v>1.274E-2</v>
      </c>
      <c r="F40" s="443">
        <f t="shared" si="11"/>
        <v>1.274E-2</v>
      </c>
      <c r="G40" s="443">
        <f t="shared" si="11"/>
        <v>1.274E-2</v>
      </c>
      <c r="H40" s="443">
        <f t="shared" si="11"/>
        <v>1.274E-2</v>
      </c>
      <c r="I40" s="443">
        <f t="shared" si="11"/>
        <v>1.274E-2</v>
      </c>
      <c r="J40" s="443">
        <f t="shared" si="11"/>
        <v>1.274E-2</v>
      </c>
      <c r="K40" s="443">
        <f t="shared" si="11"/>
        <v>1.274E-2</v>
      </c>
      <c r="L40" s="443">
        <f t="shared" si="11"/>
        <v>1.274E-2</v>
      </c>
      <c r="M40" s="443">
        <f t="shared" si="11"/>
        <v>1.274E-2</v>
      </c>
    </row>
    <row r="41" spans="1:14">
      <c r="A41" s="434" t="s">
        <v>17</v>
      </c>
      <c r="B41" s="435">
        <f t="shared" ref="B41:M41" si="12">B39*B40</f>
        <v>233.56242</v>
      </c>
      <c r="C41" s="435">
        <f t="shared" si="12"/>
        <v>233.56242</v>
      </c>
      <c r="D41" s="435">
        <f t="shared" si="12"/>
        <v>233.56242</v>
      </c>
      <c r="E41" s="435">
        <f t="shared" si="12"/>
        <v>233.56242</v>
      </c>
      <c r="F41" s="435">
        <f t="shared" si="12"/>
        <v>233.56242</v>
      </c>
      <c r="G41" s="435">
        <f t="shared" si="12"/>
        <v>194.64171999999999</v>
      </c>
      <c r="H41" s="435">
        <f t="shared" si="12"/>
        <v>194.64171999999999</v>
      </c>
      <c r="I41" s="435">
        <f t="shared" si="12"/>
        <v>194.64171999999999</v>
      </c>
      <c r="J41" s="435">
        <f t="shared" si="12"/>
        <v>194.64171999999999</v>
      </c>
      <c r="K41" s="435">
        <f t="shared" si="12"/>
        <v>233.56242</v>
      </c>
      <c r="L41" s="435">
        <f t="shared" si="12"/>
        <v>233.56242</v>
      </c>
      <c r="M41" s="435">
        <f t="shared" si="12"/>
        <v>233.56242</v>
      </c>
      <c r="N41" s="435">
        <f>SUM(B41:M41)</f>
        <v>2647.066240000001</v>
      </c>
    </row>
    <row r="42" spans="1:14">
      <c r="A42" s="434"/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</row>
    <row r="43" spans="1:14">
      <c r="A43" s="434" t="s">
        <v>38</v>
      </c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</row>
    <row r="44" spans="1:14">
      <c r="A44" s="438" t="s">
        <v>47</v>
      </c>
      <c r="B44" s="439">
        <f>B30</f>
        <v>18000</v>
      </c>
      <c r="C44" s="439">
        <f t="shared" ref="C44:M44" si="13">C30</f>
        <v>18000</v>
      </c>
      <c r="D44" s="439">
        <f t="shared" si="13"/>
        <v>18000</v>
      </c>
      <c r="E44" s="439">
        <f t="shared" si="13"/>
        <v>18000</v>
      </c>
      <c r="F44" s="439">
        <f t="shared" si="13"/>
        <v>18000</v>
      </c>
      <c r="G44" s="439">
        <f t="shared" si="13"/>
        <v>15000</v>
      </c>
      <c r="H44" s="439">
        <f t="shared" si="13"/>
        <v>15000</v>
      </c>
      <c r="I44" s="439">
        <f t="shared" si="13"/>
        <v>15000</v>
      </c>
      <c r="J44" s="439">
        <f t="shared" si="13"/>
        <v>15000</v>
      </c>
      <c r="K44" s="439">
        <f t="shared" si="13"/>
        <v>18000</v>
      </c>
      <c r="L44" s="439">
        <f t="shared" si="13"/>
        <v>18000</v>
      </c>
      <c r="M44" s="439">
        <f t="shared" si="13"/>
        <v>18000</v>
      </c>
      <c r="N44" s="435">
        <f>SUM(B44:M44)</f>
        <v>204000</v>
      </c>
    </row>
    <row r="45" spans="1:14">
      <c r="A45" s="438" t="s">
        <v>45</v>
      </c>
      <c r="B45" s="440">
        <f>ROUND(B44*'Transmission Formula Rate (7)'!$B$27,0)</f>
        <v>333</v>
      </c>
      <c r="C45" s="440">
        <f>ROUND(C44*'Transmission Formula Rate (7)'!$B$27,0)</f>
        <v>333</v>
      </c>
      <c r="D45" s="440">
        <f>ROUND(D44*'Transmission Formula Rate (7)'!$B$27,0)</f>
        <v>333</v>
      </c>
      <c r="E45" s="440">
        <f>ROUND(E44*'Transmission Formula Rate (7)'!$B$27,0)</f>
        <v>333</v>
      </c>
      <c r="F45" s="440">
        <f>ROUND(F44*'Transmission Formula Rate (7)'!$B$27,0)</f>
        <v>333</v>
      </c>
      <c r="G45" s="440">
        <f>ROUND(G44*'Transmission Formula Rate (7)'!$B$27,0)</f>
        <v>278</v>
      </c>
      <c r="H45" s="440">
        <f>ROUND(H44*'Transmission Formula Rate (7)'!$B$27,0)</f>
        <v>278</v>
      </c>
      <c r="I45" s="440">
        <f>ROUND(I44*'Transmission Formula Rate (7)'!$B$27,0)</f>
        <v>278</v>
      </c>
      <c r="J45" s="440">
        <f>ROUND(J44*'Transmission Formula Rate (7)'!$B$27,0)</f>
        <v>278</v>
      </c>
      <c r="K45" s="440">
        <f>ROUND(K44*'Transmission Formula Rate (7)'!$B$27,0)</f>
        <v>333</v>
      </c>
      <c r="L45" s="440">
        <f>ROUND(L44*'Transmission Formula Rate (7)'!$B$27,0)</f>
        <v>333</v>
      </c>
      <c r="M45" s="440">
        <f>ROUND(M44*'Transmission Formula Rate (7)'!$B$27,0)</f>
        <v>333</v>
      </c>
      <c r="N45" s="435">
        <f t="shared" ref="N45:N48" si="14">SUM(B45:M45)</f>
        <v>3776</v>
      </c>
    </row>
    <row r="46" spans="1:14">
      <c r="A46" s="438" t="str">
        <f>$A$15</f>
        <v xml:space="preserve">       Georgia Transmission Load</v>
      </c>
      <c r="B46" s="440">
        <f>B44+B45</f>
        <v>18333</v>
      </c>
      <c r="C46" s="440">
        <f t="shared" ref="C46:M46" si="15">C44+C45</f>
        <v>18333</v>
      </c>
      <c r="D46" s="440">
        <f t="shared" si="15"/>
        <v>18333</v>
      </c>
      <c r="E46" s="440">
        <f t="shared" si="15"/>
        <v>18333</v>
      </c>
      <c r="F46" s="440">
        <f t="shared" si="15"/>
        <v>18333</v>
      </c>
      <c r="G46" s="440">
        <f t="shared" si="15"/>
        <v>15278</v>
      </c>
      <c r="H46" s="440">
        <f t="shared" si="15"/>
        <v>15278</v>
      </c>
      <c r="I46" s="440">
        <f t="shared" si="15"/>
        <v>15278</v>
      </c>
      <c r="J46" s="440">
        <f t="shared" si="15"/>
        <v>15278</v>
      </c>
      <c r="K46" s="440">
        <f t="shared" si="15"/>
        <v>18333</v>
      </c>
      <c r="L46" s="440">
        <f t="shared" si="15"/>
        <v>18333</v>
      </c>
      <c r="M46" s="440">
        <f t="shared" si="15"/>
        <v>18333</v>
      </c>
      <c r="N46" s="441">
        <f t="shared" si="14"/>
        <v>207776</v>
      </c>
    </row>
    <row r="47" spans="1:14">
      <c r="A47" s="434" t="s">
        <v>144</v>
      </c>
      <c r="B47" s="443">
        <f>'charges (1 &amp; 2)'!D10</f>
        <v>0.1008</v>
      </c>
      <c r="C47" s="443">
        <f>B47</f>
        <v>0.1008</v>
      </c>
      <c r="D47" s="443">
        <f t="shared" ref="D47:M47" si="16">C47</f>
        <v>0.1008</v>
      </c>
      <c r="E47" s="443">
        <f t="shared" si="16"/>
        <v>0.1008</v>
      </c>
      <c r="F47" s="443">
        <f t="shared" si="16"/>
        <v>0.1008</v>
      </c>
      <c r="G47" s="443">
        <f t="shared" si="16"/>
        <v>0.1008</v>
      </c>
      <c r="H47" s="443">
        <f t="shared" si="16"/>
        <v>0.1008</v>
      </c>
      <c r="I47" s="443">
        <f t="shared" si="16"/>
        <v>0.1008</v>
      </c>
      <c r="J47" s="443">
        <f t="shared" si="16"/>
        <v>0.1008</v>
      </c>
      <c r="K47" s="443">
        <f t="shared" si="16"/>
        <v>0.1008</v>
      </c>
      <c r="L47" s="443">
        <f t="shared" si="16"/>
        <v>0.1008</v>
      </c>
      <c r="M47" s="443">
        <f t="shared" si="16"/>
        <v>0.1008</v>
      </c>
      <c r="N47" s="435"/>
    </row>
    <row r="48" spans="1:14">
      <c r="A48" s="434" t="s">
        <v>17</v>
      </c>
      <c r="B48" s="435">
        <f t="shared" ref="B48:M48" si="17">B46*B47</f>
        <v>1847.9664</v>
      </c>
      <c r="C48" s="435">
        <f t="shared" si="17"/>
        <v>1847.9664</v>
      </c>
      <c r="D48" s="435">
        <f t="shared" si="17"/>
        <v>1847.9664</v>
      </c>
      <c r="E48" s="435">
        <f t="shared" si="17"/>
        <v>1847.9664</v>
      </c>
      <c r="F48" s="435">
        <f t="shared" si="17"/>
        <v>1847.9664</v>
      </c>
      <c r="G48" s="435">
        <f t="shared" si="17"/>
        <v>1540.0224000000001</v>
      </c>
      <c r="H48" s="435">
        <f t="shared" si="17"/>
        <v>1540.0224000000001</v>
      </c>
      <c r="I48" s="435">
        <f t="shared" si="17"/>
        <v>1540.0224000000001</v>
      </c>
      <c r="J48" s="435">
        <f t="shared" si="17"/>
        <v>1540.0224000000001</v>
      </c>
      <c r="K48" s="435">
        <f t="shared" si="17"/>
        <v>1847.9664</v>
      </c>
      <c r="L48" s="435">
        <f t="shared" si="17"/>
        <v>1847.9664</v>
      </c>
      <c r="M48" s="435">
        <f t="shared" si="17"/>
        <v>1847.9664</v>
      </c>
      <c r="N48" s="435">
        <f t="shared" si="14"/>
        <v>20943.820800000001</v>
      </c>
    </row>
    <row r="49" spans="1:14">
      <c r="A49" s="434"/>
    </row>
    <row r="50" spans="1:14">
      <c r="B50" s="433" t="s">
        <v>0</v>
      </c>
      <c r="C50" s="433" t="s">
        <v>1</v>
      </c>
      <c r="D50" s="433" t="s">
        <v>2</v>
      </c>
      <c r="E50" s="433" t="s">
        <v>3</v>
      </c>
      <c r="F50" s="433" t="s">
        <v>4</v>
      </c>
      <c r="G50" s="433" t="s">
        <v>5</v>
      </c>
      <c r="H50" s="433" t="s">
        <v>6</v>
      </c>
      <c r="I50" s="433" t="s">
        <v>7</v>
      </c>
      <c r="J50" s="433" t="s">
        <v>8</v>
      </c>
      <c r="K50" s="433" t="s">
        <v>9</v>
      </c>
      <c r="L50" s="433" t="s">
        <v>10</v>
      </c>
      <c r="M50" s="433" t="s">
        <v>11</v>
      </c>
      <c r="N50" s="433" t="s">
        <v>12</v>
      </c>
    </row>
    <row r="51" spans="1:14">
      <c r="A51" s="437">
        <f>+A28+1</f>
        <v>2016</v>
      </c>
      <c r="B51" s="435"/>
      <c r="C51" s="435"/>
      <c r="D51" s="435"/>
      <c r="E51" s="435"/>
      <c r="F51" s="435"/>
      <c r="G51" s="435"/>
      <c r="H51" s="435"/>
      <c r="I51" s="435"/>
      <c r="J51" s="435"/>
      <c r="K51" s="435"/>
      <c r="L51" s="435"/>
      <c r="M51" s="435"/>
      <c r="N51" s="435"/>
    </row>
    <row r="52" spans="1:14">
      <c r="A52" s="434" t="s">
        <v>37</v>
      </c>
    </row>
    <row r="53" spans="1:14">
      <c r="A53" s="438" t="s">
        <v>47</v>
      </c>
      <c r="B53" s="439">
        <v>18000</v>
      </c>
      <c r="C53" s="439">
        <v>18000</v>
      </c>
      <c r="D53" s="439">
        <v>18000</v>
      </c>
      <c r="E53" s="439">
        <v>18000</v>
      </c>
      <c r="F53" s="439">
        <v>18000</v>
      </c>
      <c r="G53" s="439">
        <v>15450</v>
      </c>
      <c r="H53" s="439">
        <v>15450</v>
      </c>
      <c r="I53" s="439">
        <v>15450</v>
      </c>
      <c r="J53" s="439">
        <v>15450</v>
      </c>
      <c r="K53" s="439">
        <v>18450</v>
      </c>
      <c r="L53" s="439">
        <v>18450</v>
      </c>
      <c r="M53" s="439">
        <v>18450</v>
      </c>
      <c r="N53" s="435">
        <f>SUM(B53:M53)</f>
        <v>207150</v>
      </c>
    </row>
    <row r="54" spans="1:14">
      <c r="A54" s="438" t="s">
        <v>45</v>
      </c>
      <c r="B54" s="440">
        <f>ROUND(B53*'Transmission Formula Rate (7)'!$B$27,0)</f>
        <v>333</v>
      </c>
      <c r="C54" s="440">
        <f>ROUND(C53*'Transmission Formula Rate (7)'!$B$27,0)</f>
        <v>333</v>
      </c>
      <c r="D54" s="440">
        <f>ROUND(D53*'Transmission Formula Rate (7)'!$B$27,0)</f>
        <v>333</v>
      </c>
      <c r="E54" s="440">
        <f>ROUND(E53*'Transmission Formula Rate (7)'!$B$27,0)</f>
        <v>333</v>
      </c>
      <c r="F54" s="440">
        <f>ROUND(F53*'Transmission Formula Rate (7)'!$B$27,0)</f>
        <v>333</v>
      </c>
      <c r="G54" s="440">
        <f>ROUND(G53*'Transmission Formula Rate (7)'!$B$27,0)</f>
        <v>286</v>
      </c>
      <c r="H54" s="440">
        <f>ROUND(H53*'Transmission Formula Rate (7)'!$B$27,0)</f>
        <v>286</v>
      </c>
      <c r="I54" s="440">
        <f>ROUND(I53*'Transmission Formula Rate (7)'!$B$27,0)</f>
        <v>286</v>
      </c>
      <c r="J54" s="440">
        <f>ROUND(J53*'Transmission Formula Rate (7)'!$B$27,0)</f>
        <v>286</v>
      </c>
      <c r="K54" s="440">
        <f>ROUND(K53*'Transmission Formula Rate (7)'!$B$27,0)</f>
        <v>341</v>
      </c>
      <c r="L54" s="440">
        <f>ROUND(L53*'Transmission Formula Rate (7)'!$B$27,0)</f>
        <v>341</v>
      </c>
      <c r="M54" s="440">
        <f>ROUND(M53*'Transmission Formula Rate (7)'!$B$27,0)</f>
        <v>341</v>
      </c>
      <c r="N54" s="435">
        <f>SUM(B54:M54)</f>
        <v>3832</v>
      </c>
    </row>
    <row r="55" spans="1:14">
      <c r="A55" s="438" t="str">
        <f>$A$15</f>
        <v xml:space="preserve">       Georgia Transmission Load</v>
      </c>
      <c r="B55" s="440">
        <f t="shared" ref="B55:M55" si="18">B53+B54</f>
        <v>18333</v>
      </c>
      <c r="C55" s="440">
        <f t="shared" si="18"/>
        <v>18333</v>
      </c>
      <c r="D55" s="440">
        <f t="shared" si="18"/>
        <v>18333</v>
      </c>
      <c r="E55" s="440">
        <f t="shared" si="18"/>
        <v>18333</v>
      </c>
      <c r="F55" s="440">
        <f t="shared" si="18"/>
        <v>18333</v>
      </c>
      <c r="G55" s="440">
        <f t="shared" si="18"/>
        <v>15736</v>
      </c>
      <c r="H55" s="440">
        <f t="shared" si="18"/>
        <v>15736</v>
      </c>
      <c r="I55" s="440">
        <f t="shared" si="18"/>
        <v>15736</v>
      </c>
      <c r="J55" s="440">
        <f t="shared" si="18"/>
        <v>15736</v>
      </c>
      <c r="K55" s="440">
        <f t="shared" si="18"/>
        <v>18791</v>
      </c>
      <c r="L55" s="440">
        <f t="shared" si="18"/>
        <v>18791</v>
      </c>
      <c r="M55" s="440">
        <f t="shared" si="18"/>
        <v>18791</v>
      </c>
      <c r="N55" s="441">
        <f>SUM(B55:M55)</f>
        <v>210982</v>
      </c>
    </row>
    <row r="56" spans="1:14">
      <c r="A56" s="434" t="s">
        <v>20</v>
      </c>
      <c r="B56" s="442">
        <f>'Transmission Formula Rate (7)'!B12</f>
        <v>1.59</v>
      </c>
      <c r="C56" s="442">
        <f>'Transmission Formula Rate (7)'!C12</f>
        <v>1.59</v>
      </c>
      <c r="D56" s="442">
        <f>'Transmission Formula Rate (7)'!D12</f>
        <v>1.59</v>
      </c>
      <c r="E56" s="442">
        <f>'Transmission Formula Rate (7)'!E12</f>
        <v>1.59</v>
      </c>
      <c r="F56" s="442">
        <f>'Transmission Formula Rate (7)'!F12</f>
        <v>1.59</v>
      </c>
      <c r="G56" s="442">
        <f>'Transmission Formula Rate (7)'!G12</f>
        <v>1.59</v>
      </c>
      <c r="H56" s="442">
        <f>'Transmission Formula Rate (7)'!H12</f>
        <v>1.59</v>
      </c>
      <c r="I56" s="442">
        <f>'Transmission Formula Rate (7)'!I12</f>
        <v>1.59</v>
      </c>
      <c r="J56" s="442">
        <f>'Transmission Formula Rate (7)'!J12</f>
        <v>1.59</v>
      </c>
      <c r="K56" s="442">
        <f>'Transmission Formula Rate (7)'!K12</f>
        <v>1.59</v>
      </c>
      <c r="L56" s="442">
        <f>'Transmission Formula Rate (7)'!L12</f>
        <v>1.59</v>
      </c>
      <c r="M56" s="442">
        <f>'Transmission Formula Rate (7)'!M12</f>
        <v>1.59</v>
      </c>
    </row>
    <row r="57" spans="1:14">
      <c r="A57" s="434" t="s">
        <v>17</v>
      </c>
      <c r="B57" s="435">
        <f t="shared" ref="B57:M57" si="19">B55*B56</f>
        <v>29149.47</v>
      </c>
      <c r="C57" s="435">
        <f t="shared" si="19"/>
        <v>29149.47</v>
      </c>
      <c r="D57" s="435">
        <f t="shared" si="19"/>
        <v>29149.47</v>
      </c>
      <c r="E57" s="435">
        <f t="shared" si="19"/>
        <v>29149.47</v>
      </c>
      <c r="F57" s="435">
        <f t="shared" si="19"/>
        <v>29149.47</v>
      </c>
      <c r="G57" s="435">
        <f t="shared" si="19"/>
        <v>25020.240000000002</v>
      </c>
      <c r="H57" s="435">
        <f t="shared" si="19"/>
        <v>25020.240000000002</v>
      </c>
      <c r="I57" s="435">
        <f t="shared" si="19"/>
        <v>25020.240000000002</v>
      </c>
      <c r="J57" s="435">
        <f t="shared" si="19"/>
        <v>25020.240000000002</v>
      </c>
      <c r="K57" s="435">
        <f t="shared" si="19"/>
        <v>29877.690000000002</v>
      </c>
      <c r="L57" s="435">
        <f t="shared" si="19"/>
        <v>29877.690000000002</v>
      </c>
      <c r="M57" s="435">
        <f t="shared" si="19"/>
        <v>29877.690000000002</v>
      </c>
      <c r="N57" s="435">
        <f>SUM(B57:M57)</f>
        <v>335461.38</v>
      </c>
    </row>
    <row r="59" spans="1:14">
      <c r="A59" s="434" t="s">
        <v>135</v>
      </c>
    </row>
    <row r="60" spans="1:14">
      <c r="A60" s="438" t="s">
        <v>47</v>
      </c>
      <c r="B60" s="439">
        <f>B53</f>
        <v>18000</v>
      </c>
      <c r="C60" s="439">
        <f t="shared" ref="C60:M60" si="20">C53</f>
        <v>18000</v>
      </c>
      <c r="D60" s="439">
        <f t="shared" si="20"/>
        <v>18000</v>
      </c>
      <c r="E60" s="439">
        <f t="shared" si="20"/>
        <v>18000</v>
      </c>
      <c r="F60" s="439">
        <f t="shared" si="20"/>
        <v>18000</v>
      </c>
      <c r="G60" s="439">
        <f t="shared" si="20"/>
        <v>15450</v>
      </c>
      <c r="H60" s="439">
        <f t="shared" si="20"/>
        <v>15450</v>
      </c>
      <c r="I60" s="439">
        <f t="shared" si="20"/>
        <v>15450</v>
      </c>
      <c r="J60" s="439">
        <f t="shared" si="20"/>
        <v>15450</v>
      </c>
      <c r="K60" s="439">
        <f t="shared" si="20"/>
        <v>18450</v>
      </c>
      <c r="L60" s="439">
        <f t="shared" si="20"/>
        <v>18450</v>
      </c>
      <c r="M60" s="439">
        <f t="shared" si="20"/>
        <v>18450</v>
      </c>
      <c r="N60" s="435">
        <f>SUM(B60:M60)</f>
        <v>207150</v>
      </c>
    </row>
    <row r="61" spans="1:14">
      <c r="A61" s="438" t="s">
        <v>45</v>
      </c>
      <c r="B61" s="440">
        <f>ROUND(B60*'Transmission Formula Rate (7)'!$B$27,0)</f>
        <v>333</v>
      </c>
      <c r="C61" s="440">
        <f>ROUND(C60*'Transmission Formula Rate (7)'!$B$27,0)</f>
        <v>333</v>
      </c>
      <c r="D61" s="440">
        <f>ROUND(D60*'Transmission Formula Rate (7)'!$B$27,0)</f>
        <v>333</v>
      </c>
      <c r="E61" s="440">
        <f>ROUND(E60*'Transmission Formula Rate (7)'!$B$27,0)</f>
        <v>333</v>
      </c>
      <c r="F61" s="440">
        <f>ROUND(F60*'Transmission Formula Rate (7)'!$B$27,0)</f>
        <v>333</v>
      </c>
      <c r="G61" s="440">
        <f>ROUND(G60*'Transmission Formula Rate (7)'!$B$27,0)</f>
        <v>286</v>
      </c>
      <c r="H61" s="440">
        <f>ROUND(H60*'Transmission Formula Rate (7)'!$B$27,0)</f>
        <v>286</v>
      </c>
      <c r="I61" s="440">
        <f>ROUND(I60*'Transmission Formula Rate (7)'!$B$27,0)</f>
        <v>286</v>
      </c>
      <c r="J61" s="440">
        <f>ROUND(J60*'Transmission Formula Rate (7)'!$B$27,0)</f>
        <v>286</v>
      </c>
      <c r="K61" s="440">
        <f>ROUND(K60*'Transmission Formula Rate (7)'!$B$27,0)</f>
        <v>341</v>
      </c>
      <c r="L61" s="440">
        <f>ROUND(L60*'Transmission Formula Rate (7)'!$B$27,0)</f>
        <v>341</v>
      </c>
      <c r="M61" s="440">
        <f>ROUND(M60*'Transmission Formula Rate (7)'!$B$27,0)</f>
        <v>341</v>
      </c>
      <c r="N61" s="435">
        <f>SUM(B61:M61)</f>
        <v>3832</v>
      </c>
    </row>
    <row r="62" spans="1:14">
      <c r="A62" s="438" t="str">
        <f>$A$15</f>
        <v xml:space="preserve">       Georgia Transmission Load</v>
      </c>
      <c r="B62" s="440">
        <f t="shared" ref="B62:M62" si="21">B60+B61</f>
        <v>18333</v>
      </c>
      <c r="C62" s="440">
        <f t="shared" si="21"/>
        <v>18333</v>
      </c>
      <c r="D62" s="440">
        <f t="shared" si="21"/>
        <v>18333</v>
      </c>
      <c r="E62" s="440">
        <f t="shared" si="21"/>
        <v>18333</v>
      </c>
      <c r="F62" s="440">
        <f t="shared" si="21"/>
        <v>18333</v>
      </c>
      <c r="G62" s="440">
        <f t="shared" si="21"/>
        <v>15736</v>
      </c>
      <c r="H62" s="440">
        <f t="shared" si="21"/>
        <v>15736</v>
      </c>
      <c r="I62" s="440">
        <f t="shared" si="21"/>
        <v>15736</v>
      </c>
      <c r="J62" s="440">
        <f t="shared" si="21"/>
        <v>15736</v>
      </c>
      <c r="K62" s="440">
        <f t="shared" si="21"/>
        <v>18791</v>
      </c>
      <c r="L62" s="440">
        <f t="shared" si="21"/>
        <v>18791</v>
      </c>
      <c r="M62" s="440">
        <f t="shared" si="21"/>
        <v>18791</v>
      </c>
      <c r="N62" s="441">
        <f>SUM(B62:M62)</f>
        <v>210982</v>
      </c>
    </row>
    <row r="63" spans="1:14">
      <c r="A63" s="434" t="s">
        <v>143</v>
      </c>
      <c r="B63" s="443">
        <f>'charges (1 &amp; 2)'!G32</f>
        <v>1.274E-2</v>
      </c>
      <c r="C63" s="443">
        <f>B63</f>
        <v>1.274E-2</v>
      </c>
      <c r="D63" s="443">
        <f t="shared" ref="D63:M63" si="22">C63</f>
        <v>1.274E-2</v>
      </c>
      <c r="E63" s="443">
        <f t="shared" si="22"/>
        <v>1.274E-2</v>
      </c>
      <c r="F63" s="443">
        <f t="shared" si="22"/>
        <v>1.274E-2</v>
      </c>
      <c r="G63" s="443">
        <f t="shared" si="22"/>
        <v>1.274E-2</v>
      </c>
      <c r="H63" s="443">
        <f t="shared" si="22"/>
        <v>1.274E-2</v>
      </c>
      <c r="I63" s="443">
        <f t="shared" si="22"/>
        <v>1.274E-2</v>
      </c>
      <c r="J63" s="443">
        <f t="shared" si="22"/>
        <v>1.274E-2</v>
      </c>
      <c r="K63" s="443">
        <f t="shared" si="22"/>
        <v>1.274E-2</v>
      </c>
      <c r="L63" s="443">
        <f t="shared" si="22"/>
        <v>1.274E-2</v>
      </c>
      <c r="M63" s="443">
        <f t="shared" si="22"/>
        <v>1.274E-2</v>
      </c>
    </row>
    <row r="64" spans="1:14">
      <c r="A64" s="434" t="s">
        <v>17</v>
      </c>
      <c r="B64" s="435">
        <f t="shared" ref="B64:M64" si="23">B62*B63</f>
        <v>233.56242</v>
      </c>
      <c r="C64" s="435">
        <f t="shared" si="23"/>
        <v>233.56242</v>
      </c>
      <c r="D64" s="435">
        <f t="shared" si="23"/>
        <v>233.56242</v>
      </c>
      <c r="E64" s="435">
        <f t="shared" si="23"/>
        <v>233.56242</v>
      </c>
      <c r="F64" s="435">
        <f t="shared" si="23"/>
        <v>233.56242</v>
      </c>
      <c r="G64" s="435">
        <f t="shared" si="23"/>
        <v>200.47664</v>
      </c>
      <c r="H64" s="435">
        <f t="shared" si="23"/>
        <v>200.47664</v>
      </c>
      <c r="I64" s="435">
        <f t="shared" si="23"/>
        <v>200.47664</v>
      </c>
      <c r="J64" s="435">
        <f t="shared" si="23"/>
        <v>200.47664</v>
      </c>
      <c r="K64" s="435">
        <f t="shared" si="23"/>
        <v>239.39733999999999</v>
      </c>
      <c r="L64" s="435">
        <f t="shared" si="23"/>
        <v>239.39733999999999</v>
      </c>
      <c r="M64" s="435">
        <f t="shared" si="23"/>
        <v>239.39733999999999</v>
      </c>
      <c r="N64" s="435">
        <f>SUM(B64:M64)</f>
        <v>2687.9106800000004</v>
      </c>
    </row>
    <row r="66" spans="1:15">
      <c r="A66" s="434" t="s">
        <v>38</v>
      </c>
    </row>
    <row r="67" spans="1:15">
      <c r="A67" s="438" t="s">
        <v>47</v>
      </c>
      <c r="B67" s="439">
        <f>B53</f>
        <v>18000</v>
      </c>
      <c r="C67" s="439">
        <f t="shared" ref="C67:M67" si="24">C53</f>
        <v>18000</v>
      </c>
      <c r="D67" s="439">
        <f t="shared" si="24"/>
        <v>18000</v>
      </c>
      <c r="E67" s="439">
        <f t="shared" si="24"/>
        <v>18000</v>
      </c>
      <c r="F67" s="439">
        <f t="shared" si="24"/>
        <v>18000</v>
      </c>
      <c r="G67" s="439">
        <f t="shared" si="24"/>
        <v>15450</v>
      </c>
      <c r="H67" s="439">
        <f t="shared" si="24"/>
        <v>15450</v>
      </c>
      <c r="I67" s="439">
        <f t="shared" si="24"/>
        <v>15450</v>
      </c>
      <c r="J67" s="439">
        <f t="shared" si="24"/>
        <v>15450</v>
      </c>
      <c r="K67" s="439">
        <f t="shared" si="24"/>
        <v>18450</v>
      </c>
      <c r="L67" s="439">
        <f t="shared" si="24"/>
        <v>18450</v>
      </c>
      <c r="M67" s="439">
        <f t="shared" si="24"/>
        <v>18450</v>
      </c>
      <c r="N67" s="435">
        <f>SUM(B67:M67)</f>
        <v>207150</v>
      </c>
    </row>
    <row r="68" spans="1:15">
      <c r="A68" s="438" t="s">
        <v>45</v>
      </c>
      <c r="B68" s="440">
        <f>ROUND(B67*'Transmission Formula Rate (7)'!$B$27,0)</f>
        <v>333</v>
      </c>
      <c r="C68" s="440">
        <f>ROUND(C67*'Transmission Formula Rate (7)'!$B$27,0)</f>
        <v>333</v>
      </c>
      <c r="D68" s="440">
        <f>ROUND(D67*'Transmission Formula Rate (7)'!$B$27,0)</f>
        <v>333</v>
      </c>
      <c r="E68" s="440">
        <f>ROUND(E67*'Transmission Formula Rate (7)'!$B$27,0)</f>
        <v>333</v>
      </c>
      <c r="F68" s="440">
        <f>ROUND(F67*'Transmission Formula Rate (7)'!$B$27,0)</f>
        <v>333</v>
      </c>
      <c r="G68" s="440">
        <f>ROUND(G67*'Transmission Formula Rate (7)'!$B$27,0)</f>
        <v>286</v>
      </c>
      <c r="H68" s="440">
        <f>ROUND(H67*'Transmission Formula Rate (7)'!$B$27,0)</f>
        <v>286</v>
      </c>
      <c r="I68" s="440">
        <f>ROUND(I67*'Transmission Formula Rate (7)'!$B$27,0)</f>
        <v>286</v>
      </c>
      <c r="J68" s="440">
        <f>ROUND(J67*'Transmission Formula Rate (7)'!$B$27,0)</f>
        <v>286</v>
      </c>
      <c r="K68" s="440">
        <f>ROUND(K67*'Transmission Formula Rate (7)'!$B$27,0)</f>
        <v>341</v>
      </c>
      <c r="L68" s="440">
        <f>ROUND(L67*'Transmission Formula Rate (7)'!$B$27,0)</f>
        <v>341</v>
      </c>
      <c r="M68" s="440">
        <f>ROUND(M67*'Transmission Formula Rate (7)'!$B$27,0)</f>
        <v>341</v>
      </c>
      <c r="N68" s="435">
        <f t="shared" ref="N68:N71" si="25">SUM(B68:M68)</f>
        <v>3832</v>
      </c>
    </row>
    <row r="69" spans="1:15">
      <c r="A69" s="438" t="str">
        <f>$A$15</f>
        <v xml:space="preserve">       Georgia Transmission Load</v>
      </c>
      <c r="B69" s="440">
        <f>B67+B68</f>
        <v>18333</v>
      </c>
      <c r="C69" s="440">
        <f t="shared" ref="C69:M69" si="26">C67+C68</f>
        <v>18333</v>
      </c>
      <c r="D69" s="440">
        <f t="shared" si="26"/>
        <v>18333</v>
      </c>
      <c r="E69" s="440">
        <f t="shared" si="26"/>
        <v>18333</v>
      </c>
      <c r="F69" s="440">
        <f t="shared" si="26"/>
        <v>18333</v>
      </c>
      <c r="G69" s="440">
        <f t="shared" si="26"/>
        <v>15736</v>
      </c>
      <c r="H69" s="440">
        <f t="shared" si="26"/>
        <v>15736</v>
      </c>
      <c r="I69" s="440">
        <f t="shared" si="26"/>
        <v>15736</v>
      </c>
      <c r="J69" s="440">
        <f t="shared" si="26"/>
        <v>15736</v>
      </c>
      <c r="K69" s="440">
        <f t="shared" si="26"/>
        <v>18791</v>
      </c>
      <c r="L69" s="440">
        <f t="shared" si="26"/>
        <v>18791</v>
      </c>
      <c r="M69" s="440">
        <f t="shared" si="26"/>
        <v>18791</v>
      </c>
      <c r="N69" s="441">
        <f t="shared" si="25"/>
        <v>210982</v>
      </c>
    </row>
    <row r="70" spans="1:15">
      <c r="A70" s="434" t="s">
        <v>144</v>
      </c>
      <c r="B70" s="443">
        <f>'charges (1 &amp; 2)'!E10</f>
        <v>0.1008</v>
      </c>
      <c r="C70" s="443">
        <f>B70</f>
        <v>0.1008</v>
      </c>
      <c r="D70" s="443">
        <f t="shared" ref="D70:M70" si="27">C70</f>
        <v>0.1008</v>
      </c>
      <c r="E70" s="443">
        <f t="shared" si="27"/>
        <v>0.1008</v>
      </c>
      <c r="F70" s="443">
        <f t="shared" si="27"/>
        <v>0.1008</v>
      </c>
      <c r="G70" s="443">
        <f t="shared" si="27"/>
        <v>0.1008</v>
      </c>
      <c r="H70" s="443">
        <f t="shared" si="27"/>
        <v>0.1008</v>
      </c>
      <c r="I70" s="443">
        <f t="shared" si="27"/>
        <v>0.1008</v>
      </c>
      <c r="J70" s="443">
        <f t="shared" si="27"/>
        <v>0.1008</v>
      </c>
      <c r="K70" s="443">
        <f t="shared" si="27"/>
        <v>0.1008</v>
      </c>
      <c r="L70" s="443">
        <f t="shared" si="27"/>
        <v>0.1008</v>
      </c>
      <c r="M70" s="443">
        <f t="shared" si="27"/>
        <v>0.1008</v>
      </c>
    </row>
    <row r="71" spans="1:15">
      <c r="A71" s="434" t="s">
        <v>17</v>
      </c>
      <c r="B71" s="435">
        <f t="shared" ref="B71:M71" si="28">B69*B70</f>
        <v>1847.9664</v>
      </c>
      <c r="C71" s="435">
        <f t="shared" si="28"/>
        <v>1847.9664</v>
      </c>
      <c r="D71" s="435">
        <f t="shared" si="28"/>
        <v>1847.9664</v>
      </c>
      <c r="E71" s="435">
        <f t="shared" si="28"/>
        <v>1847.9664</v>
      </c>
      <c r="F71" s="435">
        <f t="shared" si="28"/>
        <v>1847.9664</v>
      </c>
      <c r="G71" s="435">
        <f t="shared" si="28"/>
        <v>1586.1887999999999</v>
      </c>
      <c r="H71" s="435">
        <f t="shared" si="28"/>
        <v>1586.1887999999999</v>
      </c>
      <c r="I71" s="435">
        <f t="shared" si="28"/>
        <v>1586.1887999999999</v>
      </c>
      <c r="J71" s="435">
        <f t="shared" si="28"/>
        <v>1586.1887999999999</v>
      </c>
      <c r="K71" s="435">
        <f t="shared" si="28"/>
        <v>1894.1328000000001</v>
      </c>
      <c r="L71" s="435">
        <f t="shared" si="28"/>
        <v>1894.1328000000001</v>
      </c>
      <c r="M71" s="435">
        <f t="shared" si="28"/>
        <v>1894.1328000000001</v>
      </c>
      <c r="N71" s="435">
        <f t="shared" si="25"/>
        <v>21266.9856</v>
      </c>
    </row>
    <row r="73" spans="1:15">
      <c r="B73" s="433" t="s">
        <v>0</v>
      </c>
      <c r="C73" s="433" t="s">
        <v>1</v>
      </c>
      <c r="D73" s="433" t="s">
        <v>2</v>
      </c>
      <c r="E73" s="433" t="s">
        <v>3</v>
      </c>
      <c r="F73" s="433" t="s">
        <v>4</v>
      </c>
      <c r="G73" s="433" t="s">
        <v>5</v>
      </c>
      <c r="H73" s="433" t="s">
        <v>6</v>
      </c>
      <c r="I73" s="433" t="s">
        <v>7</v>
      </c>
      <c r="J73" s="433" t="s">
        <v>8</v>
      </c>
      <c r="K73" s="433" t="s">
        <v>9</v>
      </c>
      <c r="L73" s="433" t="s">
        <v>10</v>
      </c>
      <c r="M73" s="433" t="s">
        <v>11</v>
      </c>
      <c r="N73" s="433" t="s">
        <v>12</v>
      </c>
    </row>
    <row r="74" spans="1:15">
      <c r="A74" s="437">
        <f>+A51+1</f>
        <v>2017</v>
      </c>
      <c r="B74" s="435"/>
      <c r="C74" s="435"/>
      <c r="D74" s="435"/>
      <c r="E74" s="435"/>
      <c r="F74" s="435"/>
      <c r="G74" s="435"/>
      <c r="H74" s="435"/>
      <c r="I74" s="435"/>
      <c r="J74" s="435"/>
      <c r="K74" s="435"/>
      <c r="L74" s="435"/>
      <c r="M74" s="435"/>
      <c r="N74" s="435"/>
    </row>
    <row r="75" spans="1:15">
      <c r="A75" s="434" t="s">
        <v>37</v>
      </c>
    </row>
    <row r="76" spans="1:15">
      <c r="A76" s="438" t="s">
        <v>47</v>
      </c>
      <c r="B76" s="439">
        <v>18450</v>
      </c>
      <c r="C76" s="439">
        <v>18450</v>
      </c>
      <c r="D76" s="439">
        <v>18450</v>
      </c>
      <c r="E76" s="439">
        <v>18450</v>
      </c>
      <c r="F76" s="439">
        <v>18450</v>
      </c>
      <c r="G76" s="439">
        <v>15914</v>
      </c>
      <c r="H76" s="439">
        <v>15914</v>
      </c>
      <c r="I76" s="439">
        <v>15914</v>
      </c>
      <c r="J76" s="439">
        <v>15914</v>
      </c>
      <c r="K76" s="439">
        <v>18911</v>
      </c>
      <c r="L76" s="439">
        <v>18911</v>
      </c>
      <c r="M76" s="439">
        <v>18911</v>
      </c>
      <c r="N76" s="435">
        <f>SUM(B76:M76)</f>
        <v>212639</v>
      </c>
    </row>
    <row r="77" spans="1:15">
      <c r="A77" s="438" t="s">
        <v>45</v>
      </c>
      <c r="B77" s="440">
        <f>ROUND(B76*'Transmission Formula Rate (7)'!$B$27,0)</f>
        <v>341</v>
      </c>
      <c r="C77" s="440">
        <f>ROUND(C76*'Transmission Formula Rate (7)'!$B$27,0)</f>
        <v>341</v>
      </c>
      <c r="D77" s="440">
        <f>ROUND(D76*'Transmission Formula Rate (7)'!$B$27,0)</f>
        <v>341</v>
      </c>
      <c r="E77" s="440">
        <f>ROUND(E76*'Transmission Formula Rate (7)'!$B$27,0)</f>
        <v>341</v>
      </c>
      <c r="F77" s="440">
        <f>ROUND(F76*'Transmission Formula Rate (7)'!$B$27,0)</f>
        <v>341</v>
      </c>
      <c r="G77" s="440">
        <f>ROUND(G76*'Transmission Formula Rate (7)'!$B$27,0)</f>
        <v>294</v>
      </c>
      <c r="H77" s="440">
        <f>ROUND(H76*'Transmission Formula Rate (7)'!$B$27,0)</f>
        <v>294</v>
      </c>
      <c r="I77" s="440">
        <f>ROUND(I76*'Transmission Formula Rate (7)'!$B$27,0)</f>
        <v>294</v>
      </c>
      <c r="J77" s="440">
        <f>ROUND(J76*'Transmission Formula Rate (7)'!$B$27,0)</f>
        <v>294</v>
      </c>
      <c r="K77" s="440">
        <f>ROUND(K76*'Transmission Formula Rate (7)'!$B$27,0)</f>
        <v>350</v>
      </c>
      <c r="L77" s="440">
        <f>ROUND(L76*'Transmission Formula Rate (7)'!$B$27,0)</f>
        <v>350</v>
      </c>
      <c r="M77" s="440">
        <f>ROUND(M76*'Transmission Formula Rate (7)'!$B$27,0)</f>
        <v>350</v>
      </c>
      <c r="N77" s="435">
        <f>SUM(B77:M77)</f>
        <v>3931</v>
      </c>
    </row>
    <row r="78" spans="1:15">
      <c r="A78" s="438" t="str">
        <f>$A$15</f>
        <v xml:space="preserve">       Georgia Transmission Load</v>
      </c>
      <c r="B78" s="440">
        <f t="shared" ref="B78:M78" si="29">B76+B77</f>
        <v>18791</v>
      </c>
      <c r="C78" s="440">
        <f t="shared" si="29"/>
        <v>18791</v>
      </c>
      <c r="D78" s="440">
        <f t="shared" si="29"/>
        <v>18791</v>
      </c>
      <c r="E78" s="440">
        <f t="shared" si="29"/>
        <v>18791</v>
      </c>
      <c r="F78" s="440">
        <f t="shared" si="29"/>
        <v>18791</v>
      </c>
      <c r="G78" s="440">
        <f t="shared" si="29"/>
        <v>16208</v>
      </c>
      <c r="H78" s="440">
        <f t="shared" si="29"/>
        <v>16208</v>
      </c>
      <c r="I78" s="440">
        <f t="shared" si="29"/>
        <v>16208</v>
      </c>
      <c r="J78" s="440">
        <f t="shared" si="29"/>
        <v>16208</v>
      </c>
      <c r="K78" s="440">
        <f t="shared" si="29"/>
        <v>19261</v>
      </c>
      <c r="L78" s="440">
        <f t="shared" si="29"/>
        <v>19261</v>
      </c>
      <c r="M78" s="440">
        <f t="shared" si="29"/>
        <v>19261</v>
      </c>
      <c r="N78" s="441">
        <f>SUM(B78:M78)</f>
        <v>216570</v>
      </c>
    </row>
    <row r="79" spans="1:15">
      <c r="A79" s="434" t="s">
        <v>20</v>
      </c>
      <c r="B79" s="442">
        <f>'Transmission Formula Rate (7)'!B14</f>
        <v>1.59</v>
      </c>
      <c r="C79" s="442">
        <f>'Transmission Formula Rate (7)'!C14</f>
        <v>1.59</v>
      </c>
      <c r="D79" s="442">
        <f>'Transmission Formula Rate (7)'!D14</f>
        <v>1.59</v>
      </c>
      <c r="E79" s="442">
        <f>'Transmission Formula Rate (7)'!E14</f>
        <v>1.59</v>
      </c>
      <c r="F79" s="442">
        <f>'Transmission Formula Rate (7)'!F14</f>
        <v>1.59</v>
      </c>
      <c r="G79" s="442">
        <f>'Transmission Formula Rate (7)'!G14</f>
        <v>1.59</v>
      </c>
      <c r="H79" s="442">
        <f>'Transmission Formula Rate (7)'!H14</f>
        <v>1.59</v>
      </c>
      <c r="I79" s="442">
        <f>'Transmission Formula Rate (7)'!I14</f>
        <v>1.59</v>
      </c>
      <c r="J79" s="442">
        <f>'Transmission Formula Rate (7)'!J14</f>
        <v>1.59</v>
      </c>
      <c r="K79" s="442">
        <f>'Transmission Formula Rate (7)'!K14</f>
        <v>1.59</v>
      </c>
      <c r="L79" s="442">
        <f>'Transmission Formula Rate (7)'!L14</f>
        <v>1.59</v>
      </c>
      <c r="M79" s="442">
        <f>'Transmission Formula Rate (7)'!M14</f>
        <v>1.59</v>
      </c>
      <c r="O79" s="444"/>
    </row>
    <row r="80" spans="1:15">
      <c r="A80" s="434" t="s">
        <v>17</v>
      </c>
      <c r="B80" s="435">
        <f t="shared" ref="B80:M80" si="30">B78*B79</f>
        <v>29877.690000000002</v>
      </c>
      <c r="C80" s="435">
        <f t="shared" si="30"/>
        <v>29877.690000000002</v>
      </c>
      <c r="D80" s="435">
        <f t="shared" si="30"/>
        <v>29877.690000000002</v>
      </c>
      <c r="E80" s="435">
        <f t="shared" si="30"/>
        <v>29877.690000000002</v>
      </c>
      <c r="F80" s="435">
        <f t="shared" si="30"/>
        <v>29877.690000000002</v>
      </c>
      <c r="G80" s="435">
        <f t="shared" si="30"/>
        <v>25770.720000000001</v>
      </c>
      <c r="H80" s="435">
        <f t="shared" si="30"/>
        <v>25770.720000000001</v>
      </c>
      <c r="I80" s="435">
        <f t="shared" si="30"/>
        <v>25770.720000000001</v>
      </c>
      <c r="J80" s="435">
        <f t="shared" si="30"/>
        <v>25770.720000000001</v>
      </c>
      <c r="K80" s="435">
        <f t="shared" si="30"/>
        <v>30624.99</v>
      </c>
      <c r="L80" s="435">
        <f t="shared" si="30"/>
        <v>30624.99</v>
      </c>
      <c r="M80" s="435">
        <f t="shared" si="30"/>
        <v>30624.99</v>
      </c>
      <c r="N80" s="435">
        <f>SUM(B80:M80)</f>
        <v>344346.3</v>
      </c>
    </row>
    <row r="82" spans="1:14">
      <c r="A82" s="434" t="s">
        <v>135</v>
      </c>
    </row>
    <row r="83" spans="1:14">
      <c r="A83" s="438" t="s">
        <v>47</v>
      </c>
      <c r="B83" s="439">
        <f>B76</f>
        <v>18450</v>
      </c>
      <c r="C83" s="439">
        <f t="shared" ref="C83:M83" si="31">C76</f>
        <v>18450</v>
      </c>
      <c r="D83" s="439">
        <f t="shared" si="31"/>
        <v>18450</v>
      </c>
      <c r="E83" s="439">
        <f t="shared" si="31"/>
        <v>18450</v>
      </c>
      <c r="F83" s="439">
        <f t="shared" si="31"/>
        <v>18450</v>
      </c>
      <c r="G83" s="439">
        <f t="shared" si="31"/>
        <v>15914</v>
      </c>
      <c r="H83" s="439">
        <f t="shared" si="31"/>
        <v>15914</v>
      </c>
      <c r="I83" s="439">
        <f t="shared" si="31"/>
        <v>15914</v>
      </c>
      <c r="J83" s="439">
        <f t="shared" si="31"/>
        <v>15914</v>
      </c>
      <c r="K83" s="439">
        <f t="shared" si="31"/>
        <v>18911</v>
      </c>
      <c r="L83" s="439">
        <f t="shared" si="31"/>
        <v>18911</v>
      </c>
      <c r="M83" s="439">
        <f t="shared" si="31"/>
        <v>18911</v>
      </c>
      <c r="N83" s="435">
        <f>SUM(B83:M83)</f>
        <v>212639</v>
      </c>
    </row>
    <row r="84" spans="1:14">
      <c r="A84" s="438" t="s">
        <v>45</v>
      </c>
      <c r="B84" s="440">
        <f>ROUND(B83*'Transmission Formula Rate (7)'!$B$27,0)</f>
        <v>341</v>
      </c>
      <c r="C84" s="440">
        <f>ROUND(C83*'Transmission Formula Rate (7)'!$B$27,0)</f>
        <v>341</v>
      </c>
      <c r="D84" s="440">
        <f>ROUND(D83*'Transmission Formula Rate (7)'!$B$27,0)</f>
        <v>341</v>
      </c>
      <c r="E84" s="440">
        <f>ROUND(E83*'Transmission Formula Rate (7)'!$B$27,0)</f>
        <v>341</v>
      </c>
      <c r="F84" s="440">
        <f>ROUND(F83*'Transmission Formula Rate (7)'!$B$27,0)</f>
        <v>341</v>
      </c>
      <c r="G84" s="440">
        <f>ROUND(G83*'Transmission Formula Rate (7)'!$B$27,0)</f>
        <v>294</v>
      </c>
      <c r="H84" s="440">
        <f>ROUND(H83*'Transmission Formula Rate (7)'!$B$27,0)</f>
        <v>294</v>
      </c>
      <c r="I84" s="440">
        <f>ROUND(I83*'Transmission Formula Rate (7)'!$B$27,0)</f>
        <v>294</v>
      </c>
      <c r="J84" s="440">
        <f>ROUND(J83*'Transmission Formula Rate (7)'!$B$27,0)</f>
        <v>294</v>
      </c>
      <c r="K84" s="440">
        <f>ROUND(K83*'Transmission Formula Rate (7)'!$B$27,0)</f>
        <v>350</v>
      </c>
      <c r="L84" s="440">
        <f>ROUND(L83*'Transmission Formula Rate (7)'!$B$27,0)</f>
        <v>350</v>
      </c>
      <c r="M84" s="440">
        <f>ROUND(M83*'Transmission Formula Rate (7)'!$B$27,0)</f>
        <v>350</v>
      </c>
      <c r="N84" s="435">
        <f>SUM(B84:M84)</f>
        <v>3931</v>
      </c>
    </row>
    <row r="85" spans="1:14">
      <c r="A85" s="438" t="str">
        <f>$A$15</f>
        <v xml:space="preserve">       Georgia Transmission Load</v>
      </c>
      <c r="B85" s="440">
        <f t="shared" ref="B85:M85" si="32">B83+B84</f>
        <v>18791</v>
      </c>
      <c r="C85" s="440">
        <f t="shared" si="32"/>
        <v>18791</v>
      </c>
      <c r="D85" s="440">
        <f t="shared" si="32"/>
        <v>18791</v>
      </c>
      <c r="E85" s="440">
        <f t="shared" si="32"/>
        <v>18791</v>
      </c>
      <c r="F85" s="440">
        <f t="shared" si="32"/>
        <v>18791</v>
      </c>
      <c r="G85" s="440">
        <f t="shared" si="32"/>
        <v>16208</v>
      </c>
      <c r="H85" s="440">
        <f t="shared" si="32"/>
        <v>16208</v>
      </c>
      <c r="I85" s="440">
        <f t="shared" si="32"/>
        <v>16208</v>
      </c>
      <c r="J85" s="440">
        <f t="shared" si="32"/>
        <v>16208</v>
      </c>
      <c r="K85" s="440">
        <f t="shared" si="32"/>
        <v>19261</v>
      </c>
      <c r="L85" s="440">
        <f t="shared" si="32"/>
        <v>19261</v>
      </c>
      <c r="M85" s="440">
        <f t="shared" si="32"/>
        <v>19261</v>
      </c>
      <c r="N85" s="441">
        <f>SUM(B85:M85)</f>
        <v>216570</v>
      </c>
    </row>
    <row r="86" spans="1:14">
      <c r="A86" s="434" t="s">
        <v>143</v>
      </c>
      <c r="B86" s="443">
        <f>'charges (1 &amp; 2)'!H32</f>
        <v>1.274E-2</v>
      </c>
      <c r="C86" s="443">
        <f>B86</f>
        <v>1.274E-2</v>
      </c>
      <c r="D86" s="443">
        <f t="shared" ref="D86:M86" si="33">C86</f>
        <v>1.274E-2</v>
      </c>
      <c r="E86" s="443">
        <f t="shared" si="33"/>
        <v>1.274E-2</v>
      </c>
      <c r="F86" s="443">
        <f t="shared" si="33"/>
        <v>1.274E-2</v>
      </c>
      <c r="G86" s="443">
        <f t="shared" si="33"/>
        <v>1.274E-2</v>
      </c>
      <c r="H86" s="443">
        <f t="shared" si="33"/>
        <v>1.274E-2</v>
      </c>
      <c r="I86" s="443">
        <f t="shared" si="33"/>
        <v>1.274E-2</v>
      </c>
      <c r="J86" s="443">
        <f t="shared" si="33"/>
        <v>1.274E-2</v>
      </c>
      <c r="K86" s="443">
        <f t="shared" si="33"/>
        <v>1.274E-2</v>
      </c>
      <c r="L86" s="443">
        <f t="shared" si="33"/>
        <v>1.274E-2</v>
      </c>
      <c r="M86" s="443">
        <f t="shared" si="33"/>
        <v>1.274E-2</v>
      </c>
    </row>
    <row r="87" spans="1:14">
      <c r="A87" s="434" t="s">
        <v>17</v>
      </c>
      <c r="B87" s="435">
        <f t="shared" ref="B87:M87" si="34">B85*B86</f>
        <v>239.39733999999999</v>
      </c>
      <c r="C87" s="435">
        <f t="shared" si="34"/>
        <v>239.39733999999999</v>
      </c>
      <c r="D87" s="435">
        <f t="shared" si="34"/>
        <v>239.39733999999999</v>
      </c>
      <c r="E87" s="435">
        <f t="shared" si="34"/>
        <v>239.39733999999999</v>
      </c>
      <c r="F87" s="435">
        <f t="shared" si="34"/>
        <v>239.39733999999999</v>
      </c>
      <c r="G87" s="435">
        <f t="shared" si="34"/>
        <v>206.48991999999998</v>
      </c>
      <c r="H87" s="435">
        <f t="shared" si="34"/>
        <v>206.48991999999998</v>
      </c>
      <c r="I87" s="435">
        <f t="shared" si="34"/>
        <v>206.48991999999998</v>
      </c>
      <c r="J87" s="435">
        <f t="shared" si="34"/>
        <v>206.48991999999998</v>
      </c>
      <c r="K87" s="435">
        <f t="shared" si="34"/>
        <v>245.38513999999998</v>
      </c>
      <c r="L87" s="435">
        <f t="shared" si="34"/>
        <v>245.38513999999998</v>
      </c>
      <c r="M87" s="435">
        <f t="shared" si="34"/>
        <v>245.38513999999998</v>
      </c>
      <c r="N87" s="435">
        <f>SUM(B87:M87)</f>
        <v>2759.1017999999995</v>
      </c>
    </row>
    <row r="88" spans="1:14">
      <c r="A88" s="434"/>
      <c r="B88" s="435"/>
      <c r="C88" s="435"/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</row>
    <row r="89" spans="1:14">
      <c r="A89" s="434" t="s">
        <v>38</v>
      </c>
      <c r="B89" s="435"/>
      <c r="C89" s="435"/>
      <c r="D89" s="435"/>
      <c r="E89" s="435"/>
      <c r="F89" s="435"/>
      <c r="G89" s="435"/>
      <c r="H89" s="435"/>
      <c r="I89" s="435"/>
      <c r="J89" s="435"/>
      <c r="K89" s="435"/>
      <c r="L89" s="435"/>
      <c r="M89" s="435"/>
      <c r="N89" s="435"/>
    </row>
    <row r="90" spans="1:14">
      <c r="A90" s="438" t="s">
        <v>47</v>
      </c>
      <c r="B90" s="439">
        <f>B76</f>
        <v>18450</v>
      </c>
      <c r="C90" s="439">
        <f t="shared" ref="C90:M90" si="35">C76</f>
        <v>18450</v>
      </c>
      <c r="D90" s="439">
        <f t="shared" si="35"/>
        <v>18450</v>
      </c>
      <c r="E90" s="439">
        <f t="shared" si="35"/>
        <v>18450</v>
      </c>
      <c r="F90" s="439">
        <f t="shared" si="35"/>
        <v>18450</v>
      </c>
      <c r="G90" s="439">
        <f t="shared" si="35"/>
        <v>15914</v>
      </c>
      <c r="H90" s="439">
        <f t="shared" si="35"/>
        <v>15914</v>
      </c>
      <c r="I90" s="439">
        <f t="shared" si="35"/>
        <v>15914</v>
      </c>
      <c r="J90" s="439">
        <f t="shared" si="35"/>
        <v>15914</v>
      </c>
      <c r="K90" s="439">
        <f t="shared" si="35"/>
        <v>18911</v>
      </c>
      <c r="L90" s="439">
        <f t="shared" si="35"/>
        <v>18911</v>
      </c>
      <c r="M90" s="439">
        <f t="shared" si="35"/>
        <v>18911</v>
      </c>
      <c r="N90" s="435">
        <f>SUM(B90:M90)</f>
        <v>212639</v>
      </c>
    </row>
    <row r="91" spans="1:14">
      <c r="A91" s="438" t="s">
        <v>45</v>
      </c>
      <c r="B91" s="440">
        <f>ROUND(B90*'Transmission Formula Rate (7)'!$B$27,0)</f>
        <v>341</v>
      </c>
      <c r="C91" s="440">
        <f>ROUND(C90*'Transmission Formula Rate (7)'!$B$27,0)</f>
        <v>341</v>
      </c>
      <c r="D91" s="440">
        <f>ROUND(D90*'Transmission Formula Rate (7)'!$B$27,0)</f>
        <v>341</v>
      </c>
      <c r="E91" s="440">
        <f>ROUND(E90*'Transmission Formula Rate (7)'!$B$27,0)</f>
        <v>341</v>
      </c>
      <c r="F91" s="440">
        <f>ROUND(F90*'Transmission Formula Rate (7)'!$B$27,0)</f>
        <v>341</v>
      </c>
      <c r="G91" s="440">
        <f>ROUND(G90*'Transmission Formula Rate (7)'!$B$27,0)</f>
        <v>294</v>
      </c>
      <c r="H91" s="440">
        <f>ROUND(H90*'Transmission Formula Rate (7)'!$B$27,0)</f>
        <v>294</v>
      </c>
      <c r="I91" s="440">
        <f>ROUND(I90*'Transmission Formula Rate (7)'!$B$27,0)</f>
        <v>294</v>
      </c>
      <c r="J91" s="440">
        <f>ROUND(J90*'Transmission Formula Rate (7)'!$B$27,0)</f>
        <v>294</v>
      </c>
      <c r="K91" s="440">
        <f>ROUND(K90*'Transmission Formula Rate (7)'!$B$27,0)</f>
        <v>350</v>
      </c>
      <c r="L91" s="440">
        <f>ROUND(L90*'Transmission Formula Rate (7)'!$B$27,0)</f>
        <v>350</v>
      </c>
      <c r="M91" s="440">
        <f>ROUND(M90*'Transmission Formula Rate (7)'!$B$27,0)</f>
        <v>350</v>
      </c>
      <c r="N91" s="435">
        <f t="shared" ref="N91:N94" si="36">SUM(B91:M91)</f>
        <v>3931</v>
      </c>
    </row>
    <row r="92" spans="1:14">
      <c r="A92" s="438" t="str">
        <f>$A$15</f>
        <v xml:space="preserve">       Georgia Transmission Load</v>
      </c>
      <c r="B92" s="440">
        <f>B90+B91</f>
        <v>18791</v>
      </c>
      <c r="C92" s="440">
        <f t="shared" ref="C92:M92" si="37">C90+C91</f>
        <v>18791</v>
      </c>
      <c r="D92" s="440">
        <f t="shared" si="37"/>
        <v>18791</v>
      </c>
      <c r="E92" s="440">
        <f t="shared" si="37"/>
        <v>18791</v>
      </c>
      <c r="F92" s="440">
        <f t="shared" si="37"/>
        <v>18791</v>
      </c>
      <c r="G92" s="440">
        <f t="shared" si="37"/>
        <v>16208</v>
      </c>
      <c r="H92" s="440">
        <f t="shared" si="37"/>
        <v>16208</v>
      </c>
      <c r="I92" s="440">
        <f t="shared" si="37"/>
        <v>16208</v>
      </c>
      <c r="J92" s="440">
        <f t="shared" si="37"/>
        <v>16208</v>
      </c>
      <c r="K92" s="440">
        <f t="shared" si="37"/>
        <v>19261</v>
      </c>
      <c r="L92" s="440">
        <f t="shared" si="37"/>
        <v>19261</v>
      </c>
      <c r="M92" s="440">
        <f t="shared" si="37"/>
        <v>19261</v>
      </c>
      <c r="N92" s="441">
        <f t="shared" si="36"/>
        <v>216570</v>
      </c>
    </row>
    <row r="93" spans="1:14">
      <c r="A93" s="434" t="s">
        <v>144</v>
      </c>
      <c r="B93" s="443">
        <f>'charges (1 &amp; 2)'!F10</f>
        <v>0.1008</v>
      </c>
      <c r="C93" s="443">
        <f>B93</f>
        <v>0.1008</v>
      </c>
      <c r="D93" s="443">
        <f t="shared" ref="D93:M93" si="38">C93</f>
        <v>0.1008</v>
      </c>
      <c r="E93" s="443">
        <f t="shared" si="38"/>
        <v>0.1008</v>
      </c>
      <c r="F93" s="443">
        <f t="shared" si="38"/>
        <v>0.1008</v>
      </c>
      <c r="G93" s="443">
        <f t="shared" si="38"/>
        <v>0.1008</v>
      </c>
      <c r="H93" s="443">
        <f t="shared" si="38"/>
        <v>0.1008</v>
      </c>
      <c r="I93" s="443">
        <f t="shared" si="38"/>
        <v>0.1008</v>
      </c>
      <c r="J93" s="443">
        <f t="shared" si="38"/>
        <v>0.1008</v>
      </c>
      <c r="K93" s="443">
        <f t="shared" si="38"/>
        <v>0.1008</v>
      </c>
      <c r="L93" s="443">
        <f t="shared" si="38"/>
        <v>0.1008</v>
      </c>
      <c r="M93" s="443">
        <f t="shared" si="38"/>
        <v>0.1008</v>
      </c>
      <c r="N93" s="435"/>
    </row>
    <row r="94" spans="1:14">
      <c r="A94" s="434" t="s">
        <v>17</v>
      </c>
      <c r="B94" s="435">
        <f>B92*B93</f>
        <v>1894.1328000000001</v>
      </c>
      <c r="C94" s="435">
        <f t="shared" ref="C94:M94" si="39">C92*C93</f>
        <v>1894.1328000000001</v>
      </c>
      <c r="D94" s="435">
        <f t="shared" si="39"/>
        <v>1894.1328000000001</v>
      </c>
      <c r="E94" s="435">
        <f t="shared" si="39"/>
        <v>1894.1328000000001</v>
      </c>
      <c r="F94" s="435">
        <f t="shared" si="39"/>
        <v>1894.1328000000001</v>
      </c>
      <c r="G94" s="435">
        <f t="shared" si="39"/>
        <v>1633.7664</v>
      </c>
      <c r="H94" s="435">
        <f t="shared" si="39"/>
        <v>1633.7664</v>
      </c>
      <c r="I94" s="435">
        <f t="shared" si="39"/>
        <v>1633.7664</v>
      </c>
      <c r="J94" s="435">
        <f t="shared" si="39"/>
        <v>1633.7664</v>
      </c>
      <c r="K94" s="435">
        <f t="shared" si="39"/>
        <v>1941.5088000000001</v>
      </c>
      <c r="L94" s="435">
        <f t="shared" si="39"/>
        <v>1941.5088000000001</v>
      </c>
      <c r="M94" s="435">
        <f t="shared" si="39"/>
        <v>1941.5088000000001</v>
      </c>
      <c r="N94" s="435">
        <f t="shared" si="36"/>
        <v>21830.256000000001</v>
      </c>
    </row>
    <row r="96" spans="1:14">
      <c r="B96" s="433" t="s">
        <v>0</v>
      </c>
      <c r="C96" s="433" t="s">
        <v>1</v>
      </c>
      <c r="D96" s="433" t="s">
        <v>2</v>
      </c>
      <c r="E96" s="433" t="s">
        <v>3</v>
      </c>
      <c r="F96" s="433" t="s">
        <v>4</v>
      </c>
      <c r="G96" s="433" t="s">
        <v>5</v>
      </c>
      <c r="H96" s="433" t="s">
        <v>6</v>
      </c>
      <c r="I96" s="433" t="s">
        <v>7</v>
      </c>
      <c r="J96" s="433" t="s">
        <v>8</v>
      </c>
      <c r="K96" s="433" t="s">
        <v>9</v>
      </c>
      <c r="L96" s="433" t="s">
        <v>10</v>
      </c>
      <c r="M96" s="433" t="s">
        <v>11</v>
      </c>
      <c r="N96" s="433" t="s">
        <v>12</v>
      </c>
    </row>
    <row r="97" spans="1:15">
      <c r="A97" s="437">
        <f>A74+1</f>
        <v>2018</v>
      </c>
      <c r="B97" s="435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</row>
    <row r="98" spans="1:15">
      <c r="A98" s="434" t="s">
        <v>37</v>
      </c>
    </row>
    <row r="99" spans="1:15">
      <c r="A99" s="438" t="s">
        <v>47</v>
      </c>
      <c r="B99" s="439">
        <v>18911</v>
      </c>
      <c r="C99" s="439">
        <v>18911</v>
      </c>
      <c r="D99" s="439">
        <v>18911</v>
      </c>
      <c r="E99" s="439">
        <v>18911</v>
      </c>
      <c r="F99" s="439">
        <v>18911</v>
      </c>
      <c r="G99" s="439">
        <v>22891</v>
      </c>
      <c r="H99" s="439">
        <v>22891</v>
      </c>
      <c r="I99" s="439">
        <v>22891</v>
      </c>
      <c r="J99" s="439">
        <v>22891</v>
      </c>
      <c r="K99" s="439">
        <v>25884</v>
      </c>
      <c r="L99" s="439">
        <v>25884</v>
      </c>
      <c r="M99" s="439">
        <v>25884</v>
      </c>
      <c r="N99" s="435">
        <f>SUM(B99:M99)</f>
        <v>263771</v>
      </c>
    </row>
    <row r="100" spans="1:15">
      <c r="A100" s="438" t="s">
        <v>45</v>
      </c>
      <c r="B100" s="440">
        <f>ROUND(B99*'Transmission Formula Rate (7)'!$B$27,0)</f>
        <v>350</v>
      </c>
      <c r="C100" s="440">
        <f>ROUND(C99*'Transmission Formula Rate (7)'!$B$27,0)</f>
        <v>350</v>
      </c>
      <c r="D100" s="440">
        <f>ROUND(D99*'Transmission Formula Rate (7)'!$B$27,0)</f>
        <v>350</v>
      </c>
      <c r="E100" s="440">
        <f>ROUND(E99*'Transmission Formula Rate (7)'!$B$27,0)</f>
        <v>350</v>
      </c>
      <c r="F100" s="440">
        <f>ROUND(F99*'Transmission Formula Rate (7)'!$B$27,0)</f>
        <v>350</v>
      </c>
      <c r="G100" s="440">
        <f>ROUND(G99*'Transmission Formula Rate (7)'!$B$27,0)</f>
        <v>423</v>
      </c>
      <c r="H100" s="440">
        <f>ROUND(H99*'Transmission Formula Rate (7)'!$B$27,0)</f>
        <v>423</v>
      </c>
      <c r="I100" s="440">
        <f>ROUND(I99*'Transmission Formula Rate (7)'!$B$27,0)</f>
        <v>423</v>
      </c>
      <c r="J100" s="440">
        <f>ROUND(J99*'Transmission Formula Rate (7)'!$B$27,0)</f>
        <v>423</v>
      </c>
      <c r="K100" s="440">
        <f>ROUND(K99*'Transmission Formula Rate (7)'!$B$27,0)</f>
        <v>479</v>
      </c>
      <c r="L100" s="440">
        <f>ROUND(L99*'Transmission Formula Rate (7)'!$B$27,0)</f>
        <v>479</v>
      </c>
      <c r="M100" s="440">
        <f>ROUND(M99*'Transmission Formula Rate (7)'!$B$27,0)</f>
        <v>479</v>
      </c>
      <c r="N100" s="435">
        <f>SUM(B100:M100)</f>
        <v>4879</v>
      </c>
    </row>
    <row r="101" spans="1:15">
      <c r="A101" s="438" t="str">
        <f>$A$15</f>
        <v xml:space="preserve">       Georgia Transmission Load</v>
      </c>
      <c r="B101" s="440">
        <f t="shared" ref="B101:M101" si="40">B99+B100</f>
        <v>19261</v>
      </c>
      <c r="C101" s="440">
        <f t="shared" si="40"/>
        <v>19261</v>
      </c>
      <c r="D101" s="440">
        <f t="shared" si="40"/>
        <v>19261</v>
      </c>
      <c r="E101" s="440">
        <f t="shared" si="40"/>
        <v>19261</v>
      </c>
      <c r="F101" s="440">
        <f t="shared" si="40"/>
        <v>19261</v>
      </c>
      <c r="G101" s="440">
        <f t="shared" si="40"/>
        <v>23314</v>
      </c>
      <c r="H101" s="440">
        <f t="shared" si="40"/>
        <v>23314</v>
      </c>
      <c r="I101" s="440">
        <f t="shared" si="40"/>
        <v>23314</v>
      </c>
      <c r="J101" s="440">
        <f t="shared" si="40"/>
        <v>23314</v>
      </c>
      <c r="K101" s="440">
        <f t="shared" si="40"/>
        <v>26363</v>
      </c>
      <c r="L101" s="440">
        <f t="shared" si="40"/>
        <v>26363</v>
      </c>
      <c r="M101" s="440">
        <f t="shared" si="40"/>
        <v>26363</v>
      </c>
      <c r="N101" s="441">
        <f>SUM(B101:M101)</f>
        <v>268650</v>
      </c>
    </row>
    <row r="102" spans="1:15">
      <c r="A102" s="434" t="s">
        <v>20</v>
      </c>
      <c r="B102" s="442">
        <f>'Transmission Formula Rate (7)'!B16</f>
        <v>1.59</v>
      </c>
      <c r="C102" s="442">
        <f>'Transmission Formula Rate (7)'!C16</f>
        <v>1.59</v>
      </c>
      <c r="D102" s="442">
        <f>'Transmission Formula Rate (7)'!D16</f>
        <v>1.59</v>
      </c>
      <c r="E102" s="442">
        <f>'Transmission Formula Rate (7)'!E16</f>
        <v>1.59</v>
      </c>
      <c r="F102" s="442">
        <f>'Transmission Formula Rate (7)'!$F$16</f>
        <v>1.59</v>
      </c>
      <c r="G102" s="442">
        <f>'Transmission Formula Rate (7)'!$F$16</f>
        <v>1.59</v>
      </c>
      <c r="H102" s="442">
        <f>'Transmission Formula Rate (7)'!$F$16</f>
        <v>1.59</v>
      </c>
      <c r="I102" s="442">
        <f>'Transmission Formula Rate (7)'!$F$16</f>
        <v>1.59</v>
      </c>
      <c r="J102" s="442">
        <f>'Transmission Formula Rate (7)'!$F$16</f>
        <v>1.59</v>
      </c>
      <c r="K102" s="442">
        <f>'Transmission Formula Rate (7)'!$F$16</f>
        <v>1.59</v>
      </c>
      <c r="L102" s="442">
        <f>'Transmission Formula Rate (7)'!$F$16</f>
        <v>1.59</v>
      </c>
      <c r="M102" s="442">
        <f>'Transmission Formula Rate (7)'!$F$16</f>
        <v>1.59</v>
      </c>
      <c r="O102" s="444"/>
    </row>
    <row r="103" spans="1:15">
      <c r="A103" s="434" t="s">
        <v>17</v>
      </c>
      <c r="B103" s="435">
        <f t="shared" ref="B103:M103" si="41">B101*B102</f>
        <v>30624.99</v>
      </c>
      <c r="C103" s="435">
        <f t="shared" si="41"/>
        <v>30624.99</v>
      </c>
      <c r="D103" s="435">
        <f t="shared" si="41"/>
        <v>30624.99</v>
      </c>
      <c r="E103" s="435">
        <f t="shared" si="41"/>
        <v>30624.99</v>
      </c>
      <c r="F103" s="435">
        <f t="shared" si="41"/>
        <v>30624.99</v>
      </c>
      <c r="G103" s="435">
        <f t="shared" si="41"/>
        <v>37069.26</v>
      </c>
      <c r="H103" s="435">
        <f t="shared" si="41"/>
        <v>37069.26</v>
      </c>
      <c r="I103" s="435">
        <f t="shared" si="41"/>
        <v>37069.26</v>
      </c>
      <c r="J103" s="435">
        <f t="shared" si="41"/>
        <v>37069.26</v>
      </c>
      <c r="K103" s="435">
        <f t="shared" si="41"/>
        <v>41917.170000000006</v>
      </c>
      <c r="L103" s="435">
        <f t="shared" si="41"/>
        <v>41917.170000000006</v>
      </c>
      <c r="M103" s="435">
        <f t="shared" si="41"/>
        <v>41917.170000000006</v>
      </c>
      <c r="N103" s="435">
        <f>SUM(B103:M103)</f>
        <v>427153.5</v>
      </c>
    </row>
    <row r="105" spans="1:15">
      <c r="A105" s="434" t="s">
        <v>135</v>
      </c>
    </row>
    <row r="106" spans="1:15">
      <c r="A106" s="438" t="s">
        <v>47</v>
      </c>
      <c r="B106" s="439">
        <f>B99</f>
        <v>18911</v>
      </c>
      <c r="C106" s="439">
        <f t="shared" ref="C106:M106" si="42">C99</f>
        <v>18911</v>
      </c>
      <c r="D106" s="439">
        <f t="shared" si="42"/>
        <v>18911</v>
      </c>
      <c r="E106" s="439">
        <f t="shared" si="42"/>
        <v>18911</v>
      </c>
      <c r="F106" s="439">
        <f t="shared" si="42"/>
        <v>18911</v>
      </c>
      <c r="G106" s="439">
        <f t="shared" si="42"/>
        <v>22891</v>
      </c>
      <c r="H106" s="439">
        <f t="shared" si="42"/>
        <v>22891</v>
      </c>
      <c r="I106" s="439">
        <f t="shared" si="42"/>
        <v>22891</v>
      </c>
      <c r="J106" s="439">
        <f t="shared" si="42"/>
        <v>22891</v>
      </c>
      <c r="K106" s="439">
        <f t="shared" si="42"/>
        <v>25884</v>
      </c>
      <c r="L106" s="439">
        <f t="shared" si="42"/>
        <v>25884</v>
      </c>
      <c r="M106" s="439">
        <f t="shared" si="42"/>
        <v>25884</v>
      </c>
      <c r="N106" s="435">
        <f>SUM(B106:M106)</f>
        <v>263771</v>
      </c>
    </row>
    <row r="107" spans="1:15">
      <c r="A107" s="438" t="s">
        <v>45</v>
      </c>
      <c r="B107" s="440">
        <f>ROUND(B106*'Transmission Formula Rate (7)'!$B$27,0)</f>
        <v>350</v>
      </c>
      <c r="C107" s="440">
        <f>ROUND(C106*'Transmission Formula Rate (7)'!$B$27,0)</f>
        <v>350</v>
      </c>
      <c r="D107" s="440">
        <f>ROUND(D106*'Transmission Formula Rate (7)'!$B$27,0)</f>
        <v>350</v>
      </c>
      <c r="E107" s="440">
        <f>ROUND(E106*'Transmission Formula Rate (7)'!$B$27,0)</f>
        <v>350</v>
      </c>
      <c r="F107" s="440">
        <f>ROUND(F106*'Transmission Formula Rate (7)'!$B$27,0)</f>
        <v>350</v>
      </c>
      <c r="G107" s="440">
        <f>ROUND(G106*'Transmission Formula Rate (7)'!$B$27,0)</f>
        <v>423</v>
      </c>
      <c r="H107" s="440">
        <f>ROUND(H106*'Transmission Formula Rate (7)'!$B$27,0)</f>
        <v>423</v>
      </c>
      <c r="I107" s="440">
        <f>ROUND(I106*'Transmission Formula Rate (7)'!$B$27,0)</f>
        <v>423</v>
      </c>
      <c r="J107" s="440">
        <f>ROUND(J106*'Transmission Formula Rate (7)'!$B$27,0)</f>
        <v>423</v>
      </c>
      <c r="K107" s="440">
        <f>ROUND(K106*'Transmission Formula Rate (7)'!$B$27,0)</f>
        <v>479</v>
      </c>
      <c r="L107" s="440">
        <f>ROUND(L106*'Transmission Formula Rate (7)'!$B$27,0)</f>
        <v>479</v>
      </c>
      <c r="M107" s="440">
        <f>ROUND(M106*'Transmission Formula Rate (7)'!$B$27,0)</f>
        <v>479</v>
      </c>
      <c r="N107" s="435">
        <f>SUM(B107:M107)</f>
        <v>4879</v>
      </c>
    </row>
    <row r="108" spans="1:15">
      <c r="A108" s="438" t="str">
        <f>$A$15</f>
        <v xml:space="preserve">       Georgia Transmission Load</v>
      </c>
      <c r="B108" s="440">
        <f t="shared" ref="B108:M108" si="43">B106+B107</f>
        <v>19261</v>
      </c>
      <c r="C108" s="440">
        <f t="shared" si="43"/>
        <v>19261</v>
      </c>
      <c r="D108" s="440">
        <f t="shared" si="43"/>
        <v>19261</v>
      </c>
      <c r="E108" s="440">
        <f t="shared" si="43"/>
        <v>19261</v>
      </c>
      <c r="F108" s="440">
        <f t="shared" si="43"/>
        <v>19261</v>
      </c>
      <c r="G108" s="440">
        <f t="shared" si="43"/>
        <v>23314</v>
      </c>
      <c r="H108" s="440">
        <f t="shared" si="43"/>
        <v>23314</v>
      </c>
      <c r="I108" s="440">
        <f t="shared" si="43"/>
        <v>23314</v>
      </c>
      <c r="J108" s="440">
        <f t="shared" si="43"/>
        <v>23314</v>
      </c>
      <c r="K108" s="440">
        <f t="shared" si="43"/>
        <v>26363</v>
      </c>
      <c r="L108" s="440">
        <f t="shared" si="43"/>
        <v>26363</v>
      </c>
      <c r="M108" s="440">
        <f t="shared" si="43"/>
        <v>26363</v>
      </c>
      <c r="N108" s="441">
        <f>SUM(B108:M108)</f>
        <v>268650</v>
      </c>
    </row>
    <row r="109" spans="1:15">
      <c r="A109" s="434" t="s">
        <v>143</v>
      </c>
      <c r="B109" s="443">
        <f>'charges (1 &amp; 2)'!$H$38</f>
        <v>1.274E-2</v>
      </c>
      <c r="C109" s="443">
        <f>B109</f>
        <v>1.274E-2</v>
      </c>
      <c r="D109" s="443">
        <f t="shared" ref="D109:E109" si="44">C109</f>
        <v>1.274E-2</v>
      </c>
      <c r="E109" s="443">
        <f t="shared" si="44"/>
        <v>1.274E-2</v>
      </c>
      <c r="F109" s="443">
        <f>$E$109</f>
        <v>1.274E-2</v>
      </c>
      <c r="G109" s="443">
        <f t="shared" ref="G109:M109" si="45">$E$109</f>
        <v>1.274E-2</v>
      </c>
      <c r="H109" s="443">
        <f t="shared" si="45"/>
        <v>1.274E-2</v>
      </c>
      <c r="I109" s="443">
        <f t="shared" si="45"/>
        <v>1.274E-2</v>
      </c>
      <c r="J109" s="443">
        <f t="shared" si="45"/>
        <v>1.274E-2</v>
      </c>
      <c r="K109" s="443">
        <f t="shared" si="45"/>
        <v>1.274E-2</v>
      </c>
      <c r="L109" s="443">
        <f t="shared" si="45"/>
        <v>1.274E-2</v>
      </c>
      <c r="M109" s="443">
        <f t="shared" si="45"/>
        <v>1.274E-2</v>
      </c>
    </row>
    <row r="110" spans="1:15">
      <c r="A110" s="434" t="s">
        <v>17</v>
      </c>
      <c r="B110" s="435">
        <f t="shared" ref="B110:M110" si="46">B108*B109</f>
        <v>245.38513999999998</v>
      </c>
      <c r="C110" s="435">
        <f t="shared" si="46"/>
        <v>245.38513999999998</v>
      </c>
      <c r="D110" s="435">
        <f t="shared" si="46"/>
        <v>245.38513999999998</v>
      </c>
      <c r="E110" s="435">
        <f t="shared" si="46"/>
        <v>245.38513999999998</v>
      </c>
      <c r="F110" s="435">
        <f t="shared" si="46"/>
        <v>245.38513999999998</v>
      </c>
      <c r="G110" s="435">
        <f t="shared" si="46"/>
        <v>297.02035999999998</v>
      </c>
      <c r="H110" s="435">
        <f t="shared" si="46"/>
        <v>297.02035999999998</v>
      </c>
      <c r="I110" s="435">
        <f t="shared" si="46"/>
        <v>297.02035999999998</v>
      </c>
      <c r="J110" s="435">
        <f t="shared" si="46"/>
        <v>297.02035999999998</v>
      </c>
      <c r="K110" s="435">
        <f t="shared" si="46"/>
        <v>335.86462</v>
      </c>
      <c r="L110" s="435">
        <f t="shared" si="46"/>
        <v>335.86462</v>
      </c>
      <c r="M110" s="435">
        <f t="shared" si="46"/>
        <v>335.86462</v>
      </c>
      <c r="N110" s="435">
        <f>SUM(B110:M110)</f>
        <v>3422.6009999999992</v>
      </c>
    </row>
    <row r="111" spans="1:15">
      <c r="A111" s="434"/>
      <c r="B111" s="435"/>
      <c r="C111" s="435"/>
      <c r="D111" s="435"/>
      <c r="E111" s="435"/>
      <c r="F111" s="435"/>
      <c r="G111" s="435"/>
      <c r="H111" s="435"/>
      <c r="I111" s="435"/>
      <c r="J111" s="435"/>
      <c r="K111" s="435"/>
      <c r="L111" s="435"/>
      <c r="M111" s="435"/>
      <c r="N111" s="435"/>
    </row>
    <row r="112" spans="1:15">
      <c r="A112" s="434" t="s">
        <v>38</v>
      </c>
      <c r="B112" s="435"/>
      <c r="C112" s="435"/>
      <c r="D112" s="435"/>
      <c r="E112" s="435"/>
      <c r="F112" s="435"/>
      <c r="G112" s="435"/>
      <c r="H112" s="435"/>
      <c r="I112" s="435"/>
      <c r="J112" s="435"/>
      <c r="K112" s="435"/>
      <c r="L112" s="435"/>
      <c r="M112" s="435"/>
      <c r="N112" s="435"/>
    </row>
    <row r="113" spans="1:15">
      <c r="A113" s="438" t="s">
        <v>47</v>
      </c>
      <c r="B113" s="439">
        <f>B99</f>
        <v>18911</v>
      </c>
      <c r="C113" s="439">
        <f t="shared" ref="C113:M113" si="47">C99</f>
        <v>18911</v>
      </c>
      <c r="D113" s="439">
        <f t="shared" si="47"/>
        <v>18911</v>
      </c>
      <c r="E113" s="439">
        <f t="shared" si="47"/>
        <v>18911</v>
      </c>
      <c r="F113" s="439">
        <f t="shared" si="47"/>
        <v>18911</v>
      </c>
      <c r="G113" s="439">
        <f t="shared" si="47"/>
        <v>22891</v>
      </c>
      <c r="H113" s="439">
        <f t="shared" si="47"/>
        <v>22891</v>
      </c>
      <c r="I113" s="439">
        <f t="shared" si="47"/>
        <v>22891</v>
      </c>
      <c r="J113" s="439">
        <f t="shared" si="47"/>
        <v>22891</v>
      </c>
      <c r="K113" s="439">
        <f t="shared" si="47"/>
        <v>25884</v>
      </c>
      <c r="L113" s="439">
        <f t="shared" si="47"/>
        <v>25884</v>
      </c>
      <c r="M113" s="439">
        <f t="shared" si="47"/>
        <v>25884</v>
      </c>
      <c r="N113" s="435">
        <f>SUM(B113:M113)</f>
        <v>263771</v>
      </c>
    </row>
    <row r="114" spans="1:15">
      <c r="A114" s="438" t="s">
        <v>45</v>
      </c>
      <c r="B114" s="440">
        <f>ROUND(B113*'Transmission Formula Rate (7)'!$B$27,0)</f>
        <v>350</v>
      </c>
      <c r="C114" s="440">
        <f>ROUND(C113*'Transmission Formula Rate (7)'!$B$27,0)</f>
        <v>350</v>
      </c>
      <c r="D114" s="440">
        <f>ROUND(D113*'Transmission Formula Rate (7)'!$B$27,0)</f>
        <v>350</v>
      </c>
      <c r="E114" s="440">
        <f>ROUND(E113*'Transmission Formula Rate (7)'!$B$27,0)</f>
        <v>350</v>
      </c>
      <c r="F114" s="440">
        <f>ROUND(F113*'Transmission Formula Rate (7)'!$B$27,0)</f>
        <v>350</v>
      </c>
      <c r="G114" s="440">
        <f>ROUND(G113*'Transmission Formula Rate (7)'!$B$27,0)</f>
        <v>423</v>
      </c>
      <c r="H114" s="440">
        <f>ROUND(H113*'Transmission Formula Rate (7)'!$B$27,0)</f>
        <v>423</v>
      </c>
      <c r="I114" s="440">
        <f>ROUND(I113*'Transmission Formula Rate (7)'!$B$27,0)</f>
        <v>423</v>
      </c>
      <c r="J114" s="440">
        <f>ROUND(J113*'Transmission Formula Rate (7)'!$B$27,0)</f>
        <v>423</v>
      </c>
      <c r="K114" s="440">
        <f>ROUND(K113*'Transmission Formula Rate (7)'!$B$27,0)</f>
        <v>479</v>
      </c>
      <c r="L114" s="440">
        <f>ROUND(L113*'Transmission Formula Rate (7)'!$B$27,0)</f>
        <v>479</v>
      </c>
      <c r="M114" s="440">
        <f>ROUND(M113*'Transmission Formula Rate (7)'!$B$27,0)</f>
        <v>479</v>
      </c>
      <c r="N114" s="435">
        <f t="shared" ref="N114:N117" si="48">SUM(B114:M114)</f>
        <v>4879</v>
      </c>
    </row>
    <row r="115" spans="1:15">
      <c r="A115" s="438" t="str">
        <f>$A$15</f>
        <v xml:space="preserve">       Georgia Transmission Load</v>
      </c>
      <c r="B115" s="435">
        <f>B113+B114</f>
        <v>19261</v>
      </c>
      <c r="C115" s="435">
        <f t="shared" ref="C115:M115" si="49">C113+C114</f>
        <v>19261</v>
      </c>
      <c r="D115" s="435">
        <f t="shared" si="49"/>
        <v>19261</v>
      </c>
      <c r="E115" s="435">
        <f t="shared" si="49"/>
        <v>19261</v>
      </c>
      <c r="F115" s="435">
        <f t="shared" si="49"/>
        <v>19261</v>
      </c>
      <c r="G115" s="435">
        <f t="shared" si="49"/>
        <v>23314</v>
      </c>
      <c r="H115" s="435">
        <f t="shared" si="49"/>
        <v>23314</v>
      </c>
      <c r="I115" s="435">
        <f t="shared" si="49"/>
        <v>23314</v>
      </c>
      <c r="J115" s="435">
        <f t="shared" si="49"/>
        <v>23314</v>
      </c>
      <c r="K115" s="435">
        <f t="shared" si="49"/>
        <v>26363</v>
      </c>
      <c r="L115" s="435">
        <f t="shared" si="49"/>
        <v>26363</v>
      </c>
      <c r="M115" s="435">
        <f t="shared" si="49"/>
        <v>26363</v>
      </c>
      <c r="N115" s="441">
        <f t="shared" si="48"/>
        <v>268650</v>
      </c>
    </row>
    <row r="116" spans="1:15">
      <c r="A116" s="434" t="s">
        <v>144</v>
      </c>
      <c r="B116" s="443">
        <f>'charges (1 &amp; 2)'!G10</f>
        <v>0.1008</v>
      </c>
      <c r="C116" s="443">
        <f>B116</f>
        <v>0.1008</v>
      </c>
      <c r="D116" s="443">
        <f t="shared" ref="D116:M116" si="50">C116</f>
        <v>0.1008</v>
      </c>
      <c r="E116" s="443">
        <f t="shared" si="50"/>
        <v>0.1008</v>
      </c>
      <c r="F116" s="443">
        <f t="shared" si="50"/>
        <v>0.1008</v>
      </c>
      <c r="G116" s="443">
        <f t="shared" si="50"/>
        <v>0.1008</v>
      </c>
      <c r="H116" s="443">
        <f t="shared" si="50"/>
        <v>0.1008</v>
      </c>
      <c r="I116" s="443">
        <f t="shared" si="50"/>
        <v>0.1008</v>
      </c>
      <c r="J116" s="443">
        <f t="shared" si="50"/>
        <v>0.1008</v>
      </c>
      <c r="K116" s="443">
        <f t="shared" si="50"/>
        <v>0.1008</v>
      </c>
      <c r="L116" s="443">
        <f t="shared" si="50"/>
        <v>0.1008</v>
      </c>
      <c r="M116" s="443">
        <f t="shared" si="50"/>
        <v>0.1008</v>
      </c>
      <c r="N116" s="435"/>
    </row>
    <row r="117" spans="1:15">
      <c r="A117" s="434" t="s">
        <v>17</v>
      </c>
      <c r="B117" s="435">
        <f>B115*B116</f>
        <v>1941.5088000000001</v>
      </c>
      <c r="C117" s="435">
        <f t="shared" ref="C117:M117" si="51">C115*C116</f>
        <v>1941.5088000000001</v>
      </c>
      <c r="D117" s="435">
        <f t="shared" si="51"/>
        <v>1941.5088000000001</v>
      </c>
      <c r="E117" s="435">
        <f t="shared" si="51"/>
        <v>1941.5088000000001</v>
      </c>
      <c r="F117" s="435">
        <f t="shared" si="51"/>
        <v>1941.5088000000001</v>
      </c>
      <c r="G117" s="435">
        <f t="shared" si="51"/>
        <v>2350.0511999999999</v>
      </c>
      <c r="H117" s="435">
        <f t="shared" si="51"/>
        <v>2350.0511999999999</v>
      </c>
      <c r="I117" s="435">
        <f t="shared" si="51"/>
        <v>2350.0511999999999</v>
      </c>
      <c r="J117" s="435">
        <f t="shared" si="51"/>
        <v>2350.0511999999999</v>
      </c>
      <c r="K117" s="435">
        <f t="shared" si="51"/>
        <v>2657.3904000000002</v>
      </c>
      <c r="L117" s="435">
        <f t="shared" si="51"/>
        <v>2657.3904000000002</v>
      </c>
      <c r="M117" s="435">
        <f t="shared" si="51"/>
        <v>2657.3904000000002</v>
      </c>
      <c r="N117" s="435">
        <f t="shared" si="48"/>
        <v>27079.920000000002</v>
      </c>
    </row>
    <row r="119" spans="1:15">
      <c r="B119" s="433" t="s">
        <v>0</v>
      </c>
      <c r="C119" s="433" t="s">
        <v>1</v>
      </c>
      <c r="D119" s="433" t="s">
        <v>2</v>
      </c>
      <c r="E119" s="433" t="s">
        <v>3</v>
      </c>
      <c r="F119" s="433" t="s">
        <v>4</v>
      </c>
      <c r="G119" s="433" t="s">
        <v>5</v>
      </c>
      <c r="H119" s="433" t="s">
        <v>6</v>
      </c>
      <c r="I119" s="433" t="s">
        <v>7</v>
      </c>
      <c r="J119" s="433" t="s">
        <v>8</v>
      </c>
      <c r="K119" s="433" t="s">
        <v>9</v>
      </c>
      <c r="L119" s="433" t="s">
        <v>10</v>
      </c>
      <c r="M119" s="433" t="s">
        <v>11</v>
      </c>
      <c r="N119" s="433" t="s">
        <v>12</v>
      </c>
    </row>
    <row r="120" spans="1:15">
      <c r="A120" s="437">
        <f>A97+1</f>
        <v>2019</v>
      </c>
      <c r="B120" s="435"/>
      <c r="C120" s="435"/>
      <c r="D120" s="435"/>
      <c r="E120" s="435"/>
      <c r="F120" s="435"/>
      <c r="G120" s="435"/>
      <c r="H120" s="435"/>
      <c r="I120" s="435"/>
      <c r="J120" s="435"/>
      <c r="K120" s="435"/>
      <c r="L120" s="435"/>
      <c r="M120" s="435"/>
      <c r="N120" s="435"/>
    </row>
    <row r="121" spans="1:15">
      <c r="A121" s="434" t="s">
        <v>37</v>
      </c>
    </row>
    <row r="122" spans="1:15">
      <c r="A122" s="438" t="s">
        <v>47</v>
      </c>
      <c r="B122" s="439">
        <v>25884</v>
      </c>
      <c r="C122" s="439">
        <v>25884</v>
      </c>
      <c r="D122" s="439">
        <v>25884</v>
      </c>
      <c r="E122" s="439">
        <v>25884</v>
      </c>
      <c r="F122" s="439">
        <v>25884</v>
      </c>
      <c r="G122" s="439">
        <v>25883</v>
      </c>
      <c r="H122" s="439">
        <v>25883</v>
      </c>
      <c r="I122" s="439">
        <v>25883</v>
      </c>
      <c r="J122" s="439">
        <v>25883</v>
      </c>
      <c r="K122" s="439">
        <v>28869</v>
      </c>
      <c r="L122" s="439">
        <v>28869</v>
      </c>
      <c r="M122" s="439">
        <v>28869</v>
      </c>
      <c r="N122" s="435">
        <f>SUM(B122:M122)</f>
        <v>319559</v>
      </c>
    </row>
    <row r="123" spans="1:15">
      <c r="A123" s="438" t="s">
        <v>45</v>
      </c>
      <c r="B123" s="440">
        <f>ROUND(B122*'Transmission Formula Rate (7)'!$B$27,0)</f>
        <v>479</v>
      </c>
      <c r="C123" s="440">
        <f>ROUND(C122*'Transmission Formula Rate (7)'!$B$27,0)</f>
        <v>479</v>
      </c>
      <c r="D123" s="440">
        <f>ROUND(D122*'Transmission Formula Rate (7)'!$B$27,0)</f>
        <v>479</v>
      </c>
      <c r="E123" s="440">
        <f>ROUND(E122*'Transmission Formula Rate (7)'!$B$27,0)</f>
        <v>479</v>
      </c>
      <c r="F123" s="440">
        <f>ROUND(F122*'Transmission Formula Rate (7)'!$B$27,0)</f>
        <v>479</v>
      </c>
      <c r="G123" s="440">
        <f>ROUND(G122*'Transmission Formula Rate (7)'!$B$27,0)</f>
        <v>479</v>
      </c>
      <c r="H123" s="440">
        <f>ROUND(H122*'Transmission Formula Rate (7)'!$B$27,0)</f>
        <v>479</v>
      </c>
      <c r="I123" s="440">
        <f>ROUND(I122*'Transmission Formula Rate (7)'!$B$27,0)</f>
        <v>479</v>
      </c>
      <c r="J123" s="440">
        <f>ROUND(J122*'Transmission Formula Rate (7)'!$B$27,0)</f>
        <v>479</v>
      </c>
      <c r="K123" s="440">
        <f>ROUND(K122*'Transmission Formula Rate (7)'!$B$27,0)</f>
        <v>534</v>
      </c>
      <c r="L123" s="440">
        <f>ROUND(L122*'Transmission Formula Rate (7)'!$B$27,0)</f>
        <v>534</v>
      </c>
      <c r="M123" s="440">
        <f>ROUND(M122*'Transmission Formula Rate (7)'!$B$27,0)</f>
        <v>534</v>
      </c>
      <c r="N123" s="435">
        <f>SUM(B123:M123)</f>
        <v>5913</v>
      </c>
    </row>
    <row r="124" spans="1:15">
      <c r="A124" s="438" t="str">
        <f>$A$15</f>
        <v xml:space="preserve">       Georgia Transmission Load</v>
      </c>
      <c r="B124" s="440">
        <f t="shared" ref="B124:M124" si="52">B122+B123</f>
        <v>26363</v>
      </c>
      <c r="C124" s="440">
        <f t="shared" si="52"/>
        <v>26363</v>
      </c>
      <c r="D124" s="440">
        <f t="shared" si="52"/>
        <v>26363</v>
      </c>
      <c r="E124" s="440">
        <f t="shared" si="52"/>
        <v>26363</v>
      </c>
      <c r="F124" s="440">
        <f t="shared" si="52"/>
        <v>26363</v>
      </c>
      <c r="G124" s="440">
        <f t="shared" si="52"/>
        <v>26362</v>
      </c>
      <c r="H124" s="440">
        <f t="shared" si="52"/>
        <v>26362</v>
      </c>
      <c r="I124" s="440">
        <f t="shared" si="52"/>
        <v>26362</v>
      </c>
      <c r="J124" s="440">
        <f t="shared" si="52"/>
        <v>26362</v>
      </c>
      <c r="K124" s="440">
        <f t="shared" si="52"/>
        <v>29403</v>
      </c>
      <c r="L124" s="440">
        <f t="shared" si="52"/>
        <v>29403</v>
      </c>
      <c r="M124" s="440">
        <f t="shared" si="52"/>
        <v>29403</v>
      </c>
      <c r="N124" s="441">
        <f>SUM(B124:M124)</f>
        <v>325472</v>
      </c>
    </row>
    <row r="125" spans="1:15">
      <c r="A125" s="434" t="s">
        <v>20</v>
      </c>
      <c r="B125" s="442">
        <f>B102</f>
        <v>1.59</v>
      </c>
      <c r="C125" s="442">
        <f t="shared" ref="C125:M125" si="53">C102</f>
        <v>1.59</v>
      </c>
      <c r="D125" s="442">
        <f t="shared" si="53"/>
        <v>1.59</v>
      </c>
      <c r="E125" s="442">
        <f t="shared" si="53"/>
        <v>1.59</v>
      </c>
      <c r="F125" s="442">
        <f t="shared" si="53"/>
        <v>1.59</v>
      </c>
      <c r="G125" s="442">
        <f t="shared" si="53"/>
        <v>1.59</v>
      </c>
      <c r="H125" s="442">
        <f t="shared" si="53"/>
        <v>1.59</v>
      </c>
      <c r="I125" s="442">
        <f t="shared" si="53"/>
        <v>1.59</v>
      </c>
      <c r="J125" s="442">
        <f t="shared" si="53"/>
        <v>1.59</v>
      </c>
      <c r="K125" s="442">
        <f t="shared" si="53"/>
        <v>1.59</v>
      </c>
      <c r="L125" s="442">
        <f t="shared" si="53"/>
        <v>1.59</v>
      </c>
      <c r="M125" s="442">
        <f t="shared" si="53"/>
        <v>1.59</v>
      </c>
      <c r="O125" s="444"/>
    </row>
    <row r="126" spans="1:15">
      <c r="A126" s="434" t="s">
        <v>17</v>
      </c>
      <c r="B126" s="435">
        <f t="shared" ref="B126:M126" si="54">B124*B125</f>
        <v>41917.170000000006</v>
      </c>
      <c r="C126" s="435">
        <f t="shared" si="54"/>
        <v>41917.170000000006</v>
      </c>
      <c r="D126" s="435">
        <f t="shared" si="54"/>
        <v>41917.170000000006</v>
      </c>
      <c r="E126" s="435">
        <f t="shared" si="54"/>
        <v>41917.170000000006</v>
      </c>
      <c r="F126" s="435">
        <f t="shared" si="54"/>
        <v>41917.170000000006</v>
      </c>
      <c r="G126" s="435">
        <f t="shared" si="54"/>
        <v>41915.58</v>
      </c>
      <c r="H126" s="435">
        <f t="shared" si="54"/>
        <v>41915.58</v>
      </c>
      <c r="I126" s="435">
        <f t="shared" si="54"/>
        <v>41915.58</v>
      </c>
      <c r="J126" s="435">
        <f t="shared" si="54"/>
        <v>41915.58</v>
      </c>
      <c r="K126" s="435">
        <f t="shared" si="54"/>
        <v>46750.770000000004</v>
      </c>
      <c r="L126" s="435">
        <f t="shared" si="54"/>
        <v>46750.770000000004</v>
      </c>
      <c r="M126" s="435">
        <f t="shared" si="54"/>
        <v>46750.770000000004</v>
      </c>
      <c r="N126" s="435">
        <f>SUM(B126:M126)</f>
        <v>517500.48000000016</v>
      </c>
    </row>
    <row r="128" spans="1:15">
      <c r="A128" s="434" t="s">
        <v>135</v>
      </c>
    </row>
    <row r="129" spans="1:14">
      <c r="A129" s="438" t="s">
        <v>47</v>
      </c>
      <c r="B129" s="439">
        <f>B122</f>
        <v>25884</v>
      </c>
      <c r="C129" s="439">
        <f t="shared" ref="C129:M129" si="55">C122</f>
        <v>25884</v>
      </c>
      <c r="D129" s="439">
        <f t="shared" si="55"/>
        <v>25884</v>
      </c>
      <c r="E129" s="439">
        <f t="shared" si="55"/>
        <v>25884</v>
      </c>
      <c r="F129" s="439">
        <f t="shared" si="55"/>
        <v>25884</v>
      </c>
      <c r="G129" s="439">
        <f t="shared" si="55"/>
        <v>25883</v>
      </c>
      <c r="H129" s="439">
        <f t="shared" si="55"/>
        <v>25883</v>
      </c>
      <c r="I129" s="439">
        <f t="shared" si="55"/>
        <v>25883</v>
      </c>
      <c r="J129" s="439">
        <f t="shared" si="55"/>
        <v>25883</v>
      </c>
      <c r="K129" s="439">
        <f t="shared" si="55"/>
        <v>28869</v>
      </c>
      <c r="L129" s="439">
        <f t="shared" si="55"/>
        <v>28869</v>
      </c>
      <c r="M129" s="439">
        <f t="shared" si="55"/>
        <v>28869</v>
      </c>
      <c r="N129" s="435">
        <f>SUM(B129:M129)</f>
        <v>319559</v>
      </c>
    </row>
    <row r="130" spans="1:14">
      <c r="A130" s="438" t="s">
        <v>45</v>
      </c>
      <c r="B130" s="440">
        <f>ROUND(B129*'Transmission Formula Rate (7)'!$B$27,0)</f>
        <v>479</v>
      </c>
      <c r="C130" s="440">
        <f>ROUND(C129*'Transmission Formula Rate (7)'!$B$27,0)</f>
        <v>479</v>
      </c>
      <c r="D130" s="440">
        <f>ROUND(D129*'Transmission Formula Rate (7)'!$B$27,0)</f>
        <v>479</v>
      </c>
      <c r="E130" s="440">
        <f>ROUND(E129*'Transmission Formula Rate (7)'!$B$27,0)</f>
        <v>479</v>
      </c>
      <c r="F130" s="440">
        <f>ROUND(F129*'Transmission Formula Rate (7)'!$B$27,0)</f>
        <v>479</v>
      </c>
      <c r="G130" s="440">
        <f>ROUND(G129*'Transmission Formula Rate (7)'!$B$27,0)</f>
        <v>479</v>
      </c>
      <c r="H130" s="440">
        <f>ROUND(H129*'Transmission Formula Rate (7)'!$B$27,0)</f>
        <v>479</v>
      </c>
      <c r="I130" s="440">
        <f>ROUND(I129*'Transmission Formula Rate (7)'!$B$27,0)</f>
        <v>479</v>
      </c>
      <c r="J130" s="440">
        <f>ROUND(J129*'Transmission Formula Rate (7)'!$B$27,0)</f>
        <v>479</v>
      </c>
      <c r="K130" s="440">
        <f>ROUND(K129*'Transmission Formula Rate (7)'!$B$27,0)</f>
        <v>534</v>
      </c>
      <c r="L130" s="440">
        <f>ROUND(L129*'Transmission Formula Rate (7)'!$B$27,0)</f>
        <v>534</v>
      </c>
      <c r="M130" s="440">
        <f>ROUND(M129*'Transmission Formula Rate (7)'!$B$27,0)</f>
        <v>534</v>
      </c>
      <c r="N130" s="435">
        <f>SUM(B130:M130)</f>
        <v>5913</v>
      </c>
    </row>
    <row r="131" spans="1:14">
      <c r="A131" s="438" t="str">
        <f>$A$15</f>
        <v xml:space="preserve">       Georgia Transmission Load</v>
      </c>
      <c r="B131" s="440">
        <f t="shared" ref="B131:M131" si="56">B129+B130</f>
        <v>26363</v>
      </c>
      <c r="C131" s="440">
        <f t="shared" si="56"/>
        <v>26363</v>
      </c>
      <c r="D131" s="440">
        <f t="shared" si="56"/>
        <v>26363</v>
      </c>
      <c r="E131" s="440">
        <f t="shared" si="56"/>
        <v>26363</v>
      </c>
      <c r="F131" s="440">
        <f t="shared" si="56"/>
        <v>26363</v>
      </c>
      <c r="G131" s="440">
        <f t="shared" si="56"/>
        <v>26362</v>
      </c>
      <c r="H131" s="440">
        <f t="shared" si="56"/>
        <v>26362</v>
      </c>
      <c r="I131" s="440">
        <f t="shared" si="56"/>
        <v>26362</v>
      </c>
      <c r="J131" s="440">
        <f t="shared" si="56"/>
        <v>26362</v>
      </c>
      <c r="K131" s="440">
        <f t="shared" si="56"/>
        <v>29403</v>
      </c>
      <c r="L131" s="440">
        <f t="shared" si="56"/>
        <v>29403</v>
      </c>
      <c r="M131" s="440">
        <f t="shared" si="56"/>
        <v>29403</v>
      </c>
      <c r="N131" s="441">
        <f>SUM(B131:M131)</f>
        <v>325472</v>
      </c>
    </row>
    <row r="132" spans="1:14">
      <c r="A132" s="434" t="s">
        <v>143</v>
      </c>
      <c r="B132" s="443">
        <f>'charges (1 &amp; 2)'!$H$38</f>
        <v>1.274E-2</v>
      </c>
      <c r="C132" s="443">
        <f>B132</f>
        <v>1.274E-2</v>
      </c>
      <c r="D132" s="443">
        <f t="shared" ref="D132:M132" si="57">C132</f>
        <v>1.274E-2</v>
      </c>
      <c r="E132" s="443">
        <f t="shared" si="57"/>
        <v>1.274E-2</v>
      </c>
      <c r="F132" s="443">
        <f t="shared" si="57"/>
        <v>1.274E-2</v>
      </c>
      <c r="G132" s="443">
        <f t="shared" si="57"/>
        <v>1.274E-2</v>
      </c>
      <c r="H132" s="443">
        <f t="shared" si="57"/>
        <v>1.274E-2</v>
      </c>
      <c r="I132" s="443">
        <f t="shared" si="57"/>
        <v>1.274E-2</v>
      </c>
      <c r="J132" s="443">
        <f t="shared" si="57"/>
        <v>1.274E-2</v>
      </c>
      <c r="K132" s="443">
        <f t="shared" si="57"/>
        <v>1.274E-2</v>
      </c>
      <c r="L132" s="443">
        <f t="shared" si="57"/>
        <v>1.274E-2</v>
      </c>
      <c r="M132" s="443">
        <f t="shared" si="57"/>
        <v>1.274E-2</v>
      </c>
    </row>
    <row r="133" spans="1:14">
      <c r="A133" s="434" t="s">
        <v>17</v>
      </c>
      <c r="B133" s="435">
        <f>B131*B132</f>
        <v>335.86462</v>
      </c>
      <c r="C133" s="435">
        <f t="shared" ref="C133:M133" si="58">C131*C132</f>
        <v>335.86462</v>
      </c>
      <c r="D133" s="435">
        <f t="shared" si="58"/>
        <v>335.86462</v>
      </c>
      <c r="E133" s="435">
        <f t="shared" si="58"/>
        <v>335.86462</v>
      </c>
      <c r="F133" s="435">
        <f t="shared" si="58"/>
        <v>335.86462</v>
      </c>
      <c r="G133" s="435">
        <f t="shared" si="58"/>
        <v>335.85187999999999</v>
      </c>
      <c r="H133" s="435">
        <f t="shared" si="58"/>
        <v>335.85187999999999</v>
      </c>
      <c r="I133" s="435">
        <f t="shared" si="58"/>
        <v>335.85187999999999</v>
      </c>
      <c r="J133" s="435">
        <f t="shared" si="58"/>
        <v>335.85187999999999</v>
      </c>
      <c r="K133" s="435">
        <f t="shared" si="58"/>
        <v>374.59422000000001</v>
      </c>
      <c r="L133" s="435">
        <f t="shared" si="58"/>
        <v>374.59422000000001</v>
      </c>
      <c r="M133" s="435">
        <f t="shared" si="58"/>
        <v>374.59422000000001</v>
      </c>
      <c r="N133" s="435">
        <f>SUM(B133:M133)</f>
        <v>4146.5132800000001</v>
      </c>
    </row>
    <row r="134" spans="1:14">
      <c r="A134" s="434"/>
      <c r="B134" s="435"/>
      <c r="C134" s="435"/>
      <c r="D134" s="435"/>
      <c r="E134" s="435"/>
      <c r="F134" s="435"/>
      <c r="G134" s="435"/>
      <c r="H134" s="435"/>
      <c r="I134" s="435"/>
      <c r="J134" s="435"/>
      <c r="K134" s="435"/>
      <c r="L134" s="435"/>
      <c r="M134" s="435"/>
      <c r="N134" s="435"/>
    </row>
    <row r="135" spans="1:14">
      <c r="A135" s="434" t="s">
        <v>38</v>
      </c>
      <c r="B135" s="435"/>
      <c r="C135" s="435"/>
      <c r="D135" s="435"/>
      <c r="E135" s="435"/>
      <c r="F135" s="435"/>
      <c r="G135" s="435"/>
      <c r="H135" s="435"/>
      <c r="I135" s="435"/>
      <c r="J135" s="435"/>
      <c r="K135" s="435"/>
      <c r="L135" s="435"/>
      <c r="M135" s="435"/>
      <c r="N135" s="435"/>
    </row>
    <row r="136" spans="1:14">
      <c r="A136" s="438" t="s">
        <v>47</v>
      </c>
      <c r="B136" s="439">
        <f>B122</f>
        <v>25884</v>
      </c>
      <c r="C136" s="439">
        <f t="shared" ref="C136:M136" si="59">C122</f>
        <v>25884</v>
      </c>
      <c r="D136" s="439">
        <f t="shared" si="59"/>
        <v>25884</v>
      </c>
      <c r="E136" s="439">
        <f t="shared" si="59"/>
        <v>25884</v>
      </c>
      <c r="F136" s="439">
        <f t="shared" si="59"/>
        <v>25884</v>
      </c>
      <c r="G136" s="439">
        <f t="shared" si="59"/>
        <v>25883</v>
      </c>
      <c r="H136" s="439">
        <f t="shared" si="59"/>
        <v>25883</v>
      </c>
      <c r="I136" s="439">
        <f t="shared" si="59"/>
        <v>25883</v>
      </c>
      <c r="J136" s="439">
        <f t="shared" si="59"/>
        <v>25883</v>
      </c>
      <c r="K136" s="439">
        <f t="shared" si="59"/>
        <v>28869</v>
      </c>
      <c r="L136" s="439">
        <f t="shared" si="59"/>
        <v>28869</v>
      </c>
      <c r="M136" s="439">
        <f t="shared" si="59"/>
        <v>28869</v>
      </c>
      <c r="N136" s="435">
        <f>SUM(B136:M136)</f>
        <v>319559</v>
      </c>
    </row>
    <row r="137" spans="1:14">
      <c r="A137" s="438" t="s">
        <v>45</v>
      </c>
      <c r="B137" s="440">
        <f>ROUND(B136*'Transmission Formula Rate (7)'!$B$27,0)</f>
        <v>479</v>
      </c>
      <c r="C137" s="440">
        <f>ROUND(C136*'Transmission Formula Rate (7)'!$B$27,0)</f>
        <v>479</v>
      </c>
      <c r="D137" s="440">
        <f>ROUND(D136*'Transmission Formula Rate (7)'!$B$27,0)</f>
        <v>479</v>
      </c>
      <c r="E137" s="440">
        <f>ROUND(E136*'Transmission Formula Rate (7)'!$B$27,0)</f>
        <v>479</v>
      </c>
      <c r="F137" s="440">
        <f>ROUND(F136*'Transmission Formula Rate (7)'!$B$27,0)</f>
        <v>479</v>
      </c>
      <c r="G137" s="440">
        <f>ROUND(G136*'Transmission Formula Rate (7)'!$B$27,0)</f>
        <v>479</v>
      </c>
      <c r="H137" s="440">
        <f>ROUND(H136*'Transmission Formula Rate (7)'!$B$27,0)</f>
        <v>479</v>
      </c>
      <c r="I137" s="440">
        <f>ROUND(I136*'Transmission Formula Rate (7)'!$B$27,0)</f>
        <v>479</v>
      </c>
      <c r="J137" s="440">
        <f>ROUND(J136*'Transmission Formula Rate (7)'!$B$27,0)</f>
        <v>479</v>
      </c>
      <c r="K137" s="440">
        <f>ROUND(K136*'Transmission Formula Rate (7)'!$B$27,0)</f>
        <v>534</v>
      </c>
      <c r="L137" s="440">
        <f>ROUND(L136*'Transmission Formula Rate (7)'!$B$27,0)</f>
        <v>534</v>
      </c>
      <c r="M137" s="440">
        <f>ROUND(M136*'Transmission Formula Rate (7)'!$B$27,0)</f>
        <v>534</v>
      </c>
      <c r="N137" s="435">
        <f t="shared" ref="N137:N140" si="60">SUM(B137:M137)</f>
        <v>5913</v>
      </c>
    </row>
    <row r="138" spans="1:14">
      <c r="A138" s="438" t="str">
        <f>$A$15</f>
        <v xml:space="preserve">       Georgia Transmission Load</v>
      </c>
      <c r="B138" s="435">
        <f>B136+B137</f>
        <v>26363</v>
      </c>
      <c r="C138" s="435">
        <f t="shared" ref="C138:M138" si="61">C136+C137</f>
        <v>26363</v>
      </c>
      <c r="D138" s="435">
        <f t="shared" si="61"/>
        <v>26363</v>
      </c>
      <c r="E138" s="435">
        <f t="shared" si="61"/>
        <v>26363</v>
      </c>
      <c r="F138" s="435">
        <f t="shared" si="61"/>
        <v>26363</v>
      </c>
      <c r="G138" s="435">
        <f t="shared" si="61"/>
        <v>26362</v>
      </c>
      <c r="H138" s="435">
        <f t="shared" si="61"/>
        <v>26362</v>
      </c>
      <c r="I138" s="435">
        <f t="shared" si="61"/>
        <v>26362</v>
      </c>
      <c r="J138" s="435">
        <f t="shared" si="61"/>
        <v>26362</v>
      </c>
      <c r="K138" s="435">
        <f t="shared" si="61"/>
        <v>29403</v>
      </c>
      <c r="L138" s="435">
        <f t="shared" si="61"/>
        <v>29403</v>
      </c>
      <c r="M138" s="435">
        <f t="shared" si="61"/>
        <v>29403</v>
      </c>
      <c r="N138" s="441">
        <f t="shared" si="60"/>
        <v>325472</v>
      </c>
    </row>
    <row r="139" spans="1:14">
      <c r="A139" s="434" t="s">
        <v>144</v>
      </c>
      <c r="B139" s="443">
        <f>'charges (1 &amp; 2)'!H10</f>
        <v>0.1008</v>
      </c>
      <c r="C139" s="443">
        <f>B139</f>
        <v>0.1008</v>
      </c>
      <c r="D139" s="443">
        <f t="shared" ref="D139:M139" si="62">C139</f>
        <v>0.1008</v>
      </c>
      <c r="E139" s="443">
        <f t="shared" si="62"/>
        <v>0.1008</v>
      </c>
      <c r="F139" s="443">
        <f t="shared" si="62"/>
        <v>0.1008</v>
      </c>
      <c r="G139" s="443">
        <f t="shared" si="62"/>
        <v>0.1008</v>
      </c>
      <c r="H139" s="443">
        <f t="shared" si="62"/>
        <v>0.1008</v>
      </c>
      <c r="I139" s="443">
        <f t="shared" si="62"/>
        <v>0.1008</v>
      </c>
      <c r="J139" s="443">
        <f t="shared" si="62"/>
        <v>0.1008</v>
      </c>
      <c r="K139" s="443">
        <f t="shared" si="62"/>
        <v>0.1008</v>
      </c>
      <c r="L139" s="443">
        <f t="shared" si="62"/>
        <v>0.1008</v>
      </c>
      <c r="M139" s="443">
        <f t="shared" si="62"/>
        <v>0.1008</v>
      </c>
      <c r="N139" s="435"/>
    </row>
    <row r="140" spans="1:14">
      <c r="A140" s="434" t="s">
        <v>17</v>
      </c>
      <c r="B140" s="435">
        <f>B138*B139</f>
        <v>2657.3904000000002</v>
      </c>
      <c r="C140" s="435">
        <f t="shared" ref="C140:M140" si="63">C138*C139</f>
        <v>2657.3904000000002</v>
      </c>
      <c r="D140" s="435">
        <f t="shared" si="63"/>
        <v>2657.3904000000002</v>
      </c>
      <c r="E140" s="435">
        <f t="shared" si="63"/>
        <v>2657.3904000000002</v>
      </c>
      <c r="F140" s="435">
        <f t="shared" si="63"/>
        <v>2657.3904000000002</v>
      </c>
      <c r="G140" s="435">
        <f t="shared" si="63"/>
        <v>2657.2896000000001</v>
      </c>
      <c r="H140" s="435">
        <f t="shared" si="63"/>
        <v>2657.2896000000001</v>
      </c>
      <c r="I140" s="435">
        <f t="shared" si="63"/>
        <v>2657.2896000000001</v>
      </c>
      <c r="J140" s="435">
        <f t="shared" si="63"/>
        <v>2657.2896000000001</v>
      </c>
      <c r="K140" s="435">
        <f t="shared" si="63"/>
        <v>2963.8224</v>
      </c>
      <c r="L140" s="435">
        <f t="shared" si="63"/>
        <v>2963.8224</v>
      </c>
      <c r="M140" s="435">
        <f t="shared" si="63"/>
        <v>2963.8224</v>
      </c>
      <c r="N140" s="435">
        <f t="shared" si="60"/>
        <v>32807.577600000004</v>
      </c>
    </row>
    <row r="142" spans="1:14">
      <c r="B142" s="433" t="s">
        <v>0</v>
      </c>
      <c r="C142" s="433" t="s">
        <v>1</v>
      </c>
      <c r="D142" s="433" t="s">
        <v>2</v>
      </c>
      <c r="E142" s="433" t="s">
        <v>3</v>
      </c>
      <c r="F142" s="433" t="s">
        <v>4</v>
      </c>
      <c r="G142" s="433" t="s">
        <v>5</v>
      </c>
      <c r="H142" s="433" t="s">
        <v>6</v>
      </c>
      <c r="I142" s="433" t="s">
        <v>7</v>
      </c>
      <c r="J142" s="433" t="s">
        <v>8</v>
      </c>
      <c r="K142" s="433" t="s">
        <v>9</v>
      </c>
      <c r="L142" s="433" t="s">
        <v>10</v>
      </c>
      <c r="M142" s="433" t="s">
        <v>11</v>
      </c>
      <c r="N142" s="433" t="s">
        <v>12</v>
      </c>
    </row>
    <row r="143" spans="1:14">
      <c r="A143" s="437">
        <f>A120+1</f>
        <v>2020</v>
      </c>
      <c r="B143" s="435"/>
      <c r="C143" s="435"/>
      <c r="D143" s="435"/>
      <c r="E143" s="435"/>
      <c r="F143" s="435"/>
      <c r="G143" s="435"/>
      <c r="H143" s="435"/>
      <c r="I143" s="435"/>
      <c r="J143" s="435"/>
      <c r="K143" s="435"/>
      <c r="L143" s="435"/>
      <c r="M143" s="435"/>
      <c r="N143" s="435"/>
    </row>
    <row r="144" spans="1:14">
      <c r="A144" s="434" t="s">
        <v>37</v>
      </c>
    </row>
    <row r="145" spans="1:16">
      <c r="A145" s="438" t="s">
        <v>47</v>
      </c>
      <c r="B145" s="439">
        <v>28869</v>
      </c>
      <c r="C145" s="439">
        <v>0</v>
      </c>
      <c r="D145" s="439">
        <v>0</v>
      </c>
      <c r="E145" s="439">
        <v>0</v>
      </c>
      <c r="F145" s="439">
        <v>0</v>
      </c>
      <c r="G145" s="439">
        <v>0</v>
      </c>
      <c r="H145" s="439">
        <v>0</v>
      </c>
      <c r="I145" s="439">
        <v>0</v>
      </c>
      <c r="J145" s="439">
        <v>0</v>
      </c>
      <c r="K145" s="439">
        <v>0</v>
      </c>
      <c r="L145" s="439">
        <v>0</v>
      </c>
      <c r="M145" s="439">
        <v>0</v>
      </c>
      <c r="N145" s="435">
        <f>SUM(B145:M145)</f>
        <v>28869</v>
      </c>
      <c r="P145" s="428" t="s">
        <v>438</v>
      </c>
    </row>
    <row r="146" spans="1:16">
      <c r="A146" s="438" t="s">
        <v>45</v>
      </c>
      <c r="B146" s="440">
        <f>ROUND(B145*'Transmission Formula Rate (7)'!$B$27,0)</f>
        <v>534</v>
      </c>
      <c r="C146" s="440">
        <f>ROUND(C145*'Transmission Formula Rate (7)'!$B$27,0)</f>
        <v>0</v>
      </c>
      <c r="D146" s="440">
        <f>ROUND(D145*'Transmission Formula Rate (7)'!$B$27,0)</f>
        <v>0</v>
      </c>
      <c r="E146" s="440">
        <f>ROUND(E145*'Transmission Formula Rate (7)'!$B$27,0)</f>
        <v>0</v>
      </c>
      <c r="F146" s="440">
        <f>ROUND(F145*'Transmission Formula Rate (7)'!$B$27,0)</f>
        <v>0</v>
      </c>
      <c r="G146" s="440">
        <f>ROUND(G145*'Transmission Formula Rate (7)'!$B$27,0)</f>
        <v>0</v>
      </c>
      <c r="H146" s="440">
        <f>ROUND(H145*'Transmission Formula Rate (7)'!$B$27,0)</f>
        <v>0</v>
      </c>
      <c r="I146" s="440">
        <f>ROUND(I145*'Transmission Formula Rate (7)'!$B$27,0)</f>
        <v>0</v>
      </c>
      <c r="J146" s="440">
        <f>ROUND(J145*'Transmission Formula Rate (7)'!$B$27,0)</f>
        <v>0</v>
      </c>
      <c r="K146" s="440">
        <f>ROUND(K145*'Transmission Formula Rate (7)'!$B$27,0)</f>
        <v>0</v>
      </c>
      <c r="L146" s="440">
        <f>ROUND(L145*'Transmission Formula Rate (7)'!$B$27,0)</f>
        <v>0</v>
      </c>
      <c r="M146" s="440">
        <f>ROUND(M145*'Transmission Formula Rate (7)'!$B$27,0)</f>
        <v>0</v>
      </c>
      <c r="N146" s="435">
        <f>SUM(B146:M146)</f>
        <v>534</v>
      </c>
    </row>
    <row r="147" spans="1:16">
      <c r="A147" s="438" t="str">
        <f>$A$15</f>
        <v xml:space="preserve">       Georgia Transmission Load</v>
      </c>
      <c r="B147" s="440">
        <f t="shared" ref="B147:M147" si="64">B145+B146</f>
        <v>29403</v>
      </c>
      <c r="C147" s="440">
        <f t="shared" si="64"/>
        <v>0</v>
      </c>
      <c r="D147" s="440">
        <f t="shared" si="64"/>
        <v>0</v>
      </c>
      <c r="E147" s="440">
        <f t="shared" si="64"/>
        <v>0</v>
      </c>
      <c r="F147" s="440">
        <f t="shared" si="64"/>
        <v>0</v>
      </c>
      <c r="G147" s="440">
        <f t="shared" si="64"/>
        <v>0</v>
      </c>
      <c r="H147" s="440">
        <f t="shared" si="64"/>
        <v>0</v>
      </c>
      <c r="I147" s="440">
        <f t="shared" si="64"/>
        <v>0</v>
      </c>
      <c r="J147" s="440">
        <f t="shared" si="64"/>
        <v>0</v>
      </c>
      <c r="K147" s="440">
        <f t="shared" si="64"/>
        <v>0</v>
      </c>
      <c r="L147" s="440">
        <f t="shared" si="64"/>
        <v>0</v>
      </c>
      <c r="M147" s="440">
        <f t="shared" si="64"/>
        <v>0</v>
      </c>
      <c r="N147" s="441">
        <f>SUM(B147:M147)</f>
        <v>29403</v>
      </c>
    </row>
    <row r="148" spans="1:16">
      <c r="A148" s="434" t="s">
        <v>20</v>
      </c>
      <c r="B148" s="442">
        <f>B125</f>
        <v>1.59</v>
      </c>
      <c r="C148" s="442">
        <f t="shared" ref="C148:M148" si="65">C125</f>
        <v>1.59</v>
      </c>
      <c r="D148" s="442">
        <f t="shared" si="65"/>
        <v>1.59</v>
      </c>
      <c r="E148" s="442">
        <f t="shared" si="65"/>
        <v>1.59</v>
      </c>
      <c r="F148" s="442">
        <f t="shared" si="65"/>
        <v>1.59</v>
      </c>
      <c r="G148" s="442">
        <f t="shared" si="65"/>
        <v>1.59</v>
      </c>
      <c r="H148" s="442">
        <f t="shared" si="65"/>
        <v>1.59</v>
      </c>
      <c r="I148" s="442">
        <f t="shared" si="65"/>
        <v>1.59</v>
      </c>
      <c r="J148" s="442">
        <f t="shared" si="65"/>
        <v>1.59</v>
      </c>
      <c r="K148" s="442">
        <f t="shared" si="65"/>
        <v>1.59</v>
      </c>
      <c r="L148" s="442">
        <f t="shared" si="65"/>
        <v>1.59</v>
      </c>
      <c r="M148" s="442">
        <f t="shared" si="65"/>
        <v>1.59</v>
      </c>
    </row>
    <row r="149" spans="1:16">
      <c r="A149" s="434" t="s">
        <v>17</v>
      </c>
      <c r="B149" s="435">
        <f t="shared" ref="B149:M149" si="66">B147*B148</f>
        <v>46750.770000000004</v>
      </c>
      <c r="C149" s="435">
        <f t="shared" si="66"/>
        <v>0</v>
      </c>
      <c r="D149" s="435">
        <f t="shared" si="66"/>
        <v>0</v>
      </c>
      <c r="E149" s="435">
        <f t="shared" si="66"/>
        <v>0</v>
      </c>
      <c r="F149" s="435">
        <f t="shared" si="66"/>
        <v>0</v>
      </c>
      <c r="G149" s="435">
        <f t="shared" si="66"/>
        <v>0</v>
      </c>
      <c r="H149" s="435">
        <f t="shared" si="66"/>
        <v>0</v>
      </c>
      <c r="I149" s="435">
        <f t="shared" si="66"/>
        <v>0</v>
      </c>
      <c r="J149" s="435">
        <f t="shared" si="66"/>
        <v>0</v>
      </c>
      <c r="K149" s="435">
        <f t="shared" si="66"/>
        <v>0</v>
      </c>
      <c r="L149" s="435">
        <f t="shared" si="66"/>
        <v>0</v>
      </c>
      <c r="M149" s="435">
        <f t="shared" si="66"/>
        <v>0</v>
      </c>
      <c r="N149" s="435">
        <f>SUM(B149:M149)</f>
        <v>46750.770000000004</v>
      </c>
    </row>
    <row r="151" spans="1:16">
      <c r="A151" s="434" t="s">
        <v>135</v>
      </c>
    </row>
    <row r="152" spans="1:16">
      <c r="A152" s="438" t="s">
        <v>47</v>
      </c>
      <c r="B152" s="439">
        <f>B145</f>
        <v>28869</v>
      </c>
      <c r="C152" s="439">
        <f t="shared" ref="C152:M152" si="67">C145</f>
        <v>0</v>
      </c>
      <c r="D152" s="439">
        <f t="shared" si="67"/>
        <v>0</v>
      </c>
      <c r="E152" s="439">
        <f t="shared" si="67"/>
        <v>0</v>
      </c>
      <c r="F152" s="439">
        <f t="shared" si="67"/>
        <v>0</v>
      </c>
      <c r="G152" s="439">
        <f t="shared" si="67"/>
        <v>0</v>
      </c>
      <c r="H152" s="439">
        <f t="shared" si="67"/>
        <v>0</v>
      </c>
      <c r="I152" s="439">
        <f t="shared" si="67"/>
        <v>0</v>
      </c>
      <c r="J152" s="439">
        <f t="shared" si="67"/>
        <v>0</v>
      </c>
      <c r="K152" s="439">
        <f t="shared" si="67"/>
        <v>0</v>
      </c>
      <c r="L152" s="439">
        <f t="shared" si="67"/>
        <v>0</v>
      </c>
      <c r="M152" s="439">
        <f t="shared" si="67"/>
        <v>0</v>
      </c>
      <c r="N152" s="435">
        <f>SUM(B152:M152)</f>
        <v>28869</v>
      </c>
    </row>
    <row r="153" spans="1:16">
      <c r="A153" s="438" t="s">
        <v>45</v>
      </c>
      <c r="B153" s="440">
        <f>ROUND(B152*'Transmission Formula Rate (7)'!$B$27,0)</f>
        <v>534</v>
      </c>
      <c r="C153" s="440">
        <f>ROUND(C152*'Transmission Formula Rate (7)'!$B$27,0)</f>
        <v>0</v>
      </c>
      <c r="D153" s="440">
        <f>ROUND(D152*'Transmission Formula Rate (7)'!$B$27,0)</f>
        <v>0</v>
      </c>
      <c r="E153" s="440">
        <f>ROUND(E152*'Transmission Formula Rate (7)'!$B$27,0)</f>
        <v>0</v>
      </c>
      <c r="F153" s="440">
        <f>ROUND(F152*'Transmission Formula Rate (7)'!$B$27,0)</f>
        <v>0</v>
      </c>
      <c r="G153" s="440">
        <f>ROUND(G152*'Transmission Formula Rate (7)'!$B$27,0)</f>
        <v>0</v>
      </c>
      <c r="H153" s="440">
        <f>ROUND(H152*'Transmission Formula Rate (7)'!$B$27,0)</f>
        <v>0</v>
      </c>
      <c r="I153" s="440">
        <f>ROUND(I152*'Transmission Formula Rate (7)'!$B$27,0)</f>
        <v>0</v>
      </c>
      <c r="J153" s="440">
        <f>ROUND(J152*'Transmission Formula Rate (7)'!$B$27,0)</f>
        <v>0</v>
      </c>
      <c r="K153" s="440">
        <f>ROUND(K152*'Transmission Formula Rate (7)'!$B$27,0)</f>
        <v>0</v>
      </c>
      <c r="L153" s="440">
        <f>ROUND(L152*'Transmission Formula Rate (7)'!$B$27,0)</f>
        <v>0</v>
      </c>
      <c r="M153" s="440">
        <f>ROUND(M152*'Transmission Formula Rate (7)'!$B$27,0)</f>
        <v>0</v>
      </c>
      <c r="N153" s="435">
        <f>SUM(B153:M153)</f>
        <v>534</v>
      </c>
    </row>
    <row r="154" spans="1:16">
      <c r="A154" s="438" t="str">
        <f>$A$15</f>
        <v xml:space="preserve">       Georgia Transmission Load</v>
      </c>
      <c r="B154" s="440">
        <f t="shared" ref="B154:M154" si="68">B152+B153</f>
        <v>29403</v>
      </c>
      <c r="C154" s="440">
        <f t="shared" si="68"/>
        <v>0</v>
      </c>
      <c r="D154" s="440">
        <f t="shared" si="68"/>
        <v>0</v>
      </c>
      <c r="E154" s="440">
        <f t="shared" si="68"/>
        <v>0</v>
      </c>
      <c r="F154" s="440">
        <f t="shared" si="68"/>
        <v>0</v>
      </c>
      <c r="G154" s="440">
        <f t="shared" si="68"/>
        <v>0</v>
      </c>
      <c r="H154" s="440">
        <f t="shared" si="68"/>
        <v>0</v>
      </c>
      <c r="I154" s="440">
        <f t="shared" si="68"/>
        <v>0</v>
      </c>
      <c r="J154" s="440">
        <f t="shared" si="68"/>
        <v>0</v>
      </c>
      <c r="K154" s="440">
        <f t="shared" si="68"/>
        <v>0</v>
      </c>
      <c r="L154" s="440">
        <f t="shared" si="68"/>
        <v>0</v>
      </c>
      <c r="M154" s="440">
        <f t="shared" si="68"/>
        <v>0</v>
      </c>
      <c r="N154" s="441">
        <f>SUM(B154:M154)</f>
        <v>29403</v>
      </c>
    </row>
    <row r="155" spans="1:16">
      <c r="A155" s="434" t="s">
        <v>143</v>
      </c>
      <c r="B155" s="443">
        <f>'charges (1 &amp; 2)'!$H$38</f>
        <v>1.274E-2</v>
      </c>
      <c r="C155" s="443">
        <f>B155</f>
        <v>1.274E-2</v>
      </c>
      <c r="D155" s="443">
        <f t="shared" ref="D155" si="69">C155</f>
        <v>1.274E-2</v>
      </c>
      <c r="E155" s="443">
        <f t="shared" ref="E155" si="70">D155</f>
        <v>1.274E-2</v>
      </c>
      <c r="F155" s="443">
        <f t="shared" ref="F155" si="71">E155</f>
        <v>1.274E-2</v>
      </c>
      <c r="G155" s="443">
        <f t="shared" ref="G155" si="72">F155</f>
        <v>1.274E-2</v>
      </c>
      <c r="H155" s="443">
        <f t="shared" ref="H155" si="73">G155</f>
        <v>1.274E-2</v>
      </c>
      <c r="I155" s="443">
        <f t="shared" ref="I155" si="74">H155</f>
        <v>1.274E-2</v>
      </c>
      <c r="J155" s="443">
        <f t="shared" ref="J155" si="75">I155</f>
        <v>1.274E-2</v>
      </c>
      <c r="K155" s="443">
        <f t="shared" ref="K155" si="76">J155</f>
        <v>1.274E-2</v>
      </c>
      <c r="L155" s="443">
        <f t="shared" ref="L155" si="77">K155</f>
        <v>1.274E-2</v>
      </c>
      <c r="M155" s="443">
        <f t="shared" ref="M155" si="78">L155</f>
        <v>1.274E-2</v>
      </c>
    </row>
    <row r="156" spans="1:16">
      <c r="A156" s="434" t="s">
        <v>17</v>
      </c>
      <c r="B156" s="435">
        <f>B154*B155</f>
        <v>374.59422000000001</v>
      </c>
      <c r="C156" s="435">
        <f t="shared" ref="C156:M156" si="79">C154*C155</f>
        <v>0</v>
      </c>
      <c r="D156" s="435">
        <f t="shared" si="79"/>
        <v>0</v>
      </c>
      <c r="E156" s="435">
        <f t="shared" si="79"/>
        <v>0</v>
      </c>
      <c r="F156" s="435">
        <f t="shared" si="79"/>
        <v>0</v>
      </c>
      <c r="G156" s="435">
        <f t="shared" si="79"/>
        <v>0</v>
      </c>
      <c r="H156" s="435">
        <f t="shared" si="79"/>
        <v>0</v>
      </c>
      <c r="I156" s="435">
        <f t="shared" si="79"/>
        <v>0</v>
      </c>
      <c r="J156" s="435">
        <f t="shared" si="79"/>
        <v>0</v>
      </c>
      <c r="K156" s="435">
        <f t="shared" si="79"/>
        <v>0</v>
      </c>
      <c r="L156" s="435">
        <f t="shared" si="79"/>
        <v>0</v>
      </c>
      <c r="M156" s="435">
        <f t="shared" si="79"/>
        <v>0</v>
      </c>
      <c r="N156" s="435">
        <f>SUM(B156:M156)</f>
        <v>374.59422000000001</v>
      </c>
    </row>
    <row r="158" spans="1:16">
      <c r="A158" s="434" t="s">
        <v>38</v>
      </c>
    </row>
    <row r="159" spans="1:16">
      <c r="A159" s="438" t="s">
        <v>47</v>
      </c>
      <c r="B159" s="439">
        <f>B145</f>
        <v>28869</v>
      </c>
      <c r="C159" s="439">
        <f t="shared" ref="C159:M159" si="80">C145</f>
        <v>0</v>
      </c>
      <c r="D159" s="439">
        <f t="shared" si="80"/>
        <v>0</v>
      </c>
      <c r="E159" s="439">
        <f t="shared" si="80"/>
        <v>0</v>
      </c>
      <c r="F159" s="439">
        <f t="shared" si="80"/>
        <v>0</v>
      </c>
      <c r="G159" s="439">
        <f t="shared" si="80"/>
        <v>0</v>
      </c>
      <c r="H159" s="439">
        <f t="shared" si="80"/>
        <v>0</v>
      </c>
      <c r="I159" s="439">
        <f t="shared" si="80"/>
        <v>0</v>
      </c>
      <c r="J159" s="439">
        <f t="shared" si="80"/>
        <v>0</v>
      </c>
      <c r="K159" s="439">
        <f t="shared" si="80"/>
        <v>0</v>
      </c>
      <c r="L159" s="439">
        <f t="shared" si="80"/>
        <v>0</v>
      </c>
      <c r="M159" s="439">
        <f t="shared" si="80"/>
        <v>0</v>
      </c>
      <c r="N159" s="435">
        <f>SUM(B159:M159)</f>
        <v>28869</v>
      </c>
    </row>
    <row r="160" spans="1:16">
      <c r="A160" s="438" t="s">
        <v>45</v>
      </c>
      <c r="B160" s="440">
        <f>ROUND(B159*'Transmission Formula Rate (7)'!$B$27,0)</f>
        <v>534</v>
      </c>
      <c r="C160" s="440">
        <f>ROUND(C159*'Transmission Formula Rate (7)'!$B$27,0)</f>
        <v>0</v>
      </c>
      <c r="D160" s="440">
        <f>ROUND(D159*'Transmission Formula Rate (7)'!$B$27,0)</f>
        <v>0</v>
      </c>
      <c r="E160" s="440">
        <f>ROUND(E159*'Transmission Formula Rate (7)'!$B$27,0)</f>
        <v>0</v>
      </c>
      <c r="F160" s="440">
        <f>ROUND(F159*'Transmission Formula Rate (7)'!$B$27,0)</f>
        <v>0</v>
      </c>
      <c r="G160" s="440">
        <f>ROUND(G159*'Transmission Formula Rate (7)'!$B$27,0)</f>
        <v>0</v>
      </c>
      <c r="H160" s="440">
        <f>ROUND(H159*'Transmission Formula Rate (7)'!$B$27,0)</f>
        <v>0</v>
      </c>
      <c r="I160" s="440">
        <f>ROUND(I159*'Transmission Formula Rate (7)'!$B$27,0)</f>
        <v>0</v>
      </c>
      <c r="J160" s="440">
        <f>ROUND(J159*'Transmission Formula Rate (7)'!$B$27,0)</f>
        <v>0</v>
      </c>
      <c r="K160" s="440">
        <f>ROUND(K159*'Transmission Formula Rate (7)'!$B$27,0)</f>
        <v>0</v>
      </c>
      <c r="L160" s="440">
        <f>ROUND(L159*'Transmission Formula Rate (7)'!$B$27,0)</f>
        <v>0</v>
      </c>
      <c r="M160" s="440">
        <f>ROUND(M159*'Transmission Formula Rate (7)'!$B$27,0)</f>
        <v>0</v>
      </c>
      <c r="N160" s="435">
        <f t="shared" ref="N160:N163" si="81">SUM(B160:M160)</f>
        <v>534</v>
      </c>
    </row>
    <row r="161" spans="1:14">
      <c r="A161" s="438" t="str">
        <f>$A$15</f>
        <v xml:space="preserve">       Georgia Transmission Load</v>
      </c>
      <c r="B161" s="440">
        <f>B159+B160</f>
        <v>29403</v>
      </c>
      <c r="C161" s="440">
        <f t="shared" ref="C161:M161" si="82">C159+C160</f>
        <v>0</v>
      </c>
      <c r="D161" s="440">
        <f t="shared" si="82"/>
        <v>0</v>
      </c>
      <c r="E161" s="440">
        <f t="shared" si="82"/>
        <v>0</v>
      </c>
      <c r="F161" s="440">
        <f t="shared" si="82"/>
        <v>0</v>
      </c>
      <c r="G161" s="440">
        <f t="shared" si="82"/>
        <v>0</v>
      </c>
      <c r="H161" s="440">
        <f t="shared" si="82"/>
        <v>0</v>
      </c>
      <c r="I161" s="440">
        <f t="shared" si="82"/>
        <v>0</v>
      </c>
      <c r="J161" s="440">
        <f t="shared" si="82"/>
        <v>0</v>
      </c>
      <c r="K161" s="440">
        <f t="shared" si="82"/>
        <v>0</v>
      </c>
      <c r="L161" s="440">
        <f t="shared" si="82"/>
        <v>0</v>
      </c>
      <c r="M161" s="440">
        <f t="shared" si="82"/>
        <v>0</v>
      </c>
      <c r="N161" s="441">
        <f t="shared" si="81"/>
        <v>29403</v>
      </c>
    </row>
    <row r="162" spans="1:14">
      <c r="A162" s="434" t="s">
        <v>144</v>
      </c>
      <c r="B162" s="443">
        <f>'charges (1 &amp; 2)'!H10</f>
        <v>0.1008</v>
      </c>
      <c r="C162" s="443">
        <f>B162</f>
        <v>0.1008</v>
      </c>
      <c r="D162" s="443">
        <f t="shared" ref="D162:M162" si="83">C162</f>
        <v>0.1008</v>
      </c>
      <c r="E162" s="443">
        <f t="shared" si="83"/>
        <v>0.1008</v>
      </c>
      <c r="F162" s="443">
        <f t="shared" si="83"/>
        <v>0.1008</v>
      </c>
      <c r="G162" s="443">
        <f t="shared" si="83"/>
        <v>0.1008</v>
      </c>
      <c r="H162" s="443">
        <f t="shared" si="83"/>
        <v>0.1008</v>
      </c>
      <c r="I162" s="443">
        <f t="shared" si="83"/>
        <v>0.1008</v>
      </c>
      <c r="J162" s="443">
        <f t="shared" si="83"/>
        <v>0.1008</v>
      </c>
      <c r="K162" s="443">
        <f t="shared" si="83"/>
        <v>0.1008</v>
      </c>
      <c r="L162" s="443">
        <f t="shared" si="83"/>
        <v>0.1008</v>
      </c>
      <c r="M162" s="443">
        <f t="shared" si="83"/>
        <v>0.1008</v>
      </c>
    </row>
    <row r="163" spans="1:14">
      <c r="A163" s="434" t="s">
        <v>17</v>
      </c>
      <c r="B163" s="435">
        <f>B161*B162</f>
        <v>2963.8224</v>
      </c>
      <c r="C163" s="435">
        <f t="shared" ref="C163:M163" si="84">C161*C162</f>
        <v>0</v>
      </c>
      <c r="D163" s="435">
        <f t="shared" si="84"/>
        <v>0</v>
      </c>
      <c r="E163" s="435">
        <f t="shared" si="84"/>
        <v>0</v>
      </c>
      <c r="F163" s="435">
        <f t="shared" si="84"/>
        <v>0</v>
      </c>
      <c r="G163" s="435">
        <f t="shared" si="84"/>
        <v>0</v>
      </c>
      <c r="H163" s="435">
        <f t="shared" si="84"/>
        <v>0</v>
      </c>
      <c r="I163" s="435">
        <f t="shared" si="84"/>
        <v>0</v>
      </c>
      <c r="J163" s="435">
        <f t="shared" si="84"/>
        <v>0</v>
      </c>
      <c r="K163" s="435">
        <f t="shared" si="84"/>
        <v>0</v>
      </c>
      <c r="L163" s="435">
        <f t="shared" si="84"/>
        <v>0</v>
      </c>
      <c r="M163" s="435">
        <f t="shared" si="84"/>
        <v>0</v>
      </c>
      <c r="N163" s="435">
        <f t="shared" si="81"/>
        <v>2963.8224</v>
      </c>
    </row>
  </sheetData>
  <pageMargins left="0.7" right="0.7" top="0.75" bottom="0.75" header="0.3" footer="0.3"/>
  <pageSetup scale="74" orientation="landscape" r:id="rId1"/>
  <rowBreaks count="2" manualBreakCount="2">
    <brk id="48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8"/>
  <sheetViews>
    <sheetView zoomScaleNormal="100" workbookViewId="0">
      <selection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468</v>
      </c>
    </row>
    <row r="2" spans="1:16" s="15" customFormat="1" ht="13.8">
      <c r="A2" s="481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5" customFormat="1" ht="13.8">
      <c r="A3" s="244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5" t="s">
        <v>289</v>
      </c>
      <c r="B4" s="14"/>
      <c r="C4" s="14"/>
      <c r="D4" s="14"/>
      <c r="G4" s="14"/>
      <c r="H4" s="14"/>
      <c r="I4" s="14"/>
      <c r="J4" s="14"/>
      <c r="K4" s="14"/>
      <c r="L4" s="14"/>
      <c r="M4" s="14"/>
      <c r="O4" s="14"/>
      <c r="P4" s="14"/>
    </row>
    <row r="5" spans="1:16" s="15" customFormat="1" ht="13.8">
      <c r="A5" s="246"/>
      <c r="B5" s="238">
        <v>1</v>
      </c>
      <c r="C5" s="238">
        <f>1+B5</f>
        <v>2</v>
      </c>
      <c r="D5" s="238">
        <f t="shared" ref="D5:M5" si="0">1+C5</f>
        <v>3</v>
      </c>
      <c r="E5" s="238">
        <f t="shared" si="0"/>
        <v>4</v>
      </c>
      <c r="F5" s="238">
        <f t="shared" si="0"/>
        <v>5</v>
      </c>
      <c r="G5" s="238">
        <f t="shared" si="0"/>
        <v>6</v>
      </c>
      <c r="H5" s="238">
        <f t="shared" si="0"/>
        <v>7</v>
      </c>
      <c r="I5" s="238">
        <f t="shared" si="0"/>
        <v>8</v>
      </c>
      <c r="J5" s="238">
        <f t="shared" si="0"/>
        <v>9</v>
      </c>
      <c r="K5" s="238">
        <f t="shared" si="0"/>
        <v>10</v>
      </c>
      <c r="L5" s="238">
        <f t="shared" si="0"/>
        <v>11</v>
      </c>
      <c r="M5" s="238">
        <f t="shared" si="0"/>
        <v>12</v>
      </c>
    </row>
    <row r="6" spans="1:16" s="19" customFormat="1" ht="10.199999999999999">
      <c r="A6" s="246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</row>
    <row r="7" spans="1:16" s="19" customFormat="1" ht="10.199999999999999">
      <c r="A7" s="247"/>
    </row>
    <row r="8" spans="1:16" s="19" customFormat="1" ht="10.199999999999999">
      <c r="A8" s="24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6">
      <c r="B9" s="23" t="s">
        <v>0</v>
      </c>
      <c r="C9" s="23" t="s">
        <v>1</v>
      </c>
      <c r="D9" s="23" t="s">
        <v>2</v>
      </c>
      <c r="E9" s="23" t="s">
        <v>3</v>
      </c>
      <c r="F9" s="23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23" t="s">
        <v>9</v>
      </c>
      <c r="L9" s="23" t="s">
        <v>10</v>
      </c>
      <c r="M9" s="23" t="s">
        <v>11</v>
      </c>
      <c r="N9" s="23" t="s">
        <v>12</v>
      </c>
    </row>
    <row r="10" spans="1:16">
      <c r="A10" s="248">
        <v>2014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6">
      <c r="A11" s="247" t="s">
        <v>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6">
      <c r="A12" s="249" t="s">
        <v>47</v>
      </c>
      <c r="B12" s="232">
        <f>'Lake Worth Forecast'!E10</f>
        <v>72000</v>
      </c>
      <c r="C12" s="232">
        <f>'Lake Worth Forecast'!F10</f>
        <v>72000</v>
      </c>
      <c r="D12" s="232">
        <f>'Lake Worth Forecast'!G10</f>
        <v>72000</v>
      </c>
      <c r="E12" s="232">
        <f>'Lake Worth Forecast'!H10</f>
        <v>72000</v>
      </c>
      <c r="F12" s="232">
        <f>'Lake Worth Forecast'!I10</f>
        <v>85000</v>
      </c>
      <c r="G12" s="232">
        <f>'Lake Worth Forecast'!J10</f>
        <v>85000</v>
      </c>
      <c r="H12" s="232">
        <f>'Lake Worth Forecast'!K10</f>
        <v>85000</v>
      </c>
      <c r="I12" s="232">
        <f>'Lake Worth Forecast'!L10</f>
        <v>85000</v>
      </c>
      <c r="J12" s="232">
        <f>'Lake Worth Forecast'!M10</f>
        <v>85000</v>
      </c>
      <c r="K12" s="232">
        <f>'Lake Worth Forecast'!N10</f>
        <v>72000</v>
      </c>
      <c r="L12" s="232">
        <f>'Lake Worth Forecast'!O10</f>
        <v>72000</v>
      </c>
      <c r="M12" s="232">
        <f>'Lake Worth Forecast'!P10</f>
        <v>72000</v>
      </c>
      <c r="N12" s="20">
        <f>SUM(B12:M12)</f>
        <v>929000</v>
      </c>
    </row>
    <row r="13" spans="1:16">
      <c r="A13" s="249" t="s">
        <v>45</v>
      </c>
      <c r="B13" s="27">
        <f>ROUND(B12*'Transmission Formula Rate (7)'!$B$27,0)</f>
        <v>1332</v>
      </c>
      <c r="C13" s="27">
        <f>ROUND(C12*'Transmission Formula Rate (7)'!$B$27,0)</f>
        <v>1332</v>
      </c>
      <c r="D13" s="27">
        <f>ROUND(D12*'Transmission Formula Rate (7)'!$B$27,0)</f>
        <v>1332</v>
      </c>
      <c r="E13" s="27">
        <f>ROUND(E12*'Transmission Formula Rate (7)'!$B$27,0)</f>
        <v>1332</v>
      </c>
      <c r="F13" s="27">
        <f>ROUND(F12*'Transmission Formula Rate (7)'!$B$27,0)</f>
        <v>1573</v>
      </c>
      <c r="G13" s="27">
        <f>ROUND(G12*'Transmission Formula Rate (7)'!$B$27,0)</f>
        <v>1573</v>
      </c>
      <c r="H13" s="27">
        <f>ROUND(H12*'Transmission Formula Rate (7)'!$B$27,0)</f>
        <v>1573</v>
      </c>
      <c r="I13" s="27">
        <f>ROUND(I12*'Transmission Formula Rate (7)'!$B$27,0)</f>
        <v>1573</v>
      </c>
      <c r="J13" s="27">
        <f>ROUND(J12*'Transmission Formula Rate (7)'!$B$27,0)</f>
        <v>1573</v>
      </c>
      <c r="K13" s="27">
        <f>ROUND(K12*'Transmission Formula Rate (7)'!$B$27,0)</f>
        <v>1332</v>
      </c>
      <c r="L13" s="27">
        <f>ROUND(L12*'Transmission Formula Rate (7)'!$B$27,0)</f>
        <v>1332</v>
      </c>
      <c r="M13" s="27">
        <f>ROUND(M12*'Transmission Formula Rate (7)'!$B$27,0)</f>
        <v>1332</v>
      </c>
      <c r="N13" s="20">
        <f>SUM(B13:M13)</f>
        <v>17189</v>
      </c>
    </row>
    <row r="14" spans="1:16">
      <c r="A14" s="249" t="s">
        <v>290</v>
      </c>
      <c r="B14" s="27">
        <f t="shared" ref="B14:M14" si="1">B12+B13</f>
        <v>73332</v>
      </c>
      <c r="C14" s="27">
        <f t="shared" si="1"/>
        <v>73332</v>
      </c>
      <c r="D14" s="27">
        <f t="shared" si="1"/>
        <v>73332</v>
      </c>
      <c r="E14" s="27">
        <f t="shared" si="1"/>
        <v>73332</v>
      </c>
      <c r="F14" s="27">
        <f t="shared" si="1"/>
        <v>86573</v>
      </c>
      <c r="G14" s="27">
        <f t="shared" si="1"/>
        <v>86573</v>
      </c>
      <c r="H14" s="27">
        <f t="shared" si="1"/>
        <v>86573</v>
      </c>
      <c r="I14" s="27">
        <f t="shared" si="1"/>
        <v>86573</v>
      </c>
      <c r="J14" s="27">
        <f t="shared" si="1"/>
        <v>86573</v>
      </c>
      <c r="K14" s="27">
        <f t="shared" si="1"/>
        <v>73332</v>
      </c>
      <c r="L14" s="27">
        <f t="shared" si="1"/>
        <v>73332</v>
      </c>
      <c r="M14" s="27">
        <f t="shared" si="1"/>
        <v>73332</v>
      </c>
      <c r="N14" s="123">
        <f>SUM(B14:M14)</f>
        <v>946189</v>
      </c>
    </row>
    <row r="15" spans="1:16">
      <c r="A15" s="247" t="s">
        <v>20</v>
      </c>
      <c r="B15" s="29">
        <f>'Transmission Formula Rate (7)'!B8</f>
        <v>1.59</v>
      </c>
      <c r="C15" s="29">
        <f>'Transmission Formula Rate (7)'!C8</f>
        <v>1.59</v>
      </c>
      <c r="D15" s="29">
        <f>'Transmission Formula Rate (7)'!D8</f>
        <v>1.59</v>
      </c>
      <c r="E15" s="29">
        <f>'Transmission Formula Rate (7)'!E8</f>
        <v>1.59</v>
      </c>
      <c r="F15" s="29">
        <f>'Transmission Formula Rate (7)'!F8</f>
        <v>1.59</v>
      </c>
      <c r="G15" s="29">
        <f>'Transmission Formula Rate (7)'!G8</f>
        <v>1.59</v>
      </c>
      <c r="H15" s="29">
        <f>'Transmission Formula Rate (7)'!H8</f>
        <v>1.59</v>
      </c>
      <c r="I15" s="29">
        <f>'Transmission Formula Rate (7)'!I8</f>
        <v>1.59</v>
      </c>
      <c r="J15" s="29">
        <f>'Transmission Formula Rate (7)'!J8</f>
        <v>1.59</v>
      </c>
      <c r="K15" s="29">
        <f>'Transmission Formula Rate (7)'!K8</f>
        <v>1.59</v>
      </c>
      <c r="L15" s="29">
        <f>'Transmission Formula Rate (7)'!L8</f>
        <v>1.59</v>
      </c>
      <c r="M15" s="29">
        <f>'Transmission Formula Rate (7)'!M8</f>
        <v>1.59</v>
      </c>
      <c r="N15" s="19"/>
    </row>
    <row r="16" spans="1:16">
      <c r="A16" s="247" t="s">
        <v>17</v>
      </c>
      <c r="B16" s="20">
        <f t="shared" ref="B16:M16" si="2">B14*B15</f>
        <v>116597.88</v>
      </c>
      <c r="C16" s="20">
        <f t="shared" si="2"/>
        <v>116597.88</v>
      </c>
      <c r="D16" s="20">
        <f t="shared" si="2"/>
        <v>116597.88</v>
      </c>
      <c r="E16" s="20">
        <f t="shared" si="2"/>
        <v>116597.88</v>
      </c>
      <c r="F16" s="20">
        <f t="shared" si="2"/>
        <v>137651.07</v>
      </c>
      <c r="G16" s="20">
        <f t="shared" si="2"/>
        <v>137651.07</v>
      </c>
      <c r="H16" s="20">
        <f t="shared" si="2"/>
        <v>137651.07</v>
      </c>
      <c r="I16" s="20">
        <f t="shared" si="2"/>
        <v>137651.07</v>
      </c>
      <c r="J16" s="20">
        <f t="shared" si="2"/>
        <v>137651.07</v>
      </c>
      <c r="K16" s="20">
        <f t="shared" si="2"/>
        <v>116597.88</v>
      </c>
      <c r="L16" s="20">
        <f t="shared" si="2"/>
        <v>116597.88</v>
      </c>
      <c r="M16" s="20">
        <f t="shared" si="2"/>
        <v>116597.88</v>
      </c>
      <c r="N16" s="20">
        <f>SUM(B16:M16)</f>
        <v>1504440.5100000002</v>
      </c>
    </row>
    <row r="17" spans="1:14">
      <c r="A17" s="24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>
      <c r="A18" s="247" t="s">
        <v>135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249" t="s">
        <v>47</v>
      </c>
      <c r="B19" s="232">
        <f>B12</f>
        <v>72000</v>
      </c>
      <c r="C19" s="232">
        <f t="shared" ref="C19:M19" si="3">C12</f>
        <v>72000</v>
      </c>
      <c r="D19" s="232">
        <f t="shared" si="3"/>
        <v>72000</v>
      </c>
      <c r="E19" s="232">
        <f t="shared" si="3"/>
        <v>72000</v>
      </c>
      <c r="F19" s="232">
        <f t="shared" si="3"/>
        <v>85000</v>
      </c>
      <c r="G19" s="232">
        <f t="shared" si="3"/>
        <v>85000</v>
      </c>
      <c r="H19" s="232">
        <f t="shared" si="3"/>
        <v>85000</v>
      </c>
      <c r="I19" s="232">
        <f t="shared" si="3"/>
        <v>85000</v>
      </c>
      <c r="J19" s="232">
        <f t="shared" si="3"/>
        <v>85000</v>
      </c>
      <c r="K19" s="232">
        <f t="shared" si="3"/>
        <v>72000</v>
      </c>
      <c r="L19" s="232">
        <f t="shared" si="3"/>
        <v>72000</v>
      </c>
      <c r="M19" s="232">
        <f t="shared" si="3"/>
        <v>72000</v>
      </c>
      <c r="N19" s="20">
        <f>SUM(B19:M19)</f>
        <v>929000</v>
      </c>
    </row>
    <row r="20" spans="1:14">
      <c r="A20" s="249" t="s">
        <v>45</v>
      </c>
      <c r="B20" s="27">
        <f>ROUND(B19*'Transmission Formula Rate (7)'!$B$27,0)</f>
        <v>1332</v>
      </c>
      <c r="C20" s="27">
        <f>ROUND(C19*'Transmission Formula Rate (7)'!$B$27,0)</f>
        <v>1332</v>
      </c>
      <c r="D20" s="27">
        <f>ROUND(D19*'Transmission Formula Rate (7)'!$B$27,0)</f>
        <v>1332</v>
      </c>
      <c r="E20" s="27">
        <f>ROUND(E19*'Transmission Formula Rate (7)'!$B$27,0)</f>
        <v>1332</v>
      </c>
      <c r="F20" s="27">
        <f>ROUND(F19*'Transmission Formula Rate (7)'!$B$27,0)</f>
        <v>1573</v>
      </c>
      <c r="G20" s="27">
        <f>ROUND(G19*'Transmission Formula Rate (7)'!$B$27,0)</f>
        <v>1573</v>
      </c>
      <c r="H20" s="27">
        <f>ROUND(H19*'Transmission Formula Rate (7)'!$B$27,0)</f>
        <v>1573</v>
      </c>
      <c r="I20" s="27">
        <f>ROUND(I19*'Transmission Formula Rate (7)'!$B$27,0)</f>
        <v>1573</v>
      </c>
      <c r="J20" s="27">
        <f>ROUND(J19*'Transmission Formula Rate (7)'!$B$27,0)</f>
        <v>1573</v>
      </c>
      <c r="K20" s="27">
        <f>ROUND(K19*'Transmission Formula Rate (7)'!$B$27,0)</f>
        <v>1332</v>
      </c>
      <c r="L20" s="27">
        <f>ROUND(L19*'Transmission Formula Rate (7)'!$B$27,0)</f>
        <v>1332</v>
      </c>
      <c r="M20" s="27">
        <f>ROUND(M19*'Transmission Formula Rate (7)'!$B$27,0)</f>
        <v>1332</v>
      </c>
      <c r="N20" s="20">
        <f>SUM(B20:M20)</f>
        <v>17189</v>
      </c>
    </row>
    <row r="21" spans="1:14">
      <c r="A21" s="249" t="s">
        <v>290</v>
      </c>
      <c r="B21" s="27">
        <f>B19+B20</f>
        <v>73332</v>
      </c>
      <c r="C21" s="27">
        <f t="shared" ref="C21:M21" si="4">C19+C20</f>
        <v>73332</v>
      </c>
      <c r="D21" s="27">
        <f t="shared" si="4"/>
        <v>73332</v>
      </c>
      <c r="E21" s="27">
        <f t="shared" si="4"/>
        <v>73332</v>
      </c>
      <c r="F21" s="27">
        <f t="shared" si="4"/>
        <v>86573</v>
      </c>
      <c r="G21" s="27">
        <f t="shared" si="4"/>
        <v>86573</v>
      </c>
      <c r="H21" s="27">
        <f t="shared" si="4"/>
        <v>86573</v>
      </c>
      <c r="I21" s="27">
        <f t="shared" si="4"/>
        <v>86573</v>
      </c>
      <c r="J21" s="27">
        <f t="shared" si="4"/>
        <v>86573</v>
      </c>
      <c r="K21" s="27">
        <f t="shared" si="4"/>
        <v>73332</v>
      </c>
      <c r="L21" s="27">
        <f t="shared" si="4"/>
        <v>73332</v>
      </c>
      <c r="M21" s="27">
        <f t="shared" si="4"/>
        <v>73332</v>
      </c>
      <c r="N21" s="123">
        <f>SUM(B21:M21)</f>
        <v>946189</v>
      </c>
    </row>
    <row r="22" spans="1:14">
      <c r="A22" s="247" t="s">
        <v>143</v>
      </c>
      <c r="B22" s="31">
        <f>'charges (1 &amp; 2)'!E32</f>
        <v>1.274E-2</v>
      </c>
      <c r="C22" s="31">
        <f>B22</f>
        <v>1.274E-2</v>
      </c>
      <c r="D22" s="31">
        <f t="shared" ref="D22:M22" si="5">C22</f>
        <v>1.274E-2</v>
      </c>
      <c r="E22" s="31">
        <f t="shared" si="5"/>
        <v>1.274E-2</v>
      </c>
      <c r="F22" s="31">
        <f t="shared" si="5"/>
        <v>1.274E-2</v>
      </c>
      <c r="G22" s="31">
        <f t="shared" si="5"/>
        <v>1.274E-2</v>
      </c>
      <c r="H22" s="31">
        <f t="shared" si="5"/>
        <v>1.274E-2</v>
      </c>
      <c r="I22" s="31">
        <f t="shared" si="5"/>
        <v>1.274E-2</v>
      </c>
      <c r="J22" s="31">
        <f t="shared" si="5"/>
        <v>1.274E-2</v>
      </c>
      <c r="K22" s="31">
        <f t="shared" si="5"/>
        <v>1.274E-2</v>
      </c>
      <c r="L22" s="31">
        <f t="shared" si="5"/>
        <v>1.274E-2</v>
      </c>
      <c r="M22" s="31">
        <f t="shared" si="5"/>
        <v>1.274E-2</v>
      </c>
      <c r="N22" s="19"/>
    </row>
    <row r="23" spans="1:14">
      <c r="A23" s="247" t="s">
        <v>17</v>
      </c>
      <c r="B23" s="20">
        <f t="shared" ref="B23:M23" si="6">B21*B22</f>
        <v>934.24968000000001</v>
      </c>
      <c r="C23" s="20">
        <f t="shared" si="6"/>
        <v>934.24968000000001</v>
      </c>
      <c r="D23" s="20">
        <f t="shared" si="6"/>
        <v>934.24968000000001</v>
      </c>
      <c r="E23" s="20">
        <f t="shared" si="6"/>
        <v>934.24968000000001</v>
      </c>
      <c r="F23" s="20">
        <f t="shared" si="6"/>
        <v>1102.94002</v>
      </c>
      <c r="G23" s="20">
        <f t="shared" si="6"/>
        <v>1102.94002</v>
      </c>
      <c r="H23" s="20">
        <f t="shared" si="6"/>
        <v>1102.94002</v>
      </c>
      <c r="I23" s="20">
        <f t="shared" si="6"/>
        <v>1102.94002</v>
      </c>
      <c r="J23" s="20">
        <f t="shared" si="6"/>
        <v>1102.94002</v>
      </c>
      <c r="K23" s="20">
        <f t="shared" si="6"/>
        <v>934.24968000000001</v>
      </c>
      <c r="L23" s="20">
        <f t="shared" si="6"/>
        <v>934.24968000000001</v>
      </c>
      <c r="M23" s="20">
        <f t="shared" si="6"/>
        <v>934.24968000000001</v>
      </c>
      <c r="N23" s="20">
        <f>SUM(B23:M23)</f>
        <v>12054.447860000002</v>
      </c>
    </row>
    <row r="24" spans="1:14">
      <c r="A24" s="25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25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B26" s="23" t="s">
        <v>0</v>
      </c>
      <c r="C26" s="23" t="s">
        <v>1</v>
      </c>
      <c r="D26" s="23" t="s">
        <v>2</v>
      </c>
      <c r="E26" s="23" t="s">
        <v>3</v>
      </c>
      <c r="F26" s="23" t="s">
        <v>4</v>
      </c>
      <c r="G26" s="23" t="s">
        <v>5</v>
      </c>
      <c r="H26" s="23" t="s">
        <v>6</v>
      </c>
      <c r="I26" s="23" t="s">
        <v>7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</row>
    <row r="27" spans="1:14">
      <c r="A27" s="248">
        <f>+A10+1</f>
        <v>2015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A28" s="247" t="s">
        <v>37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49" t="s">
        <v>47</v>
      </c>
      <c r="B29" s="232">
        <f>'Lake Worth Forecast'!E11</f>
        <v>72000</v>
      </c>
      <c r="C29" s="232">
        <f>'Lake Worth Forecast'!F11</f>
        <v>72000</v>
      </c>
      <c r="D29" s="232">
        <f>'Lake Worth Forecast'!G11</f>
        <v>72000</v>
      </c>
      <c r="E29" s="232">
        <f>'Lake Worth Forecast'!H11</f>
        <v>72000</v>
      </c>
      <c r="F29" s="232">
        <f>'Lake Worth Forecast'!I11</f>
        <v>85000</v>
      </c>
      <c r="G29" s="232">
        <f>'Lake Worth Forecast'!J11</f>
        <v>85000</v>
      </c>
      <c r="H29" s="232">
        <f>'Lake Worth Forecast'!K11</f>
        <v>85000</v>
      </c>
      <c r="I29" s="232">
        <f>'Lake Worth Forecast'!L11</f>
        <v>85000</v>
      </c>
      <c r="J29" s="232">
        <f>'Lake Worth Forecast'!M11</f>
        <v>85000</v>
      </c>
      <c r="K29" s="232">
        <f>'Lake Worth Forecast'!N11</f>
        <v>72000</v>
      </c>
      <c r="L29" s="232">
        <f>'Lake Worth Forecast'!O11</f>
        <v>72000</v>
      </c>
      <c r="M29" s="232">
        <f>'Lake Worth Forecast'!P11</f>
        <v>72000</v>
      </c>
      <c r="N29" s="20">
        <f>SUM(B29:M29)</f>
        <v>929000</v>
      </c>
    </row>
    <row r="30" spans="1:14">
      <c r="A30" s="249" t="s">
        <v>45</v>
      </c>
      <c r="B30" s="27">
        <f>ROUND(B29*'Transmission Formula Rate (7)'!$B$27,0)</f>
        <v>1332</v>
      </c>
      <c r="C30" s="27">
        <f>ROUND(C29*'Transmission Formula Rate (7)'!$B$27,0)</f>
        <v>1332</v>
      </c>
      <c r="D30" s="27">
        <f>ROUND(D29*'Transmission Formula Rate (7)'!$B$27,0)</f>
        <v>1332</v>
      </c>
      <c r="E30" s="27">
        <f>ROUND(E29*'Transmission Formula Rate (7)'!$B$27,0)</f>
        <v>1332</v>
      </c>
      <c r="F30" s="27">
        <f>ROUND(F29*'Transmission Formula Rate (7)'!$B$27,0)</f>
        <v>1573</v>
      </c>
      <c r="G30" s="27">
        <f>ROUND(G29*'Transmission Formula Rate (7)'!$B$27,0)</f>
        <v>1573</v>
      </c>
      <c r="H30" s="27">
        <f>ROUND(H29*'Transmission Formula Rate (7)'!$B$27,0)</f>
        <v>1573</v>
      </c>
      <c r="I30" s="27">
        <f>ROUND(I29*'Transmission Formula Rate (7)'!$B$27,0)</f>
        <v>1573</v>
      </c>
      <c r="J30" s="27">
        <f>ROUND(J29*'Transmission Formula Rate (7)'!$B$27,0)</f>
        <v>1573</v>
      </c>
      <c r="K30" s="27">
        <f>ROUND(K29*'Transmission Formula Rate (7)'!$B$27,0)</f>
        <v>1332</v>
      </c>
      <c r="L30" s="27">
        <f>ROUND(L29*'Transmission Formula Rate (7)'!$B$27,0)</f>
        <v>1332</v>
      </c>
      <c r="M30" s="27">
        <f>ROUND(M29*'Transmission Formula Rate (7)'!$B$27,0)</f>
        <v>1332</v>
      </c>
      <c r="N30" s="20">
        <f>SUM(B30:M30)</f>
        <v>17189</v>
      </c>
    </row>
    <row r="31" spans="1:14">
      <c r="A31" s="249" t="s">
        <v>290</v>
      </c>
      <c r="B31" s="27">
        <f t="shared" ref="B31:M31" si="7">B29+B30</f>
        <v>73332</v>
      </c>
      <c r="C31" s="27">
        <f t="shared" si="7"/>
        <v>73332</v>
      </c>
      <c r="D31" s="27">
        <f t="shared" si="7"/>
        <v>73332</v>
      </c>
      <c r="E31" s="27">
        <f t="shared" si="7"/>
        <v>73332</v>
      </c>
      <c r="F31" s="27">
        <f t="shared" si="7"/>
        <v>86573</v>
      </c>
      <c r="G31" s="27">
        <f t="shared" si="7"/>
        <v>86573</v>
      </c>
      <c r="H31" s="27">
        <f t="shared" si="7"/>
        <v>86573</v>
      </c>
      <c r="I31" s="27">
        <f t="shared" si="7"/>
        <v>86573</v>
      </c>
      <c r="J31" s="27">
        <f t="shared" si="7"/>
        <v>86573</v>
      </c>
      <c r="K31" s="27">
        <f t="shared" si="7"/>
        <v>73332</v>
      </c>
      <c r="L31" s="27">
        <f t="shared" si="7"/>
        <v>73332</v>
      </c>
      <c r="M31" s="27">
        <f t="shared" si="7"/>
        <v>73332</v>
      </c>
      <c r="N31" s="123">
        <f>SUM(B31:M31)</f>
        <v>946189</v>
      </c>
    </row>
    <row r="32" spans="1:14">
      <c r="A32" s="247" t="s">
        <v>20</v>
      </c>
      <c r="B32" s="29">
        <f>'Transmission Formula Rate (7)'!B10</f>
        <v>1.59</v>
      </c>
      <c r="C32" s="29">
        <f>'Transmission Formula Rate (7)'!C10</f>
        <v>1.59</v>
      </c>
      <c r="D32" s="29">
        <f>'Transmission Formula Rate (7)'!D10</f>
        <v>1.59</v>
      </c>
      <c r="E32" s="29">
        <f>'Transmission Formula Rate (7)'!E10</f>
        <v>1.59</v>
      </c>
      <c r="F32" s="29">
        <f>'Transmission Formula Rate (7)'!F10</f>
        <v>1.59</v>
      </c>
      <c r="G32" s="29">
        <f>'Transmission Formula Rate (7)'!G10</f>
        <v>1.59</v>
      </c>
      <c r="H32" s="29">
        <f>'Transmission Formula Rate (7)'!H10</f>
        <v>1.59</v>
      </c>
      <c r="I32" s="29">
        <f>'Transmission Formula Rate (7)'!I10</f>
        <v>1.59</v>
      </c>
      <c r="J32" s="29">
        <f>'Transmission Formula Rate (7)'!J10</f>
        <v>1.59</v>
      </c>
      <c r="K32" s="29">
        <f>'Transmission Formula Rate (7)'!K10</f>
        <v>1.59</v>
      </c>
      <c r="L32" s="29">
        <f>'Transmission Formula Rate (7)'!L10</f>
        <v>1.59</v>
      </c>
      <c r="M32" s="29">
        <f>'Transmission Formula Rate (7)'!M10</f>
        <v>1.59</v>
      </c>
      <c r="N32" s="19"/>
    </row>
    <row r="33" spans="1:14">
      <c r="A33" s="247" t="s">
        <v>17</v>
      </c>
      <c r="B33" s="20">
        <f t="shared" ref="B33:M33" si="8">B31*B32</f>
        <v>116597.88</v>
      </c>
      <c r="C33" s="20">
        <f t="shared" si="8"/>
        <v>116597.88</v>
      </c>
      <c r="D33" s="20">
        <f t="shared" si="8"/>
        <v>116597.88</v>
      </c>
      <c r="E33" s="20">
        <f t="shared" si="8"/>
        <v>116597.88</v>
      </c>
      <c r="F33" s="20">
        <f t="shared" si="8"/>
        <v>137651.07</v>
      </c>
      <c r="G33" s="20">
        <f t="shared" si="8"/>
        <v>137651.07</v>
      </c>
      <c r="H33" s="20">
        <f t="shared" si="8"/>
        <v>137651.07</v>
      </c>
      <c r="I33" s="20">
        <f t="shared" si="8"/>
        <v>137651.07</v>
      </c>
      <c r="J33" s="20">
        <f t="shared" si="8"/>
        <v>137651.07</v>
      </c>
      <c r="K33" s="20">
        <f>K31*K32</f>
        <v>116597.88</v>
      </c>
      <c r="L33" s="20">
        <f t="shared" si="8"/>
        <v>116597.88</v>
      </c>
      <c r="M33" s="20">
        <f t="shared" si="8"/>
        <v>116597.88</v>
      </c>
      <c r="N33" s="20">
        <f>SUM(B33:M33)</f>
        <v>1504440.5100000002</v>
      </c>
    </row>
    <row r="34" spans="1:14">
      <c r="A34" s="25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247" t="s">
        <v>135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249" t="s">
        <v>47</v>
      </c>
      <c r="B36" s="232">
        <f>B29</f>
        <v>72000</v>
      </c>
      <c r="C36" s="232">
        <f t="shared" ref="C36:M36" si="9">C29</f>
        <v>72000</v>
      </c>
      <c r="D36" s="232">
        <f t="shared" si="9"/>
        <v>72000</v>
      </c>
      <c r="E36" s="232">
        <f t="shared" si="9"/>
        <v>72000</v>
      </c>
      <c r="F36" s="232">
        <f t="shared" si="9"/>
        <v>85000</v>
      </c>
      <c r="G36" s="232">
        <f t="shared" si="9"/>
        <v>85000</v>
      </c>
      <c r="H36" s="232">
        <f t="shared" si="9"/>
        <v>85000</v>
      </c>
      <c r="I36" s="232">
        <f t="shared" si="9"/>
        <v>85000</v>
      </c>
      <c r="J36" s="232">
        <f t="shared" si="9"/>
        <v>85000</v>
      </c>
      <c r="K36" s="232">
        <f t="shared" si="9"/>
        <v>72000</v>
      </c>
      <c r="L36" s="232">
        <f t="shared" si="9"/>
        <v>72000</v>
      </c>
      <c r="M36" s="232">
        <f t="shared" si="9"/>
        <v>72000</v>
      </c>
      <c r="N36" s="20">
        <f>SUM(B36:M36)</f>
        <v>929000</v>
      </c>
    </row>
    <row r="37" spans="1:14">
      <c r="A37" s="249" t="s">
        <v>45</v>
      </c>
      <c r="B37" s="27">
        <f>ROUND(B36*'Transmission Formula Rate (7)'!$B$27,0)</f>
        <v>1332</v>
      </c>
      <c r="C37" s="27">
        <f>ROUND(C36*'Transmission Formula Rate (7)'!$B$27,0)</f>
        <v>1332</v>
      </c>
      <c r="D37" s="27">
        <f>ROUND(D36*'Transmission Formula Rate (7)'!$B$27,0)</f>
        <v>1332</v>
      </c>
      <c r="E37" s="27">
        <f>ROUND(E36*'Transmission Formula Rate (7)'!$B$27,0)</f>
        <v>1332</v>
      </c>
      <c r="F37" s="27">
        <f>ROUND(F36*'Transmission Formula Rate (7)'!$B$27,0)</f>
        <v>1573</v>
      </c>
      <c r="G37" s="27">
        <f>ROUND(G36*'Transmission Formula Rate (7)'!$B$27,0)</f>
        <v>1573</v>
      </c>
      <c r="H37" s="27">
        <f>ROUND(H36*'Transmission Formula Rate (7)'!$B$27,0)</f>
        <v>1573</v>
      </c>
      <c r="I37" s="27">
        <f>ROUND(I36*'Transmission Formula Rate (7)'!$B$27,0)</f>
        <v>1573</v>
      </c>
      <c r="J37" s="27">
        <f>ROUND(J36*'Transmission Formula Rate (7)'!$B$27,0)</f>
        <v>1573</v>
      </c>
      <c r="K37" s="27">
        <f>ROUND(K36*'Transmission Formula Rate (7)'!$B$27,0)</f>
        <v>1332</v>
      </c>
      <c r="L37" s="27">
        <f>ROUND(L36*'Transmission Formula Rate (7)'!$B$27,0)</f>
        <v>1332</v>
      </c>
      <c r="M37" s="27">
        <f>ROUND(M36*'Transmission Formula Rate (7)'!$B$27,0)</f>
        <v>1332</v>
      </c>
      <c r="N37" s="20">
        <f>SUM(B37:M37)</f>
        <v>17189</v>
      </c>
    </row>
    <row r="38" spans="1:14">
      <c r="A38" s="249" t="s">
        <v>290</v>
      </c>
      <c r="B38" s="27">
        <f t="shared" ref="B38:M38" si="10">B36+B37</f>
        <v>73332</v>
      </c>
      <c r="C38" s="27">
        <f t="shared" si="10"/>
        <v>73332</v>
      </c>
      <c r="D38" s="27">
        <f t="shared" si="10"/>
        <v>73332</v>
      </c>
      <c r="E38" s="27">
        <f t="shared" si="10"/>
        <v>73332</v>
      </c>
      <c r="F38" s="27">
        <f t="shared" si="10"/>
        <v>86573</v>
      </c>
      <c r="G38" s="27">
        <f t="shared" si="10"/>
        <v>86573</v>
      </c>
      <c r="H38" s="27">
        <f t="shared" si="10"/>
        <v>86573</v>
      </c>
      <c r="I38" s="27">
        <f t="shared" si="10"/>
        <v>86573</v>
      </c>
      <c r="J38" s="27">
        <f t="shared" si="10"/>
        <v>86573</v>
      </c>
      <c r="K38" s="27">
        <f t="shared" si="10"/>
        <v>73332</v>
      </c>
      <c r="L38" s="27">
        <f t="shared" si="10"/>
        <v>73332</v>
      </c>
      <c r="M38" s="27">
        <f t="shared" si="10"/>
        <v>73332</v>
      </c>
      <c r="N38" s="123">
        <f>SUM(B38:M38)</f>
        <v>946189</v>
      </c>
    </row>
    <row r="39" spans="1:14">
      <c r="A39" s="247" t="s">
        <v>143</v>
      </c>
      <c r="B39" s="31">
        <f>'charges (1 &amp; 2)'!F32</f>
        <v>1.274E-2</v>
      </c>
      <c r="C39" s="31">
        <f>B39</f>
        <v>1.274E-2</v>
      </c>
      <c r="D39" s="31">
        <f t="shared" ref="D39:M39" si="11">C39</f>
        <v>1.274E-2</v>
      </c>
      <c r="E39" s="31">
        <f t="shared" si="11"/>
        <v>1.274E-2</v>
      </c>
      <c r="F39" s="31">
        <f t="shared" si="11"/>
        <v>1.274E-2</v>
      </c>
      <c r="G39" s="31">
        <f t="shared" si="11"/>
        <v>1.274E-2</v>
      </c>
      <c r="H39" s="31">
        <f t="shared" si="11"/>
        <v>1.274E-2</v>
      </c>
      <c r="I39" s="31">
        <f t="shared" si="11"/>
        <v>1.274E-2</v>
      </c>
      <c r="J39" s="31">
        <f t="shared" si="11"/>
        <v>1.274E-2</v>
      </c>
      <c r="K39" s="31">
        <f t="shared" si="11"/>
        <v>1.274E-2</v>
      </c>
      <c r="L39" s="31">
        <f t="shared" si="11"/>
        <v>1.274E-2</v>
      </c>
      <c r="M39" s="31">
        <f t="shared" si="11"/>
        <v>1.274E-2</v>
      </c>
      <c r="N39" s="19"/>
    </row>
    <row r="40" spans="1:14">
      <c r="A40" s="247" t="s">
        <v>17</v>
      </c>
      <c r="B40" s="20">
        <f t="shared" ref="B40:M40" si="12">B38*B39</f>
        <v>934.24968000000001</v>
      </c>
      <c r="C40" s="20">
        <f t="shared" si="12"/>
        <v>934.24968000000001</v>
      </c>
      <c r="D40" s="20">
        <f t="shared" si="12"/>
        <v>934.24968000000001</v>
      </c>
      <c r="E40" s="20">
        <f t="shared" si="12"/>
        <v>934.24968000000001</v>
      </c>
      <c r="F40" s="20">
        <f t="shared" si="12"/>
        <v>1102.94002</v>
      </c>
      <c r="G40" s="20">
        <f t="shared" si="12"/>
        <v>1102.94002</v>
      </c>
      <c r="H40" s="20">
        <f t="shared" si="12"/>
        <v>1102.94002</v>
      </c>
      <c r="I40" s="20">
        <f t="shared" si="12"/>
        <v>1102.94002</v>
      </c>
      <c r="J40" s="20">
        <f t="shared" si="12"/>
        <v>1102.94002</v>
      </c>
      <c r="K40" s="20">
        <f t="shared" si="12"/>
        <v>934.24968000000001</v>
      </c>
      <c r="L40" s="20">
        <f t="shared" si="12"/>
        <v>934.24968000000001</v>
      </c>
      <c r="M40" s="20">
        <f t="shared" si="12"/>
        <v>934.24968000000001</v>
      </c>
      <c r="N40" s="20">
        <f>SUM(B40:M40)</f>
        <v>12054.447860000002</v>
      </c>
    </row>
    <row r="41" spans="1:14">
      <c r="A41" s="24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247" t="s">
        <v>38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249" t="s">
        <v>47</v>
      </c>
      <c r="B43" s="232">
        <f>B29</f>
        <v>72000</v>
      </c>
      <c r="C43" s="232">
        <f t="shared" ref="C43:M43" si="13">C29</f>
        <v>72000</v>
      </c>
      <c r="D43" s="232">
        <f t="shared" si="13"/>
        <v>72000</v>
      </c>
      <c r="E43" s="232">
        <f t="shared" si="13"/>
        <v>72000</v>
      </c>
      <c r="F43" s="232">
        <f t="shared" si="13"/>
        <v>85000</v>
      </c>
      <c r="G43" s="232">
        <f t="shared" si="13"/>
        <v>85000</v>
      </c>
      <c r="H43" s="232">
        <f t="shared" si="13"/>
        <v>85000</v>
      </c>
      <c r="I43" s="232">
        <f t="shared" si="13"/>
        <v>85000</v>
      </c>
      <c r="J43" s="232">
        <f t="shared" si="13"/>
        <v>85000</v>
      </c>
      <c r="K43" s="232">
        <f t="shared" si="13"/>
        <v>72000</v>
      </c>
      <c r="L43" s="232">
        <f t="shared" si="13"/>
        <v>72000</v>
      </c>
      <c r="M43" s="232">
        <f t="shared" si="13"/>
        <v>72000</v>
      </c>
      <c r="N43" s="20">
        <f>SUM(B43:M43)</f>
        <v>929000</v>
      </c>
    </row>
    <row r="44" spans="1:14">
      <c r="A44" s="249" t="s">
        <v>45</v>
      </c>
      <c r="B44" s="27">
        <f>ROUND(B43*'Transmission Formula Rate (7)'!$B$27,0)</f>
        <v>1332</v>
      </c>
      <c r="C44" s="27">
        <f>ROUND(C43*'Transmission Formula Rate (7)'!$B$27,0)</f>
        <v>1332</v>
      </c>
      <c r="D44" s="27">
        <f>ROUND(D43*'Transmission Formula Rate (7)'!$B$27,0)</f>
        <v>1332</v>
      </c>
      <c r="E44" s="27">
        <f>ROUND(E43*'Transmission Formula Rate (7)'!$B$27,0)</f>
        <v>1332</v>
      </c>
      <c r="F44" s="27">
        <f>ROUND(F43*'Transmission Formula Rate (7)'!$B$27,0)</f>
        <v>1573</v>
      </c>
      <c r="G44" s="27">
        <f>ROUND(G43*'Transmission Formula Rate (7)'!$B$27,0)</f>
        <v>1573</v>
      </c>
      <c r="H44" s="27">
        <f>ROUND(H43*'Transmission Formula Rate (7)'!$B$27,0)</f>
        <v>1573</v>
      </c>
      <c r="I44" s="27">
        <f>ROUND(I43*'Transmission Formula Rate (7)'!$B$27,0)</f>
        <v>1573</v>
      </c>
      <c r="J44" s="27">
        <f>ROUND(J43*'Transmission Formula Rate (7)'!$B$27,0)</f>
        <v>1573</v>
      </c>
      <c r="K44" s="27">
        <f>ROUND(K43*'Transmission Formula Rate (7)'!$B$27,0)</f>
        <v>1332</v>
      </c>
      <c r="L44" s="27">
        <f>ROUND(L43*'Transmission Formula Rate (7)'!$B$27,0)</f>
        <v>1332</v>
      </c>
      <c r="M44" s="27">
        <f>ROUND(M43*'Transmission Formula Rate (7)'!$B$27,0)</f>
        <v>1332</v>
      </c>
      <c r="N44" s="20">
        <f t="shared" ref="N44:N47" si="14">SUM(B44:M44)</f>
        <v>17189</v>
      </c>
    </row>
    <row r="45" spans="1:14">
      <c r="A45" s="249" t="s">
        <v>290</v>
      </c>
      <c r="B45" s="27">
        <f>B43+B44</f>
        <v>73332</v>
      </c>
      <c r="C45" s="27">
        <f t="shared" ref="C45:M45" si="15">C43+C44</f>
        <v>73332</v>
      </c>
      <c r="D45" s="27">
        <f t="shared" si="15"/>
        <v>73332</v>
      </c>
      <c r="E45" s="27">
        <f t="shared" si="15"/>
        <v>73332</v>
      </c>
      <c r="F45" s="27">
        <f t="shared" si="15"/>
        <v>86573</v>
      </c>
      <c r="G45" s="27">
        <f t="shared" si="15"/>
        <v>86573</v>
      </c>
      <c r="H45" s="27">
        <f t="shared" si="15"/>
        <v>86573</v>
      </c>
      <c r="I45" s="27">
        <f t="shared" si="15"/>
        <v>86573</v>
      </c>
      <c r="J45" s="27">
        <f t="shared" si="15"/>
        <v>86573</v>
      </c>
      <c r="K45" s="27">
        <f t="shared" si="15"/>
        <v>73332</v>
      </c>
      <c r="L45" s="27">
        <f t="shared" si="15"/>
        <v>73332</v>
      </c>
      <c r="M45" s="27">
        <f t="shared" si="15"/>
        <v>73332</v>
      </c>
      <c r="N45" s="20">
        <f t="shared" si="14"/>
        <v>946189</v>
      </c>
    </row>
    <row r="46" spans="1:14">
      <c r="A46" s="247" t="s">
        <v>144</v>
      </c>
      <c r="B46" s="31">
        <f>'charges (1 &amp; 2)'!D10</f>
        <v>0.1008</v>
      </c>
      <c r="C46" s="31">
        <f>B46</f>
        <v>0.1008</v>
      </c>
      <c r="D46" s="31">
        <f t="shared" ref="D46:M46" si="16">C46</f>
        <v>0.1008</v>
      </c>
      <c r="E46" s="31">
        <f t="shared" si="16"/>
        <v>0.1008</v>
      </c>
      <c r="F46" s="31">
        <f t="shared" si="16"/>
        <v>0.1008</v>
      </c>
      <c r="G46" s="31">
        <f t="shared" si="16"/>
        <v>0.1008</v>
      </c>
      <c r="H46" s="31">
        <f t="shared" si="16"/>
        <v>0.1008</v>
      </c>
      <c r="I46" s="31">
        <f t="shared" si="16"/>
        <v>0.1008</v>
      </c>
      <c r="J46" s="31">
        <f t="shared" si="16"/>
        <v>0.1008</v>
      </c>
      <c r="K46" s="31">
        <f t="shared" si="16"/>
        <v>0.1008</v>
      </c>
      <c r="L46" s="31">
        <f t="shared" si="16"/>
        <v>0.1008</v>
      </c>
      <c r="M46" s="31">
        <f t="shared" si="16"/>
        <v>0.1008</v>
      </c>
      <c r="N46" s="19"/>
    </row>
    <row r="47" spans="1:14">
      <c r="A47" s="247" t="s">
        <v>17</v>
      </c>
      <c r="B47" s="20">
        <f>B45*B46</f>
        <v>7391.8656000000001</v>
      </c>
      <c r="C47" s="20">
        <f t="shared" ref="C47:M47" si="17">C45*C46</f>
        <v>7391.8656000000001</v>
      </c>
      <c r="D47" s="20">
        <f t="shared" si="17"/>
        <v>7391.8656000000001</v>
      </c>
      <c r="E47" s="20">
        <f t="shared" si="17"/>
        <v>7391.8656000000001</v>
      </c>
      <c r="F47" s="20">
        <f t="shared" si="17"/>
        <v>8726.5583999999999</v>
      </c>
      <c r="G47" s="20">
        <f t="shared" si="17"/>
        <v>8726.5583999999999</v>
      </c>
      <c r="H47" s="20">
        <f t="shared" si="17"/>
        <v>8726.5583999999999</v>
      </c>
      <c r="I47" s="20">
        <f t="shared" si="17"/>
        <v>8726.5583999999999</v>
      </c>
      <c r="J47" s="20">
        <f t="shared" si="17"/>
        <v>8726.5583999999999</v>
      </c>
      <c r="K47" s="20">
        <f t="shared" si="17"/>
        <v>7391.8656000000001</v>
      </c>
      <c r="L47" s="20">
        <f t="shared" si="17"/>
        <v>7391.8656000000001</v>
      </c>
      <c r="M47" s="20">
        <f t="shared" si="17"/>
        <v>7391.8656000000001</v>
      </c>
      <c r="N47" s="20">
        <f t="shared" si="14"/>
        <v>95375.851200000019</v>
      </c>
    </row>
    <row r="48" spans="1:14">
      <c r="A48" s="24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>
      <c r="B49" s="23" t="s">
        <v>0</v>
      </c>
      <c r="C49" s="23" t="s">
        <v>1</v>
      </c>
      <c r="D49" s="23" t="s">
        <v>2</v>
      </c>
      <c r="E49" s="23" t="s">
        <v>3</v>
      </c>
      <c r="F49" s="23" t="s">
        <v>4</v>
      </c>
      <c r="G49" s="23" t="s">
        <v>5</v>
      </c>
      <c r="H49" s="23" t="s">
        <v>6</v>
      </c>
      <c r="I49" s="23" t="s">
        <v>7</v>
      </c>
      <c r="J49" s="23" t="s">
        <v>8</v>
      </c>
      <c r="K49" s="23" t="s">
        <v>9</v>
      </c>
      <c r="L49" s="23" t="s">
        <v>10</v>
      </c>
      <c r="M49" s="23" t="s">
        <v>11</v>
      </c>
      <c r="N49" s="23" t="s">
        <v>12</v>
      </c>
    </row>
    <row r="50" spans="1:14">
      <c r="A50" s="248">
        <f>+A27+1</f>
        <v>2016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>
      <c r="A51" s="247" t="s">
        <v>37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>
      <c r="A52" s="249" t="s">
        <v>47</v>
      </c>
      <c r="B52" s="232">
        <f>'Lake Worth Forecast'!E12</f>
        <v>68926.315071512086</v>
      </c>
      <c r="C52" s="232">
        <f>'Lake Worth Forecast'!F12</f>
        <v>67308.563800946999</v>
      </c>
      <c r="D52" s="232">
        <f>'Lake Worth Forecast'!G12</f>
        <v>70321.625542374401</v>
      </c>
      <c r="E52" s="232">
        <f>'Lake Worth Forecast'!H12</f>
        <v>73587.460919827601</v>
      </c>
      <c r="F52" s="232">
        <f>'Lake Worth Forecast'!I12</f>
        <v>82333.428726319893</v>
      </c>
      <c r="G52" s="232">
        <f>'Lake Worth Forecast'!J12</f>
        <v>86478.916357142822</v>
      </c>
      <c r="H52" s="232">
        <f>'Lake Worth Forecast'!K12</f>
        <v>89926.748752534579</v>
      </c>
      <c r="I52" s="232">
        <f>'Lake Worth Forecast'!L12</f>
        <v>90452.517915468212</v>
      </c>
      <c r="J52" s="232">
        <f>'Lake Worth Forecast'!M12</f>
        <v>87318.124828748434</v>
      </c>
      <c r="K52" s="232">
        <f>'Lake Worth Forecast'!N12</f>
        <v>81969.434690442737</v>
      </c>
      <c r="L52" s="232">
        <f>'Lake Worth Forecast'!O12</f>
        <v>73102.135538658069</v>
      </c>
      <c r="M52" s="232">
        <f>'Lake Worth Forecast'!P12</f>
        <v>69401.529507240542</v>
      </c>
      <c r="N52" s="20">
        <f>SUM(B52:M52)</f>
        <v>941126.80165121634</v>
      </c>
    </row>
    <row r="53" spans="1:14">
      <c r="A53" s="249" t="s">
        <v>45</v>
      </c>
      <c r="B53" s="27">
        <f>ROUND(B52*'Transmission Formula Rate (7)'!$B$27,0)</f>
        <v>1275</v>
      </c>
      <c r="C53" s="27">
        <f>ROUND(C52*'Transmission Formula Rate (7)'!$B$27,0)</f>
        <v>1245</v>
      </c>
      <c r="D53" s="27">
        <f>ROUND(D52*'Transmission Formula Rate (7)'!$B$27,0)</f>
        <v>1301</v>
      </c>
      <c r="E53" s="27">
        <f>ROUND(E52*'Transmission Formula Rate (7)'!$B$27,0)</f>
        <v>1361</v>
      </c>
      <c r="F53" s="27">
        <f>ROUND(F52*'Transmission Formula Rate (7)'!$B$27,0)</f>
        <v>1523</v>
      </c>
      <c r="G53" s="27">
        <f>ROUND(G52*'Transmission Formula Rate (7)'!$B$27,0)</f>
        <v>1600</v>
      </c>
      <c r="H53" s="27">
        <f>ROUND(H52*'Transmission Formula Rate (7)'!$B$27,0)</f>
        <v>1664</v>
      </c>
      <c r="I53" s="27">
        <f>ROUND(I52*'Transmission Formula Rate (7)'!$B$27,0)</f>
        <v>1673</v>
      </c>
      <c r="J53" s="27">
        <f>ROUND(J52*'Transmission Formula Rate (7)'!$B$27,0)</f>
        <v>1615</v>
      </c>
      <c r="K53" s="27">
        <f>ROUND(K52*'Transmission Formula Rate (7)'!$B$27,0)</f>
        <v>1516</v>
      </c>
      <c r="L53" s="27">
        <f>ROUND(L52*'Transmission Formula Rate (7)'!$B$27,0)</f>
        <v>1352</v>
      </c>
      <c r="M53" s="27">
        <f>ROUND(M52*'Transmission Formula Rate (7)'!$B$27,0)</f>
        <v>1284</v>
      </c>
      <c r="N53" s="20">
        <f>SUM(B53:M53)</f>
        <v>17409</v>
      </c>
    </row>
    <row r="54" spans="1:14">
      <c r="A54" s="249" t="s">
        <v>290</v>
      </c>
      <c r="B54" s="27">
        <f t="shared" ref="B54:M54" si="18">B52+B53</f>
        <v>70201.315071512086</v>
      </c>
      <c r="C54" s="27">
        <f t="shared" si="18"/>
        <v>68553.563800946999</v>
      </c>
      <c r="D54" s="27">
        <f t="shared" si="18"/>
        <v>71622.625542374401</v>
      </c>
      <c r="E54" s="27">
        <f t="shared" si="18"/>
        <v>74948.460919827601</v>
      </c>
      <c r="F54" s="27">
        <f t="shared" si="18"/>
        <v>83856.428726319893</v>
      </c>
      <c r="G54" s="27">
        <f t="shared" si="18"/>
        <v>88078.916357142822</v>
      </c>
      <c r="H54" s="27">
        <f t="shared" si="18"/>
        <v>91590.748752534579</v>
      </c>
      <c r="I54" s="27">
        <f t="shared" si="18"/>
        <v>92125.517915468212</v>
      </c>
      <c r="J54" s="27">
        <f t="shared" si="18"/>
        <v>88933.124828748434</v>
      </c>
      <c r="K54" s="27">
        <f t="shared" si="18"/>
        <v>83485.434690442737</v>
      </c>
      <c r="L54" s="27">
        <f t="shared" si="18"/>
        <v>74454.135538658069</v>
      </c>
      <c r="M54" s="27">
        <f t="shared" si="18"/>
        <v>70685.529507240542</v>
      </c>
      <c r="N54" s="123">
        <f>SUM(B54:M54)</f>
        <v>958535.80165121634</v>
      </c>
    </row>
    <row r="55" spans="1:14">
      <c r="A55" s="247" t="s">
        <v>20</v>
      </c>
      <c r="B55" s="29">
        <f>'Transmission Formula Rate (7)'!B12</f>
        <v>1.59</v>
      </c>
      <c r="C55" s="29">
        <f>'Transmission Formula Rate (7)'!C12</f>
        <v>1.59</v>
      </c>
      <c r="D55" s="29">
        <f>'Transmission Formula Rate (7)'!D12</f>
        <v>1.59</v>
      </c>
      <c r="E55" s="29">
        <f>'Transmission Formula Rate (7)'!E12</f>
        <v>1.59</v>
      </c>
      <c r="F55" s="29">
        <f>'Transmission Formula Rate (7)'!F12</f>
        <v>1.59</v>
      </c>
      <c r="G55" s="29">
        <f>'Transmission Formula Rate (7)'!G12</f>
        <v>1.59</v>
      </c>
      <c r="H55" s="29">
        <f>'Transmission Formula Rate (7)'!H12</f>
        <v>1.59</v>
      </c>
      <c r="I55" s="29">
        <f>'Transmission Formula Rate (7)'!I12</f>
        <v>1.59</v>
      </c>
      <c r="J55" s="29">
        <f>'Transmission Formula Rate (7)'!J12</f>
        <v>1.59</v>
      </c>
      <c r="K55" s="29">
        <f>'Transmission Formula Rate (7)'!K12</f>
        <v>1.59</v>
      </c>
      <c r="L55" s="29">
        <f>'Transmission Formula Rate (7)'!L12</f>
        <v>1.59</v>
      </c>
      <c r="M55" s="29">
        <f>'Transmission Formula Rate (7)'!M12</f>
        <v>1.59</v>
      </c>
      <c r="N55" s="19"/>
    </row>
    <row r="56" spans="1:14">
      <c r="A56" s="247" t="s">
        <v>17</v>
      </c>
      <c r="B56" s="20">
        <f t="shared" ref="B56:M56" si="19">B54*B55</f>
        <v>111620.09096370422</v>
      </c>
      <c r="C56" s="20">
        <f t="shared" si="19"/>
        <v>109000.16644350573</v>
      </c>
      <c r="D56" s="20">
        <f t="shared" si="19"/>
        <v>113879.9746123753</v>
      </c>
      <c r="E56" s="20">
        <f t="shared" si="19"/>
        <v>119168.05286252589</v>
      </c>
      <c r="F56" s="20">
        <f t="shared" si="19"/>
        <v>133331.72167484864</v>
      </c>
      <c r="G56" s="20">
        <f t="shared" si="19"/>
        <v>140045.47700785709</v>
      </c>
      <c r="H56" s="20">
        <f t="shared" si="19"/>
        <v>145629.29051652999</v>
      </c>
      <c r="I56" s="20">
        <f t="shared" si="19"/>
        <v>146479.57348559448</v>
      </c>
      <c r="J56" s="20">
        <f t="shared" si="19"/>
        <v>141403.66847771002</v>
      </c>
      <c r="K56" s="20">
        <f t="shared" si="19"/>
        <v>132741.84115780395</v>
      </c>
      <c r="L56" s="20">
        <f t="shared" si="19"/>
        <v>118382.07550646634</v>
      </c>
      <c r="M56" s="20">
        <f t="shared" si="19"/>
        <v>112389.99191651247</v>
      </c>
      <c r="N56" s="20">
        <f>SUM(B56:M56)</f>
        <v>1524071.9246254342</v>
      </c>
    </row>
    <row r="58" spans="1:14">
      <c r="A58" s="247" t="s">
        <v>135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>
      <c r="A59" s="249" t="s">
        <v>47</v>
      </c>
      <c r="B59" s="232">
        <f>B52</f>
        <v>68926.315071512086</v>
      </c>
      <c r="C59" s="232">
        <f t="shared" ref="C59:M59" si="20">C52</f>
        <v>67308.563800946999</v>
      </c>
      <c r="D59" s="232">
        <f t="shared" si="20"/>
        <v>70321.625542374401</v>
      </c>
      <c r="E59" s="232">
        <f t="shared" si="20"/>
        <v>73587.460919827601</v>
      </c>
      <c r="F59" s="232">
        <f t="shared" si="20"/>
        <v>82333.428726319893</v>
      </c>
      <c r="G59" s="232">
        <f t="shared" si="20"/>
        <v>86478.916357142822</v>
      </c>
      <c r="H59" s="232">
        <f t="shared" si="20"/>
        <v>89926.748752534579</v>
      </c>
      <c r="I59" s="232">
        <f t="shared" si="20"/>
        <v>90452.517915468212</v>
      </c>
      <c r="J59" s="232">
        <f t="shared" si="20"/>
        <v>87318.124828748434</v>
      </c>
      <c r="K59" s="232">
        <f t="shared" si="20"/>
        <v>81969.434690442737</v>
      </c>
      <c r="L59" s="232">
        <f t="shared" si="20"/>
        <v>73102.135538658069</v>
      </c>
      <c r="M59" s="232">
        <f t="shared" si="20"/>
        <v>69401.529507240542</v>
      </c>
      <c r="N59" s="20">
        <f>SUM(B59:M59)</f>
        <v>941126.80165121634</v>
      </c>
    </row>
    <row r="60" spans="1:14">
      <c r="A60" s="249" t="s">
        <v>45</v>
      </c>
      <c r="B60" s="27">
        <f>ROUND(B59*'Transmission Formula Rate (7)'!$B$27,0)</f>
        <v>1275</v>
      </c>
      <c r="C60" s="27">
        <f>ROUND(C59*'Transmission Formula Rate (7)'!$B$27,0)</f>
        <v>1245</v>
      </c>
      <c r="D60" s="27">
        <f>ROUND(D59*'Transmission Formula Rate (7)'!$B$27,0)</f>
        <v>1301</v>
      </c>
      <c r="E60" s="27">
        <f>ROUND(E59*'Transmission Formula Rate (7)'!$B$27,0)</f>
        <v>1361</v>
      </c>
      <c r="F60" s="27">
        <f>ROUND(F59*'Transmission Formula Rate (7)'!$B$27,0)</f>
        <v>1523</v>
      </c>
      <c r="G60" s="27">
        <f>ROUND(G59*'Transmission Formula Rate (7)'!$B$27,0)</f>
        <v>1600</v>
      </c>
      <c r="H60" s="27">
        <f>ROUND(H59*'Transmission Formula Rate (7)'!$B$27,0)</f>
        <v>1664</v>
      </c>
      <c r="I60" s="27">
        <f>ROUND(I59*'Transmission Formula Rate (7)'!$B$27,0)</f>
        <v>1673</v>
      </c>
      <c r="J60" s="27">
        <f>ROUND(J59*'Transmission Formula Rate (7)'!$B$27,0)</f>
        <v>1615</v>
      </c>
      <c r="K60" s="27">
        <f>ROUND(K59*'Transmission Formula Rate (7)'!$B$27,0)</f>
        <v>1516</v>
      </c>
      <c r="L60" s="27">
        <f>ROUND(L59*'Transmission Formula Rate (7)'!$B$27,0)</f>
        <v>1352</v>
      </c>
      <c r="M60" s="27">
        <f>ROUND(M59*'Transmission Formula Rate (7)'!$B$27,0)</f>
        <v>1284</v>
      </c>
      <c r="N60" s="20">
        <f>SUM(B60:M60)</f>
        <v>17409</v>
      </c>
    </row>
    <row r="61" spans="1:14">
      <c r="A61" s="249" t="s">
        <v>290</v>
      </c>
      <c r="B61" s="27">
        <f t="shared" ref="B61:M61" si="21">B59+B60</f>
        <v>70201.315071512086</v>
      </c>
      <c r="C61" s="27">
        <f t="shared" si="21"/>
        <v>68553.563800946999</v>
      </c>
      <c r="D61" s="27">
        <f t="shared" si="21"/>
        <v>71622.625542374401</v>
      </c>
      <c r="E61" s="27">
        <f t="shared" si="21"/>
        <v>74948.460919827601</v>
      </c>
      <c r="F61" s="27">
        <f t="shared" si="21"/>
        <v>83856.428726319893</v>
      </c>
      <c r="G61" s="27">
        <f t="shared" si="21"/>
        <v>88078.916357142822</v>
      </c>
      <c r="H61" s="27">
        <f t="shared" si="21"/>
        <v>91590.748752534579</v>
      </c>
      <c r="I61" s="27">
        <f t="shared" si="21"/>
        <v>92125.517915468212</v>
      </c>
      <c r="J61" s="27">
        <f t="shared" si="21"/>
        <v>88933.124828748434</v>
      </c>
      <c r="K61" s="27">
        <f t="shared" si="21"/>
        <v>83485.434690442737</v>
      </c>
      <c r="L61" s="27">
        <f t="shared" si="21"/>
        <v>74454.135538658069</v>
      </c>
      <c r="M61" s="27">
        <f t="shared" si="21"/>
        <v>70685.529507240542</v>
      </c>
      <c r="N61" s="123">
        <f>SUM(B61:M61)</f>
        <v>958535.80165121634</v>
      </c>
    </row>
    <row r="62" spans="1:14">
      <c r="A62" s="247" t="s">
        <v>143</v>
      </c>
      <c r="B62" s="31">
        <f>'charges (1 &amp; 2)'!G32</f>
        <v>1.274E-2</v>
      </c>
      <c r="C62" s="31">
        <f>B62</f>
        <v>1.274E-2</v>
      </c>
      <c r="D62" s="31">
        <f t="shared" ref="D62:M62" si="22">C62</f>
        <v>1.274E-2</v>
      </c>
      <c r="E62" s="31">
        <f t="shared" si="22"/>
        <v>1.274E-2</v>
      </c>
      <c r="F62" s="31">
        <f t="shared" si="22"/>
        <v>1.274E-2</v>
      </c>
      <c r="G62" s="31">
        <f t="shared" si="22"/>
        <v>1.274E-2</v>
      </c>
      <c r="H62" s="31">
        <f t="shared" si="22"/>
        <v>1.274E-2</v>
      </c>
      <c r="I62" s="31">
        <f t="shared" si="22"/>
        <v>1.274E-2</v>
      </c>
      <c r="J62" s="31">
        <f t="shared" si="22"/>
        <v>1.274E-2</v>
      </c>
      <c r="K62" s="31">
        <f t="shared" si="22"/>
        <v>1.274E-2</v>
      </c>
      <c r="L62" s="31">
        <f t="shared" si="22"/>
        <v>1.274E-2</v>
      </c>
      <c r="M62" s="31">
        <f t="shared" si="22"/>
        <v>1.274E-2</v>
      </c>
      <c r="N62" s="19"/>
    </row>
    <row r="63" spans="1:14">
      <c r="A63" s="247" t="s">
        <v>17</v>
      </c>
      <c r="B63" s="20">
        <f t="shared" ref="B63:M63" si="23">B61*B62</f>
        <v>894.36475401106395</v>
      </c>
      <c r="C63" s="20">
        <f t="shared" si="23"/>
        <v>873.37240282406469</v>
      </c>
      <c r="D63" s="20">
        <f t="shared" si="23"/>
        <v>912.47224940984984</v>
      </c>
      <c r="E63" s="20">
        <f t="shared" si="23"/>
        <v>954.84339211860356</v>
      </c>
      <c r="F63" s="20">
        <f t="shared" si="23"/>
        <v>1068.3309019733153</v>
      </c>
      <c r="G63" s="20">
        <f t="shared" si="23"/>
        <v>1122.1253943899994</v>
      </c>
      <c r="H63" s="20">
        <f t="shared" si="23"/>
        <v>1166.8661391072906</v>
      </c>
      <c r="I63" s="20">
        <f t="shared" si="23"/>
        <v>1173.679098243065</v>
      </c>
      <c r="J63" s="20">
        <f t="shared" si="23"/>
        <v>1133.0080103182549</v>
      </c>
      <c r="K63" s="20">
        <f t="shared" si="23"/>
        <v>1063.6044379562404</v>
      </c>
      <c r="L63" s="20">
        <f t="shared" si="23"/>
        <v>948.54568676250381</v>
      </c>
      <c r="M63" s="20">
        <f t="shared" si="23"/>
        <v>900.53364592224443</v>
      </c>
      <c r="N63" s="20">
        <f>SUM(B63:M63)</f>
        <v>12211.746113036497</v>
      </c>
    </row>
    <row r="65" spans="1:15">
      <c r="A65" s="247" t="s">
        <v>38</v>
      </c>
    </row>
    <row r="66" spans="1:15">
      <c r="A66" s="249" t="s">
        <v>47</v>
      </c>
      <c r="B66" s="232">
        <f>B52</f>
        <v>68926.315071512086</v>
      </c>
      <c r="C66" s="232">
        <f t="shared" ref="C66:M66" si="24">C52</f>
        <v>67308.563800946999</v>
      </c>
      <c r="D66" s="232">
        <f t="shared" si="24"/>
        <v>70321.625542374401</v>
      </c>
      <c r="E66" s="232">
        <f t="shared" si="24"/>
        <v>73587.460919827601</v>
      </c>
      <c r="F66" s="232">
        <f t="shared" si="24"/>
        <v>82333.428726319893</v>
      </c>
      <c r="G66" s="232">
        <f t="shared" si="24"/>
        <v>86478.916357142822</v>
      </c>
      <c r="H66" s="232">
        <f t="shared" si="24"/>
        <v>89926.748752534579</v>
      </c>
      <c r="I66" s="232">
        <f t="shared" si="24"/>
        <v>90452.517915468212</v>
      </c>
      <c r="J66" s="232">
        <f t="shared" si="24"/>
        <v>87318.124828748434</v>
      </c>
      <c r="K66" s="232">
        <f t="shared" si="24"/>
        <v>81969.434690442737</v>
      </c>
      <c r="L66" s="232">
        <f t="shared" si="24"/>
        <v>73102.135538658069</v>
      </c>
      <c r="M66" s="232">
        <f t="shared" si="24"/>
        <v>69401.529507240542</v>
      </c>
      <c r="N66" s="20">
        <f>SUM(B66:M66)</f>
        <v>941126.80165121634</v>
      </c>
    </row>
    <row r="67" spans="1:15">
      <c r="A67" s="249" t="s">
        <v>45</v>
      </c>
      <c r="B67" s="27">
        <f>ROUND(B66*'Transmission Formula Rate (7)'!$B$27,0)</f>
        <v>1275</v>
      </c>
      <c r="C67" s="27">
        <f>ROUND(C66*'Transmission Formula Rate (7)'!$B$27,0)</f>
        <v>1245</v>
      </c>
      <c r="D67" s="27">
        <f>ROUND(D66*'Transmission Formula Rate (7)'!$B$27,0)</f>
        <v>1301</v>
      </c>
      <c r="E67" s="27">
        <f>ROUND(E66*'Transmission Formula Rate (7)'!$B$27,0)</f>
        <v>1361</v>
      </c>
      <c r="F67" s="27">
        <f>ROUND(F66*'Transmission Formula Rate (7)'!$B$27,0)</f>
        <v>1523</v>
      </c>
      <c r="G67" s="27">
        <f>ROUND(G66*'Transmission Formula Rate (7)'!$B$27,0)</f>
        <v>1600</v>
      </c>
      <c r="H67" s="27">
        <f>ROUND(H66*'Transmission Formula Rate (7)'!$B$27,0)</f>
        <v>1664</v>
      </c>
      <c r="I67" s="27">
        <f>ROUND(I66*'Transmission Formula Rate (7)'!$B$27,0)</f>
        <v>1673</v>
      </c>
      <c r="J67" s="27">
        <f>ROUND(J66*'Transmission Formula Rate (7)'!$B$27,0)</f>
        <v>1615</v>
      </c>
      <c r="K67" s="27">
        <f>ROUND(K66*'Transmission Formula Rate (7)'!$B$27,0)</f>
        <v>1516</v>
      </c>
      <c r="L67" s="27">
        <f>ROUND(L66*'Transmission Formula Rate (7)'!$B$27,0)</f>
        <v>1352</v>
      </c>
      <c r="M67" s="27">
        <f>ROUND(M66*'Transmission Formula Rate (7)'!$B$27,0)</f>
        <v>1284</v>
      </c>
      <c r="N67" s="20">
        <f t="shared" ref="N67:N68" si="25">SUM(B67:M67)</f>
        <v>17409</v>
      </c>
    </row>
    <row r="68" spans="1:15">
      <c r="A68" s="249" t="s">
        <v>290</v>
      </c>
      <c r="B68" s="27">
        <f>B66+B67</f>
        <v>70201.315071512086</v>
      </c>
      <c r="C68" s="27">
        <f t="shared" ref="C68:M68" si="26">C66+C67</f>
        <v>68553.563800946999</v>
      </c>
      <c r="D68" s="27">
        <f t="shared" si="26"/>
        <v>71622.625542374401</v>
      </c>
      <c r="E68" s="27">
        <f t="shared" si="26"/>
        <v>74948.460919827601</v>
      </c>
      <c r="F68" s="27">
        <f t="shared" si="26"/>
        <v>83856.428726319893</v>
      </c>
      <c r="G68" s="27">
        <f t="shared" si="26"/>
        <v>88078.916357142822</v>
      </c>
      <c r="H68" s="27">
        <f t="shared" si="26"/>
        <v>91590.748752534579</v>
      </c>
      <c r="I68" s="27">
        <f t="shared" si="26"/>
        <v>92125.517915468212</v>
      </c>
      <c r="J68" s="27">
        <f t="shared" si="26"/>
        <v>88933.124828748434</v>
      </c>
      <c r="K68" s="27">
        <f t="shared" si="26"/>
        <v>83485.434690442737</v>
      </c>
      <c r="L68" s="27">
        <f t="shared" si="26"/>
        <v>74454.135538658069</v>
      </c>
      <c r="M68" s="27">
        <f t="shared" si="26"/>
        <v>70685.529507240542</v>
      </c>
      <c r="N68" s="123">
        <f t="shared" si="25"/>
        <v>958535.80165121634</v>
      </c>
    </row>
    <row r="69" spans="1:15">
      <c r="A69" s="247" t="s">
        <v>144</v>
      </c>
      <c r="B69" s="31">
        <f>'charges (1 &amp; 2)'!E10</f>
        <v>0.1008</v>
      </c>
      <c r="C69" s="31">
        <f>B69</f>
        <v>0.1008</v>
      </c>
      <c r="D69" s="31">
        <f t="shared" ref="D69:M69" si="27">C69</f>
        <v>0.1008</v>
      </c>
      <c r="E69" s="31">
        <f t="shared" si="27"/>
        <v>0.1008</v>
      </c>
      <c r="F69" s="31">
        <f t="shared" si="27"/>
        <v>0.1008</v>
      </c>
      <c r="G69" s="31">
        <f t="shared" si="27"/>
        <v>0.1008</v>
      </c>
      <c r="H69" s="31">
        <f t="shared" si="27"/>
        <v>0.1008</v>
      </c>
      <c r="I69" s="31">
        <f t="shared" si="27"/>
        <v>0.1008</v>
      </c>
      <c r="J69" s="31">
        <f t="shared" si="27"/>
        <v>0.1008</v>
      </c>
      <c r="K69" s="31">
        <f t="shared" si="27"/>
        <v>0.1008</v>
      </c>
      <c r="L69" s="31">
        <f t="shared" si="27"/>
        <v>0.1008</v>
      </c>
      <c r="M69" s="31">
        <f t="shared" si="27"/>
        <v>0.1008</v>
      </c>
    </row>
    <row r="70" spans="1:15">
      <c r="A70" s="247" t="s">
        <v>17</v>
      </c>
      <c r="B70" s="20">
        <f>B68*B69</f>
        <v>7076.2925592084184</v>
      </c>
      <c r="C70" s="20">
        <f t="shared" ref="C70:M70" si="28">C68*C69</f>
        <v>6910.1992311354579</v>
      </c>
      <c r="D70" s="20">
        <f t="shared" si="28"/>
        <v>7219.5606546713398</v>
      </c>
      <c r="E70" s="20">
        <f t="shared" si="28"/>
        <v>7554.804860718622</v>
      </c>
      <c r="F70" s="20">
        <f t="shared" si="28"/>
        <v>8452.7280156130455</v>
      </c>
      <c r="G70" s="20">
        <f t="shared" si="28"/>
        <v>8878.3547687999962</v>
      </c>
      <c r="H70" s="20">
        <f t="shared" si="28"/>
        <v>9232.3474742554863</v>
      </c>
      <c r="I70" s="20">
        <f t="shared" si="28"/>
        <v>9286.2522058791965</v>
      </c>
      <c r="J70" s="20">
        <f t="shared" si="28"/>
        <v>8964.4589827378422</v>
      </c>
      <c r="K70" s="20">
        <f t="shared" si="28"/>
        <v>8415.3318167966281</v>
      </c>
      <c r="L70" s="20">
        <f t="shared" si="28"/>
        <v>7504.9768622967331</v>
      </c>
      <c r="M70" s="20">
        <f t="shared" si="28"/>
        <v>7125.1013743298463</v>
      </c>
      <c r="N70" s="20">
        <f>SUM(B70:M70)</f>
        <v>96620.408806442603</v>
      </c>
    </row>
    <row r="72" spans="1:15">
      <c r="B72" s="23" t="s">
        <v>0</v>
      </c>
      <c r="C72" s="23" t="s">
        <v>1</v>
      </c>
      <c r="D72" s="23" t="s">
        <v>2</v>
      </c>
      <c r="E72" s="23" t="s">
        <v>3</v>
      </c>
      <c r="F72" s="23" t="s">
        <v>4</v>
      </c>
      <c r="G72" s="23" t="s">
        <v>5</v>
      </c>
      <c r="H72" s="23" t="s">
        <v>6</v>
      </c>
      <c r="I72" s="23" t="s">
        <v>7</v>
      </c>
      <c r="J72" s="23" t="s">
        <v>8</v>
      </c>
      <c r="K72" s="23" t="s">
        <v>9</v>
      </c>
      <c r="L72" s="23" t="s">
        <v>10</v>
      </c>
      <c r="M72" s="23" t="s">
        <v>11</v>
      </c>
      <c r="N72" s="23" t="s">
        <v>12</v>
      </c>
    </row>
    <row r="73" spans="1:15">
      <c r="A73" s="248">
        <f>+A50+1</f>
        <v>2017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5">
      <c r="A74" s="247" t="s">
        <v>37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5">
      <c r="A75" s="249" t="s">
        <v>47</v>
      </c>
      <c r="B75" s="232">
        <f>'Lake Worth Forecast'!E13</f>
        <v>69383.549041638515</v>
      </c>
      <c r="C75" s="232">
        <f>'Lake Worth Forecast'!F13</f>
        <v>67764.130167225085</v>
      </c>
      <c r="D75" s="232">
        <f>'Lake Worth Forecast'!G13</f>
        <v>70751.505357913207</v>
      </c>
      <c r="E75" s="232">
        <f>'Lake Worth Forecast'!H13</f>
        <v>73980.284604414512</v>
      </c>
      <c r="F75" s="232">
        <f>'Lake Worth Forecast'!I13</f>
        <v>82660.772111363491</v>
      </c>
      <c r="G75" s="232">
        <f>'Lake Worth Forecast'!J13</f>
        <v>86784.75806483865</v>
      </c>
      <c r="H75" s="232">
        <f>'Lake Worth Forecast'!K13</f>
        <v>90204.648855525404</v>
      </c>
      <c r="I75" s="232">
        <f>'Lake Worth Forecast'!L13</f>
        <v>90727.69097645396</v>
      </c>
      <c r="J75" s="232">
        <f>'Lake Worth Forecast'!M13</f>
        <v>87589.438250882595</v>
      </c>
      <c r="K75" s="232">
        <f>'Lake Worth Forecast'!N13</f>
        <v>82258.432018341511</v>
      </c>
      <c r="L75" s="232">
        <f>'Lake Worth Forecast'!O13</f>
        <v>73447.183981160386</v>
      </c>
      <c r="M75" s="232">
        <f>'Lake Worth Forecast'!P13</f>
        <v>69765.772130009384</v>
      </c>
      <c r="N75" s="20">
        <f>SUM(B75:M75)</f>
        <v>945318.16555976658</v>
      </c>
    </row>
    <row r="76" spans="1:15">
      <c r="A76" s="249" t="s">
        <v>45</v>
      </c>
      <c r="B76" s="27">
        <f>ROUND(B75*'Transmission Formula Rate (7)'!$B$27,0)</f>
        <v>1284</v>
      </c>
      <c r="C76" s="27">
        <f>ROUND(C75*'Transmission Formula Rate (7)'!$B$27,0)</f>
        <v>1254</v>
      </c>
      <c r="D76" s="27">
        <f>ROUND(D75*'Transmission Formula Rate (7)'!$B$27,0)</f>
        <v>1309</v>
      </c>
      <c r="E76" s="27">
        <f>ROUND(E75*'Transmission Formula Rate (7)'!$B$27,0)</f>
        <v>1369</v>
      </c>
      <c r="F76" s="27">
        <f>ROUND(F75*'Transmission Formula Rate (7)'!$B$27,0)</f>
        <v>1529</v>
      </c>
      <c r="G76" s="27">
        <f>ROUND(G75*'Transmission Formula Rate (7)'!$B$27,0)</f>
        <v>1606</v>
      </c>
      <c r="H76" s="27">
        <f>ROUND(H75*'Transmission Formula Rate (7)'!$B$27,0)</f>
        <v>1669</v>
      </c>
      <c r="I76" s="27">
        <f>ROUND(I75*'Transmission Formula Rate (7)'!$B$27,0)</f>
        <v>1678</v>
      </c>
      <c r="J76" s="27">
        <f>ROUND(J75*'Transmission Formula Rate (7)'!$B$27,0)</f>
        <v>1620</v>
      </c>
      <c r="K76" s="27">
        <f>ROUND(K75*'Transmission Formula Rate (7)'!$B$27,0)</f>
        <v>1522</v>
      </c>
      <c r="L76" s="27">
        <f>ROUND(L75*'Transmission Formula Rate (7)'!$B$27,0)</f>
        <v>1359</v>
      </c>
      <c r="M76" s="27">
        <f>ROUND(M75*'Transmission Formula Rate (7)'!$B$27,0)</f>
        <v>1291</v>
      </c>
      <c r="N76" s="20">
        <f>SUM(B76:M76)</f>
        <v>17490</v>
      </c>
    </row>
    <row r="77" spans="1:15">
      <c r="A77" s="249" t="s">
        <v>290</v>
      </c>
      <c r="B77" s="27">
        <f t="shared" ref="B77:M77" si="29">B75+B76</f>
        <v>70667.549041638515</v>
      </c>
      <c r="C77" s="27">
        <f t="shared" si="29"/>
        <v>69018.130167225085</v>
      </c>
      <c r="D77" s="27">
        <f t="shared" si="29"/>
        <v>72060.505357913207</v>
      </c>
      <c r="E77" s="27">
        <f t="shared" si="29"/>
        <v>75349.284604414512</v>
      </c>
      <c r="F77" s="27">
        <f t="shared" si="29"/>
        <v>84189.772111363491</v>
      </c>
      <c r="G77" s="27">
        <f t="shared" si="29"/>
        <v>88390.75806483865</v>
      </c>
      <c r="H77" s="27">
        <f t="shared" si="29"/>
        <v>91873.648855525404</v>
      </c>
      <c r="I77" s="27">
        <f t="shared" si="29"/>
        <v>92405.69097645396</v>
      </c>
      <c r="J77" s="27">
        <f t="shared" si="29"/>
        <v>89209.438250882595</v>
      </c>
      <c r="K77" s="27">
        <f t="shared" si="29"/>
        <v>83780.432018341511</v>
      </c>
      <c r="L77" s="27">
        <f t="shared" si="29"/>
        <v>74806.183981160386</v>
      </c>
      <c r="M77" s="27">
        <f t="shared" si="29"/>
        <v>71056.772130009384</v>
      </c>
      <c r="N77" s="123">
        <f>SUM(B77:M77)</f>
        <v>962808.16555976658</v>
      </c>
    </row>
    <row r="78" spans="1:15">
      <c r="A78" s="247" t="s">
        <v>20</v>
      </c>
      <c r="B78" s="29">
        <f>'Transmission Formula Rate (7)'!B14</f>
        <v>1.59</v>
      </c>
      <c r="C78" s="29">
        <f>'Transmission Formula Rate (7)'!C14</f>
        <v>1.59</v>
      </c>
      <c r="D78" s="29">
        <f>'Transmission Formula Rate (7)'!D14</f>
        <v>1.59</v>
      </c>
      <c r="E78" s="29">
        <f>'Transmission Formula Rate (7)'!E14</f>
        <v>1.59</v>
      </c>
      <c r="F78" s="29">
        <f>'Transmission Formula Rate (7)'!F14</f>
        <v>1.59</v>
      </c>
      <c r="G78" s="29">
        <f>'Transmission Formula Rate (7)'!G14</f>
        <v>1.59</v>
      </c>
      <c r="H78" s="29">
        <f>'Transmission Formula Rate (7)'!H14</f>
        <v>1.59</v>
      </c>
      <c r="I78" s="29">
        <f>'Transmission Formula Rate (7)'!I14</f>
        <v>1.59</v>
      </c>
      <c r="J78" s="29">
        <f>'Transmission Formula Rate (7)'!J14</f>
        <v>1.59</v>
      </c>
      <c r="K78" s="29">
        <f>'Transmission Formula Rate (7)'!K14</f>
        <v>1.59</v>
      </c>
      <c r="L78" s="29">
        <f>'Transmission Formula Rate (7)'!L14</f>
        <v>1.59</v>
      </c>
      <c r="M78" s="29">
        <f>'Transmission Formula Rate (7)'!M14</f>
        <v>1.59</v>
      </c>
      <c r="N78" s="19"/>
      <c r="O78" s="270"/>
    </row>
    <row r="79" spans="1:15">
      <c r="A79" s="247" t="s">
        <v>17</v>
      </c>
      <c r="B79" s="20">
        <f t="shared" ref="B79:M79" si="30">B77*B78</f>
        <v>112361.40297620524</v>
      </c>
      <c r="C79" s="20">
        <f t="shared" si="30"/>
        <v>109738.82696588789</v>
      </c>
      <c r="D79" s="20">
        <f t="shared" si="30"/>
        <v>114576.203519082</v>
      </c>
      <c r="E79" s="20">
        <f t="shared" si="30"/>
        <v>119805.36252101908</v>
      </c>
      <c r="F79" s="20">
        <f t="shared" si="30"/>
        <v>133861.73765706795</v>
      </c>
      <c r="G79" s="20">
        <f t="shared" si="30"/>
        <v>140541.30532309346</v>
      </c>
      <c r="H79" s="20">
        <f t="shared" si="30"/>
        <v>146079.10168028538</v>
      </c>
      <c r="I79" s="20">
        <f t="shared" si="30"/>
        <v>146925.04865256179</v>
      </c>
      <c r="J79" s="20">
        <f t="shared" si="30"/>
        <v>141843.00681890332</v>
      </c>
      <c r="K79" s="20">
        <f t="shared" si="30"/>
        <v>133210.886909163</v>
      </c>
      <c r="L79" s="20">
        <f t="shared" si="30"/>
        <v>118941.83253004502</v>
      </c>
      <c r="M79" s="20">
        <f t="shared" si="30"/>
        <v>112980.26768671493</v>
      </c>
      <c r="N79" s="20">
        <f>SUM(B79:M79)</f>
        <v>1530864.9832400291</v>
      </c>
    </row>
    <row r="81" spans="1:14">
      <c r="A81" s="247" t="s">
        <v>135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>
      <c r="A82" s="249" t="s">
        <v>47</v>
      </c>
      <c r="B82" s="232">
        <f>B75</f>
        <v>69383.549041638515</v>
      </c>
      <c r="C82" s="232">
        <f t="shared" ref="C82:M82" si="31">C75</f>
        <v>67764.130167225085</v>
      </c>
      <c r="D82" s="232">
        <f t="shared" si="31"/>
        <v>70751.505357913207</v>
      </c>
      <c r="E82" s="232">
        <f t="shared" si="31"/>
        <v>73980.284604414512</v>
      </c>
      <c r="F82" s="232">
        <f t="shared" si="31"/>
        <v>82660.772111363491</v>
      </c>
      <c r="G82" s="232">
        <f t="shared" si="31"/>
        <v>86784.75806483865</v>
      </c>
      <c r="H82" s="232">
        <f t="shared" si="31"/>
        <v>90204.648855525404</v>
      </c>
      <c r="I82" s="232">
        <f t="shared" si="31"/>
        <v>90727.69097645396</v>
      </c>
      <c r="J82" s="232">
        <f t="shared" si="31"/>
        <v>87589.438250882595</v>
      </c>
      <c r="K82" s="232">
        <f t="shared" si="31"/>
        <v>82258.432018341511</v>
      </c>
      <c r="L82" s="232">
        <f t="shared" si="31"/>
        <v>73447.183981160386</v>
      </c>
      <c r="M82" s="232">
        <f t="shared" si="31"/>
        <v>69765.772130009384</v>
      </c>
      <c r="N82" s="20">
        <f>SUM(B82:M82)</f>
        <v>945318.16555976658</v>
      </c>
    </row>
    <row r="83" spans="1:14">
      <c r="A83" s="249" t="s">
        <v>45</v>
      </c>
      <c r="B83" s="27">
        <f>ROUND(B82*'Transmission Formula Rate (7)'!$B$27,0)</f>
        <v>1284</v>
      </c>
      <c r="C83" s="27">
        <f>ROUND(C82*'Transmission Formula Rate (7)'!$B$27,0)</f>
        <v>1254</v>
      </c>
      <c r="D83" s="27">
        <f>ROUND(D82*'Transmission Formula Rate (7)'!$B$27,0)</f>
        <v>1309</v>
      </c>
      <c r="E83" s="27">
        <f>ROUND(E82*'Transmission Formula Rate (7)'!$B$27,0)</f>
        <v>1369</v>
      </c>
      <c r="F83" s="27">
        <f>ROUND(F82*'Transmission Formula Rate (7)'!$B$27,0)</f>
        <v>1529</v>
      </c>
      <c r="G83" s="27">
        <f>ROUND(G82*'Transmission Formula Rate (7)'!$B$27,0)</f>
        <v>1606</v>
      </c>
      <c r="H83" s="27">
        <f>ROUND(H82*'Transmission Formula Rate (7)'!$B$27,0)</f>
        <v>1669</v>
      </c>
      <c r="I83" s="27">
        <f>ROUND(I82*'Transmission Formula Rate (7)'!$B$27,0)</f>
        <v>1678</v>
      </c>
      <c r="J83" s="27">
        <f>ROUND(J82*'Transmission Formula Rate (7)'!$B$27,0)</f>
        <v>1620</v>
      </c>
      <c r="K83" s="27">
        <f>ROUND(K82*'Transmission Formula Rate (7)'!$B$27,0)</f>
        <v>1522</v>
      </c>
      <c r="L83" s="27">
        <f>ROUND(L82*'Transmission Formula Rate (7)'!$B$27,0)</f>
        <v>1359</v>
      </c>
      <c r="M83" s="27">
        <f>ROUND(M82*'Transmission Formula Rate (7)'!$B$27,0)</f>
        <v>1291</v>
      </c>
      <c r="N83" s="20">
        <f>SUM(B83:M83)</f>
        <v>17490</v>
      </c>
    </row>
    <row r="84" spans="1:14">
      <c r="A84" s="249" t="s">
        <v>290</v>
      </c>
      <c r="B84" s="27">
        <f t="shared" ref="B84:M84" si="32">B82+B83</f>
        <v>70667.549041638515</v>
      </c>
      <c r="C84" s="27">
        <f t="shared" si="32"/>
        <v>69018.130167225085</v>
      </c>
      <c r="D84" s="27">
        <f t="shared" si="32"/>
        <v>72060.505357913207</v>
      </c>
      <c r="E84" s="27">
        <f t="shared" si="32"/>
        <v>75349.284604414512</v>
      </c>
      <c r="F84" s="27">
        <f t="shared" si="32"/>
        <v>84189.772111363491</v>
      </c>
      <c r="G84" s="27">
        <f t="shared" si="32"/>
        <v>88390.75806483865</v>
      </c>
      <c r="H84" s="27">
        <f t="shared" si="32"/>
        <v>91873.648855525404</v>
      </c>
      <c r="I84" s="27">
        <f t="shared" si="32"/>
        <v>92405.69097645396</v>
      </c>
      <c r="J84" s="27">
        <f t="shared" si="32"/>
        <v>89209.438250882595</v>
      </c>
      <c r="K84" s="27">
        <f t="shared" si="32"/>
        <v>83780.432018341511</v>
      </c>
      <c r="L84" s="27">
        <f t="shared" si="32"/>
        <v>74806.183981160386</v>
      </c>
      <c r="M84" s="27">
        <f t="shared" si="32"/>
        <v>71056.772130009384</v>
      </c>
      <c r="N84" s="123">
        <f>SUM(B84:M84)</f>
        <v>962808.16555976658</v>
      </c>
    </row>
    <row r="85" spans="1:14">
      <c r="A85" s="247" t="s">
        <v>143</v>
      </c>
      <c r="B85" s="31">
        <f>'charges (1 &amp; 2)'!H32</f>
        <v>1.274E-2</v>
      </c>
      <c r="C85" s="31">
        <f>B85</f>
        <v>1.274E-2</v>
      </c>
      <c r="D85" s="31">
        <f t="shared" ref="D85:M85" si="33">C85</f>
        <v>1.274E-2</v>
      </c>
      <c r="E85" s="31">
        <f t="shared" si="33"/>
        <v>1.274E-2</v>
      </c>
      <c r="F85" s="31">
        <f t="shared" si="33"/>
        <v>1.274E-2</v>
      </c>
      <c r="G85" s="31">
        <f t="shared" si="33"/>
        <v>1.274E-2</v>
      </c>
      <c r="H85" s="31">
        <f t="shared" si="33"/>
        <v>1.274E-2</v>
      </c>
      <c r="I85" s="31">
        <f t="shared" si="33"/>
        <v>1.274E-2</v>
      </c>
      <c r="J85" s="31">
        <f t="shared" si="33"/>
        <v>1.274E-2</v>
      </c>
      <c r="K85" s="31">
        <f t="shared" si="33"/>
        <v>1.274E-2</v>
      </c>
      <c r="L85" s="31">
        <f t="shared" si="33"/>
        <v>1.274E-2</v>
      </c>
      <c r="M85" s="31">
        <f t="shared" si="33"/>
        <v>1.274E-2</v>
      </c>
      <c r="N85" s="19"/>
    </row>
    <row r="86" spans="1:14">
      <c r="A86" s="247" t="s">
        <v>17</v>
      </c>
      <c r="B86" s="20">
        <f t="shared" ref="B86:M86" si="34">B84*B85</f>
        <v>900.3045747904747</v>
      </c>
      <c r="C86" s="20">
        <f t="shared" si="34"/>
        <v>879.2909783304475</v>
      </c>
      <c r="D86" s="20">
        <f t="shared" si="34"/>
        <v>918.05083825981421</v>
      </c>
      <c r="E86" s="20">
        <f t="shared" si="34"/>
        <v>959.9498858602409</v>
      </c>
      <c r="F86" s="20">
        <f t="shared" si="34"/>
        <v>1072.5776966987708</v>
      </c>
      <c r="G86" s="20">
        <f t="shared" si="34"/>
        <v>1126.0982577460443</v>
      </c>
      <c r="H86" s="20">
        <f t="shared" si="34"/>
        <v>1170.4702864193937</v>
      </c>
      <c r="I86" s="20">
        <f t="shared" si="34"/>
        <v>1177.2485030400235</v>
      </c>
      <c r="J86" s="20">
        <f t="shared" si="34"/>
        <v>1136.5282433162442</v>
      </c>
      <c r="K86" s="20">
        <f t="shared" si="34"/>
        <v>1067.3627039136709</v>
      </c>
      <c r="L86" s="20">
        <f t="shared" si="34"/>
        <v>953.03078391998326</v>
      </c>
      <c r="M86" s="20">
        <f t="shared" si="34"/>
        <v>905.26327693631947</v>
      </c>
      <c r="N86" s="20">
        <f>SUM(B86:M86)</f>
        <v>12266.176029231427</v>
      </c>
    </row>
    <row r="87" spans="1:14">
      <c r="A87" s="24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247" t="s">
        <v>38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249" t="s">
        <v>47</v>
      </c>
      <c r="B89" s="232">
        <f>B75</f>
        <v>69383.549041638515</v>
      </c>
      <c r="C89" s="232">
        <f t="shared" ref="C89:M89" si="35">C75</f>
        <v>67764.130167225085</v>
      </c>
      <c r="D89" s="232">
        <f t="shared" si="35"/>
        <v>70751.505357913207</v>
      </c>
      <c r="E89" s="232">
        <f t="shared" si="35"/>
        <v>73980.284604414512</v>
      </c>
      <c r="F89" s="232">
        <f t="shared" si="35"/>
        <v>82660.772111363491</v>
      </c>
      <c r="G89" s="232">
        <f t="shared" si="35"/>
        <v>86784.75806483865</v>
      </c>
      <c r="H89" s="232">
        <f t="shared" si="35"/>
        <v>90204.648855525404</v>
      </c>
      <c r="I89" s="232">
        <f t="shared" si="35"/>
        <v>90727.69097645396</v>
      </c>
      <c r="J89" s="232">
        <f t="shared" si="35"/>
        <v>87589.438250882595</v>
      </c>
      <c r="K89" s="232">
        <f t="shared" si="35"/>
        <v>82258.432018341511</v>
      </c>
      <c r="L89" s="232">
        <f t="shared" si="35"/>
        <v>73447.183981160386</v>
      </c>
      <c r="M89" s="232">
        <f t="shared" si="35"/>
        <v>69765.772130009384</v>
      </c>
      <c r="N89" s="20">
        <f>SUM(B89:M89)</f>
        <v>945318.16555976658</v>
      </c>
    </row>
    <row r="90" spans="1:14">
      <c r="A90" s="249" t="s">
        <v>45</v>
      </c>
      <c r="B90" s="27">
        <f>ROUND(B89*'Transmission Formula Rate (7)'!$B$27,0)</f>
        <v>1284</v>
      </c>
      <c r="C90" s="27">
        <f>ROUND(C89*'Transmission Formula Rate (7)'!$B$27,0)</f>
        <v>1254</v>
      </c>
      <c r="D90" s="27">
        <f>ROUND(D89*'Transmission Formula Rate (7)'!$B$27,0)</f>
        <v>1309</v>
      </c>
      <c r="E90" s="27">
        <f>ROUND(E89*'Transmission Formula Rate (7)'!$B$27,0)</f>
        <v>1369</v>
      </c>
      <c r="F90" s="27">
        <f>ROUND(F89*'Transmission Formula Rate (7)'!$B$27,0)</f>
        <v>1529</v>
      </c>
      <c r="G90" s="27">
        <f>ROUND(G89*'Transmission Formula Rate (7)'!$B$27,0)</f>
        <v>1606</v>
      </c>
      <c r="H90" s="27">
        <f>ROUND(H89*'Transmission Formula Rate (7)'!$B$27,0)</f>
        <v>1669</v>
      </c>
      <c r="I90" s="27">
        <f>ROUND(I89*'Transmission Formula Rate (7)'!$B$27,0)</f>
        <v>1678</v>
      </c>
      <c r="J90" s="27">
        <f>ROUND(J89*'Transmission Formula Rate (7)'!$B$27,0)</f>
        <v>1620</v>
      </c>
      <c r="K90" s="27">
        <f>ROUND(K89*'Transmission Formula Rate (7)'!$B$27,0)</f>
        <v>1522</v>
      </c>
      <c r="L90" s="27">
        <f>ROUND(L89*'Transmission Formula Rate (7)'!$B$27,0)</f>
        <v>1359</v>
      </c>
      <c r="M90" s="27">
        <f>ROUND(M89*'Transmission Formula Rate (7)'!$B$27,0)</f>
        <v>1291</v>
      </c>
      <c r="N90" s="20">
        <f t="shared" ref="N90:N93" si="36">SUM(B90:M90)</f>
        <v>17490</v>
      </c>
    </row>
    <row r="91" spans="1:14">
      <c r="A91" s="249" t="s">
        <v>290</v>
      </c>
      <c r="B91" s="20">
        <f>B89+B90</f>
        <v>70667.549041638515</v>
      </c>
      <c r="C91" s="20">
        <f t="shared" ref="C91:M91" si="37">C89+C90</f>
        <v>69018.130167225085</v>
      </c>
      <c r="D91" s="20">
        <f t="shared" si="37"/>
        <v>72060.505357913207</v>
      </c>
      <c r="E91" s="20">
        <f t="shared" si="37"/>
        <v>75349.284604414512</v>
      </c>
      <c r="F91" s="20">
        <f t="shared" si="37"/>
        <v>84189.772111363491</v>
      </c>
      <c r="G91" s="20">
        <f t="shared" si="37"/>
        <v>88390.75806483865</v>
      </c>
      <c r="H91" s="20">
        <f t="shared" si="37"/>
        <v>91873.648855525404</v>
      </c>
      <c r="I91" s="20">
        <f t="shared" si="37"/>
        <v>92405.69097645396</v>
      </c>
      <c r="J91" s="20">
        <f t="shared" si="37"/>
        <v>89209.438250882595</v>
      </c>
      <c r="K91" s="20">
        <f t="shared" si="37"/>
        <v>83780.432018341511</v>
      </c>
      <c r="L91" s="20">
        <f t="shared" si="37"/>
        <v>74806.183981160386</v>
      </c>
      <c r="M91" s="20">
        <f t="shared" si="37"/>
        <v>71056.772130009384</v>
      </c>
      <c r="N91" s="123">
        <f t="shared" si="36"/>
        <v>962808.16555976658</v>
      </c>
    </row>
    <row r="92" spans="1:14">
      <c r="A92" s="247" t="s">
        <v>144</v>
      </c>
      <c r="B92" s="31">
        <f>'charges (1 &amp; 2)'!F10</f>
        <v>0.1008</v>
      </c>
      <c r="C92" s="31">
        <f>B92</f>
        <v>0.1008</v>
      </c>
      <c r="D92" s="31">
        <f t="shared" ref="D92:M92" si="38">C92</f>
        <v>0.1008</v>
      </c>
      <c r="E92" s="31">
        <f t="shared" si="38"/>
        <v>0.1008</v>
      </c>
      <c r="F92" s="31">
        <f t="shared" si="38"/>
        <v>0.1008</v>
      </c>
      <c r="G92" s="31">
        <f t="shared" si="38"/>
        <v>0.1008</v>
      </c>
      <c r="H92" s="31">
        <f t="shared" si="38"/>
        <v>0.1008</v>
      </c>
      <c r="I92" s="31">
        <f t="shared" si="38"/>
        <v>0.1008</v>
      </c>
      <c r="J92" s="31">
        <f t="shared" si="38"/>
        <v>0.1008</v>
      </c>
      <c r="K92" s="31">
        <f t="shared" si="38"/>
        <v>0.1008</v>
      </c>
      <c r="L92" s="31">
        <f t="shared" si="38"/>
        <v>0.1008</v>
      </c>
      <c r="M92" s="31">
        <f t="shared" si="38"/>
        <v>0.1008</v>
      </c>
      <c r="N92" s="20"/>
    </row>
    <row r="93" spans="1:14">
      <c r="A93" s="247" t="s">
        <v>17</v>
      </c>
      <c r="B93" s="20">
        <f>B91*B92</f>
        <v>7123.2889433971623</v>
      </c>
      <c r="C93" s="20">
        <f t="shared" ref="C93:M93" si="39">C91*C92</f>
        <v>6957.0275208562889</v>
      </c>
      <c r="D93" s="20">
        <f t="shared" si="39"/>
        <v>7263.6989400776511</v>
      </c>
      <c r="E93" s="20">
        <f t="shared" si="39"/>
        <v>7595.2078881249827</v>
      </c>
      <c r="F93" s="20">
        <f t="shared" si="39"/>
        <v>8486.3290288254393</v>
      </c>
      <c r="G93" s="20">
        <f t="shared" si="39"/>
        <v>8909.7884129357353</v>
      </c>
      <c r="H93" s="20">
        <f t="shared" si="39"/>
        <v>9260.8638046369615</v>
      </c>
      <c r="I93" s="20">
        <f t="shared" si="39"/>
        <v>9314.4936504265588</v>
      </c>
      <c r="J93" s="20">
        <f t="shared" si="39"/>
        <v>8992.3113756889652</v>
      </c>
      <c r="K93" s="20">
        <f t="shared" si="39"/>
        <v>8445.0675474488253</v>
      </c>
      <c r="L93" s="20">
        <f t="shared" si="39"/>
        <v>7540.4633453009674</v>
      </c>
      <c r="M93" s="20">
        <f t="shared" si="39"/>
        <v>7162.5226307049461</v>
      </c>
      <c r="N93" s="20">
        <f t="shared" si="36"/>
        <v>97051.063088424489</v>
      </c>
    </row>
    <row r="94" spans="1:14">
      <c r="A94" s="247"/>
    </row>
    <row r="95" spans="1:14">
      <c r="B95" s="23" t="s">
        <v>0</v>
      </c>
      <c r="C95" s="23" t="s">
        <v>1</v>
      </c>
      <c r="D95" s="23" t="s">
        <v>2</v>
      </c>
      <c r="E95" s="23" t="s">
        <v>3</v>
      </c>
      <c r="F95" s="23" t="s">
        <v>4</v>
      </c>
      <c r="G95" s="23" t="s">
        <v>5</v>
      </c>
      <c r="H95" s="23" t="s">
        <v>6</v>
      </c>
      <c r="I95" s="23" t="s">
        <v>7</v>
      </c>
      <c r="J95" s="23" t="s">
        <v>8</v>
      </c>
      <c r="K95" s="23" t="s">
        <v>9</v>
      </c>
      <c r="L95" s="23" t="s">
        <v>10</v>
      </c>
      <c r="M95" s="23" t="s">
        <v>11</v>
      </c>
      <c r="N95" s="23" t="s">
        <v>12</v>
      </c>
    </row>
    <row r="96" spans="1:14">
      <c r="A96" s="248">
        <f>A73+1</f>
        <v>2018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5">
      <c r="A97" s="247" t="s">
        <v>37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5">
      <c r="A98" s="249" t="s">
        <v>47</v>
      </c>
      <c r="B98" s="232">
        <f>'Lake Worth Forecast'!E14</f>
        <v>69796.943041193677</v>
      </c>
      <c r="C98" s="232">
        <f>'Lake Worth Forecast'!F14</f>
        <v>68195.177280064745</v>
      </c>
      <c r="D98" s="232">
        <f>'Lake Worth Forecast'!G14</f>
        <v>71158.443938153272</v>
      </c>
      <c r="E98" s="232">
        <f>'Lake Worth Forecast'!H14</f>
        <v>74351.964424404097</v>
      </c>
      <c r="F98" s="232">
        <f>'Lake Worth Forecast'!I14</f>
        <v>82971.466426479223</v>
      </c>
      <c r="G98" s="232">
        <f>'Lake Worth Forecast'!J14</f>
        <v>87055.969117358021</v>
      </c>
      <c r="H98" s="232">
        <f>'Lake Worth Forecast'!K14</f>
        <v>90449.710323749969</v>
      </c>
      <c r="I98" s="232">
        <f>'Lake Worth Forecast'!L14</f>
        <v>90960.27316010982</v>
      </c>
      <c r="J98" s="232">
        <f>'Lake Worth Forecast'!M14</f>
        <v>87846.840961915441</v>
      </c>
      <c r="K98" s="232">
        <f>'Lake Worth Forecast'!N14</f>
        <v>82540.991878175832</v>
      </c>
      <c r="L98" s="232">
        <f>'Lake Worth Forecast'!O14</f>
        <v>73761.313299987814</v>
      </c>
      <c r="M98" s="232">
        <f>'Lake Worth Forecast'!P14</f>
        <v>70077.252049391231</v>
      </c>
      <c r="N98" s="20">
        <f>SUM(B98:M98)</f>
        <v>949166.34590098332</v>
      </c>
    </row>
    <row r="99" spans="1:15">
      <c r="A99" s="249" t="s">
        <v>45</v>
      </c>
      <c r="B99" s="27">
        <f>ROUND(B98*'Transmission Formula Rate (7)'!$B$27,0)</f>
        <v>1291</v>
      </c>
      <c r="C99" s="27">
        <f>ROUND(C98*'Transmission Formula Rate (7)'!$B$27,0)</f>
        <v>1262</v>
      </c>
      <c r="D99" s="27">
        <f>ROUND(D98*'Transmission Formula Rate (7)'!$B$27,0)</f>
        <v>1316</v>
      </c>
      <c r="E99" s="27">
        <f>ROUND(E98*'Transmission Formula Rate (7)'!$B$27,0)</f>
        <v>1376</v>
      </c>
      <c r="F99" s="27">
        <f>ROUND(F98*'Transmission Formula Rate (7)'!$B$27,0)</f>
        <v>1535</v>
      </c>
      <c r="G99" s="27">
        <f>ROUND(G98*'Transmission Formula Rate (7)'!$B$27,0)</f>
        <v>1611</v>
      </c>
      <c r="H99" s="27">
        <f>ROUND(H98*'Transmission Formula Rate (7)'!$B$27,0)</f>
        <v>1673</v>
      </c>
      <c r="I99" s="27">
        <f>ROUND(I98*'Transmission Formula Rate (7)'!$B$27,0)</f>
        <v>1683</v>
      </c>
      <c r="J99" s="27">
        <f>ROUND(J98*'Transmission Formula Rate (7)'!$B$27,0)</f>
        <v>1625</v>
      </c>
      <c r="K99" s="27">
        <f>ROUND(K98*'Transmission Formula Rate (7)'!$B$27,0)</f>
        <v>1527</v>
      </c>
      <c r="L99" s="27">
        <f>ROUND(L98*'Transmission Formula Rate (7)'!$B$27,0)</f>
        <v>1365</v>
      </c>
      <c r="M99" s="27">
        <f>ROUND(M98*'Transmission Formula Rate (7)'!$B$27,0)</f>
        <v>1296</v>
      </c>
      <c r="N99" s="20">
        <f>SUM(B99:M99)</f>
        <v>17560</v>
      </c>
    </row>
    <row r="100" spans="1:15">
      <c r="A100" s="249" t="s">
        <v>290</v>
      </c>
      <c r="B100" s="27">
        <f t="shared" ref="B100:M100" si="40">B98+B99</f>
        <v>71087.943041193677</v>
      </c>
      <c r="C100" s="27">
        <f t="shared" si="40"/>
        <v>69457.177280064745</v>
      </c>
      <c r="D100" s="27">
        <f t="shared" si="40"/>
        <v>72474.443938153272</v>
      </c>
      <c r="E100" s="27">
        <f t="shared" si="40"/>
        <v>75727.964424404097</v>
      </c>
      <c r="F100" s="27">
        <f t="shared" si="40"/>
        <v>84506.466426479223</v>
      </c>
      <c r="G100" s="27">
        <f t="shared" si="40"/>
        <v>88666.969117358021</v>
      </c>
      <c r="H100" s="27">
        <f t="shared" si="40"/>
        <v>92122.710323749969</v>
      </c>
      <c r="I100" s="27">
        <f t="shared" si="40"/>
        <v>92643.27316010982</v>
      </c>
      <c r="J100" s="27">
        <f t="shared" si="40"/>
        <v>89471.840961915441</v>
      </c>
      <c r="K100" s="27">
        <f t="shared" si="40"/>
        <v>84067.991878175832</v>
      </c>
      <c r="L100" s="27">
        <f t="shared" si="40"/>
        <v>75126.313299987814</v>
      </c>
      <c r="M100" s="27">
        <f t="shared" si="40"/>
        <v>71373.252049391231</v>
      </c>
      <c r="N100" s="123">
        <f>SUM(B100:M100)</f>
        <v>966726.34590098332</v>
      </c>
    </row>
    <row r="101" spans="1:15">
      <c r="A101" s="247" t="s">
        <v>20</v>
      </c>
      <c r="B101" s="29">
        <f>'Transmission Formula Rate (7)'!B16</f>
        <v>1.59</v>
      </c>
      <c r="C101" s="29">
        <f>'Transmission Formula Rate (7)'!C16</f>
        <v>1.59</v>
      </c>
      <c r="D101" s="29">
        <f>'Transmission Formula Rate (7)'!D16</f>
        <v>1.59</v>
      </c>
      <c r="E101" s="29">
        <f>'Transmission Formula Rate (7)'!E16</f>
        <v>1.59</v>
      </c>
      <c r="F101" s="29">
        <f>'Transmission Formula Rate (7)'!$F$16</f>
        <v>1.59</v>
      </c>
      <c r="G101" s="29">
        <f>'Transmission Formula Rate (7)'!$F$16</f>
        <v>1.59</v>
      </c>
      <c r="H101" s="29">
        <f>'Transmission Formula Rate (7)'!$F$16</f>
        <v>1.59</v>
      </c>
      <c r="I101" s="29">
        <f>'Transmission Formula Rate (7)'!$F$16</f>
        <v>1.59</v>
      </c>
      <c r="J101" s="29">
        <f>'Transmission Formula Rate (7)'!$F$16</f>
        <v>1.59</v>
      </c>
      <c r="K101" s="29">
        <f>'Transmission Formula Rate (7)'!$F$16</f>
        <v>1.59</v>
      </c>
      <c r="L101" s="29">
        <f>'Transmission Formula Rate (7)'!$F$16</f>
        <v>1.59</v>
      </c>
      <c r="M101" s="29">
        <f>'Transmission Formula Rate (7)'!$F$16</f>
        <v>1.59</v>
      </c>
      <c r="N101" s="19"/>
      <c r="O101" s="270"/>
    </row>
    <row r="102" spans="1:15">
      <c r="A102" s="247" t="s">
        <v>17</v>
      </c>
      <c r="B102" s="20">
        <f t="shared" ref="B102:M102" si="41">B100*B101</f>
        <v>113029.82943549796</v>
      </c>
      <c r="C102" s="20">
        <f t="shared" si="41"/>
        <v>110436.91187530295</v>
      </c>
      <c r="D102" s="20">
        <f t="shared" si="41"/>
        <v>115234.36586166371</v>
      </c>
      <c r="E102" s="20">
        <f t="shared" si="41"/>
        <v>120407.46343480251</v>
      </c>
      <c r="F102" s="20">
        <f t="shared" si="41"/>
        <v>134365.28161810196</v>
      </c>
      <c r="G102" s="20">
        <f t="shared" si="41"/>
        <v>140980.48089659927</v>
      </c>
      <c r="H102" s="20">
        <f t="shared" si="41"/>
        <v>146475.10941476247</v>
      </c>
      <c r="I102" s="20">
        <f t="shared" si="41"/>
        <v>147302.80432457462</v>
      </c>
      <c r="J102" s="20">
        <f t="shared" si="41"/>
        <v>142260.22712944556</v>
      </c>
      <c r="K102" s="20">
        <f t="shared" si="41"/>
        <v>133668.10708629957</v>
      </c>
      <c r="L102" s="20">
        <f t="shared" si="41"/>
        <v>119450.83814698063</v>
      </c>
      <c r="M102" s="20">
        <f t="shared" si="41"/>
        <v>113483.47075853206</v>
      </c>
      <c r="N102" s="20">
        <f>SUM(B102:M102)</f>
        <v>1537094.889982563</v>
      </c>
    </row>
    <row r="104" spans="1:15">
      <c r="A104" s="247" t="s">
        <v>135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5">
      <c r="A105" s="249" t="s">
        <v>47</v>
      </c>
      <c r="B105" s="232">
        <f>B98</f>
        <v>69796.943041193677</v>
      </c>
      <c r="C105" s="232">
        <f t="shared" ref="C105:M105" si="42">C98</f>
        <v>68195.177280064745</v>
      </c>
      <c r="D105" s="232">
        <f t="shared" si="42"/>
        <v>71158.443938153272</v>
      </c>
      <c r="E105" s="232">
        <f t="shared" si="42"/>
        <v>74351.964424404097</v>
      </c>
      <c r="F105" s="232">
        <f t="shared" si="42"/>
        <v>82971.466426479223</v>
      </c>
      <c r="G105" s="232">
        <f t="shared" si="42"/>
        <v>87055.969117358021</v>
      </c>
      <c r="H105" s="232">
        <f t="shared" si="42"/>
        <v>90449.710323749969</v>
      </c>
      <c r="I105" s="232">
        <f t="shared" si="42"/>
        <v>90960.27316010982</v>
      </c>
      <c r="J105" s="232">
        <f t="shared" si="42"/>
        <v>87846.840961915441</v>
      </c>
      <c r="K105" s="232">
        <f t="shared" si="42"/>
        <v>82540.991878175832</v>
      </c>
      <c r="L105" s="232">
        <f t="shared" si="42"/>
        <v>73761.313299987814</v>
      </c>
      <c r="M105" s="232">
        <f t="shared" si="42"/>
        <v>70077.252049391231</v>
      </c>
      <c r="N105" s="20">
        <f>SUM(B105:M105)</f>
        <v>949166.34590098332</v>
      </c>
    </row>
    <row r="106" spans="1:15">
      <c r="A106" s="249" t="s">
        <v>45</v>
      </c>
      <c r="B106" s="27">
        <f>ROUND(B105*'Transmission Formula Rate (7)'!$B$27,0)</f>
        <v>1291</v>
      </c>
      <c r="C106" s="27">
        <f>ROUND(C105*'Transmission Formula Rate (7)'!$B$27,0)</f>
        <v>1262</v>
      </c>
      <c r="D106" s="27">
        <f>ROUND(D105*'Transmission Formula Rate (7)'!$B$27,0)</f>
        <v>1316</v>
      </c>
      <c r="E106" s="27">
        <f>ROUND(E105*'Transmission Formula Rate (7)'!$B$27,0)</f>
        <v>1376</v>
      </c>
      <c r="F106" s="27">
        <f>ROUND(F105*'Transmission Formula Rate (7)'!$B$27,0)</f>
        <v>1535</v>
      </c>
      <c r="G106" s="27">
        <f>ROUND(G105*'Transmission Formula Rate (7)'!$B$27,0)</f>
        <v>1611</v>
      </c>
      <c r="H106" s="27">
        <f>ROUND(H105*'Transmission Formula Rate (7)'!$B$27,0)</f>
        <v>1673</v>
      </c>
      <c r="I106" s="27">
        <f>ROUND(I105*'Transmission Formula Rate (7)'!$B$27,0)</f>
        <v>1683</v>
      </c>
      <c r="J106" s="27">
        <f>ROUND(J105*'Transmission Formula Rate (7)'!$B$27,0)</f>
        <v>1625</v>
      </c>
      <c r="K106" s="27">
        <f>ROUND(K105*'Transmission Formula Rate (7)'!$B$27,0)</f>
        <v>1527</v>
      </c>
      <c r="L106" s="27">
        <f>ROUND(L105*'Transmission Formula Rate (7)'!$B$27,0)</f>
        <v>1365</v>
      </c>
      <c r="M106" s="27">
        <f>ROUND(M105*'Transmission Formula Rate (7)'!$B$27,0)</f>
        <v>1296</v>
      </c>
      <c r="N106" s="20">
        <f>SUM(B106:M106)</f>
        <v>17560</v>
      </c>
    </row>
    <row r="107" spans="1:15">
      <c r="A107" s="249" t="s">
        <v>290</v>
      </c>
      <c r="B107" s="27">
        <f t="shared" ref="B107:M107" si="43">B105+B106</f>
        <v>71087.943041193677</v>
      </c>
      <c r="C107" s="27">
        <f t="shared" si="43"/>
        <v>69457.177280064745</v>
      </c>
      <c r="D107" s="27">
        <f t="shared" si="43"/>
        <v>72474.443938153272</v>
      </c>
      <c r="E107" s="27">
        <f t="shared" si="43"/>
        <v>75727.964424404097</v>
      </c>
      <c r="F107" s="27">
        <f t="shared" si="43"/>
        <v>84506.466426479223</v>
      </c>
      <c r="G107" s="27">
        <f t="shared" si="43"/>
        <v>88666.969117358021</v>
      </c>
      <c r="H107" s="27">
        <f t="shared" si="43"/>
        <v>92122.710323749969</v>
      </c>
      <c r="I107" s="27">
        <f t="shared" si="43"/>
        <v>92643.27316010982</v>
      </c>
      <c r="J107" s="27">
        <f t="shared" si="43"/>
        <v>89471.840961915441</v>
      </c>
      <c r="K107" s="27">
        <f t="shared" si="43"/>
        <v>84067.991878175832</v>
      </c>
      <c r="L107" s="27">
        <f t="shared" si="43"/>
        <v>75126.313299987814</v>
      </c>
      <c r="M107" s="27">
        <f t="shared" si="43"/>
        <v>71373.252049391231</v>
      </c>
      <c r="N107" s="123">
        <f>SUM(B107:M107)</f>
        <v>966726.34590098332</v>
      </c>
    </row>
    <row r="108" spans="1:15">
      <c r="A108" s="247" t="s">
        <v>143</v>
      </c>
      <c r="B108" s="31">
        <f>'charges (1 &amp; 2)'!$H$38</f>
        <v>1.274E-2</v>
      </c>
      <c r="C108" s="31">
        <f>B108</f>
        <v>1.274E-2</v>
      </c>
      <c r="D108" s="31">
        <f t="shared" ref="D108:E108" si="44">C108</f>
        <v>1.274E-2</v>
      </c>
      <c r="E108" s="31">
        <f t="shared" si="44"/>
        <v>1.274E-2</v>
      </c>
      <c r="F108" s="31">
        <f>$E$108</f>
        <v>1.274E-2</v>
      </c>
      <c r="G108" s="31">
        <f t="shared" ref="G108:M108" si="45">$E$108</f>
        <v>1.274E-2</v>
      </c>
      <c r="H108" s="31">
        <f t="shared" si="45"/>
        <v>1.274E-2</v>
      </c>
      <c r="I108" s="31">
        <f t="shared" si="45"/>
        <v>1.274E-2</v>
      </c>
      <c r="J108" s="31">
        <f t="shared" si="45"/>
        <v>1.274E-2</v>
      </c>
      <c r="K108" s="31">
        <f t="shared" si="45"/>
        <v>1.274E-2</v>
      </c>
      <c r="L108" s="31">
        <f t="shared" si="45"/>
        <v>1.274E-2</v>
      </c>
      <c r="M108" s="31">
        <f t="shared" si="45"/>
        <v>1.274E-2</v>
      </c>
      <c r="N108" s="19"/>
    </row>
    <row r="109" spans="1:15">
      <c r="A109" s="247" t="s">
        <v>17</v>
      </c>
      <c r="B109" s="20">
        <f t="shared" ref="B109:M109" si="46">B107*B108</f>
        <v>905.6603943448074</v>
      </c>
      <c r="C109" s="20">
        <f t="shared" si="46"/>
        <v>884.88443854802483</v>
      </c>
      <c r="D109" s="20">
        <f t="shared" si="46"/>
        <v>923.32441577207271</v>
      </c>
      <c r="E109" s="20">
        <f t="shared" si="46"/>
        <v>964.77426676690811</v>
      </c>
      <c r="F109" s="20">
        <f t="shared" si="46"/>
        <v>1076.6123822733452</v>
      </c>
      <c r="G109" s="20">
        <f t="shared" si="46"/>
        <v>1129.6171865551412</v>
      </c>
      <c r="H109" s="20">
        <f t="shared" si="46"/>
        <v>1173.6433295245745</v>
      </c>
      <c r="I109" s="20">
        <f t="shared" si="46"/>
        <v>1180.2753000597991</v>
      </c>
      <c r="J109" s="20">
        <f t="shared" si="46"/>
        <v>1139.8712538548027</v>
      </c>
      <c r="K109" s="20">
        <f t="shared" si="46"/>
        <v>1071.0262165279601</v>
      </c>
      <c r="L109" s="20">
        <f t="shared" si="46"/>
        <v>957.10923144184471</v>
      </c>
      <c r="M109" s="20">
        <f t="shared" si="46"/>
        <v>909.29523110924424</v>
      </c>
      <c r="N109" s="20">
        <f>SUM(B109:M109)</f>
        <v>12316.093646778525</v>
      </c>
    </row>
    <row r="110" spans="1:15">
      <c r="A110" s="24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5">
      <c r="A111" s="247" t="s">
        <v>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5">
      <c r="A112" s="249" t="s">
        <v>47</v>
      </c>
      <c r="B112" s="232">
        <f>B98</f>
        <v>69796.943041193677</v>
      </c>
      <c r="C112" s="232">
        <f t="shared" ref="C112:M112" si="47">C98</f>
        <v>68195.177280064745</v>
      </c>
      <c r="D112" s="232">
        <f t="shared" si="47"/>
        <v>71158.443938153272</v>
      </c>
      <c r="E112" s="232">
        <f t="shared" si="47"/>
        <v>74351.964424404097</v>
      </c>
      <c r="F112" s="232">
        <f t="shared" si="47"/>
        <v>82971.466426479223</v>
      </c>
      <c r="G112" s="232">
        <f t="shared" si="47"/>
        <v>87055.969117358021</v>
      </c>
      <c r="H112" s="232">
        <f t="shared" si="47"/>
        <v>90449.710323749969</v>
      </c>
      <c r="I112" s="232">
        <f t="shared" si="47"/>
        <v>90960.27316010982</v>
      </c>
      <c r="J112" s="232">
        <f t="shared" si="47"/>
        <v>87846.840961915441</v>
      </c>
      <c r="K112" s="232">
        <f t="shared" si="47"/>
        <v>82540.991878175832</v>
      </c>
      <c r="L112" s="232">
        <f t="shared" si="47"/>
        <v>73761.313299987814</v>
      </c>
      <c r="M112" s="232">
        <f t="shared" si="47"/>
        <v>70077.252049391231</v>
      </c>
      <c r="N112" s="20">
        <f>SUM(B112:M112)</f>
        <v>949166.34590098332</v>
      </c>
    </row>
    <row r="113" spans="1:16">
      <c r="A113" s="249" t="s">
        <v>45</v>
      </c>
      <c r="B113" s="27">
        <f>ROUND(B112*'Transmission Formula Rate (7)'!$B$27,0)</f>
        <v>1291</v>
      </c>
      <c r="C113" s="27">
        <f>ROUND(C112*'Transmission Formula Rate (7)'!$B$27,0)</f>
        <v>1262</v>
      </c>
      <c r="D113" s="27">
        <f>ROUND(D112*'Transmission Formula Rate (7)'!$B$27,0)</f>
        <v>1316</v>
      </c>
      <c r="E113" s="27">
        <f>ROUND(E112*'Transmission Formula Rate (7)'!$B$27,0)</f>
        <v>1376</v>
      </c>
      <c r="F113" s="27">
        <f>ROUND(F112*'Transmission Formula Rate (7)'!$B$27,0)</f>
        <v>1535</v>
      </c>
      <c r="G113" s="27">
        <f>ROUND(G112*'Transmission Formula Rate (7)'!$B$27,0)</f>
        <v>1611</v>
      </c>
      <c r="H113" s="27">
        <f>ROUND(H112*'Transmission Formula Rate (7)'!$B$27,0)</f>
        <v>1673</v>
      </c>
      <c r="I113" s="27">
        <f>ROUND(I112*'Transmission Formula Rate (7)'!$B$27,0)</f>
        <v>1683</v>
      </c>
      <c r="J113" s="27">
        <f>ROUND(J112*'Transmission Formula Rate (7)'!$B$27,0)</f>
        <v>1625</v>
      </c>
      <c r="K113" s="27">
        <f>ROUND(K112*'Transmission Formula Rate (7)'!$B$27,0)</f>
        <v>1527</v>
      </c>
      <c r="L113" s="27">
        <f>ROUND(L112*'Transmission Formula Rate (7)'!$B$27,0)</f>
        <v>1365</v>
      </c>
      <c r="M113" s="27">
        <f>ROUND(M112*'Transmission Formula Rate (7)'!$B$27,0)</f>
        <v>1296</v>
      </c>
      <c r="N113" s="20">
        <f t="shared" ref="N113:N116" si="48">SUM(B113:M113)</f>
        <v>17560</v>
      </c>
    </row>
    <row r="114" spans="1:16">
      <c r="A114" s="249" t="s">
        <v>290</v>
      </c>
      <c r="B114" s="20">
        <f>B112+B113</f>
        <v>71087.943041193677</v>
      </c>
      <c r="C114" s="20">
        <f t="shared" ref="C114:M114" si="49">C112+C113</f>
        <v>69457.177280064745</v>
      </c>
      <c r="D114" s="20">
        <f t="shared" si="49"/>
        <v>72474.443938153272</v>
      </c>
      <c r="E114" s="20">
        <f t="shared" si="49"/>
        <v>75727.964424404097</v>
      </c>
      <c r="F114" s="20">
        <f t="shared" si="49"/>
        <v>84506.466426479223</v>
      </c>
      <c r="G114" s="20">
        <f t="shared" si="49"/>
        <v>88666.969117358021</v>
      </c>
      <c r="H114" s="20">
        <f t="shared" si="49"/>
        <v>92122.710323749969</v>
      </c>
      <c r="I114" s="20">
        <f t="shared" si="49"/>
        <v>92643.27316010982</v>
      </c>
      <c r="J114" s="20">
        <f t="shared" si="49"/>
        <v>89471.840961915441</v>
      </c>
      <c r="K114" s="20">
        <f t="shared" si="49"/>
        <v>84067.991878175832</v>
      </c>
      <c r="L114" s="20">
        <f t="shared" si="49"/>
        <v>75126.313299987814</v>
      </c>
      <c r="M114" s="20">
        <f t="shared" si="49"/>
        <v>71373.252049391231</v>
      </c>
      <c r="N114" s="123">
        <f t="shared" si="48"/>
        <v>966726.34590098332</v>
      </c>
    </row>
    <row r="115" spans="1:16">
      <c r="A115" s="247" t="s">
        <v>144</v>
      </c>
      <c r="B115" s="31">
        <f>'charges (1 &amp; 2)'!G10</f>
        <v>0.1008</v>
      </c>
      <c r="C115" s="31">
        <f>B115</f>
        <v>0.1008</v>
      </c>
      <c r="D115" s="31">
        <f t="shared" ref="D115:M115" si="50">C115</f>
        <v>0.1008</v>
      </c>
      <c r="E115" s="31">
        <f t="shared" si="50"/>
        <v>0.1008</v>
      </c>
      <c r="F115" s="31">
        <f t="shared" si="50"/>
        <v>0.1008</v>
      </c>
      <c r="G115" s="31">
        <f t="shared" si="50"/>
        <v>0.1008</v>
      </c>
      <c r="H115" s="31">
        <f t="shared" si="50"/>
        <v>0.1008</v>
      </c>
      <c r="I115" s="31">
        <f t="shared" si="50"/>
        <v>0.1008</v>
      </c>
      <c r="J115" s="31">
        <f t="shared" si="50"/>
        <v>0.1008</v>
      </c>
      <c r="K115" s="31">
        <f t="shared" si="50"/>
        <v>0.1008</v>
      </c>
      <c r="L115" s="31">
        <f t="shared" si="50"/>
        <v>0.1008</v>
      </c>
      <c r="M115" s="31">
        <f t="shared" si="50"/>
        <v>0.1008</v>
      </c>
      <c r="N115" s="20"/>
    </row>
    <row r="116" spans="1:16">
      <c r="A116" s="247" t="s">
        <v>17</v>
      </c>
      <c r="B116" s="20">
        <f>B114*B115</f>
        <v>7165.6646585523231</v>
      </c>
      <c r="C116" s="20">
        <f t="shared" ref="C116:M116" si="51">C114*C115</f>
        <v>7001.283469830526</v>
      </c>
      <c r="D116" s="20">
        <f t="shared" si="51"/>
        <v>7305.4239489658503</v>
      </c>
      <c r="E116" s="20">
        <f t="shared" si="51"/>
        <v>7633.3788139799335</v>
      </c>
      <c r="F116" s="20">
        <f t="shared" si="51"/>
        <v>8518.2518157891063</v>
      </c>
      <c r="G116" s="20">
        <f t="shared" si="51"/>
        <v>8937.6304870296881</v>
      </c>
      <c r="H116" s="20">
        <f t="shared" si="51"/>
        <v>9285.9692006339974</v>
      </c>
      <c r="I116" s="20">
        <f t="shared" si="51"/>
        <v>9338.4419345390706</v>
      </c>
      <c r="J116" s="20">
        <f t="shared" si="51"/>
        <v>9018.7615689610757</v>
      </c>
      <c r="K116" s="20">
        <f t="shared" si="51"/>
        <v>8474.0535813201241</v>
      </c>
      <c r="L116" s="20">
        <f t="shared" si="51"/>
        <v>7572.7323806387722</v>
      </c>
      <c r="M116" s="20">
        <f t="shared" si="51"/>
        <v>7194.4238065786358</v>
      </c>
      <c r="N116" s="20">
        <f t="shared" si="48"/>
        <v>97446.015666819105</v>
      </c>
    </row>
    <row r="118" spans="1:16">
      <c r="B118" s="23" t="s">
        <v>0</v>
      </c>
      <c r="C118" s="23" t="s">
        <v>1</v>
      </c>
      <c r="D118" s="23" t="s">
        <v>2</v>
      </c>
      <c r="E118" s="23" t="s">
        <v>3</v>
      </c>
      <c r="F118" s="23" t="s">
        <v>4</v>
      </c>
      <c r="G118" s="23" t="s">
        <v>5</v>
      </c>
      <c r="H118" s="23" t="s">
        <v>6</v>
      </c>
      <c r="I118" s="23" t="s">
        <v>7</v>
      </c>
      <c r="J118" s="23" t="s">
        <v>8</v>
      </c>
      <c r="K118" s="23" t="s">
        <v>9</v>
      </c>
      <c r="L118" s="23" t="s">
        <v>10</v>
      </c>
      <c r="M118" s="23" t="s">
        <v>11</v>
      </c>
      <c r="N118" s="23" t="s">
        <v>12</v>
      </c>
    </row>
    <row r="119" spans="1:16">
      <c r="A119" s="248">
        <f>A96+1</f>
        <v>2019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6">
      <c r="A120" s="247" t="s">
        <v>37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6">
      <c r="A121" s="249" t="s">
        <v>47</v>
      </c>
      <c r="B121" s="232">
        <f>'Lake Worth Forecast'!E15</f>
        <v>70069.439411680069</v>
      </c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0">
        <f>SUM(B121:M121)</f>
        <v>70069.439411680069</v>
      </c>
      <c r="P121" s="21" t="s">
        <v>406</v>
      </c>
    </row>
    <row r="122" spans="1:16">
      <c r="A122" s="249" t="s">
        <v>45</v>
      </c>
      <c r="B122" s="27">
        <f>ROUND(B121*'Transmission Formula Rate (7)'!$B$27,0)</f>
        <v>1296</v>
      </c>
      <c r="C122" s="27">
        <f>ROUND(C121*'Transmission Formula Rate (7)'!$B$27,0)</f>
        <v>0</v>
      </c>
      <c r="D122" s="27">
        <f>ROUND(D121*'Transmission Formula Rate (7)'!$B$27,0)</f>
        <v>0</v>
      </c>
      <c r="E122" s="27">
        <f>ROUND(E121*'Transmission Formula Rate (7)'!$B$27,0)</f>
        <v>0</v>
      </c>
      <c r="F122" s="27">
        <f>ROUND(F121*'Transmission Formula Rate (7)'!$B$27,0)</f>
        <v>0</v>
      </c>
      <c r="G122" s="27">
        <f>ROUND(G121*'Transmission Formula Rate (7)'!$B$27,0)</f>
        <v>0</v>
      </c>
      <c r="H122" s="27">
        <f>ROUND(H121*'Transmission Formula Rate (7)'!$B$27,0)</f>
        <v>0</v>
      </c>
      <c r="I122" s="27">
        <f>ROUND(I121*'Transmission Formula Rate (7)'!$B$27,0)</f>
        <v>0</v>
      </c>
      <c r="J122" s="27">
        <f>ROUND(J121*'Transmission Formula Rate (7)'!$B$27,0)</f>
        <v>0</v>
      </c>
      <c r="K122" s="27">
        <f>ROUND(K121*'Transmission Formula Rate (7)'!$B$27,0)</f>
        <v>0</v>
      </c>
      <c r="L122" s="27">
        <f>ROUND(L121*'Transmission Formula Rate (7)'!$B$27,0)</f>
        <v>0</v>
      </c>
      <c r="M122" s="27">
        <f>ROUND(M121*'Transmission Formula Rate (7)'!$B$27,0)</f>
        <v>0</v>
      </c>
      <c r="N122" s="20">
        <f>SUM(B122:M122)</f>
        <v>1296</v>
      </c>
    </row>
    <row r="123" spans="1:16">
      <c r="A123" s="249" t="s">
        <v>290</v>
      </c>
      <c r="B123" s="27">
        <f t="shared" ref="B123:M123" si="52">B121+B122</f>
        <v>71365.439411680069</v>
      </c>
      <c r="C123" s="27">
        <f t="shared" si="52"/>
        <v>0</v>
      </c>
      <c r="D123" s="27">
        <f t="shared" si="52"/>
        <v>0</v>
      </c>
      <c r="E123" s="27">
        <f t="shared" si="52"/>
        <v>0</v>
      </c>
      <c r="F123" s="27">
        <f t="shared" si="52"/>
        <v>0</v>
      </c>
      <c r="G123" s="27">
        <f t="shared" si="52"/>
        <v>0</v>
      </c>
      <c r="H123" s="27">
        <f t="shared" si="52"/>
        <v>0</v>
      </c>
      <c r="I123" s="27">
        <f t="shared" si="52"/>
        <v>0</v>
      </c>
      <c r="J123" s="27">
        <f t="shared" si="52"/>
        <v>0</v>
      </c>
      <c r="K123" s="27">
        <f t="shared" si="52"/>
        <v>0</v>
      </c>
      <c r="L123" s="27">
        <f t="shared" si="52"/>
        <v>0</v>
      </c>
      <c r="M123" s="27">
        <f t="shared" si="52"/>
        <v>0</v>
      </c>
      <c r="N123" s="123">
        <f>SUM(B123:M123)</f>
        <v>71365.439411680069</v>
      </c>
    </row>
    <row r="124" spans="1:16">
      <c r="A124" s="247" t="s">
        <v>20</v>
      </c>
      <c r="B124" s="29">
        <f>B101</f>
        <v>1.59</v>
      </c>
      <c r="C124" s="29">
        <f t="shared" ref="C124:M124" si="53">C101</f>
        <v>1.59</v>
      </c>
      <c r="D124" s="29">
        <f t="shared" si="53"/>
        <v>1.59</v>
      </c>
      <c r="E124" s="29">
        <f t="shared" si="53"/>
        <v>1.59</v>
      </c>
      <c r="F124" s="29">
        <f t="shared" si="53"/>
        <v>1.59</v>
      </c>
      <c r="G124" s="29">
        <f t="shared" si="53"/>
        <v>1.59</v>
      </c>
      <c r="H124" s="29">
        <f t="shared" si="53"/>
        <v>1.59</v>
      </c>
      <c r="I124" s="29">
        <f t="shared" si="53"/>
        <v>1.59</v>
      </c>
      <c r="J124" s="29">
        <f t="shared" si="53"/>
        <v>1.59</v>
      </c>
      <c r="K124" s="29">
        <f t="shared" si="53"/>
        <v>1.59</v>
      </c>
      <c r="L124" s="29">
        <f t="shared" si="53"/>
        <v>1.59</v>
      </c>
      <c r="M124" s="29">
        <f t="shared" si="53"/>
        <v>1.59</v>
      </c>
      <c r="N124" s="19"/>
      <c r="O124" s="270"/>
    </row>
    <row r="125" spans="1:16">
      <c r="A125" s="247" t="s">
        <v>17</v>
      </c>
      <c r="B125" s="20">
        <f t="shared" ref="B125:M125" si="54">B123*B124</f>
        <v>113471.04866457131</v>
      </c>
      <c r="C125" s="20">
        <f t="shared" si="54"/>
        <v>0</v>
      </c>
      <c r="D125" s="20">
        <f t="shared" si="54"/>
        <v>0</v>
      </c>
      <c r="E125" s="20">
        <f t="shared" si="54"/>
        <v>0</v>
      </c>
      <c r="F125" s="20">
        <f t="shared" si="54"/>
        <v>0</v>
      </c>
      <c r="G125" s="20">
        <f t="shared" si="54"/>
        <v>0</v>
      </c>
      <c r="H125" s="20">
        <f t="shared" si="54"/>
        <v>0</v>
      </c>
      <c r="I125" s="20">
        <f t="shared" si="54"/>
        <v>0</v>
      </c>
      <c r="J125" s="20">
        <f t="shared" si="54"/>
        <v>0</v>
      </c>
      <c r="K125" s="20">
        <f t="shared" si="54"/>
        <v>0</v>
      </c>
      <c r="L125" s="20">
        <f t="shared" si="54"/>
        <v>0</v>
      </c>
      <c r="M125" s="20">
        <f t="shared" si="54"/>
        <v>0</v>
      </c>
      <c r="N125" s="20">
        <f>SUM(B125:M125)</f>
        <v>113471.04866457131</v>
      </c>
    </row>
    <row r="127" spans="1:16">
      <c r="A127" s="247" t="s">
        <v>135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6">
      <c r="A128" s="249" t="s">
        <v>47</v>
      </c>
      <c r="B128" s="232">
        <f>B121</f>
        <v>70069.439411680069</v>
      </c>
      <c r="C128" s="232">
        <f t="shared" ref="C128:M128" si="55">C121</f>
        <v>0</v>
      </c>
      <c r="D128" s="232">
        <f t="shared" si="55"/>
        <v>0</v>
      </c>
      <c r="E128" s="232">
        <f t="shared" si="55"/>
        <v>0</v>
      </c>
      <c r="F128" s="232">
        <f t="shared" si="55"/>
        <v>0</v>
      </c>
      <c r="G128" s="232">
        <f t="shared" si="55"/>
        <v>0</v>
      </c>
      <c r="H128" s="232">
        <f t="shared" si="55"/>
        <v>0</v>
      </c>
      <c r="I128" s="232">
        <f t="shared" si="55"/>
        <v>0</v>
      </c>
      <c r="J128" s="232">
        <f t="shared" si="55"/>
        <v>0</v>
      </c>
      <c r="K128" s="232">
        <f t="shared" si="55"/>
        <v>0</v>
      </c>
      <c r="L128" s="232">
        <f t="shared" si="55"/>
        <v>0</v>
      </c>
      <c r="M128" s="232">
        <f t="shared" si="55"/>
        <v>0</v>
      </c>
      <c r="N128" s="20">
        <f>SUM(B128:M128)</f>
        <v>70069.439411680069</v>
      </c>
    </row>
    <row r="129" spans="1:14">
      <c r="A129" s="249" t="s">
        <v>45</v>
      </c>
      <c r="B129" s="27">
        <f>ROUND(B128*'Transmission Formula Rate (7)'!$B$27,0)</f>
        <v>1296</v>
      </c>
      <c r="C129" s="27">
        <f>ROUND(C128*'Transmission Formula Rate (7)'!$B$27,0)</f>
        <v>0</v>
      </c>
      <c r="D129" s="27">
        <f>ROUND(D128*'Transmission Formula Rate (7)'!$B$27,0)</f>
        <v>0</v>
      </c>
      <c r="E129" s="27">
        <f>ROUND(E128*'Transmission Formula Rate (7)'!$B$27,0)</f>
        <v>0</v>
      </c>
      <c r="F129" s="27">
        <f>ROUND(F128*'Transmission Formula Rate (7)'!$B$27,0)</f>
        <v>0</v>
      </c>
      <c r="G129" s="27">
        <f>ROUND(G128*'Transmission Formula Rate (7)'!$B$27,0)</f>
        <v>0</v>
      </c>
      <c r="H129" s="27">
        <f>ROUND(H128*'Transmission Formula Rate (7)'!$B$27,0)</f>
        <v>0</v>
      </c>
      <c r="I129" s="27">
        <f>ROUND(I128*'Transmission Formula Rate (7)'!$B$27,0)</f>
        <v>0</v>
      </c>
      <c r="J129" s="27">
        <f>ROUND(J128*'Transmission Formula Rate (7)'!$B$27,0)</f>
        <v>0</v>
      </c>
      <c r="K129" s="27">
        <f>ROUND(K128*'Transmission Formula Rate (7)'!$B$27,0)</f>
        <v>0</v>
      </c>
      <c r="L129" s="27">
        <f>ROUND(L128*'Transmission Formula Rate (7)'!$B$27,0)</f>
        <v>0</v>
      </c>
      <c r="M129" s="27">
        <f>ROUND(M128*'Transmission Formula Rate (7)'!$B$27,0)</f>
        <v>0</v>
      </c>
      <c r="N129" s="20">
        <f>SUM(B129:M129)</f>
        <v>1296</v>
      </c>
    </row>
    <row r="130" spans="1:14">
      <c r="A130" s="249" t="s">
        <v>290</v>
      </c>
      <c r="B130" s="27">
        <f t="shared" ref="B130:M130" si="56">B128+B129</f>
        <v>71365.439411680069</v>
      </c>
      <c r="C130" s="27">
        <f t="shared" si="56"/>
        <v>0</v>
      </c>
      <c r="D130" s="27">
        <f t="shared" si="56"/>
        <v>0</v>
      </c>
      <c r="E130" s="27">
        <f t="shared" si="56"/>
        <v>0</v>
      </c>
      <c r="F130" s="27">
        <f t="shared" si="56"/>
        <v>0</v>
      </c>
      <c r="G130" s="27">
        <f t="shared" si="56"/>
        <v>0</v>
      </c>
      <c r="H130" s="27">
        <f t="shared" si="56"/>
        <v>0</v>
      </c>
      <c r="I130" s="27">
        <f t="shared" si="56"/>
        <v>0</v>
      </c>
      <c r="J130" s="27">
        <f t="shared" si="56"/>
        <v>0</v>
      </c>
      <c r="K130" s="27">
        <f t="shared" si="56"/>
        <v>0</v>
      </c>
      <c r="L130" s="27">
        <f t="shared" si="56"/>
        <v>0</v>
      </c>
      <c r="M130" s="27">
        <f t="shared" si="56"/>
        <v>0</v>
      </c>
      <c r="N130" s="123">
        <f>SUM(B130:M130)</f>
        <v>71365.439411680069</v>
      </c>
    </row>
    <row r="131" spans="1:14">
      <c r="A131" s="247" t="s">
        <v>143</v>
      </c>
      <c r="B131" s="31">
        <f>'charges (1 &amp; 2)'!$H$38</f>
        <v>1.274E-2</v>
      </c>
      <c r="C131" s="31">
        <f>B131</f>
        <v>1.274E-2</v>
      </c>
      <c r="D131" s="31">
        <f t="shared" ref="D131:M131" si="57">C131</f>
        <v>1.274E-2</v>
      </c>
      <c r="E131" s="31">
        <f t="shared" si="57"/>
        <v>1.274E-2</v>
      </c>
      <c r="F131" s="31">
        <f t="shared" si="57"/>
        <v>1.274E-2</v>
      </c>
      <c r="G131" s="31">
        <f t="shared" si="57"/>
        <v>1.274E-2</v>
      </c>
      <c r="H131" s="31">
        <f t="shared" si="57"/>
        <v>1.274E-2</v>
      </c>
      <c r="I131" s="31">
        <f t="shared" si="57"/>
        <v>1.274E-2</v>
      </c>
      <c r="J131" s="31">
        <f t="shared" si="57"/>
        <v>1.274E-2</v>
      </c>
      <c r="K131" s="31">
        <f t="shared" si="57"/>
        <v>1.274E-2</v>
      </c>
      <c r="L131" s="31">
        <f t="shared" si="57"/>
        <v>1.274E-2</v>
      </c>
      <c r="M131" s="31">
        <f t="shared" si="57"/>
        <v>1.274E-2</v>
      </c>
      <c r="N131" s="19"/>
    </row>
    <row r="132" spans="1:14">
      <c r="A132" s="247" t="s">
        <v>17</v>
      </c>
      <c r="B132" s="20">
        <f>B130*B131</f>
        <v>909.19569810480402</v>
      </c>
      <c r="C132" s="20">
        <f t="shared" ref="C132:M132" si="58">C130*C131</f>
        <v>0</v>
      </c>
      <c r="D132" s="20">
        <f t="shared" si="58"/>
        <v>0</v>
      </c>
      <c r="E132" s="20">
        <f t="shared" si="58"/>
        <v>0</v>
      </c>
      <c r="F132" s="20">
        <f t="shared" si="58"/>
        <v>0</v>
      </c>
      <c r="G132" s="20">
        <f t="shared" si="58"/>
        <v>0</v>
      </c>
      <c r="H132" s="20">
        <f t="shared" si="58"/>
        <v>0</v>
      </c>
      <c r="I132" s="20">
        <f t="shared" si="58"/>
        <v>0</v>
      </c>
      <c r="J132" s="20">
        <f t="shared" si="58"/>
        <v>0</v>
      </c>
      <c r="K132" s="20">
        <f t="shared" si="58"/>
        <v>0</v>
      </c>
      <c r="L132" s="20">
        <f t="shared" si="58"/>
        <v>0</v>
      </c>
      <c r="M132" s="20">
        <f t="shared" si="58"/>
        <v>0</v>
      </c>
      <c r="N132" s="20">
        <f>SUM(B132:M132)</f>
        <v>909.19569810480402</v>
      </c>
    </row>
    <row r="133" spans="1:14">
      <c r="A133" s="24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>
      <c r="A134" s="247" t="s">
        <v>38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>
      <c r="A135" s="249" t="s">
        <v>47</v>
      </c>
      <c r="B135" s="20">
        <f>B121</f>
        <v>70069.439411680069</v>
      </c>
      <c r="C135" s="20">
        <f t="shared" ref="C135:M135" si="59">C121</f>
        <v>0</v>
      </c>
      <c r="D135" s="20">
        <f t="shared" si="59"/>
        <v>0</v>
      </c>
      <c r="E135" s="20">
        <f t="shared" si="59"/>
        <v>0</v>
      </c>
      <c r="F135" s="20">
        <f t="shared" si="59"/>
        <v>0</v>
      </c>
      <c r="G135" s="20">
        <f t="shared" si="59"/>
        <v>0</v>
      </c>
      <c r="H135" s="20">
        <f t="shared" si="59"/>
        <v>0</v>
      </c>
      <c r="I135" s="20">
        <f t="shared" si="59"/>
        <v>0</v>
      </c>
      <c r="J135" s="20">
        <f t="shared" si="59"/>
        <v>0</v>
      </c>
      <c r="K135" s="20">
        <f t="shared" si="59"/>
        <v>0</v>
      </c>
      <c r="L135" s="20">
        <f t="shared" si="59"/>
        <v>0</v>
      </c>
      <c r="M135" s="20">
        <f t="shared" si="59"/>
        <v>0</v>
      </c>
      <c r="N135" s="20">
        <f>SUM(B135:M135)</f>
        <v>70069.439411680069</v>
      </c>
    </row>
    <row r="136" spans="1:14">
      <c r="A136" s="249" t="s">
        <v>45</v>
      </c>
      <c r="B136" s="27">
        <f>ROUND(B135*'Transmission Formula Rate (7)'!$B$27,0)</f>
        <v>1296</v>
      </c>
      <c r="C136" s="27">
        <f>ROUND(C135*'Transmission Formula Rate (7)'!$B$27,0)</f>
        <v>0</v>
      </c>
      <c r="D136" s="27">
        <f>ROUND(D135*'Transmission Formula Rate (7)'!$B$27,0)</f>
        <v>0</v>
      </c>
      <c r="E136" s="27">
        <f>ROUND(E135*'Transmission Formula Rate (7)'!$B$27,0)</f>
        <v>0</v>
      </c>
      <c r="F136" s="27">
        <f>ROUND(F135*'Transmission Formula Rate (7)'!$B$27,0)</f>
        <v>0</v>
      </c>
      <c r="G136" s="27">
        <f>ROUND(G135*'Transmission Formula Rate (7)'!$B$27,0)</f>
        <v>0</v>
      </c>
      <c r="H136" s="27">
        <f>ROUND(H135*'Transmission Formula Rate (7)'!$B$27,0)</f>
        <v>0</v>
      </c>
      <c r="I136" s="27">
        <f>ROUND(I135*'Transmission Formula Rate (7)'!$B$27,0)</f>
        <v>0</v>
      </c>
      <c r="J136" s="27">
        <f>ROUND(J135*'Transmission Formula Rate (7)'!$B$27,0)</f>
        <v>0</v>
      </c>
      <c r="K136" s="27">
        <f>ROUND(K135*'Transmission Formula Rate (7)'!$B$27,0)</f>
        <v>0</v>
      </c>
      <c r="L136" s="27">
        <f>ROUND(L135*'Transmission Formula Rate (7)'!$B$27,0)</f>
        <v>0</v>
      </c>
      <c r="M136" s="27">
        <f>ROUND(M135*'Transmission Formula Rate (7)'!$B$27,0)</f>
        <v>0</v>
      </c>
      <c r="N136" s="20">
        <f>SUM(B136:M136)</f>
        <v>1296</v>
      </c>
    </row>
    <row r="137" spans="1:14">
      <c r="A137" s="249" t="s">
        <v>290</v>
      </c>
      <c r="B137" s="27">
        <f t="shared" ref="B137:M137" si="60">B135+B136</f>
        <v>71365.439411680069</v>
      </c>
      <c r="C137" s="27">
        <f t="shared" si="60"/>
        <v>0</v>
      </c>
      <c r="D137" s="27">
        <f t="shared" si="60"/>
        <v>0</v>
      </c>
      <c r="E137" s="27">
        <f t="shared" si="60"/>
        <v>0</v>
      </c>
      <c r="F137" s="27">
        <f t="shared" si="60"/>
        <v>0</v>
      </c>
      <c r="G137" s="27">
        <f t="shared" si="60"/>
        <v>0</v>
      </c>
      <c r="H137" s="27">
        <f t="shared" si="60"/>
        <v>0</v>
      </c>
      <c r="I137" s="27">
        <f t="shared" si="60"/>
        <v>0</v>
      </c>
      <c r="J137" s="27">
        <f t="shared" si="60"/>
        <v>0</v>
      </c>
      <c r="K137" s="27">
        <f t="shared" si="60"/>
        <v>0</v>
      </c>
      <c r="L137" s="27">
        <f t="shared" si="60"/>
        <v>0</v>
      </c>
      <c r="M137" s="27">
        <f t="shared" si="60"/>
        <v>0</v>
      </c>
      <c r="N137" s="123">
        <f>SUM(B137:M137)</f>
        <v>71365.439411680069</v>
      </c>
    </row>
    <row r="138" spans="1:14">
      <c r="A138" s="247" t="s">
        <v>144</v>
      </c>
      <c r="B138" s="31">
        <f>'charges (1 &amp; 2)'!H10</f>
        <v>0.1008</v>
      </c>
      <c r="C138" s="31">
        <f>B138</f>
        <v>0.1008</v>
      </c>
      <c r="D138" s="31">
        <f t="shared" ref="D138:M138" si="61">C138</f>
        <v>0.1008</v>
      </c>
      <c r="E138" s="31">
        <f t="shared" si="61"/>
        <v>0.1008</v>
      </c>
      <c r="F138" s="31">
        <f t="shared" si="61"/>
        <v>0.1008</v>
      </c>
      <c r="G138" s="31">
        <f t="shared" si="61"/>
        <v>0.1008</v>
      </c>
      <c r="H138" s="31">
        <f t="shared" si="61"/>
        <v>0.1008</v>
      </c>
      <c r="I138" s="31">
        <f t="shared" si="61"/>
        <v>0.1008</v>
      </c>
      <c r="J138" s="31">
        <f t="shared" si="61"/>
        <v>0.1008</v>
      </c>
      <c r="K138" s="31">
        <f t="shared" si="61"/>
        <v>0.1008</v>
      </c>
      <c r="L138" s="31">
        <f t="shared" si="61"/>
        <v>0.1008</v>
      </c>
      <c r="M138" s="31">
        <f t="shared" si="61"/>
        <v>0.1008</v>
      </c>
      <c r="N138" s="20"/>
    </row>
    <row r="139" spans="1:14">
      <c r="A139" s="247" t="s">
        <v>17</v>
      </c>
      <c r="B139" s="20">
        <f>B137*B138</f>
        <v>7193.6362926973507</v>
      </c>
      <c r="C139" s="20">
        <f t="shared" ref="C139:M139" si="62">C137*C138</f>
        <v>0</v>
      </c>
      <c r="D139" s="20">
        <f t="shared" si="62"/>
        <v>0</v>
      </c>
      <c r="E139" s="20">
        <f t="shared" si="62"/>
        <v>0</v>
      </c>
      <c r="F139" s="20">
        <f t="shared" si="62"/>
        <v>0</v>
      </c>
      <c r="G139" s="20">
        <f t="shared" si="62"/>
        <v>0</v>
      </c>
      <c r="H139" s="20">
        <f t="shared" si="62"/>
        <v>0</v>
      </c>
      <c r="I139" s="20">
        <f t="shared" si="62"/>
        <v>0</v>
      </c>
      <c r="J139" s="20">
        <f t="shared" si="62"/>
        <v>0</v>
      </c>
      <c r="K139" s="20">
        <f t="shared" si="62"/>
        <v>0</v>
      </c>
      <c r="L139" s="20">
        <f t="shared" si="62"/>
        <v>0</v>
      </c>
      <c r="M139" s="20">
        <f t="shared" si="62"/>
        <v>0</v>
      </c>
      <c r="N139" s="20">
        <f>SUM(B139:M139)</f>
        <v>7193.6362926973507</v>
      </c>
    </row>
    <row r="141" spans="1:14">
      <c r="B141" s="23" t="s">
        <v>0</v>
      </c>
      <c r="C141" s="23" t="s">
        <v>1</v>
      </c>
      <c r="D141" s="23" t="s">
        <v>2</v>
      </c>
      <c r="E141" s="23" t="s">
        <v>3</v>
      </c>
      <c r="F141" s="23" t="s">
        <v>4</v>
      </c>
      <c r="G141" s="23" t="s">
        <v>5</v>
      </c>
      <c r="H141" s="23" t="s">
        <v>6</v>
      </c>
      <c r="I141" s="23" t="s">
        <v>7</v>
      </c>
      <c r="J141" s="23" t="s">
        <v>8</v>
      </c>
      <c r="K141" s="23" t="s">
        <v>9</v>
      </c>
      <c r="L141" s="23" t="s">
        <v>10</v>
      </c>
      <c r="M141" s="23" t="s">
        <v>11</v>
      </c>
      <c r="N141" s="23" t="s">
        <v>12</v>
      </c>
    </row>
    <row r="142" spans="1:14">
      <c r="A142" s="248">
        <v>2020</v>
      </c>
    </row>
    <row r="143" spans="1:14">
      <c r="A143" s="247" t="s">
        <v>37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>
      <c r="A144" s="249" t="s">
        <v>47</v>
      </c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0">
        <f>SUM(B144:M144)</f>
        <v>0</v>
      </c>
    </row>
    <row r="145" spans="1:14">
      <c r="A145" s="249" t="s">
        <v>45</v>
      </c>
      <c r="B145" s="27">
        <f>ROUND(B144*'Transmission Formula Rate (7)'!$B$27,0)</f>
        <v>0</v>
      </c>
      <c r="C145" s="27">
        <f>ROUND(C144*'Transmission Formula Rate (7)'!$B$27,0)</f>
        <v>0</v>
      </c>
      <c r="D145" s="27">
        <f>ROUND(D144*'Transmission Formula Rate (7)'!$B$27,0)</f>
        <v>0</v>
      </c>
      <c r="E145" s="27">
        <f>ROUND(E144*'Transmission Formula Rate (7)'!$B$27,0)</f>
        <v>0</v>
      </c>
      <c r="F145" s="27">
        <f>ROUND(F144*'Transmission Formula Rate (7)'!$B$27,0)</f>
        <v>0</v>
      </c>
      <c r="G145" s="27">
        <f>ROUND(G144*'Transmission Formula Rate (7)'!$B$27,0)</f>
        <v>0</v>
      </c>
      <c r="H145" s="27">
        <f>ROUND(H144*'Transmission Formula Rate (7)'!$B$27,0)</f>
        <v>0</v>
      </c>
      <c r="I145" s="27">
        <f>ROUND(I144*'Transmission Formula Rate (7)'!$B$27,0)</f>
        <v>0</v>
      </c>
      <c r="J145" s="27">
        <f>ROUND(J144*'Transmission Formula Rate (7)'!$B$27,0)</f>
        <v>0</v>
      </c>
      <c r="K145" s="27">
        <f>ROUND(K144*'Transmission Formula Rate (7)'!$B$27,0)</f>
        <v>0</v>
      </c>
      <c r="L145" s="27">
        <f>ROUND(L144*'Transmission Formula Rate (7)'!$B$27,0)</f>
        <v>0</v>
      </c>
      <c r="M145" s="27">
        <f>ROUND(M144*'Transmission Formula Rate (7)'!$B$27,0)</f>
        <v>0</v>
      </c>
      <c r="N145" s="20">
        <f>SUM(B145:M145)</f>
        <v>0</v>
      </c>
    </row>
    <row r="146" spans="1:14">
      <c r="A146" s="249" t="s">
        <v>290</v>
      </c>
      <c r="B146" s="27">
        <f t="shared" ref="B146:M146" si="63">B144+B145</f>
        <v>0</v>
      </c>
      <c r="C146" s="27">
        <f t="shared" si="63"/>
        <v>0</v>
      </c>
      <c r="D146" s="27">
        <f t="shared" si="63"/>
        <v>0</v>
      </c>
      <c r="E146" s="27">
        <f t="shared" si="63"/>
        <v>0</v>
      </c>
      <c r="F146" s="27">
        <f t="shared" si="63"/>
        <v>0</v>
      </c>
      <c r="G146" s="27">
        <f t="shared" si="63"/>
        <v>0</v>
      </c>
      <c r="H146" s="27">
        <f t="shared" si="63"/>
        <v>0</v>
      </c>
      <c r="I146" s="27">
        <f t="shared" si="63"/>
        <v>0</v>
      </c>
      <c r="J146" s="27">
        <f t="shared" si="63"/>
        <v>0</v>
      </c>
      <c r="K146" s="27">
        <f t="shared" si="63"/>
        <v>0</v>
      </c>
      <c r="L146" s="27">
        <f t="shared" si="63"/>
        <v>0</v>
      </c>
      <c r="M146" s="27">
        <f t="shared" si="63"/>
        <v>0</v>
      </c>
      <c r="N146" s="123">
        <f>SUM(B146:M146)</f>
        <v>0</v>
      </c>
    </row>
    <row r="147" spans="1:14">
      <c r="A147" s="247" t="s">
        <v>20</v>
      </c>
      <c r="B147" s="29">
        <f>B124</f>
        <v>1.59</v>
      </c>
      <c r="C147" s="29">
        <f t="shared" ref="C147:M147" si="64">C124</f>
        <v>1.59</v>
      </c>
      <c r="D147" s="29">
        <f t="shared" si="64"/>
        <v>1.59</v>
      </c>
      <c r="E147" s="29">
        <f t="shared" si="64"/>
        <v>1.59</v>
      </c>
      <c r="F147" s="29">
        <f t="shared" si="64"/>
        <v>1.59</v>
      </c>
      <c r="G147" s="29">
        <f t="shared" si="64"/>
        <v>1.59</v>
      </c>
      <c r="H147" s="29">
        <f t="shared" si="64"/>
        <v>1.59</v>
      </c>
      <c r="I147" s="29">
        <f t="shared" si="64"/>
        <v>1.59</v>
      </c>
      <c r="J147" s="29">
        <f t="shared" si="64"/>
        <v>1.59</v>
      </c>
      <c r="K147" s="29">
        <f t="shared" si="64"/>
        <v>1.59</v>
      </c>
      <c r="L147" s="29">
        <f t="shared" si="64"/>
        <v>1.59</v>
      </c>
      <c r="M147" s="29">
        <f t="shared" si="64"/>
        <v>1.59</v>
      </c>
      <c r="N147" s="19"/>
    </row>
    <row r="148" spans="1:14">
      <c r="A148" s="247" t="s">
        <v>17</v>
      </c>
      <c r="B148" s="20">
        <f t="shared" ref="B148:M148" si="65">B146*B147</f>
        <v>0</v>
      </c>
      <c r="C148" s="20">
        <f t="shared" si="65"/>
        <v>0</v>
      </c>
      <c r="D148" s="20">
        <f t="shared" si="65"/>
        <v>0</v>
      </c>
      <c r="E148" s="20">
        <f t="shared" si="65"/>
        <v>0</v>
      </c>
      <c r="F148" s="20">
        <f t="shared" si="65"/>
        <v>0</v>
      </c>
      <c r="G148" s="20">
        <f t="shared" si="65"/>
        <v>0</v>
      </c>
      <c r="H148" s="20">
        <f t="shared" si="65"/>
        <v>0</v>
      </c>
      <c r="I148" s="20">
        <f t="shared" si="65"/>
        <v>0</v>
      </c>
      <c r="J148" s="20">
        <f t="shared" si="65"/>
        <v>0</v>
      </c>
      <c r="K148" s="20">
        <f t="shared" si="65"/>
        <v>0</v>
      </c>
      <c r="L148" s="20">
        <f t="shared" si="65"/>
        <v>0</v>
      </c>
      <c r="M148" s="20">
        <f t="shared" si="65"/>
        <v>0</v>
      </c>
      <c r="N148" s="20">
        <f>SUM(B148:M148)</f>
        <v>0</v>
      </c>
    </row>
    <row r="150" spans="1:14">
      <c r="A150" s="247" t="s">
        <v>135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>
      <c r="A151" s="249" t="s">
        <v>47</v>
      </c>
      <c r="B151" s="232">
        <f>B144</f>
        <v>0</v>
      </c>
      <c r="C151" s="232">
        <f t="shared" ref="C151:M151" si="66">C144</f>
        <v>0</v>
      </c>
      <c r="D151" s="232">
        <f t="shared" si="66"/>
        <v>0</v>
      </c>
      <c r="E151" s="232">
        <f t="shared" si="66"/>
        <v>0</v>
      </c>
      <c r="F151" s="232">
        <f t="shared" si="66"/>
        <v>0</v>
      </c>
      <c r="G151" s="232">
        <f t="shared" si="66"/>
        <v>0</v>
      </c>
      <c r="H151" s="232">
        <f t="shared" si="66"/>
        <v>0</v>
      </c>
      <c r="I151" s="232">
        <f t="shared" si="66"/>
        <v>0</v>
      </c>
      <c r="J151" s="232">
        <f t="shared" si="66"/>
        <v>0</v>
      </c>
      <c r="K151" s="232">
        <f t="shared" si="66"/>
        <v>0</v>
      </c>
      <c r="L151" s="232">
        <f t="shared" si="66"/>
        <v>0</v>
      </c>
      <c r="M151" s="232">
        <f t="shared" si="66"/>
        <v>0</v>
      </c>
      <c r="N151" s="20">
        <f>SUM(B151:M151)</f>
        <v>0</v>
      </c>
    </row>
    <row r="152" spans="1:14">
      <c r="A152" s="249" t="s">
        <v>45</v>
      </c>
      <c r="B152" s="27">
        <f>ROUND(B151*'Transmission Formula Rate (7)'!$B$27,0)</f>
        <v>0</v>
      </c>
      <c r="C152" s="27">
        <f>ROUND(C151*'Transmission Formula Rate (7)'!$B$27,0)</f>
        <v>0</v>
      </c>
      <c r="D152" s="27">
        <f>ROUND(D151*'Transmission Formula Rate (7)'!$B$27,0)</f>
        <v>0</v>
      </c>
      <c r="E152" s="27">
        <f>ROUND(E151*'Transmission Formula Rate (7)'!$B$27,0)</f>
        <v>0</v>
      </c>
      <c r="F152" s="27">
        <f>ROUND(F151*'Transmission Formula Rate (7)'!$B$27,0)</f>
        <v>0</v>
      </c>
      <c r="G152" s="27">
        <f>ROUND(G151*'Transmission Formula Rate (7)'!$B$27,0)</f>
        <v>0</v>
      </c>
      <c r="H152" s="27">
        <f>ROUND(H151*'Transmission Formula Rate (7)'!$B$27,0)</f>
        <v>0</v>
      </c>
      <c r="I152" s="27">
        <f>ROUND(I151*'Transmission Formula Rate (7)'!$B$27,0)</f>
        <v>0</v>
      </c>
      <c r="J152" s="27">
        <f>ROUND(J151*'Transmission Formula Rate (7)'!$B$27,0)</f>
        <v>0</v>
      </c>
      <c r="K152" s="27">
        <f>ROUND(K151*'Transmission Formula Rate (7)'!$B$27,0)</f>
        <v>0</v>
      </c>
      <c r="L152" s="27">
        <f>ROUND(L151*'Transmission Formula Rate (7)'!$B$27,0)</f>
        <v>0</v>
      </c>
      <c r="M152" s="27">
        <f>ROUND(M151*'Transmission Formula Rate (7)'!$B$27,0)</f>
        <v>0</v>
      </c>
      <c r="N152" s="20">
        <f>SUM(B152:M152)</f>
        <v>0</v>
      </c>
    </row>
    <row r="153" spans="1:14">
      <c r="A153" s="249" t="s">
        <v>290</v>
      </c>
      <c r="B153" s="27">
        <f t="shared" ref="B153:M153" si="67">B151+B152</f>
        <v>0</v>
      </c>
      <c r="C153" s="27">
        <f t="shared" si="67"/>
        <v>0</v>
      </c>
      <c r="D153" s="27">
        <f t="shared" si="67"/>
        <v>0</v>
      </c>
      <c r="E153" s="27">
        <f t="shared" si="67"/>
        <v>0</v>
      </c>
      <c r="F153" s="27">
        <f t="shared" si="67"/>
        <v>0</v>
      </c>
      <c r="G153" s="27">
        <f t="shared" si="67"/>
        <v>0</v>
      </c>
      <c r="H153" s="27">
        <f t="shared" si="67"/>
        <v>0</v>
      </c>
      <c r="I153" s="27">
        <f t="shared" si="67"/>
        <v>0</v>
      </c>
      <c r="J153" s="27">
        <f t="shared" si="67"/>
        <v>0</v>
      </c>
      <c r="K153" s="27">
        <f t="shared" si="67"/>
        <v>0</v>
      </c>
      <c r="L153" s="27">
        <f t="shared" si="67"/>
        <v>0</v>
      </c>
      <c r="M153" s="27">
        <f t="shared" si="67"/>
        <v>0</v>
      </c>
      <c r="N153" s="123">
        <f>SUM(B153:M153)</f>
        <v>0</v>
      </c>
    </row>
    <row r="154" spans="1:14">
      <c r="A154" s="247" t="s">
        <v>143</v>
      </c>
      <c r="B154" s="31">
        <f>'charges (1 &amp; 2)'!$H$38</f>
        <v>1.274E-2</v>
      </c>
      <c r="C154" s="31">
        <f>B154</f>
        <v>1.274E-2</v>
      </c>
      <c r="D154" s="31">
        <f t="shared" ref="D154" si="68">C154</f>
        <v>1.274E-2</v>
      </c>
      <c r="E154" s="31">
        <f t="shared" ref="E154" si="69">D154</f>
        <v>1.274E-2</v>
      </c>
      <c r="F154" s="31">
        <f t="shared" ref="F154" si="70">E154</f>
        <v>1.274E-2</v>
      </c>
      <c r="G154" s="31">
        <f t="shared" ref="G154" si="71">F154</f>
        <v>1.274E-2</v>
      </c>
      <c r="H154" s="31">
        <f t="shared" ref="H154" si="72">G154</f>
        <v>1.274E-2</v>
      </c>
      <c r="I154" s="31">
        <f t="shared" ref="I154" si="73">H154</f>
        <v>1.274E-2</v>
      </c>
      <c r="J154" s="31">
        <f t="shared" ref="J154" si="74">I154</f>
        <v>1.274E-2</v>
      </c>
      <c r="K154" s="31">
        <f t="shared" ref="K154" si="75">J154</f>
        <v>1.274E-2</v>
      </c>
      <c r="L154" s="31">
        <f t="shared" ref="L154" si="76">K154</f>
        <v>1.274E-2</v>
      </c>
      <c r="M154" s="31">
        <f t="shared" ref="M154" si="77">L154</f>
        <v>1.274E-2</v>
      </c>
      <c r="N154" s="19"/>
    </row>
    <row r="155" spans="1:14">
      <c r="A155" s="247" t="s">
        <v>17</v>
      </c>
      <c r="B155" s="20">
        <f>B153*B154</f>
        <v>0</v>
      </c>
      <c r="C155" s="20">
        <f t="shared" ref="C155:M155" si="78">C153*C154</f>
        <v>0</v>
      </c>
      <c r="D155" s="20">
        <f t="shared" si="78"/>
        <v>0</v>
      </c>
      <c r="E155" s="20">
        <f t="shared" si="78"/>
        <v>0</v>
      </c>
      <c r="F155" s="20">
        <f t="shared" si="78"/>
        <v>0</v>
      </c>
      <c r="G155" s="20">
        <f t="shared" si="78"/>
        <v>0</v>
      </c>
      <c r="H155" s="20">
        <f t="shared" si="78"/>
        <v>0</v>
      </c>
      <c r="I155" s="20">
        <f t="shared" si="78"/>
        <v>0</v>
      </c>
      <c r="J155" s="20">
        <f t="shared" si="78"/>
        <v>0</v>
      </c>
      <c r="K155" s="20">
        <f t="shared" si="78"/>
        <v>0</v>
      </c>
      <c r="L155" s="20">
        <f t="shared" si="78"/>
        <v>0</v>
      </c>
      <c r="M155" s="20">
        <f t="shared" si="78"/>
        <v>0</v>
      </c>
      <c r="N155" s="20">
        <f>SUM(B155:M155)</f>
        <v>0</v>
      </c>
    </row>
    <row r="157" spans="1:14">
      <c r="A157" s="247" t="s">
        <v>38</v>
      </c>
    </row>
    <row r="158" spans="1:14">
      <c r="A158" s="249" t="s">
        <v>47</v>
      </c>
      <c r="B158" s="232">
        <f>B144</f>
        <v>0</v>
      </c>
      <c r="C158" s="232">
        <f t="shared" ref="C158:M158" si="79">C144</f>
        <v>0</v>
      </c>
      <c r="D158" s="232">
        <f t="shared" si="79"/>
        <v>0</v>
      </c>
      <c r="E158" s="232">
        <f t="shared" si="79"/>
        <v>0</v>
      </c>
      <c r="F158" s="232">
        <f t="shared" si="79"/>
        <v>0</v>
      </c>
      <c r="G158" s="232">
        <f t="shared" si="79"/>
        <v>0</v>
      </c>
      <c r="H158" s="232">
        <f t="shared" si="79"/>
        <v>0</v>
      </c>
      <c r="I158" s="232">
        <f t="shared" si="79"/>
        <v>0</v>
      </c>
      <c r="J158" s="232">
        <f t="shared" si="79"/>
        <v>0</v>
      </c>
      <c r="K158" s="232">
        <f t="shared" si="79"/>
        <v>0</v>
      </c>
      <c r="L158" s="232">
        <f t="shared" si="79"/>
        <v>0</v>
      </c>
      <c r="M158" s="232">
        <f t="shared" si="79"/>
        <v>0</v>
      </c>
      <c r="N158" s="20">
        <f>SUM(B158:M158)</f>
        <v>0</v>
      </c>
    </row>
    <row r="159" spans="1:14">
      <c r="A159" s="249" t="s">
        <v>45</v>
      </c>
      <c r="B159" s="27">
        <f>ROUND(B158*'Transmission Formula Rate (7)'!$B$27,0)</f>
        <v>0</v>
      </c>
      <c r="C159" s="27">
        <f>ROUND(C158*'Transmission Formula Rate (7)'!$B$27,0)</f>
        <v>0</v>
      </c>
      <c r="D159" s="27">
        <f>ROUND(D158*'Transmission Formula Rate (7)'!$B$27,0)</f>
        <v>0</v>
      </c>
      <c r="E159" s="27">
        <f>ROUND(E158*'Transmission Formula Rate (7)'!$B$27,0)</f>
        <v>0</v>
      </c>
      <c r="F159" s="27">
        <f>ROUND(F158*'Transmission Formula Rate (7)'!$B$27,0)</f>
        <v>0</v>
      </c>
      <c r="G159" s="27">
        <f>ROUND(G158*'Transmission Formula Rate (7)'!$B$27,0)</f>
        <v>0</v>
      </c>
      <c r="H159" s="27">
        <f>ROUND(H158*'Transmission Formula Rate (7)'!$B$27,0)</f>
        <v>0</v>
      </c>
      <c r="I159" s="27">
        <f>ROUND(I158*'Transmission Formula Rate (7)'!$B$27,0)</f>
        <v>0</v>
      </c>
      <c r="J159" s="27">
        <f>ROUND(J158*'Transmission Formula Rate (7)'!$B$27,0)</f>
        <v>0</v>
      </c>
      <c r="K159" s="27">
        <f>ROUND(K158*'Transmission Formula Rate (7)'!$B$27,0)</f>
        <v>0</v>
      </c>
      <c r="L159" s="27">
        <f>ROUND(L158*'Transmission Formula Rate (7)'!$B$27,0)</f>
        <v>0</v>
      </c>
      <c r="M159" s="27">
        <f>ROUND(M158*'Transmission Formula Rate (7)'!$B$27,0)</f>
        <v>0</v>
      </c>
      <c r="N159" s="20">
        <f>SUM(B159:M159)</f>
        <v>0</v>
      </c>
    </row>
    <row r="160" spans="1:14">
      <c r="A160" s="249" t="s">
        <v>290</v>
      </c>
      <c r="B160" s="27">
        <f t="shared" ref="B160:M160" si="80">B158+B159</f>
        <v>0</v>
      </c>
      <c r="C160" s="27">
        <f t="shared" si="80"/>
        <v>0</v>
      </c>
      <c r="D160" s="27">
        <f t="shared" si="80"/>
        <v>0</v>
      </c>
      <c r="E160" s="27">
        <f t="shared" si="80"/>
        <v>0</v>
      </c>
      <c r="F160" s="27">
        <f t="shared" si="80"/>
        <v>0</v>
      </c>
      <c r="G160" s="27">
        <f t="shared" si="80"/>
        <v>0</v>
      </c>
      <c r="H160" s="27">
        <f t="shared" si="80"/>
        <v>0</v>
      </c>
      <c r="I160" s="27">
        <f t="shared" si="80"/>
        <v>0</v>
      </c>
      <c r="J160" s="27">
        <f t="shared" si="80"/>
        <v>0</v>
      </c>
      <c r="K160" s="27">
        <f t="shared" si="80"/>
        <v>0</v>
      </c>
      <c r="L160" s="27">
        <f t="shared" si="80"/>
        <v>0</v>
      </c>
      <c r="M160" s="27">
        <f t="shared" si="80"/>
        <v>0</v>
      </c>
      <c r="N160" s="123">
        <f>SUM(B160:M160)</f>
        <v>0</v>
      </c>
    </row>
    <row r="161" spans="1:14">
      <c r="A161" s="247" t="s">
        <v>144</v>
      </c>
    </row>
    <row r="162" spans="1:14">
      <c r="A162" s="247" t="s">
        <v>17</v>
      </c>
      <c r="B162" s="20">
        <f>B160*B161</f>
        <v>0</v>
      </c>
      <c r="N162" s="20">
        <f>SUM(B162:M162)</f>
        <v>0</v>
      </c>
    </row>
    <row r="166" spans="1:14" ht="13.2">
      <c r="B166" s="234"/>
      <c r="C166" s="279" t="s">
        <v>339</v>
      </c>
      <c r="D166" s="237"/>
      <c r="E166" s="237"/>
      <c r="F166" s="237"/>
      <c r="G166" s="234"/>
      <c r="H166" s="234"/>
      <c r="I166" s="234"/>
    </row>
    <row r="167" spans="1:14" ht="13.2">
      <c r="B167" s="237"/>
      <c r="C167" s="234"/>
      <c r="D167" s="237"/>
      <c r="E167" s="365" t="s">
        <v>340</v>
      </c>
      <c r="F167" s="237"/>
      <c r="G167" s="234"/>
      <c r="H167" s="234"/>
      <c r="I167" s="234"/>
    </row>
    <row r="168" spans="1:14" ht="13.2">
      <c r="B168" s="237"/>
      <c r="C168" s="237"/>
      <c r="D168" s="237"/>
      <c r="E168" s="237"/>
      <c r="F168" s="237"/>
      <c r="G168" s="234"/>
      <c r="H168" s="234"/>
      <c r="I168" s="234"/>
    </row>
  </sheetData>
  <hyperlinks>
    <hyperlink ref="E167" r:id="rId1"/>
  </hyperlinks>
  <pageMargins left="0.7" right="0.7" top="0.75" bottom="0.75" header="0.3" footer="0.3"/>
  <pageSetup scale="74" orientation="landscape" r:id="rId2"/>
  <rowBreaks count="2" manualBreakCount="2">
    <brk id="47" max="16383" man="1"/>
    <brk id="9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34" customWidth="1"/>
    <col min="2" max="2" width="10.88671875" style="234" customWidth="1"/>
    <col min="3" max="3" width="1.6640625" style="251" customWidth="1"/>
    <col min="4" max="16384" width="9" style="234"/>
  </cols>
  <sheetData>
    <row r="1" spans="2:18">
      <c r="B1" s="481" t="s">
        <v>469</v>
      </c>
    </row>
    <row r="2" spans="2:18">
      <c r="B2" s="481" t="s">
        <v>458</v>
      </c>
    </row>
    <row r="4" spans="2:18">
      <c r="B4" s="279" t="s">
        <v>292</v>
      </c>
    </row>
    <row r="5" spans="2:18">
      <c r="B5" s="234" t="s">
        <v>183</v>
      </c>
    </row>
    <row r="6" spans="2:18">
      <c r="B6" s="234" t="s">
        <v>332</v>
      </c>
    </row>
    <row r="9" spans="2:18">
      <c r="B9" s="234" t="s">
        <v>190</v>
      </c>
      <c r="E9" s="283" t="s">
        <v>0</v>
      </c>
      <c r="F9" s="283" t="s">
        <v>1</v>
      </c>
      <c r="G9" s="283" t="s">
        <v>2</v>
      </c>
      <c r="H9" s="283" t="s">
        <v>3</v>
      </c>
      <c r="I9" s="283" t="s">
        <v>4</v>
      </c>
      <c r="J9" s="283" t="s">
        <v>5</v>
      </c>
      <c r="K9" s="283" t="s">
        <v>6</v>
      </c>
      <c r="L9" s="283" t="s">
        <v>7</v>
      </c>
      <c r="M9" s="283" t="s">
        <v>8</v>
      </c>
      <c r="N9" s="283" t="s">
        <v>9</v>
      </c>
      <c r="O9" s="283" t="s">
        <v>10</v>
      </c>
      <c r="P9" s="283" t="s">
        <v>11</v>
      </c>
      <c r="Q9" s="284" t="s">
        <v>12</v>
      </c>
    </row>
    <row r="10" spans="2:18">
      <c r="D10" s="236">
        <v>2014</v>
      </c>
      <c r="E10" s="237">
        <v>72000</v>
      </c>
      <c r="F10" s="237">
        <v>72000</v>
      </c>
      <c r="G10" s="237">
        <v>72000</v>
      </c>
      <c r="H10" s="237">
        <v>72000</v>
      </c>
      <c r="I10" s="237">
        <v>85000</v>
      </c>
      <c r="J10" s="237">
        <v>85000</v>
      </c>
      <c r="K10" s="237">
        <v>85000</v>
      </c>
      <c r="L10" s="237">
        <v>85000</v>
      </c>
      <c r="M10" s="237">
        <v>85000</v>
      </c>
      <c r="N10" s="237">
        <v>72000</v>
      </c>
      <c r="O10" s="237">
        <v>72000</v>
      </c>
      <c r="P10" s="237">
        <v>72000</v>
      </c>
      <c r="Q10" s="235">
        <f t="shared" ref="Q10:Q16" si="0">SUM(E10:P10)</f>
        <v>929000</v>
      </c>
    </row>
    <row r="11" spans="2:18">
      <c r="D11" s="236">
        <f>1+D10</f>
        <v>2015</v>
      </c>
      <c r="E11" s="237">
        <v>72000</v>
      </c>
      <c r="F11" s="237">
        <v>72000</v>
      </c>
      <c r="G11" s="237">
        <v>72000</v>
      </c>
      <c r="H11" s="237">
        <v>72000</v>
      </c>
      <c r="I11" s="237">
        <v>85000</v>
      </c>
      <c r="J11" s="237">
        <v>85000</v>
      </c>
      <c r="K11" s="237">
        <v>85000</v>
      </c>
      <c r="L11" s="237">
        <v>85000</v>
      </c>
      <c r="M11" s="237">
        <v>85000</v>
      </c>
      <c r="N11" s="237">
        <v>72000</v>
      </c>
      <c r="O11" s="237">
        <v>72000</v>
      </c>
      <c r="P11" s="237">
        <v>72000</v>
      </c>
      <c r="Q11" s="235">
        <f t="shared" si="0"/>
        <v>929000</v>
      </c>
    </row>
    <row r="12" spans="2:18">
      <c r="D12" s="236">
        <f>1+D11</f>
        <v>2016</v>
      </c>
      <c r="E12" s="237">
        <v>68926.315071512086</v>
      </c>
      <c r="F12" s="237">
        <v>67308.563800946999</v>
      </c>
      <c r="G12" s="237">
        <v>70321.625542374401</v>
      </c>
      <c r="H12" s="237">
        <v>73587.460919827601</v>
      </c>
      <c r="I12" s="237">
        <v>82333.428726319893</v>
      </c>
      <c r="J12" s="237">
        <v>86478.916357142822</v>
      </c>
      <c r="K12" s="237">
        <v>89926.748752534579</v>
      </c>
      <c r="L12" s="237">
        <v>90452.517915468212</v>
      </c>
      <c r="M12" s="237">
        <v>87318.124828748434</v>
      </c>
      <c r="N12" s="237">
        <v>81969.434690442737</v>
      </c>
      <c r="O12" s="237">
        <v>73102.135538658069</v>
      </c>
      <c r="P12" s="237">
        <v>69401.529507240542</v>
      </c>
      <c r="Q12" s="458">
        <f t="shared" si="0"/>
        <v>941126.80165121634</v>
      </c>
    </row>
    <row r="13" spans="2:18">
      <c r="D13" s="236">
        <f>1+D12</f>
        <v>2017</v>
      </c>
      <c r="E13" s="237">
        <v>69383.549041638515</v>
      </c>
      <c r="F13" s="237">
        <v>67764.130167225085</v>
      </c>
      <c r="G13" s="237">
        <v>70751.505357913207</v>
      </c>
      <c r="H13" s="237">
        <v>73980.284604414512</v>
      </c>
      <c r="I13" s="237">
        <v>82660.772111363491</v>
      </c>
      <c r="J13" s="237">
        <v>86784.75806483865</v>
      </c>
      <c r="K13" s="237">
        <v>90204.648855525404</v>
      </c>
      <c r="L13" s="237">
        <v>90727.69097645396</v>
      </c>
      <c r="M13" s="237">
        <v>87589.438250882595</v>
      </c>
      <c r="N13" s="237">
        <v>82258.432018341511</v>
      </c>
      <c r="O13" s="237">
        <v>73447.183981160386</v>
      </c>
      <c r="P13" s="237">
        <v>69765.772130009384</v>
      </c>
      <c r="Q13" s="459">
        <f t="shared" si="0"/>
        <v>945318.16555976658</v>
      </c>
    </row>
    <row r="14" spans="2:18">
      <c r="D14" s="236">
        <f>1+D13</f>
        <v>2018</v>
      </c>
      <c r="E14" s="237">
        <v>69796.943041193677</v>
      </c>
      <c r="F14" s="237">
        <v>68195.177280064745</v>
      </c>
      <c r="G14" s="237">
        <v>71158.443938153272</v>
      </c>
      <c r="H14" s="237">
        <v>74351.964424404097</v>
      </c>
      <c r="I14" s="237">
        <v>82971.466426479223</v>
      </c>
      <c r="J14" s="237">
        <v>87055.969117358021</v>
      </c>
      <c r="K14" s="237">
        <v>90449.710323749969</v>
      </c>
      <c r="L14" s="237">
        <v>90960.27316010982</v>
      </c>
      <c r="M14" s="237">
        <v>87846.840961915441</v>
      </c>
      <c r="N14" s="237">
        <v>82540.991878175832</v>
      </c>
      <c r="O14" s="237">
        <v>73761.313299987814</v>
      </c>
      <c r="P14" s="237">
        <v>70077.252049391231</v>
      </c>
      <c r="Q14" s="459">
        <f t="shared" si="0"/>
        <v>949166.34590098332</v>
      </c>
    </row>
    <row r="15" spans="2:18">
      <c r="D15" s="236">
        <v>2019</v>
      </c>
      <c r="E15" s="237">
        <v>70069.439411680069</v>
      </c>
      <c r="F15" s="237">
        <v>68455.211711922937</v>
      </c>
      <c r="G15" s="237">
        <v>71404.664792960655</v>
      </c>
      <c r="H15" s="237">
        <v>74593.262718406855</v>
      </c>
      <c r="I15" s="237">
        <v>83172.58401156051</v>
      </c>
      <c r="J15" s="237">
        <v>87238.046366504423</v>
      </c>
      <c r="K15" s="237">
        <v>90606.002925256966</v>
      </c>
      <c r="L15" s="237">
        <v>91114.185719624948</v>
      </c>
      <c r="M15" s="237">
        <v>88005.302742314903</v>
      </c>
      <c r="N15" s="237">
        <v>82714.223059777636</v>
      </c>
      <c r="O15" s="237">
        <v>73955.543133317624</v>
      </c>
      <c r="P15" s="237">
        <v>70288.655519054504</v>
      </c>
      <c r="Q15" s="459">
        <f t="shared" si="0"/>
        <v>951617.12211238197</v>
      </c>
      <c r="R15" s="335" t="s">
        <v>341</v>
      </c>
    </row>
    <row r="16" spans="2:18">
      <c r="C16" s="252"/>
      <c r="D16" s="236">
        <v>2020</v>
      </c>
      <c r="E16" s="237">
        <v>70666.274853986106</v>
      </c>
      <c r="F16" s="237">
        <v>69050.703794665504</v>
      </c>
      <c r="G16" s="237">
        <v>72002.611409226607</v>
      </c>
      <c r="H16" s="237">
        <v>75183.890223567782</v>
      </c>
      <c r="I16" s="237">
        <v>83780.323884890968</v>
      </c>
      <c r="J16" s="237">
        <v>87839.196854912458</v>
      </c>
      <c r="K16" s="237">
        <v>91209.956225593705</v>
      </c>
      <c r="L16" s="237">
        <v>91708.589268593889</v>
      </c>
      <c r="M16" s="237">
        <v>88597.119080272736</v>
      </c>
      <c r="N16" s="237">
        <v>83311.608824470793</v>
      </c>
      <c r="O16" s="237">
        <v>74555.612589387543</v>
      </c>
      <c r="P16" s="237">
        <v>70885.673392906188</v>
      </c>
      <c r="Q16" s="459">
        <f t="shared" si="0"/>
        <v>958791.56040247437</v>
      </c>
    </row>
    <row r="17" spans="3:8">
      <c r="C17" s="252"/>
      <c r="D17" s="237"/>
      <c r="E17" s="237"/>
      <c r="F17" s="237"/>
      <c r="G17" s="237"/>
      <c r="H17" s="237"/>
    </row>
    <row r="18" spans="3:8">
      <c r="C18" s="252"/>
      <c r="D18" s="237"/>
      <c r="E18" s="237"/>
      <c r="F18" s="237"/>
      <c r="G18" s="237"/>
      <c r="H18" s="237"/>
    </row>
    <row r="19" spans="3:8">
      <c r="C19" s="252"/>
      <c r="E19" s="279" t="s">
        <v>339</v>
      </c>
      <c r="F19" s="237"/>
      <c r="G19" s="237"/>
      <c r="H19" s="237"/>
    </row>
    <row r="20" spans="3:8">
      <c r="C20" s="252"/>
      <c r="D20" s="237"/>
      <c r="F20" s="237"/>
      <c r="G20" s="365" t="s">
        <v>340</v>
      </c>
      <c r="H20" s="237"/>
    </row>
    <row r="21" spans="3:8">
      <c r="C21" s="252"/>
      <c r="D21" s="237"/>
      <c r="E21" s="237"/>
      <c r="F21" s="237"/>
      <c r="G21" s="237"/>
      <c r="H21" s="237"/>
    </row>
    <row r="22" spans="3:8">
      <c r="C22" s="252"/>
      <c r="D22" s="237"/>
      <c r="E22" s="237"/>
      <c r="F22" s="237"/>
      <c r="G22" s="237"/>
      <c r="H22" s="237"/>
    </row>
    <row r="24" spans="3:8">
      <c r="C24" s="252"/>
      <c r="D24" s="237"/>
      <c r="E24" s="237"/>
      <c r="F24" s="237"/>
      <c r="G24" s="237"/>
      <c r="H24" s="237"/>
    </row>
    <row r="25" spans="3:8">
      <c r="C25" s="252"/>
      <c r="D25" s="237"/>
      <c r="E25" s="237"/>
      <c r="F25" s="237"/>
      <c r="G25" s="237"/>
      <c r="H25" s="237"/>
    </row>
    <row r="26" spans="3:8">
      <c r="C26" s="252"/>
      <c r="D26" s="237"/>
      <c r="E26" s="237"/>
      <c r="F26" s="237"/>
      <c r="G26" s="237"/>
      <c r="H26" s="237"/>
    </row>
    <row r="27" spans="3:8">
      <c r="C27" s="252"/>
      <c r="D27" s="237"/>
      <c r="E27" s="237"/>
      <c r="F27" s="237"/>
      <c r="G27" s="237"/>
      <c r="H27" s="237"/>
    </row>
    <row r="28" spans="3:8">
      <c r="C28" s="252"/>
      <c r="D28" s="237"/>
      <c r="E28" s="237"/>
      <c r="F28" s="237"/>
      <c r="G28" s="237"/>
      <c r="H28" s="237"/>
    </row>
    <row r="29" spans="3:8">
      <c r="C29" s="252"/>
      <c r="D29" s="237"/>
      <c r="E29" s="237"/>
      <c r="F29" s="237"/>
      <c r="G29" s="237"/>
      <c r="H29" s="237"/>
    </row>
    <row r="30" spans="3:8">
      <c r="C30" s="252"/>
      <c r="D30" s="237"/>
      <c r="E30" s="237"/>
      <c r="F30" s="237"/>
      <c r="G30" s="237"/>
      <c r="H30" s="237"/>
    </row>
    <row r="31" spans="3:8">
      <c r="C31" s="252"/>
      <c r="D31" s="237"/>
      <c r="E31" s="237"/>
      <c r="F31" s="237"/>
      <c r="G31" s="237"/>
      <c r="H31" s="237"/>
    </row>
    <row r="32" spans="3:8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0" spans="3:8">
      <c r="C40" s="252"/>
      <c r="D40" s="237"/>
      <c r="E40" s="237"/>
      <c r="F40" s="237"/>
      <c r="G40" s="237"/>
      <c r="H40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</sheetData>
  <hyperlinks>
    <hyperlink ref="G20" r:id="rId1"/>
  </hyperlinks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8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470</v>
      </c>
    </row>
    <row r="2" spans="1:16" s="15" customFormat="1" ht="13.8">
      <c r="A2" s="481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5" customFormat="1" ht="13.8">
      <c r="A3" s="244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5" t="s">
        <v>417</v>
      </c>
      <c r="B4" s="14"/>
      <c r="C4" s="14"/>
      <c r="D4" s="14"/>
      <c r="G4" s="14"/>
      <c r="H4" s="14"/>
      <c r="I4" s="14"/>
      <c r="J4" s="14"/>
      <c r="K4" s="14"/>
      <c r="L4" s="14"/>
      <c r="M4" s="14"/>
      <c r="O4" s="14"/>
      <c r="P4" s="14"/>
    </row>
    <row r="5" spans="1:16" s="15" customFormat="1" ht="13.8">
      <c r="A5" s="246"/>
      <c r="B5" s="238">
        <v>1</v>
      </c>
      <c r="C5" s="238">
        <f>1+B5</f>
        <v>2</v>
      </c>
      <c r="D5" s="238">
        <f t="shared" ref="D5:M5" si="0">1+C5</f>
        <v>3</v>
      </c>
      <c r="E5" s="238">
        <f t="shared" si="0"/>
        <v>4</v>
      </c>
      <c r="F5" s="238">
        <f t="shared" si="0"/>
        <v>5</v>
      </c>
      <c r="G5" s="238">
        <f t="shared" si="0"/>
        <v>6</v>
      </c>
      <c r="H5" s="238">
        <f t="shared" si="0"/>
        <v>7</v>
      </c>
      <c r="I5" s="238">
        <f t="shared" si="0"/>
        <v>8</v>
      </c>
      <c r="J5" s="238">
        <f t="shared" si="0"/>
        <v>9</v>
      </c>
      <c r="K5" s="238">
        <f t="shared" si="0"/>
        <v>10</v>
      </c>
      <c r="L5" s="238">
        <f t="shared" si="0"/>
        <v>11</v>
      </c>
      <c r="M5" s="238">
        <f t="shared" si="0"/>
        <v>12</v>
      </c>
    </row>
    <row r="6" spans="1:16" s="19" customFormat="1" ht="10.199999999999999">
      <c r="A6" s="246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</row>
    <row r="7" spans="1:16" s="19" customFormat="1" ht="10.199999999999999">
      <c r="A7" s="247"/>
    </row>
    <row r="8" spans="1:16" s="19" customFormat="1" ht="10.199999999999999">
      <c r="A8" s="24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6">
      <c r="B9" s="23" t="s">
        <v>0</v>
      </c>
      <c r="C9" s="23" t="s">
        <v>1</v>
      </c>
      <c r="D9" s="23" t="s">
        <v>2</v>
      </c>
      <c r="E9" s="23" t="s">
        <v>3</v>
      </c>
      <c r="F9" s="23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23" t="s">
        <v>9</v>
      </c>
      <c r="L9" s="23" t="s">
        <v>10</v>
      </c>
      <c r="M9" s="23" t="s">
        <v>11</v>
      </c>
      <c r="N9" s="23" t="s">
        <v>12</v>
      </c>
    </row>
    <row r="10" spans="1:16">
      <c r="A10" s="248">
        <v>2014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6">
      <c r="A11" s="247" t="s">
        <v>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6">
      <c r="A12" s="249" t="s">
        <v>47</v>
      </c>
      <c r="B12" s="232">
        <f>'Homestead Forecast'!E10</f>
        <v>0</v>
      </c>
      <c r="C12" s="232">
        <f>'Homestead Forecast'!F10</f>
        <v>0</v>
      </c>
      <c r="D12" s="232">
        <f>'Homestead Forecast'!G10</f>
        <v>0</v>
      </c>
      <c r="E12" s="232">
        <f>'Homestead Forecast'!H10</f>
        <v>0</v>
      </c>
      <c r="F12" s="232">
        <f>'Homestead Forecast'!I10</f>
        <v>0</v>
      </c>
      <c r="G12" s="232">
        <f>'Homestead Forecast'!J10</f>
        <v>0</v>
      </c>
      <c r="H12" s="232">
        <f>'Homestead Forecast'!K10</f>
        <v>0</v>
      </c>
      <c r="I12" s="232">
        <f>'Homestead Forecast'!L10</f>
        <v>0</v>
      </c>
      <c r="J12" s="232">
        <f>'Homestead Forecast'!M10</f>
        <v>0</v>
      </c>
      <c r="K12" s="232">
        <f>'Homestead Forecast'!N10</f>
        <v>0</v>
      </c>
      <c r="L12" s="232">
        <f>'Homestead Forecast'!O10</f>
        <v>0</v>
      </c>
      <c r="M12" s="232">
        <f>'Homestead Forecast'!P10</f>
        <v>0</v>
      </c>
      <c r="N12" s="20">
        <f>SUM(B12:M12)</f>
        <v>0</v>
      </c>
    </row>
    <row r="13" spans="1:16">
      <c r="A13" s="249" t="s">
        <v>45</v>
      </c>
      <c r="B13" s="27">
        <f>ROUND(B12*'Transmission Formula Rate (7)'!$B$27,0)</f>
        <v>0</v>
      </c>
      <c r="C13" s="27">
        <f>ROUND(C12*'Transmission Formula Rate (7)'!$B$27,0)</f>
        <v>0</v>
      </c>
      <c r="D13" s="27">
        <f>ROUND(D12*'Transmission Formula Rate (7)'!$B$27,0)</f>
        <v>0</v>
      </c>
      <c r="E13" s="27">
        <f>ROUND(E12*'Transmission Formula Rate (7)'!$B$27,0)</f>
        <v>0</v>
      </c>
      <c r="F13" s="27">
        <f>ROUND(F12*'Transmission Formula Rate (7)'!$B$27,0)</f>
        <v>0</v>
      </c>
      <c r="G13" s="27">
        <f>ROUND(G12*'Transmission Formula Rate (7)'!$B$27,0)</f>
        <v>0</v>
      </c>
      <c r="H13" s="27">
        <f>ROUND(H12*'Transmission Formula Rate (7)'!$B$27,0)</f>
        <v>0</v>
      </c>
      <c r="I13" s="27">
        <f>ROUND(I12*'Transmission Formula Rate (7)'!$B$27,0)</f>
        <v>0</v>
      </c>
      <c r="J13" s="27">
        <f>ROUND(J12*'Transmission Formula Rate (7)'!$B$27,0)</f>
        <v>0</v>
      </c>
      <c r="K13" s="27">
        <f>ROUND(K12*'Transmission Formula Rate (7)'!$B$27,0)</f>
        <v>0</v>
      </c>
      <c r="L13" s="27">
        <f>ROUND(L12*'Transmission Formula Rate (7)'!$B$27,0)</f>
        <v>0</v>
      </c>
      <c r="M13" s="27">
        <f>ROUND(M12*'Transmission Formula Rate (7)'!$B$27,0)</f>
        <v>0</v>
      </c>
      <c r="N13" s="20">
        <f>SUM(B13:M13)</f>
        <v>0</v>
      </c>
    </row>
    <row r="14" spans="1:16">
      <c r="A14" s="249" t="s">
        <v>418</v>
      </c>
      <c r="B14" s="27">
        <f t="shared" ref="B14:M14" si="1">B12+B13</f>
        <v>0</v>
      </c>
      <c r="C14" s="27">
        <f t="shared" si="1"/>
        <v>0</v>
      </c>
      <c r="D14" s="27">
        <f t="shared" si="1"/>
        <v>0</v>
      </c>
      <c r="E14" s="27">
        <f t="shared" si="1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123">
        <f>SUM(B14:M14)</f>
        <v>0</v>
      </c>
    </row>
    <row r="15" spans="1:16">
      <c r="A15" s="247" t="s">
        <v>20</v>
      </c>
      <c r="B15" s="29">
        <f>'Transmission Formula Rate (7)'!B8</f>
        <v>1.59</v>
      </c>
      <c r="C15" s="29">
        <f>'Transmission Formula Rate (7)'!C8</f>
        <v>1.59</v>
      </c>
      <c r="D15" s="29">
        <f>'Transmission Formula Rate (7)'!D8</f>
        <v>1.59</v>
      </c>
      <c r="E15" s="29">
        <f>'Transmission Formula Rate (7)'!E8</f>
        <v>1.59</v>
      </c>
      <c r="F15" s="29">
        <f>'Transmission Formula Rate (7)'!F8</f>
        <v>1.59</v>
      </c>
      <c r="G15" s="29">
        <f>'Transmission Formula Rate (7)'!G8</f>
        <v>1.59</v>
      </c>
      <c r="H15" s="29">
        <f>'Transmission Formula Rate (7)'!H8</f>
        <v>1.59</v>
      </c>
      <c r="I15" s="29">
        <f>'Transmission Formula Rate (7)'!I8</f>
        <v>1.59</v>
      </c>
      <c r="J15" s="29">
        <f>'Transmission Formula Rate (7)'!J8</f>
        <v>1.59</v>
      </c>
      <c r="K15" s="29">
        <f>'Transmission Formula Rate (7)'!K8</f>
        <v>1.59</v>
      </c>
      <c r="L15" s="29">
        <f>'Transmission Formula Rate (7)'!L8</f>
        <v>1.59</v>
      </c>
      <c r="M15" s="29">
        <f>'Transmission Formula Rate (7)'!M8</f>
        <v>1.59</v>
      </c>
      <c r="N15" s="19"/>
    </row>
    <row r="16" spans="1:16">
      <c r="A16" s="247" t="s">
        <v>17</v>
      </c>
      <c r="B16" s="20">
        <f t="shared" ref="B16:M16" si="2">B14*B15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>SUM(B16:M16)</f>
        <v>0</v>
      </c>
    </row>
    <row r="17" spans="1:14">
      <c r="A17" s="24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>
      <c r="A18" s="247" t="s">
        <v>135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249" t="s">
        <v>47</v>
      </c>
      <c r="B19" s="232">
        <f>B12</f>
        <v>0</v>
      </c>
      <c r="C19" s="232">
        <f t="shared" ref="C19:M19" si="3">C12</f>
        <v>0</v>
      </c>
      <c r="D19" s="232">
        <f t="shared" si="3"/>
        <v>0</v>
      </c>
      <c r="E19" s="232">
        <f t="shared" si="3"/>
        <v>0</v>
      </c>
      <c r="F19" s="232">
        <f t="shared" si="3"/>
        <v>0</v>
      </c>
      <c r="G19" s="232">
        <f t="shared" si="3"/>
        <v>0</v>
      </c>
      <c r="H19" s="232">
        <f t="shared" si="3"/>
        <v>0</v>
      </c>
      <c r="I19" s="232">
        <f t="shared" si="3"/>
        <v>0</v>
      </c>
      <c r="J19" s="232">
        <f t="shared" si="3"/>
        <v>0</v>
      </c>
      <c r="K19" s="232">
        <f t="shared" si="3"/>
        <v>0</v>
      </c>
      <c r="L19" s="232">
        <f t="shared" si="3"/>
        <v>0</v>
      </c>
      <c r="M19" s="232">
        <f t="shared" si="3"/>
        <v>0</v>
      </c>
      <c r="N19" s="20">
        <f>SUM(B19:M19)</f>
        <v>0</v>
      </c>
    </row>
    <row r="20" spans="1:14">
      <c r="A20" s="249" t="s">
        <v>45</v>
      </c>
      <c r="B20" s="27">
        <f>ROUND(B19*'Transmission Formula Rate (7)'!$B$27,0)</f>
        <v>0</v>
      </c>
      <c r="C20" s="27">
        <f>ROUND(C19*'Transmission Formula Rate (7)'!$B$27,0)</f>
        <v>0</v>
      </c>
      <c r="D20" s="27">
        <f>ROUND(D19*'Transmission Formula Rate (7)'!$B$27,0)</f>
        <v>0</v>
      </c>
      <c r="E20" s="27">
        <f>ROUND(E19*'Transmission Formula Rate (7)'!$B$27,0)</f>
        <v>0</v>
      </c>
      <c r="F20" s="27">
        <f>ROUND(F19*'Transmission Formula Rate (7)'!$B$27,0)</f>
        <v>0</v>
      </c>
      <c r="G20" s="27">
        <f>ROUND(G19*'Transmission Formula Rate (7)'!$B$27,0)</f>
        <v>0</v>
      </c>
      <c r="H20" s="27">
        <f>ROUND(H19*'Transmission Formula Rate (7)'!$B$27,0)</f>
        <v>0</v>
      </c>
      <c r="I20" s="27">
        <f>ROUND(I19*'Transmission Formula Rate (7)'!$B$27,0)</f>
        <v>0</v>
      </c>
      <c r="J20" s="27">
        <f>ROUND(J19*'Transmission Formula Rate (7)'!$B$27,0)</f>
        <v>0</v>
      </c>
      <c r="K20" s="27">
        <f>ROUND(K19*'Transmission Formula Rate (7)'!$B$27,0)</f>
        <v>0</v>
      </c>
      <c r="L20" s="27">
        <f>ROUND(L19*'Transmission Formula Rate (7)'!$B$27,0)</f>
        <v>0</v>
      </c>
      <c r="M20" s="27">
        <f>ROUND(M19*'Transmission Formula Rate (7)'!$B$27,0)</f>
        <v>0</v>
      </c>
      <c r="N20" s="20">
        <f>SUM(B20:M20)</f>
        <v>0</v>
      </c>
    </row>
    <row r="21" spans="1:14">
      <c r="A21" s="249" t="s">
        <v>418</v>
      </c>
      <c r="B21" s="27">
        <f>B19+B20</f>
        <v>0</v>
      </c>
      <c r="C21" s="27">
        <f t="shared" ref="C21:M21" si="4">C19+C20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123">
        <f>SUM(B21:M21)</f>
        <v>0</v>
      </c>
    </row>
    <row r="22" spans="1:14">
      <c r="A22" s="247" t="s">
        <v>143</v>
      </c>
      <c r="B22" s="31">
        <f>'charges (1 &amp; 2)'!E32</f>
        <v>1.274E-2</v>
      </c>
      <c r="C22" s="31">
        <f>B22</f>
        <v>1.274E-2</v>
      </c>
      <c r="D22" s="31">
        <f t="shared" ref="D22:M22" si="5">C22</f>
        <v>1.274E-2</v>
      </c>
      <c r="E22" s="31">
        <f t="shared" si="5"/>
        <v>1.274E-2</v>
      </c>
      <c r="F22" s="31">
        <f t="shared" si="5"/>
        <v>1.274E-2</v>
      </c>
      <c r="G22" s="31">
        <f t="shared" si="5"/>
        <v>1.274E-2</v>
      </c>
      <c r="H22" s="31">
        <f t="shared" si="5"/>
        <v>1.274E-2</v>
      </c>
      <c r="I22" s="31">
        <f t="shared" si="5"/>
        <v>1.274E-2</v>
      </c>
      <c r="J22" s="31">
        <f t="shared" si="5"/>
        <v>1.274E-2</v>
      </c>
      <c r="K22" s="31">
        <f t="shared" si="5"/>
        <v>1.274E-2</v>
      </c>
      <c r="L22" s="31">
        <f t="shared" si="5"/>
        <v>1.274E-2</v>
      </c>
      <c r="M22" s="31">
        <f t="shared" si="5"/>
        <v>1.274E-2</v>
      </c>
      <c r="N22" s="19"/>
    </row>
    <row r="23" spans="1:14">
      <c r="A23" s="247" t="s">
        <v>17</v>
      </c>
      <c r="B23" s="20">
        <f t="shared" ref="B23:M23" si="6">B21*B22</f>
        <v>0</v>
      </c>
      <c r="C23" s="20">
        <f t="shared" si="6"/>
        <v>0</v>
      </c>
      <c r="D23" s="20">
        <f t="shared" si="6"/>
        <v>0</v>
      </c>
      <c r="E23" s="20">
        <f t="shared" si="6"/>
        <v>0</v>
      </c>
      <c r="F23" s="20">
        <f t="shared" si="6"/>
        <v>0</v>
      </c>
      <c r="G23" s="20">
        <f t="shared" si="6"/>
        <v>0</v>
      </c>
      <c r="H23" s="20">
        <f t="shared" si="6"/>
        <v>0</v>
      </c>
      <c r="I23" s="20">
        <f t="shared" si="6"/>
        <v>0</v>
      </c>
      <c r="J23" s="20">
        <f t="shared" si="6"/>
        <v>0</v>
      </c>
      <c r="K23" s="20">
        <f t="shared" si="6"/>
        <v>0</v>
      </c>
      <c r="L23" s="20">
        <f t="shared" si="6"/>
        <v>0</v>
      </c>
      <c r="M23" s="20">
        <f t="shared" si="6"/>
        <v>0</v>
      </c>
      <c r="N23" s="20">
        <f>SUM(B23:M23)</f>
        <v>0</v>
      </c>
    </row>
    <row r="24" spans="1:14">
      <c r="A24" s="25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25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B26" s="23" t="s">
        <v>0</v>
      </c>
      <c r="C26" s="23" t="s">
        <v>1</v>
      </c>
      <c r="D26" s="23" t="s">
        <v>2</v>
      </c>
      <c r="E26" s="23" t="s">
        <v>3</v>
      </c>
      <c r="F26" s="23" t="s">
        <v>4</v>
      </c>
      <c r="G26" s="23" t="s">
        <v>5</v>
      </c>
      <c r="H26" s="23" t="s">
        <v>6</v>
      </c>
      <c r="I26" s="23" t="s">
        <v>7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</row>
    <row r="27" spans="1:14">
      <c r="A27" s="248">
        <f>+A10+1</f>
        <v>2015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A28" s="247" t="s">
        <v>37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49" t="s">
        <v>47</v>
      </c>
      <c r="B29" s="232">
        <f>'Homestead Forecast'!E11</f>
        <v>1</v>
      </c>
      <c r="C29" s="232">
        <f>'Homestead Forecast'!F11</f>
        <v>2</v>
      </c>
      <c r="D29" s="232">
        <f>'Homestead Forecast'!G11</f>
        <v>3</v>
      </c>
      <c r="E29" s="232">
        <f>'Homestead Forecast'!H11</f>
        <v>4</v>
      </c>
      <c r="F29" s="232">
        <f>'Homestead Forecast'!I11</f>
        <v>5</v>
      </c>
      <c r="G29" s="232">
        <f>'Homestead Forecast'!J11</f>
        <v>6</v>
      </c>
      <c r="H29" s="232">
        <f>'Homestead Forecast'!K11</f>
        <v>7</v>
      </c>
      <c r="I29" s="232">
        <f>'Homestead Forecast'!L11</f>
        <v>8</v>
      </c>
      <c r="J29" s="232">
        <f>'Homestead Forecast'!M11</f>
        <v>9</v>
      </c>
      <c r="K29" s="232">
        <f>'Homestead Forecast'!N11</f>
        <v>10</v>
      </c>
      <c r="L29" s="232">
        <f>'Homestead Forecast'!O11</f>
        <v>11</v>
      </c>
      <c r="M29" s="232">
        <f>'Homestead Forecast'!P11</f>
        <v>12</v>
      </c>
      <c r="N29" s="20">
        <f>SUM(B29:M29)</f>
        <v>78</v>
      </c>
    </row>
    <row r="30" spans="1:14">
      <c r="A30" s="249" t="s">
        <v>45</v>
      </c>
      <c r="B30" s="27">
        <f>ROUND(B29*'Transmission Formula Rate (7)'!$B$27,0)</f>
        <v>0</v>
      </c>
      <c r="C30" s="27">
        <f>ROUND(C29*'Transmission Formula Rate (7)'!$B$27,0)</f>
        <v>0</v>
      </c>
      <c r="D30" s="27">
        <f>ROUND(D29*'Transmission Formula Rate (7)'!$B$27,0)</f>
        <v>0</v>
      </c>
      <c r="E30" s="27">
        <f>ROUND(E29*'Transmission Formula Rate (7)'!$B$27,0)</f>
        <v>0</v>
      </c>
      <c r="F30" s="27">
        <f>ROUND(F29*'Transmission Formula Rate (7)'!$B$27,0)</f>
        <v>0</v>
      </c>
      <c r="G30" s="27">
        <f>ROUND(G29*'Transmission Formula Rate (7)'!$B$27,0)</f>
        <v>0</v>
      </c>
      <c r="H30" s="27">
        <f>ROUND(H29*'Transmission Formula Rate (7)'!$B$27,0)</f>
        <v>0</v>
      </c>
      <c r="I30" s="27">
        <f>ROUND(I29*'Transmission Formula Rate (7)'!$B$27,0)</f>
        <v>0</v>
      </c>
      <c r="J30" s="27">
        <f>ROUND(J29*'Transmission Formula Rate (7)'!$B$27,0)</f>
        <v>0</v>
      </c>
      <c r="K30" s="27">
        <f>ROUND(K29*'Transmission Formula Rate (7)'!$B$27,0)</f>
        <v>0</v>
      </c>
      <c r="L30" s="27">
        <f>ROUND(L29*'Transmission Formula Rate (7)'!$B$27,0)</f>
        <v>0</v>
      </c>
      <c r="M30" s="27">
        <f>ROUND(M29*'Transmission Formula Rate (7)'!$B$27,0)</f>
        <v>0</v>
      </c>
      <c r="N30" s="20">
        <f>SUM(B30:M30)</f>
        <v>0</v>
      </c>
    </row>
    <row r="31" spans="1:14">
      <c r="A31" s="249" t="s">
        <v>418</v>
      </c>
      <c r="B31" s="27">
        <f t="shared" ref="B31:M31" si="7">B29+B30</f>
        <v>1</v>
      </c>
      <c r="C31" s="27">
        <f t="shared" si="7"/>
        <v>2</v>
      </c>
      <c r="D31" s="27">
        <f t="shared" si="7"/>
        <v>3</v>
      </c>
      <c r="E31" s="27">
        <f t="shared" si="7"/>
        <v>4</v>
      </c>
      <c r="F31" s="27">
        <f t="shared" si="7"/>
        <v>5</v>
      </c>
      <c r="G31" s="27">
        <f t="shared" si="7"/>
        <v>6</v>
      </c>
      <c r="H31" s="27">
        <f t="shared" si="7"/>
        <v>7</v>
      </c>
      <c r="I31" s="27">
        <f t="shared" si="7"/>
        <v>8</v>
      </c>
      <c r="J31" s="27">
        <f t="shared" si="7"/>
        <v>9</v>
      </c>
      <c r="K31" s="27">
        <f t="shared" si="7"/>
        <v>10</v>
      </c>
      <c r="L31" s="27">
        <f t="shared" si="7"/>
        <v>11</v>
      </c>
      <c r="M31" s="27">
        <f t="shared" si="7"/>
        <v>12</v>
      </c>
      <c r="N31" s="123">
        <f>SUM(B31:M31)</f>
        <v>78</v>
      </c>
    </row>
    <row r="32" spans="1:14">
      <c r="A32" s="247" t="s">
        <v>20</v>
      </c>
      <c r="B32" s="29">
        <f>'Transmission Formula Rate (7)'!B10</f>
        <v>1.59</v>
      </c>
      <c r="C32" s="29">
        <f>'Transmission Formula Rate (7)'!C10</f>
        <v>1.59</v>
      </c>
      <c r="D32" s="29">
        <f>'Transmission Formula Rate (7)'!D10</f>
        <v>1.59</v>
      </c>
      <c r="E32" s="29">
        <f>'Transmission Formula Rate (7)'!E10</f>
        <v>1.59</v>
      </c>
      <c r="F32" s="29">
        <f>'Transmission Formula Rate (7)'!F10</f>
        <v>1.59</v>
      </c>
      <c r="G32" s="29">
        <f>'Transmission Formula Rate (7)'!G10</f>
        <v>1.59</v>
      </c>
      <c r="H32" s="29">
        <f>'Transmission Formula Rate (7)'!H10</f>
        <v>1.59</v>
      </c>
      <c r="I32" s="29">
        <f>'Transmission Formula Rate (7)'!I10</f>
        <v>1.59</v>
      </c>
      <c r="J32" s="29">
        <f>'Transmission Formula Rate (7)'!J10</f>
        <v>1.59</v>
      </c>
      <c r="K32" s="29">
        <f>'Transmission Formula Rate (7)'!K10</f>
        <v>1.59</v>
      </c>
      <c r="L32" s="29">
        <f>'Transmission Formula Rate (7)'!L10</f>
        <v>1.59</v>
      </c>
      <c r="M32" s="29">
        <f>'Transmission Formula Rate (7)'!M10</f>
        <v>1.59</v>
      </c>
      <c r="N32" s="19"/>
    </row>
    <row r="33" spans="1:14">
      <c r="A33" s="247" t="s">
        <v>17</v>
      </c>
      <c r="B33" s="20">
        <f t="shared" ref="B33:M33" si="8">B31*B32</f>
        <v>1.59</v>
      </c>
      <c r="C33" s="20">
        <f t="shared" si="8"/>
        <v>3.18</v>
      </c>
      <c r="D33" s="20">
        <f t="shared" si="8"/>
        <v>4.7700000000000005</v>
      </c>
      <c r="E33" s="20">
        <f t="shared" si="8"/>
        <v>6.36</v>
      </c>
      <c r="F33" s="20">
        <f t="shared" si="8"/>
        <v>7.95</v>
      </c>
      <c r="G33" s="20">
        <f t="shared" si="8"/>
        <v>9.5400000000000009</v>
      </c>
      <c r="H33" s="20">
        <f t="shared" si="8"/>
        <v>11.13</v>
      </c>
      <c r="I33" s="20">
        <f t="shared" si="8"/>
        <v>12.72</v>
      </c>
      <c r="J33" s="20">
        <f t="shared" si="8"/>
        <v>14.31</v>
      </c>
      <c r="K33" s="20">
        <f>K31*K32</f>
        <v>15.9</v>
      </c>
      <c r="L33" s="20">
        <f t="shared" si="8"/>
        <v>17.490000000000002</v>
      </c>
      <c r="M33" s="20">
        <f t="shared" si="8"/>
        <v>19.080000000000002</v>
      </c>
      <c r="N33" s="20">
        <f>SUM(B33:M33)</f>
        <v>124.02</v>
      </c>
    </row>
    <row r="34" spans="1:14">
      <c r="A34" s="25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247" t="s">
        <v>135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249" t="s">
        <v>47</v>
      </c>
      <c r="B36" s="232">
        <f>B29</f>
        <v>1</v>
      </c>
      <c r="C36" s="232">
        <f t="shared" ref="C36:M36" si="9">C29</f>
        <v>2</v>
      </c>
      <c r="D36" s="232">
        <f t="shared" si="9"/>
        <v>3</v>
      </c>
      <c r="E36" s="232">
        <f t="shared" si="9"/>
        <v>4</v>
      </c>
      <c r="F36" s="232">
        <f t="shared" si="9"/>
        <v>5</v>
      </c>
      <c r="G36" s="232">
        <f t="shared" si="9"/>
        <v>6</v>
      </c>
      <c r="H36" s="232">
        <f t="shared" si="9"/>
        <v>7</v>
      </c>
      <c r="I36" s="232">
        <f t="shared" si="9"/>
        <v>8</v>
      </c>
      <c r="J36" s="232">
        <f t="shared" si="9"/>
        <v>9</v>
      </c>
      <c r="K36" s="232">
        <f t="shared" si="9"/>
        <v>10</v>
      </c>
      <c r="L36" s="232">
        <f t="shared" si="9"/>
        <v>11</v>
      </c>
      <c r="M36" s="232">
        <f t="shared" si="9"/>
        <v>12</v>
      </c>
      <c r="N36" s="20">
        <f>SUM(B36:M36)</f>
        <v>78</v>
      </c>
    </row>
    <row r="37" spans="1:14">
      <c r="A37" s="249" t="s">
        <v>45</v>
      </c>
      <c r="B37" s="27">
        <f>ROUND(B36*'Transmission Formula Rate (7)'!$B$27,0)</f>
        <v>0</v>
      </c>
      <c r="C37" s="27">
        <f>ROUND(C36*'Transmission Formula Rate (7)'!$B$27,0)</f>
        <v>0</v>
      </c>
      <c r="D37" s="27">
        <f>ROUND(D36*'Transmission Formula Rate (7)'!$B$27,0)</f>
        <v>0</v>
      </c>
      <c r="E37" s="27">
        <f>ROUND(E36*'Transmission Formula Rate (7)'!$B$27,0)</f>
        <v>0</v>
      </c>
      <c r="F37" s="27">
        <f>ROUND(F36*'Transmission Formula Rate (7)'!$B$27,0)</f>
        <v>0</v>
      </c>
      <c r="G37" s="27">
        <f>ROUND(G36*'Transmission Formula Rate (7)'!$B$27,0)</f>
        <v>0</v>
      </c>
      <c r="H37" s="27">
        <f>ROUND(H36*'Transmission Formula Rate (7)'!$B$27,0)</f>
        <v>0</v>
      </c>
      <c r="I37" s="27">
        <f>ROUND(I36*'Transmission Formula Rate (7)'!$B$27,0)</f>
        <v>0</v>
      </c>
      <c r="J37" s="27">
        <f>ROUND(J36*'Transmission Formula Rate (7)'!$B$27,0)</f>
        <v>0</v>
      </c>
      <c r="K37" s="27">
        <f>ROUND(K36*'Transmission Formula Rate (7)'!$B$27,0)</f>
        <v>0</v>
      </c>
      <c r="L37" s="27">
        <f>ROUND(L36*'Transmission Formula Rate (7)'!$B$27,0)</f>
        <v>0</v>
      </c>
      <c r="M37" s="27">
        <f>ROUND(M36*'Transmission Formula Rate (7)'!$B$27,0)</f>
        <v>0</v>
      </c>
      <c r="N37" s="20">
        <f>SUM(B37:M37)</f>
        <v>0</v>
      </c>
    </row>
    <row r="38" spans="1:14">
      <c r="A38" s="249" t="s">
        <v>418</v>
      </c>
      <c r="B38" s="27">
        <f t="shared" ref="B38:M38" si="10">B36+B37</f>
        <v>1</v>
      </c>
      <c r="C38" s="27">
        <f t="shared" si="10"/>
        <v>2</v>
      </c>
      <c r="D38" s="27">
        <f t="shared" si="10"/>
        <v>3</v>
      </c>
      <c r="E38" s="27">
        <f t="shared" si="10"/>
        <v>4</v>
      </c>
      <c r="F38" s="27">
        <f t="shared" si="10"/>
        <v>5</v>
      </c>
      <c r="G38" s="27">
        <f t="shared" si="10"/>
        <v>6</v>
      </c>
      <c r="H38" s="27">
        <f t="shared" si="10"/>
        <v>7</v>
      </c>
      <c r="I38" s="27">
        <f t="shared" si="10"/>
        <v>8</v>
      </c>
      <c r="J38" s="27">
        <f t="shared" si="10"/>
        <v>9</v>
      </c>
      <c r="K38" s="27">
        <f t="shared" si="10"/>
        <v>10</v>
      </c>
      <c r="L38" s="27">
        <f t="shared" si="10"/>
        <v>11</v>
      </c>
      <c r="M38" s="27">
        <f t="shared" si="10"/>
        <v>12</v>
      </c>
      <c r="N38" s="123">
        <f>SUM(B38:M38)</f>
        <v>78</v>
      </c>
    </row>
    <row r="39" spans="1:14">
      <c r="A39" s="247" t="s">
        <v>143</v>
      </c>
      <c r="B39" s="31">
        <f>'charges (1 &amp; 2)'!F32</f>
        <v>1.274E-2</v>
      </c>
      <c r="C39" s="31">
        <f>B39</f>
        <v>1.274E-2</v>
      </c>
      <c r="D39" s="31">
        <f t="shared" ref="D39:M39" si="11">C39</f>
        <v>1.274E-2</v>
      </c>
      <c r="E39" s="31">
        <f t="shared" si="11"/>
        <v>1.274E-2</v>
      </c>
      <c r="F39" s="31">
        <f t="shared" si="11"/>
        <v>1.274E-2</v>
      </c>
      <c r="G39" s="31">
        <f t="shared" si="11"/>
        <v>1.274E-2</v>
      </c>
      <c r="H39" s="31">
        <f t="shared" si="11"/>
        <v>1.274E-2</v>
      </c>
      <c r="I39" s="31">
        <f t="shared" si="11"/>
        <v>1.274E-2</v>
      </c>
      <c r="J39" s="31">
        <f t="shared" si="11"/>
        <v>1.274E-2</v>
      </c>
      <c r="K39" s="31">
        <f t="shared" si="11"/>
        <v>1.274E-2</v>
      </c>
      <c r="L39" s="31">
        <f t="shared" si="11"/>
        <v>1.274E-2</v>
      </c>
      <c r="M39" s="31">
        <f t="shared" si="11"/>
        <v>1.274E-2</v>
      </c>
      <c r="N39" s="19"/>
    </row>
    <row r="40" spans="1:14">
      <c r="A40" s="247" t="s">
        <v>17</v>
      </c>
      <c r="B40" s="20">
        <f t="shared" ref="B40:M40" si="12">B38*B39</f>
        <v>1.274E-2</v>
      </c>
      <c r="C40" s="20">
        <f t="shared" si="12"/>
        <v>2.5479999999999999E-2</v>
      </c>
      <c r="D40" s="20">
        <f t="shared" si="12"/>
        <v>3.8219999999999997E-2</v>
      </c>
      <c r="E40" s="20">
        <f t="shared" si="12"/>
        <v>5.0959999999999998E-2</v>
      </c>
      <c r="F40" s="20">
        <f t="shared" si="12"/>
        <v>6.3699999999999993E-2</v>
      </c>
      <c r="G40" s="20">
        <f t="shared" si="12"/>
        <v>7.6439999999999994E-2</v>
      </c>
      <c r="H40" s="20">
        <f t="shared" si="12"/>
        <v>8.9179999999999995E-2</v>
      </c>
      <c r="I40" s="20">
        <f t="shared" si="12"/>
        <v>0.10192</v>
      </c>
      <c r="J40" s="20">
        <f t="shared" si="12"/>
        <v>0.11466</v>
      </c>
      <c r="K40" s="20">
        <f t="shared" si="12"/>
        <v>0.12739999999999999</v>
      </c>
      <c r="L40" s="20">
        <f t="shared" si="12"/>
        <v>0.14013999999999999</v>
      </c>
      <c r="M40" s="20">
        <f t="shared" si="12"/>
        <v>0.15287999999999999</v>
      </c>
      <c r="N40" s="20">
        <f>SUM(B40:M40)</f>
        <v>0.99372000000000005</v>
      </c>
    </row>
    <row r="41" spans="1:14">
      <c r="A41" s="24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247" t="s">
        <v>38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249" t="s">
        <v>47</v>
      </c>
      <c r="B43" s="232">
        <f>B29</f>
        <v>1</v>
      </c>
      <c r="C43" s="232">
        <f t="shared" ref="C43:M43" si="13">C29</f>
        <v>2</v>
      </c>
      <c r="D43" s="232">
        <f t="shared" si="13"/>
        <v>3</v>
      </c>
      <c r="E43" s="232">
        <f t="shared" si="13"/>
        <v>4</v>
      </c>
      <c r="F43" s="232">
        <f t="shared" si="13"/>
        <v>5</v>
      </c>
      <c r="G43" s="232">
        <f t="shared" si="13"/>
        <v>6</v>
      </c>
      <c r="H43" s="232">
        <f t="shared" si="13"/>
        <v>7</v>
      </c>
      <c r="I43" s="232">
        <f t="shared" si="13"/>
        <v>8</v>
      </c>
      <c r="J43" s="232">
        <f t="shared" si="13"/>
        <v>9</v>
      </c>
      <c r="K43" s="232">
        <f t="shared" si="13"/>
        <v>10</v>
      </c>
      <c r="L43" s="232">
        <f t="shared" si="13"/>
        <v>11</v>
      </c>
      <c r="M43" s="232">
        <f t="shared" si="13"/>
        <v>12</v>
      </c>
      <c r="N43" s="20">
        <f>SUM(B43:M43)</f>
        <v>78</v>
      </c>
    </row>
    <row r="44" spans="1:14">
      <c r="A44" s="249" t="s">
        <v>45</v>
      </c>
      <c r="B44" s="27">
        <f>ROUND(B43*'Transmission Formula Rate (7)'!$B$27,0)</f>
        <v>0</v>
      </c>
      <c r="C44" s="27">
        <f>ROUND(C43*'Transmission Formula Rate (7)'!$B$27,0)</f>
        <v>0</v>
      </c>
      <c r="D44" s="27">
        <f>ROUND(D43*'Transmission Formula Rate (7)'!$B$27,0)</f>
        <v>0</v>
      </c>
      <c r="E44" s="27">
        <f>ROUND(E43*'Transmission Formula Rate (7)'!$B$27,0)</f>
        <v>0</v>
      </c>
      <c r="F44" s="27">
        <f>ROUND(F43*'Transmission Formula Rate (7)'!$B$27,0)</f>
        <v>0</v>
      </c>
      <c r="G44" s="27">
        <f>ROUND(G43*'Transmission Formula Rate (7)'!$B$27,0)</f>
        <v>0</v>
      </c>
      <c r="H44" s="27">
        <f>ROUND(H43*'Transmission Formula Rate (7)'!$B$27,0)</f>
        <v>0</v>
      </c>
      <c r="I44" s="27">
        <f>ROUND(I43*'Transmission Formula Rate (7)'!$B$27,0)</f>
        <v>0</v>
      </c>
      <c r="J44" s="27">
        <f>ROUND(J43*'Transmission Formula Rate (7)'!$B$27,0)</f>
        <v>0</v>
      </c>
      <c r="K44" s="27">
        <f>ROUND(K43*'Transmission Formula Rate (7)'!$B$27,0)</f>
        <v>0</v>
      </c>
      <c r="L44" s="27">
        <f>ROUND(L43*'Transmission Formula Rate (7)'!$B$27,0)</f>
        <v>0</v>
      </c>
      <c r="M44" s="27">
        <f>ROUND(M43*'Transmission Formula Rate (7)'!$B$27,0)</f>
        <v>0</v>
      </c>
      <c r="N44" s="20">
        <f t="shared" ref="N44:N47" si="14">SUM(B44:M44)</f>
        <v>0</v>
      </c>
    </row>
    <row r="45" spans="1:14">
      <c r="A45" s="249" t="s">
        <v>418</v>
      </c>
      <c r="B45" s="27">
        <f>B43+B44</f>
        <v>1</v>
      </c>
      <c r="C45" s="27">
        <f t="shared" ref="C45:M45" si="15">C43+C44</f>
        <v>2</v>
      </c>
      <c r="D45" s="27">
        <f t="shared" si="15"/>
        <v>3</v>
      </c>
      <c r="E45" s="27">
        <f t="shared" si="15"/>
        <v>4</v>
      </c>
      <c r="F45" s="27">
        <f t="shared" si="15"/>
        <v>5</v>
      </c>
      <c r="G45" s="27">
        <f t="shared" si="15"/>
        <v>6</v>
      </c>
      <c r="H45" s="27">
        <f t="shared" si="15"/>
        <v>7</v>
      </c>
      <c r="I45" s="27">
        <f t="shared" si="15"/>
        <v>8</v>
      </c>
      <c r="J45" s="27">
        <f t="shared" si="15"/>
        <v>9</v>
      </c>
      <c r="K45" s="27">
        <f t="shared" si="15"/>
        <v>10</v>
      </c>
      <c r="L45" s="27">
        <f t="shared" si="15"/>
        <v>11</v>
      </c>
      <c r="M45" s="27">
        <f t="shared" si="15"/>
        <v>12</v>
      </c>
      <c r="N45" s="20">
        <f t="shared" si="14"/>
        <v>78</v>
      </c>
    </row>
    <row r="46" spans="1:14">
      <c r="A46" s="247" t="s">
        <v>144</v>
      </c>
      <c r="B46" s="31">
        <f>'charges (1 &amp; 2)'!D10</f>
        <v>0.1008</v>
      </c>
      <c r="C46" s="31">
        <f>B46</f>
        <v>0.1008</v>
      </c>
      <c r="D46" s="31">
        <f t="shared" ref="D46:M46" si="16">C46</f>
        <v>0.1008</v>
      </c>
      <c r="E46" s="31">
        <f t="shared" si="16"/>
        <v>0.1008</v>
      </c>
      <c r="F46" s="31">
        <f t="shared" si="16"/>
        <v>0.1008</v>
      </c>
      <c r="G46" s="31">
        <f t="shared" si="16"/>
        <v>0.1008</v>
      </c>
      <c r="H46" s="31">
        <f t="shared" si="16"/>
        <v>0.1008</v>
      </c>
      <c r="I46" s="31">
        <f t="shared" si="16"/>
        <v>0.1008</v>
      </c>
      <c r="J46" s="31">
        <f t="shared" si="16"/>
        <v>0.1008</v>
      </c>
      <c r="K46" s="31">
        <f t="shared" si="16"/>
        <v>0.1008</v>
      </c>
      <c r="L46" s="31">
        <f t="shared" si="16"/>
        <v>0.1008</v>
      </c>
      <c r="M46" s="31">
        <f t="shared" si="16"/>
        <v>0.1008</v>
      </c>
      <c r="N46" s="19"/>
    </row>
    <row r="47" spans="1:14">
      <c r="A47" s="247" t="s">
        <v>17</v>
      </c>
      <c r="B47" s="20">
        <f>B45*B46</f>
        <v>0.1008</v>
      </c>
      <c r="C47" s="20">
        <f t="shared" ref="C47:M47" si="17">C45*C46</f>
        <v>0.2016</v>
      </c>
      <c r="D47" s="20">
        <f t="shared" si="17"/>
        <v>0.3024</v>
      </c>
      <c r="E47" s="20">
        <f t="shared" si="17"/>
        <v>0.4032</v>
      </c>
      <c r="F47" s="20">
        <f t="shared" si="17"/>
        <v>0.504</v>
      </c>
      <c r="G47" s="20">
        <f t="shared" si="17"/>
        <v>0.6048</v>
      </c>
      <c r="H47" s="20">
        <f t="shared" si="17"/>
        <v>0.7056</v>
      </c>
      <c r="I47" s="20">
        <f t="shared" si="17"/>
        <v>0.80640000000000001</v>
      </c>
      <c r="J47" s="20">
        <f t="shared" si="17"/>
        <v>0.90720000000000001</v>
      </c>
      <c r="K47" s="20">
        <f t="shared" si="17"/>
        <v>1.008</v>
      </c>
      <c r="L47" s="20">
        <f t="shared" si="17"/>
        <v>1.1088</v>
      </c>
      <c r="M47" s="20">
        <f t="shared" si="17"/>
        <v>1.2096</v>
      </c>
      <c r="N47" s="20">
        <f t="shared" si="14"/>
        <v>7.8623999999999992</v>
      </c>
    </row>
    <row r="48" spans="1:14">
      <c r="A48" s="24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>
      <c r="B49" s="23" t="s">
        <v>0</v>
      </c>
      <c r="C49" s="23" t="s">
        <v>1</v>
      </c>
      <c r="D49" s="23" t="s">
        <v>2</v>
      </c>
      <c r="E49" s="23" t="s">
        <v>3</v>
      </c>
      <c r="F49" s="23" t="s">
        <v>4</v>
      </c>
      <c r="G49" s="23" t="s">
        <v>5</v>
      </c>
      <c r="H49" s="23" t="s">
        <v>6</v>
      </c>
      <c r="I49" s="23" t="s">
        <v>7</v>
      </c>
      <c r="J49" s="23" t="s">
        <v>8</v>
      </c>
      <c r="K49" s="23" t="s">
        <v>9</v>
      </c>
      <c r="L49" s="23" t="s">
        <v>10</v>
      </c>
      <c r="M49" s="23" t="s">
        <v>11</v>
      </c>
      <c r="N49" s="23" t="s">
        <v>12</v>
      </c>
    </row>
    <row r="50" spans="1:14">
      <c r="A50" s="248">
        <f>+A27+1</f>
        <v>2016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>
      <c r="A51" s="247" t="s">
        <v>37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>
      <c r="A52" s="249" t="s">
        <v>47</v>
      </c>
      <c r="B52" s="232">
        <f>'Homestead Forecast'!E12</f>
        <v>18000</v>
      </c>
      <c r="C52" s="232">
        <f>'Homestead Forecast'!F12</f>
        <v>6000</v>
      </c>
      <c r="D52" s="232">
        <f>'Homestead Forecast'!G12</f>
        <v>0</v>
      </c>
      <c r="E52" s="232">
        <f>'Homestead Forecast'!H12</f>
        <v>3000</v>
      </c>
      <c r="F52" s="232">
        <f>'Homestead Forecast'!I12</f>
        <v>12000</v>
      </c>
      <c r="G52" s="232">
        <f>'Homestead Forecast'!J12</f>
        <v>20000</v>
      </c>
      <c r="H52" s="232">
        <f>'Homestead Forecast'!K12</f>
        <v>25000</v>
      </c>
      <c r="I52" s="232">
        <f>'Homestead Forecast'!L12</f>
        <v>18000</v>
      </c>
      <c r="J52" s="232">
        <f>'Homestead Forecast'!M12</f>
        <v>21000</v>
      </c>
      <c r="K52" s="232">
        <f>'Homestead Forecast'!N12</f>
        <v>8000</v>
      </c>
      <c r="L52" s="232">
        <f>'Homestead Forecast'!O12</f>
        <v>0</v>
      </c>
      <c r="M52" s="232">
        <f>'Homestead Forecast'!P12</f>
        <v>0</v>
      </c>
      <c r="N52" s="20">
        <f>SUM(B52:M52)</f>
        <v>131000</v>
      </c>
    </row>
    <row r="53" spans="1:14">
      <c r="A53" s="249" t="s">
        <v>45</v>
      </c>
      <c r="B53" s="27">
        <f>B52-B54</f>
        <v>326.9513991163476</v>
      </c>
      <c r="C53" s="27">
        <f t="shared" ref="C53:M53" si="18">C52-C54</f>
        <v>108.9837997054492</v>
      </c>
      <c r="D53" s="27">
        <f t="shared" si="18"/>
        <v>0</v>
      </c>
      <c r="E53" s="27">
        <f t="shared" si="18"/>
        <v>54.4918998527246</v>
      </c>
      <c r="F53" s="27">
        <f t="shared" si="18"/>
        <v>217.9675994108984</v>
      </c>
      <c r="G53" s="27">
        <f t="shared" si="18"/>
        <v>363.27933235149612</v>
      </c>
      <c r="H53" s="27">
        <f t="shared" si="18"/>
        <v>454.09916543936924</v>
      </c>
      <c r="I53" s="27">
        <f t="shared" si="18"/>
        <v>326.9513991163476</v>
      </c>
      <c r="J53" s="27">
        <f t="shared" si="18"/>
        <v>381.4432989690722</v>
      </c>
      <c r="K53" s="27">
        <f t="shared" si="18"/>
        <v>145.31173294059863</v>
      </c>
      <c r="L53" s="27">
        <f t="shared" si="18"/>
        <v>0</v>
      </c>
      <c r="M53" s="27">
        <f t="shared" si="18"/>
        <v>0</v>
      </c>
      <c r="N53" s="20">
        <f>SUM(B53:M53)</f>
        <v>2379.4796269023036</v>
      </c>
    </row>
    <row r="54" spans="1:14">
      <c r="A54" s="249" t="s">
        <v>418</v>
      </c>
      <c r="B54" s="27">
        <f>B52/(1+'Transmission Formula Rate (7)'!$B$27)</f>
        <v>17673.048600883652</v>
      </c>
      <c r="C54" s="27">
        <f>C52/(1+'Transmission Formula Rate (7)'!$B$27)</f>
        <v>5891.0162002945508</v>
      </c>
      <c r="D54" s="27">
        <f>D52/(1+'Transmission Formula Rate (7)'!$B$27)</f>
        <v>0</v>
      </c>
      <c r="E54" s="27">
        <f>E52/(1+'Transmission Formula Rate (7)'!$B$27)</f>
        <v>2945.5081001472754</v>
      </c>
      <c r="F54" s="27">
        <f>F52/(1+'Transmission Formula Rate (7)'!$B$27)</f>
        <v>11782.032400589102</v>
      </c>
      <c r="G54" s="27">
        <f>G52/(1+'Transmission Formula Rate (7)'!$B$27)</f>
        <v>19636.720667648504</v>
      </c>
      <c r="H54" s="27">
        <f>H52/(1+'Transmission Formula Rate (7)'!$B$27)</f>
        <v>24545.900834560631</v>
      </c>
      <c r="I54" s="27">
        <f>I52/(1+'Transmission Formula Rate (7)'!$B$27)</f>
        <v>17673.048600883652</v>
      </c>
      <c r="J54" s="27">
        <f>J52/(1+'Transmission Formula Rate (7)'!$B$27)</f>
        <v>20618.556701030928</v>
      </c>
      <c r="K54" s="27">
        <f>K52/(1+'Transmission Formula Rate (7)'!$B$27)</f>
        <v>7854.6882670594014</v>
      </c>
      <c r="L54" s="27">
        <f>L52/(1+'Transmission Formula Rate (7)'!$B$27)</f>
        <v>0</v>
      </c>
      <c r="M54" s="27">
        <f>M52/(1+'Transmission Formula Rate (7)'!$B$27)</f>
        <v>0</v>
      </c>
      <c r="N54" s="123">
        <f>SUM(B54:M54)</f>
        <v>128620.52037309769</v>
      </c>
    </row>
    <row r="55" spans="1:14">
      <c r="A55" s="247" t="s">
        <v>20</v>
      </c>
      <c r="B55" s="29">
        <f>'Transmission Formula Rate (7)'!B12</f>
        <v>1.59</v>
      </c>
      <c r="C55" s="29">
        <f>'Transmission Formula Rate (7)'!C12</f>
        <v>1.59</v>
      </c>
      <c r="D55" s="29">
        <f>'Transmission Formula Rate (7)'!D12</f>
        <v>1.59</v>
      </c>
      <c r="E55" s="29">
        <f>'Transmission Formula Rate (7)'!E12</f>
        <v>1.59</v>
      </c>
      <c r="F55" s="29">
        <f>'Transmission Formula Rate (7)'!F12</f>
        <v>1.59</v>
      </c>
      <c r="G55" s="29">
        <f>'Transmission Formula Rate (7)'!G12</f>
        <v>1.59</v>
      </c>
      <c r="H55" s="29">
        <f>'Transmission Formula Rate (7)'!H12</f>
        <v>1.59</v>
      </c>
      <c r="I55" s="29">
        <f>'Transmission Formula Rate (7)'!I12</f>
        <v>1.59</v>
      </c>
      <c r="J55" s="29">
        <f>'Transmission Formula Rate (7)'!J12</f>
        <v>1.59</v>
      </c>
      <c r="K55" s="29">
        <f>'Transmission Formula Rate (7)'!K12</f>
        <v>1.59</v>
      </c>
      <c r="L55" s="29">
        <f>'Transmission Formula Rate (7)'!L12</f>
        <v>1.59</v>
      </c>
      <c r="M55" s="29">
        <f>'Transmission Formula Rate (7)'!M12</f>
        <v>1.59</v>
      </c>
      <c r="N55" s="19"/>
    </row>
    <row r="56" spans="1:14">
      <c r="A56" s="247" t="s">
        <v>17</v>
      </c>
      <c r="B56" s="20">
        <f>B52*B55</f>
        <v>28620</v>
      </c>
      <c r="C56" s="20">
        <f t="shared" ref="C56:M56" si="19">C52*C55</f>
        <v>9540</v>
      </c>
      <c r="D56" s="20">
        <f t="shared" si="19"/>
        <v>0</v>
      </c>
      <c r="E56" s="20">
        <f t="shared" si="19"/>
        <v>4770</v>
      </c>
      <c r="F56" s="20">
        <f t="shared" si="19"/>
        <v>19080</v>
      </c>
      <c r="G56" s="20">
        <f t="shared" si="19"/>
        <v>31800</v>
      </c>
      <c r="H56" s="20">
        <f t="shared" si="19"/>
        <v>39750</v>
      </c>
      <c r="I56" s="20">
        <f t="shared" si="19"/>
        <v>28620</v>
      </c>
      <c r="J56" s="20">
        <f t="shared" si="19"/>
        <v>33390</v>
      </c>
      <c r="K56" s="20">
        <f t="shared" si="19"/>
        <v>12720</v>
      </c>
      <c r="L56" s="20">
        <f t="shared" si="19"/>
        <v>0</v>
      </c>
      <c r="M56" s="20">
        <f t="shared" si="19"/>
        <v>0</v>
      </c>
      <c r="N56" s="20">
        <f>SUM(B56:M56)</f>
        <v>208290</v>
      </c>
    </row>
    <row r="58" spans="1:14">
      <c r="A58" s="247" t="s">
        <v>135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>
      <c r="A59" s="249" t="s">
        <v>47</v>
      </c>
      <c r="B59" s="232">
        <f>B52</f>
        <v>18000</v>
      </c>
      <c r="C59" s="232">
        <f t="shared" ref="C59:M59" si="20">C52</f>
        <v>6000</v>
      </c>
      <c r="D59" s="232">
        <f t="shared" si="20"/>
        <v>0</v>
      </c>
      <c r="E59" s="232">
        <f t="shared" si="20"/>
        <v>3000</v>
      </c>
      <c r="F59" s="232">
        <f t="shared" si="20"/>
        <v>12000</v>
      </c>
      <c r="G59" s="232">
        <f t="shared" si="20"/>
        <v>20000</v>
      </c>
      <c r="H59" s="232">
        <f t="shared" si="20"/>
        <v>25000</v>
      </c>
      <c r="I59" s="232">
        <f t="shared" si="20"/>
        <v>18000</v>
      </c>
      <c r="J59" s="232">
        <f t="shared" si="20"/>
        <v>21000</v>
      </c>
      <c r="K59" s="232">
        <f t="shared" si="20"/>
        <v>8000</v>
      </c>
      <c r="L59" s="232">
        <f t="shared" si="20"/>
        <v>0</v>
      </c>
      <c r="M59" s="232">
        <f t="shared" si="20"/>
        <v>0</v>
      </c>
      <c r="N59" s="20">
        <f>SUM(B59:M59)</f>
        <v>131000</v>
      </c>
    </row>
    <row r="60" spans="1:14">
      <c r="A60" s="249" t="s">
        <v>45</v>
      </c>
      <c r="B60" s="27">
        <f>B59-B61</f>
        <v>326.9513991163476</v>
      </c>
      <c r="C60" s="27">
        <f t="shared" ref="C60" si="21">C59-C61</f>
        <v>108.9837997054492</v>
      </c>
      <c r="D60" s="27">
        <f t="shared" ref="D60" si="22">D59-D61</f>
        <v>0</v>
      </c>
      <c r="E60" s="27">
        <f t="shared" ref="E60" si="23">E59-E61</f>
        <v>54.4918998527246</v>
      </c>
      <c r="F60" s="27">
        <f t="shared" ref="F60" si="24">F59-F61</f>
        <v>217.9675994108984</v>
      </c>
      <c r="G60" s="27">
        <f t="shared" ref="G60" si="25">G59-G61</f>
        <v>363.27933235149612</v>
      </c>
      <c r="H60" s="27">
        <f t="shared" ref="H60" si="26">H59-H61</f>
        <v>454.09916543936924</v>
      </c>
      <c r="I60" s="27">
        <f t="shared" ref="I60" si="27">I59-I61</f>
        <v>326.9513991163476</v>
      </c>
      <c r="J60" s="27">
        <f t="shared" ref="J60" si="28">J59-J61</f>
        <v>381.4432989690722</v>
      </c>
      <c r="K60" s="27">
        <f t="shared" ref="K60" si="29">K59-K61</f>
        <v>145.31173294059863</v>
      </c>
      <c r="L60" s="27">
        <f t="shared" ref="L60" si="30">L59-L61</f>
        <v>0</v>
      </c>
      <c r="M60" s="27">
        <f t="shared" ref="M60" si="31">M59-M61</f>
        <v>0</v>
      </c>
      <c r="N60" s="20">
        <f>SUM(B60:M60)</f>
        <v>2379.4796269023036</v>
      </c>
    </row>
    <row r="61" spans="1:14">
      <c r="A61" s="249" t="s">
        <v>418</v>
      </c>
      <c r="B61" s="27">
        <f>B59/(1+'Transmission Formula Rate (7)'!$B$27)</f>
        <v>17673.048600883652</v>
      </c>
      <c r="C61" s="27">
        <f>C59/(1+'Transmission Formula Rate (7)'!$B$27)</f>
        <v>5891.0162002945508</v>
      </c>
      <c r="D61" s="27">
        <f>D59/(1+'Transmission Formula Rate (7)'!$B$27)</f>
        <v>0</v>
      </c>
      <c r="E61" s="27">
        <f>E59/(1+'Transmission Formula Rate (7)'!$B$27)</f>
        <v>2945.5081001472754</v>
      </c>
      <c r="F61" s="27">
        <f>F59/(1+'Transmission Formula Rate (7)'!$B$27)</f>
        <v>11782.032400589102</v>
      </c>
      <c r="G61" s="27">
        <f>G59/(1+'Transmission Formula Rate (7)'!$B$27)</f>
        <v>19636.720667648504</v>
      </c>
      <c r="H61" s="27">
        <f>H59/(1+'Transmission Formula Rate (7)'!$B$27)</f>
        <v>24545.900834560631</v>
      </c>
      <c r="I61" s="27">
        <f>I59/(1+'Transmission Formula Rate (7)'!$B$27)</f>
        <v>17673.048600883652</v>
      </c>
      <c r="J61" s="27">
        <f>J59/(1+'Transmission Formula Rate (7)'!$B$27)</f>
        <v>20618.556701030928</v>
      </c>
      <c r="K61" s="27">
        <f>K59/(1+'Transmission Formula Rate (7)'!$B$27)</f>
        <v>7854.6882670594014</v>
      </c>
      <c r="L61" s="27">
        <f>L59/(1+'Transmission Formula Rate (7)'!$B$27)</f>
        <v>0</v>
      </c>
      <c r="M61" s="27">
        <f>M59/(1+'Transmission Formula Rate (7)'!$B$27)</f>
        <v>0</v>
      </c>
      <c r="N61" s="123">
        <f>SUM(B61:M61)</f>
        <v>128620.52037309769</v>
      </c>
    </row>
    <row r="62" spans="1:14">
      <c r="A62" s="247" t="s">
        <v>143</v>
      </c>
      <c r="B62" s="31">
        <f>'charges (1 &amp; 2)'!G32</f>
        <v>1.274E-2</v>
      </c>
      <c r="C62" s="31">
        <f>B62</f>
        <v>1.274E-2</v>
      </c>
      <c r="D62" s="31">
        <f t="shared" ref="D62:M62" si="32">C62</f>
        <v>1.274E-2</v>
      </c>
      <c r="E62" s="31">
        <f t="shared" si="32"/>
        <v>1.274E-2</v>
      </c>
      <c r="F62" s="31">
        <f t="shared" si="32"/>
        <v>1.274E-2</v>
      </c>
      <c r="G62" s="31">
        <f t="shared" si="32"/>
        <v>1.274E-2</v>
      </c>
      <c r="H62" s="31">
        <f t="shared" si="32"/>
        <v>1.274E-2</v>
      </c>
      <c r="I62" s="31">
        <f t="shared" si="32"/>
        <v>1.274E-2</v>
      </c>
      <c r="J62" s="31">
        <f t="shared" si="32"/>
        <v>1.274E-2</v>
      </c>
      <c r="K62" s="31">
        <f t="shared" si="32"/>
        <v>1.274E-2</v>
      </c>
      <c r="L62" s="31">
        <f t="shared" si="32"/>
        <v>1.274E-2</v>
      </c>
      <c r="M62" s="31">
        <f t="shared" si="32"/>
        <v>1.274E-2</v>
      </c>
      <c r="N62" s="19"/>
    </row>
    <row r="63" spans="1:14">
      <c r="A63" s="247" t="s">
        <v>17</v>
      </c>
      <c r="B63" s="20">
        <f>B59*B62</f>
        <v>229.32</v>
      </c>
      <c r="C63" s="20">
        <f t="shared" ref="C63" si="33">C59*C62</f>
        <v>76.44</v>
      </c>
      <c r="D63" s="20">
        <f t="shared" ref="D63" si="34">D59*D62</f>
        <v>0</v>
      </c>
      <c r="E63" s="20">
        <f t="shared" ref="E63" si="35">E59*E62</f>
        <v>38.22</v>
      </c>
      <c r="F63" s="20">
        <f t="shared" ref="F63" si="36">F59*F62</f>
        <v>152.88</v>
      </c>
      <c r="G63" s="20">
        <f t="shared" ref="G63" si="37">G59*G62</f>
        <v>254.79999999999998</v>
      </c>
      <c r="H63" s="20">
        <f t="shared" ref="H63" si="38">H59*H62</f>
        <v>318.5</v>
      </c>
      <c r="I63" s="20">
        <f t="shared" ref="I63" si="39">I59*I62</f>
        <v>229.32</v>
      </c>
      <c r="J63" s="20">
        <f t="shared" ref="J63" si="40">J59*J62</f>
        <v>267.53999999999996</v>
      </c>
      <c r="K63" s="20">
        <f t="shared" ref="K63" si="41">K59*K62</f>
        <v>101.92</v>
      </c>
      <c r="L63" s="20">
        <f t="shared" ref="L63" si="42">L59*L62</f>
        <v>0</v>
      </c>
      <c r="M63" s="20">
        <f t="shared" ref="M63" si="43">M59*M62</f>
        <v>0</v>
      </c>
      <c r="N63" s="20">
        <f>SUM(B63:M63)</f>
        <v>1668.9399999999998</v>
      </c>
    </row>
    <row r="65" spans="1:15">
      <c r="A65" s="247" t="s">
        <v>38</v>
      </c>
    </row>
    <row r="66" spans="1:15">
      <c r="A66" s="249" t="s">
        <v>47</v>
      </c>
      <c r="B66" s="232">
        <f>B52</f>
        <v>18000</v>
      </c>
      <c r="C66" s="232">
        <f t="shared" ref="C66:M66" si="44">C52</f>
        <v>6000</v>
      </c>
      <c r="D66" s="232">
        <f t="shared" si="44"/>
        <v>0</v>
      </c>
      <c r="E66" s="232">
        <f t="shared" si="44"/>
        <v>3000</v>
      </c>
      <c r="F66" s="232">
        <f t="shared" si="44"/>
        <v>12000</v>
      </c>
      <c r="G66" s="232">
        <f t="shared" si="44"/>
        <v>20000</v>
      </c>
      <c r="H66" s="232">
        <f t="shared" si="44"/>
        <v>25000</v>
      </c>
      <c r="I66" s="232">
        <f t="shared" si="44"/>
        <v>18000</v>
      </c>
      <c r="J66" s="232">
        <f t="shared" si="44"/>
        <v>21000</v>
      </c>
      <c r="K66" s="232">
        <f t="shared" si="44"/>
        <v>8000</v>
      </c>
      <c r="L66" s="232">
        <f t="shared" si="44"/>
        <v>0</v>
      </c>
      <c r="M66" s="232">
        <f t="shared" si="44"/>
        <v>0</v>
      </c>
      <c r="N66" s="20">
        <f>SUM(B66:M66)</f>
        <v>131000</v>
      </c>
    </row>
    <row r="67" spans="1:15">
      <c r="A67" s="249" t="s">
        <v>45</v>
      </c>
      <c r="B67" s="27">
        <f>B66-B68</f>
        <v>326.9513991163476</v>
      </c>
      <c r="C67" s="27">
        <f t="shared" ref="C67" si="45">C66-C68</f>
        <v>108.9837997054492</v>
      </c>
      <c r="D67" s="27">
        <f t="shared" ref="D67" si="46">D66-D68</f>
        <v>0</v>
      </c>
      <c r="E67" s="27">
        <f t="shared" ref="E67" si="47">E66-E68</f>
        <v>54.4918998527246</v>
      </c>
      <c r="F67" s="27">
        <f t="shared" ref="F67" si="48">F66-F68</f>
        <v>217.9675994108984</v>
      </c>
      <c r="G67" s="27">
        <f t="shared" ref="G67" si="49">G66-G68</f>
        <v>363.27933235149612</v>
      </c>
      <c r="H67" s="27">
        <f t="shared" ref="H67" si="50">H66-H68</f>
        <v>454.09916543936924</v>
      </c>
      <c r="I67" s="27">
        <f t="shared" ref="I67" si="51">I66-I68</f>
        <v>326.9513991163476</v>
      </c>
      <c r="J67" s="27">
        <f t="shared" ref="J67" si="52">J66-J68</f>
        <v>381.4432989690722</v>
      </c>
      <c r="K67" s="27">
        <f t="shared" ref="K67" si="53">K66-K68</f>
        <v>145.31173294059863</v>
      </c>
      <c r="L67" s="27">
        <f t="shared" ref="L67" si="54">L66-L68</f>
        <v>0</v>
      </c>
      <c r="M67" s="27">
        <f t="shared" ref="M67" si="55">M66-M68</f>
        <v>0</v>
      </c>
      <c r="N67" s="20">
        <f t="shared" ref="N67:N68" si="56">SUM(B67:M67)</f>
        <v>2379.4796269023036</v>
      </c>
    </row>
    <row r="68" spans="1:15">
      <c r="A68" s="249" t="s">
        <v>418</v>
      </c>
      <c r="B68" s="27">
        <f>B66/(1+'Transmission Formula Rate (7)'!$B$27)</f>
        <v>17673.048600883652</v>
      </c>
      <c r="C68" s="27">
        <f>C66/(1+'Transmission Formula Rate (7)'!$B$27)</f>
        <v>5891.0162002945508</v>
      </c>
      <c r="D68" s="27">
        <f>D66/(1+'Transmission Formula Rate (7)'!$B$27)</f>
        <v>0</v>
      </c>
      <c r="E68" s="27">
        <f>E66/(1+'Transmission Formula Rate (7)'!$B$27)</f>
        <v>2945.5081001472754</v>
      </c>
      <c r="F68" s="27">
        <f>F66/(1+'Transmission Formula Rate (7)'!$B$27)</f>
        <v>11782.032400589102</v>
      </c>
      <c r="G68" s="27">
        <f>G66/(1+'Transmission Formula Rate (7)'!$B$27)</f>
        <v>19636.720667648504</v>
      </c>
      <c r="H68" s="27">
        <f>H66/(1+'Transmission Formula Rate (7)'!$B$27)</f>
        <v>24545.900834560631</v>
      </c>
      <c r="I68" s="27">
        <f>I66/(1+'Transmission Formula Rate (7)'!$B$27)</f>
        <v>17673.048600883652</v>
      </c>
      <c r="J68" s="27">
        <f>J66/(1+'Transmission Formula Rate (7)'!$B$27)</f>
        <v>20618.556701030928</v>
      </c>
      <c r="K68" s="27">
        <f>K66/(1+'Transmission Formula Rate (7)'!$B$27)</f>
        <v>7854.6882670594014</v>
      </c>
      <c r="L68" s="27">
        <f>L66/(1+'Transmission Formula Rate (7)'!$B$27)</f>
        <v>0</v>
      </c>
      <c r="M68" s="27">
        <f>M66/(1+'Transmission Formula Rate (7)'!$B$27)</f>
        <v>0</v>
      </c>
      <c r="N68" s="123">
        <f t="shared" si="56"/>
        <v>128620.52037309769</v>
      </c>
    </row>
    <row r="69" spans="1:15">
      <c r="A69" s="247" t="s">
        <v>144</v>
      </c>
      <c r="B69" s="31">
        <f>'charges (1 &amp; 2)'!E10</f>
        <v>0.1008</v>
      </c>
      <c r="C69" s="31">
        <f>B69</f>
        <v>0.1008</v>
      </c>
      <c r="D69" s="31">
        <f t="shared" ref="D69:M69" si="57">C69</f>
        <v>0.1008</v>
      </c>
      <c r="E69" s="31">
        <f t="shared" si="57"/>
        <v>0.1008</v>
      </c>
      <c r="F69" s="31">
        <f t="shared" si="57"/>
        <v>0.1008</v>
      </c>
      <c r="G69" s="31">
        <f t="shared" si="57"/>
        <v>0.1008</v>
      </c>
      <c r="H69" s="31">
        <f t="shared" si="57"/>
        <v>0.1008</v>
      </c>
      <c r="I69" s="31">
        <f t="shared" si="57"/>
        <v>0.1008</v>
      </c>
      <c r="J69" s="31">
        <f t="shared" si="57"/>
        <v>0.1008</v>
      </c>
      <c r="K69" s="31">
        <f t="shared" si="57"/>
        <v>0.1008</v>
      </c>
      <c r="L69" s="31">
        <f t="shared" si="57"/>
        <v>0.1008</v>
      </c>
      <c r="M69" s="31">
        <f t="shared" si="57"/>
        <v>0.1008</v>
      </c>
    </row>
    <row r="70" spans="1:15">
      <c r="A70" s="247" t="s">
        <v>17</v>
      </c>
      <c r="B70" s="20">
        <f>B66*B69</f>
        <v>1814.4</v>
      </c>
      <c r="C70" s="20">
        <f t="shared" ref="C70" si="58">C66*C69</f>
        <v>604.79999999999995</v>
      </c>
      <c r="D70" s="20">
        <f t="shared" ref="D70" si="59">D66*D69</f>
        <v>0</v>
      </c>
      <c r="E70" s="20">
        <f t="shared" ref="E70" si="60">E66*E69</f>
        <v>302.39999999999998</v>
      </c>
      <c r="F70" s="20">
        <f t="shared" ref="F70" si="61">F66*F69</f>
        <v>1209.5999999999999</v>
      </c>
      <c r="G70" s="20">
        <f t="shared" ref="G70" si="62">G66*G69</f>
        <v>2016</v>
      </c>
      <c r="H70" s="20">
        <f t="shared" ref="H70" si="63">H66*H69</f>
        <v>2520</v>
      </c>
      <c r="I70" s="20">
        <f t="shared" ref="I70" si="64">I66*I69</f>
        <v>1814.4</v>
      </c>
      <c r="J70" s="20">
        <f t="shared" ref="J70" si="65">J66*J69</f>
        <v>2116.8000000000002</v>
      </c>
      <c r="K70" s="20">
        <f t="shared" ref="K70" si="66">K66*K69</f>
        <v>806.4</v>
      </c>
      <c r="L70" s="20">
        <f t="shared" ref="L70" si="67">L66*L69</f>
        <v>0</v>
      </c>
      <c r="M70" s="20">
        <f t="shared" ref="M70" si="68">M66*M69</f>
        <v>0</v>
      </c>
      <c r="N70" s="20">
        <f>SUM(B70:M70)</f>
        <v>13204.800000000001</v>
      </c>
    </row>
    <row r="72" spans="1:15">
      <c r="B72" s="23" t="s">
        <v>0</v>
      </c>
      <c r="C72" s="23" t="s">
        <v>1</v>
      </c>
      <c r="D72" s="23" t="s">
        <v>2</v>
      </c>
      <c r="E72" s="23" t="s">
        <v>3</v>
      </c>
      <c r="F72" s="23" t="s">
        <v>4</v>
      </c>
      <c r="G72" s="23" t="s">
        <v>5</v>
      </c>
      <c r="H72" s="23" t="s">
        <v>6</v>
      </c>
      <c r="I72" s="23" t="s">
        <v>7</v>
      </c>
      <c r="J72" s="23" t="s">
        <v>8</v>
      </c>
      <c r="K72" s="23" t="s">
        <v>9</v>
      </c>
      <c r="L72" s="23" t="s">
        <v>10</v>
      </c>
      <c r="M72" s="23" t="s">
        <v>11</v>
      </c>
      <c r="N72" s="23" t="s">
        <v>12</v>
      </c>
    </row>
    <row r="73" spans="1:15">
      <c r="A73" s="248">
        <f>+A50+1</f>
        <v>2017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5">
      <c r="A74" s="247" t="s">
        <v>37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5">
      <c r="A75" s="249" t="s">
        <v>47</v>
      </c>
      <c r="B75" s="232">
        <f>'Homestead Forecast'!E13</f>
        <v>21000</v>
      </c>
      <c r="C75" s="232">
        <f>'Homestead Forecast'!F13</f>
        <v>6000</v>
      </c>
      <c r="D75" s="232">
        <f>'Homestead Forecast'!G13</f>
        <v>0</v>
      </c>
      <c r="E75" s="232">
        <f>'Homestead Forecast'!H13</f>
        <v>3000</v>
      </c>
      <c r="F75" s="232">
        <f>'Homestead Forecast'!I13</f>
        <v>12000</v>
      </c>
      <c r="G75" s="232">
        <f>'Homestead Forecast'!J13</f>
        <v>20000</v>
      </c>
      <c r="H75" s="232">
        <f>'Homestead Forecast'!K13</f>
        <v>25000</v>
      </c>
      <c r="I75" s="232">
        <f>'Homestead Forecast'!L13</f>
        <v>21000</v>
      </c>
      <c r="J75" s="232">
        <f>'Homestead Forecast'!M13</f>
        <v>21000</v>
      </c>
      <c r="K75" s="232">
        <f>'Homestead Forecast'!N13</f>
        <v>8000</v>
      </c>
      <c r="L75" s="232">
        <f>'Homestead Forecast'!O13</f>
        <v>0</v>
      </c>
      <c r="M75" s="232">
        <f>'Homestead Forecast'!P13</f>
        <v>0</v>
      </c>
      <c r="N75" s="20">
        <f>SUM(B75:M75)</f>
        <v>137000</v>
      </c>
    </row>
    <row r="76" spans="1:15">
      <c r="A76" s="249" t="s">
        <v>45</v>
      </c>
      <c r="B76" s="27">
        <f>B75-B77</f>
        <v>381.4432989690722</v>
      </c>
      <c r="C76" s="27">
        <f t="shared" ref="C76" si="69">C75-C77</f>
        <v>108.9837997054492</v>
      </c>
      <c r="D76" s="27">
        <f t="shared" ref="D76" si="70">D75-D77</f>
        <v>0</v>
      </c>
      <c r="E76" s="27">
        <f t="shared" ref="E76" si="71">E75-E77</f>
        <v>54.4918998527246</v>
      </c>
      <c r="F76" s="27">
        <f t="shared" ref="F76" si="72">F75-F77</f>
        <v>217.9675994108984</v>
      </c>
      <c r="G76" s="27">
        <f t="shared" ref="G76" si="73">G75-G77</f>
        <v>363.27933235149612</v>
      </c>
      <c r="H76" s="27">
        <f t="shared" ref="H76" si="74">H75-H77</f>
        <v>454.09916543936924</v>
      </c>
      <c r="I76" s="27">
        <f t="shared" ref="I76" si="75">I75-I77</f>
        <v>381.4432989690722</v>
      </c>
      <c r="J76" s="27">
        <f t="shared" ref="J76" si="76">J75-J77</f>
        <v>381.4432989690722</v>
      </c>
      <c r="K76" s="27">
        <f t="shared" ref="K76" si="77">K75-K77</f>
        <v>145.31173294059863</v>
      </c>
      <c r="L76" s="27">
        <f t="shared" ref="L76" si="78">L75-L77</f>
        <v>0</v>
      </c>
      <c r="M76" s="27">
        <f t="shared" ref="M76" si="79">M75-M77</f>
        <v>0</v>
      </c>
      <c r="N76" s="20">
        <f>SUM(B76:M76)</f>
        <v>2488.4634266077528</v>
      </c>
    </row>
    <row r="77" spans="1:15">
      <c r="A77" s="249" t="s">
        <v>418</v>
      </c>
      <c r="B77" s="27">
        <f>B75/(1+'Transmission Formula Rate (7)'!$B$27)</f>
        <v>20618.556701030928</v>
      </c>
      <c r="C77" s="27">
        <f>C75/(1+'Transmission Formula Rate (7)'!$B$27)</f>
        <v>5891.0162002945508</v>
      </c>
      <c r="D77" s="27">
        <f>D75/(1+'Transmission Formula Rate (7)'!$B$27)</f>
        <v>0</v>
      </c>
      <c r="E77" s="27">
        <f>E75/(1+'Transmission Formula Rate (7)'!$B$27)</f>
        <v>2945.5081001472754</v>
      </c>
      <c r="F77" s="27">
        <f>F75/(1+'Transmission Formula Rate (7)'!$B$27)</f>
        <v>11782.032400589102</v>
      </c>
      <c r="G77" s="27">
        <f>G75/(1+'Transmission Formula Rate (7)'!$B$27)</f>
        <v>19636.720667648504</v>
      </c>
      <c r="H77" s="27">
        <f>H75/(1+'Transmission Formula Rate (7)'!$B$27)</f>
        <v>24545.900834560631</v>
      </c>
      <c r="I77" s="27">
        <f>I75/(1+'Transmission Formula Rate (7)'!$B$27)</f>
        <v>20618.556701030928</v>
      </c>
      <c r="J77" s="27">
        <f>J75/(1+'Transmission Formula Rate (7)'!$B$27)</f>
        <v>20618.556701030928</v>
      </c>
      <c r="K77" s="27">
        <f>K75/(1+'Transmission Formula Rate (7)'!$B$27)</f>
        <v>7854.6882670594014</v>
      </c>
      <c r="L77" s="27">
        <f>L75/(1+'Transmission Formula Rate (7)'!$B$27)</f>
        <v>0</v>
      </c>
      <c r="M77" s="27">
        <f>M75/(1+'Transmission Formula Rate (7)'!$B$27)</f>
        <v>0</v>
      </c>
      <c r="N77" s="123">
        <f>SUM(B77:M77)</f>
        <v>134511.53657339225</v>
      </c>
    </row>
    <row r="78" spans="1:15">
      <c r="A78" s="247" t="s">
        <v>20</v>
      </c>
      <c r="B78" s="29">
        <f>'Transmission Formula Rate (7)'!B14</f>
        <v>1.59</v>
      </c>
      <c r="C78" s="29">
        <f>'Transmission Formula Rate (7)'!C14</f>
        <v>1.59</v>
      </c>
      <c r="D78" s="29">
        <f>'Transmission Formula Rate (7)'!D14</f>
        <v>1.59</v>
      </c>
      <c r="E78" s="29">
        <f>'Transmission Formula Rate (7)'!E14</f>
        <v>1.59</v>
      </c>
      <c r="F78" s="29">
        <f>'Transmission Formula Rate (7)'!F14</f>
        <v>1.59</v>
      </c>
      <c r="G78" s="29">
        <f>'Transmission Formula Rate (7)'!G14</f>
        <v>1.59</v>
      </c>
      <c r="H78" s="29">
        <f>'Transmission Formula Rate (7)'!H14</f>
        <v>1.59</v>
      </c>
      <c r="I78" s="29">
        <f>'Transmission Formula Rate (7)'!I14</f>
        <v>1.59</v>
      </c>
      <c r="J78" s="29">
        <f>'Transmission Formula Rate (7)'!J14</f>
        <v>1.59</v>
      </c>
      <c r="K78" s="29">
        <f>'Transmission Formula Rate (7)'!K14</f>
        <v>1.59</v>
      </c>
      <c r="L78" s="29">
        <f>'Transmission Formula Rate (7)'!L14</f>
        <v>1.59</v>
      </c>
      <c r="M78" s="29">
        <f>'Transmission Formula Rate (7)'!M14</f>
        <v>1.59</v>
      </c>
      <c r="N78" s="19"/>
      <c r="O78" s="270"/>
    </row>
    <row r="79" spans="1:15">
      <c r="A79" s="247" t="s">
        <v>17</v>
      </c>
      <c r="B79" s="20">
        <f>B75*B78</f>
        <v>33390</v>
      </c>
      <c r="C79" s="20">
        <f t="shared" ref="C79" si="80">C75*C78</f>
        <v>9540</v>
      </c>
      <c r="D79" s="20">
        <f t="shared" ref="D79" si="81">D75*D78</f>
        <v>0</v>
      </c>
      <c r="E79" s="20">
        <f t="shared" ref="E79" si="82">E75*E78</f>
        <v>4770</v>
      </c>
      <c r="F79" s="20">
        <f t="shared" ref="F79" si="83">F75*F78</f>
        <v>19080</v>
      </c>
      <c r="G79" s="20">
        <f t="shared" ref="G79" si="84">G75*G78</f>
        <v>31800</v>
      </c>
      <c r="H79" s="20">
        <f t="shared" ref="H79" si="85">H75*H78</f>
        <v>39750</v>
      </c>
      <c r="I79" s="20">
        <f t="shared" ref="I79" si="86">I75*I78</f>
        <v>33390</v>
      </c>
      <c r="J79" s="20">
        <f t="shared" ref="J79" si="87">J75*J78</f>
        <v>33390</v>
      </c>
      <c r="K79" s="20">
        <f t="shared" ref="K79" si="88">K75*K78</f>
        <v>12720</v>
      </c>
      <c r="L79" s="20">
        <f t="shared" ref="L79" si="89">L75*L78</f>
        <v>0</v>
      </c>
      <c r="M79" s="20">
        <f t="shared" ref="M79" si="90">M75*M78</f>
        <v>0</v>
      </c>
      <c r="N79" s="20">
        <f>SUM(B79:M79)</f>
        <v>217830</v>
      </c>
    </row>
    <row r="81" spans="1:14">
      <c r="A81" s="247" t="s">
        <v>135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>
      <c r="A82" s="249" t="s">
        <v>47</v>
      </c>
      <c r="B82" s="232">
        <f>B75</f>
        <v>21000</v>
      </c>
      <c r="C82" s="232">
        <f t="shared" ref="C82:M82" si="91">C75</f>
        <v>6000</v>
      </c>
      <c r="D82" s="232">
        <f t="shared" si="91"/>
        <v>0</v>
      </c>
      <c r="E82" s="232">
        <f t="shared" si="91"/>
        <v>3000</v>
      </c>
      <c r="F82" s="232">
        <f t="shared" si="91"/>
        <v>12000</v>
      </c>
      <c r="G82" s="232">
        <f t="shared" si="91"/>
        <v>20000</v>
      </c>
      <c r="H82" s="232">
        <f t="shared" si="91"/>
        <v>25000</v>
      </c>
      <c r="I82" s="232">
        <f t="shared" si="91"/>
        <v>21000</v>
      </c>
      <c r="J82" s="232">
        <f t="shared" si="91"/>
        <v>21000</v>
      </c>
      <c r="K82" s="232">
        <f t="shared" si="91"/>
        <v>8000</v>
      </c>
      <c r="L82" s="232">
        <f t="shared" si="91"/>
        <v>0</v>
      </c>
      <c r="M82" s="232">
        <f t="shared" si="91"/>
        <v>0</v>
      </c>
      <c r="N82" s="20">
        <f>SUM(B82:M82)</f>
        <v>137000</v>
      </c>
    </row>
    <row r="83" spans="1:14">
      <c r="A83" s="249" t="s">
        <v>45</v>
      </c>
      <c r="B83" s="27">
        <f>B82-B84</f>
        <v>381.4432989690722</v>
      </c>
      <c r="C83" s="27">
        <f t="shared" ref="C83" si="92">C82-C84</f>
        <v>108.9837997054492</v>
      </c>
      <c r="D83" s="27">
        <f t="shared" ref="D83" si="93">D82-D84</f>
        <v>0</v>
      </c>
      <c r="E83" s="27">
        <f t="shared" ref="E83" si="94">E82-E84</f>
        <v>54.4918998527246</v>
      </c>
      <c r="F83" s="27">
        <f t="shared" ref="F83" si="95">F82-F84</f>
        <v>217.9675994108984</v>
      </c>
      <c r="G83" s="27">
        <f t="shared" ref="G83" si="96">G82-G84</f>
        <v>363.27933235149612</v>
      </c>
      <c r="H83" s="27">
        <f t="shared" ref="H83" si="97">H82-H84</f>
        <v>454.09916543936924</v>
      </c>
      <c r="I83" s="27">
        <f t="shared" ref="I83" si="98">I82-I84</f>
        <v>381.4432989690722</v>
      </c>
      <c r="J83" s="27">
        <f t="shared" ref="J83" si="99">J82-J84</f>
        <v>381.4432989690722</v>
      </c>
      <c r="K83" s="27">
        <f t="shared" ref="K83" si="100">K82-K84</f>
        <v>145.31173294059863</v>
      </c>
      <c r="L83" s="27">
        <f t="shared" ref="L83" si="101">L82-L84</f>
        <v>0</v>
      </c>
      <c r="M83" s="27">
        <f t="shared" ref="M83" si="102">M82-M84</f>
        <v>0</v>
      </c>
      <c r="N83" s="20">
        <f>SUM(B83:M83)</f>
        <v>2488.4634266077528</v>
      </c>
    </row>
    <row r="84" spans="1:14">
      <c r="A84" s="249" t="s">
        <v>418</v>
      </c>
      <c r="B84" s="27">
        <f>B82/(1+'Transmission Formula Rate (7)'!$B$27)</f>
        <v>20618.556701030928</v>
      </c>
      <c r="C84" s="27">
        <f>C82/(1+'Transmission Formula Rate (7)'!$B$27)</f>
        <v>5891.0162002945508</v>
      </c>
      <c r="D84" s="27">
        <f>D82/(1+'Transmission Formula Rate (7)'!$B$27)</f>
        <v>0</v>
      </c>
      <c r="E84" s="27">
        <f>E82/(1+'Transmission Formula Rate (7)'!$B$27)</f>
        <v>2945.5081001472754</v>
      </c>
      <c r="F84" s="27">
        <f>F82/(1+'Transmission Formula Rate (7)'!$B$27)</f>
        <v>11782.032400589102</v>
      </c>
      <c r="G84" s="27">
        <f>G82/(1+'Transmission Formula Rate (7)'!$B$27)</f>
        <v>19636.720667648504</v>
      </c>
      <c r="H84" s="27">
        <f>H82/(1+'Transmission Formula Rate (7)'!$B$27)</f>
        <v>24545.900834560631</v>
      </c>
      <c r="I84" s="27">
        <f>I82/(1+'Transmission Formula Rate (7)'!$B$27)</f>
        <v>20618.556701030928</v>
      </c>
      <c r="J84" s="27">
        <f>J82/(1+'Transmission Formula Rate (7)'!$B$27)</f>
        <v>20618.556701030928</v>
      </c>
      <c r="K84" s="27">
        <f>K82/(1+'Transmission Formula Rate (7)'!$B$27)</f>
        <v>7854.6882670594014</v>
      </c>
      <c r="L84" s="27">
        <f>L82/(1+'Transmission Formula Rate (7)'!$B$27)</f>
        <v>0</v>
      </c>
      <c r="M84" s="27">
        <f>M82/(1+'Transmission Formula Rate (7)'!$B$27)</f>
        <v>0</v>
      </c>
      <c r="N84" s="123">
        <f>SUM(B84:M84)</f>
        <v>134511.53657339225</v>
      </c>
    </row>
    <row r="85" spans="1:14">
      <c r="A85" s="247" t="s">
        <v>143</v>
      </c>
      <c r="B85" s="31">
        <f>'charges (1 &amp; 2)'!H32</f>
        <v>1.274E-2</v>
      </c>
      <c r="C85" s="31">
        <f>B85</f>
        <v>1.274E-2</v>
      </c>
      <c r="D85" s="31">
        <f t="shared" ref="D85:M85" si="103">C85</f>
        <v>1.274E-2</v>
      </c>
      <c r="E85" s="31">
        <f t="shared" si="103"/>
        <v>1.274E-2</v>
      </c>
      <c r="F85" s="31">
        <f t="shared" si="103"/>
        <v>1.274E-2</v>
      </c>
      <c r="G85" s="31">
        <f t="shared" si="103"/>
        <v>1.274E-2</v>
      </c>
      <c r="H85" s="31">
        <f t="shared" si="103"/>
        <v>1.274E-2</v>
      </c>
      <c r="I85" s="31">
        <f t="shared" si="103"/>
        <v>1.274E-2</v>
      </c>
      <c r="J85" s="31">
        <f t="shared" si="103"/>
        <v>1.274E-2</v>
      </c>
      <c r="K85" s="31">
        <f t="shared" si="103"/>
        <v>1.274E-2</v>
      </c>
      <c r="L85" s="31">
        <f t="shared" si="103"/>
        <v>1.274E-2</v>
      </c>
      <c r="M85" s="31">
        <f t="shared" si="103"/>
        <v>1.274E-2</v>
      </c>
      <c r="N85" s="19"/>
    </row>
    <row r="86" spans="1:14">
      <c r="A86" s="247" t="s">
        <v>17</v>
      </c>
      <c r="B86" s="20">
        <f>B82*B85</f>
        <v>267.53999999999996</v>
      </c>
      <c r="C86" s="20">
        <f t="shared" ref="C86" si="104">C82*C85</f>
        <v>76.44</v>
      </c>
      <c r="D86" s="20">
        <f t="shared" ref="D86" si="105">D82*D85</f>
        <v>0</v>
      </c>
      <c r="E86" s="20">
        <f t="shared" ref="E86" si="106">E82*E85</f>
        <v>38.22</v>
      </c>
      <c r="F86" s="20">
        <f t="shared" ref="F86" si="107">F82*F85</f>
        <v>152.88</v>
      </c>
      <c r="G86" s="20">
        <f t="shared" ref="G86" si="108">G82*G85</f>
        <v>254.79999999999998</v>
      </c>
      <c r="H86" s="20">
        <f t="shared" ref="H86" si="109">H82*H85</f>
        <v>318.5</v>
      </c>
      <c r="I86" s="20">
        <f t="shared" ref="I86" si="110">I82*I85</f>
        <v>267.53999999999996</v>
      </c>
      <c r="J86" s="20">
        <f t="shared" ref="J86" si="111">J82*J85</f>
        <v>267.53999999999996</v>
      </c>
      <c r="K86" s="20">
        <f t="shared" ref="K86" si="112">K82*K85</f>
        <v>101.92</v>
      </c>
      <c r="L86" s="20">
        <f t="shared" ref="L86" si="113">L82*L85</f>
        <v>0</v>
      </c>
      <c r="M86" s="20">
        <f t="shared" ref="M86" si="114">M82*M85</f>
        <v>0</v>
      </c>
      <c r="N86" s="20">
        <f>SUM(B86:M86)</f>
        <v>1745.3799999999999</v>
      </c>
    </row>
    <row r="87" spans="1:14">
      <c r="A87" s="24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>
      <c r="A88" s="247" t="s">
        <v>38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249" t="s">
        <v>47</v>
      </c>
      <c r="B89" s="232">
        <f>B75</f>
        <v>21000</v>
      </c>
      <c r="C89" s="232">
        <f t="shared" ref="C89:M89" si="115">C75</f>
        <v>6000</v>
      </c>
      <c r="D89" s="232">
        <f t="shared" si="115"/>
        <v>0</v>
      </c>
      <c r="E89" s="232">
        <f t="shared" si="115"/>
        <v>3000</v>
      </c>
      <c r="F89" s="232">
        <f t="shared" si="115"/>
        <v>12000</v>
      </c>
      <c r="G89" s="232">
        <f t="shared" si="115"/>
        <v>20000</v>
      </c>
      <c r="H89" s="232">
        <f t="shared" si="115"/>
        <v>25000</v>
      </c>
      <c r="I89" s="232">
        <f t="shared" si="115"/>
        <v>21000</v>
      </c>
      <c r="J89" s="232">
        <f t="shared" si="115"/>
        <v>21000</v>
      </c>
      <c r="K89" s="232">
        <f t="shared" si="115"/>
        <v>8000</v>
      </c>
      <c r="L89" s="232">
        <f t="shared" si="115"/>
        <v>0</v>
      </c>
      <c r="M89" s="232">
        <f t="shared" si="115"/>
        <v>0</v>
      </c>
      <c r="N89" s="20">
        <f>SUM(B89:M89)</f>
        <v>137000</v>
      </c>
    </row>
    <row r="90" spans="1:14">
      <c r="A90" s="249" t="s">
        <v>45</v>
      </c>
      <c r="B90" s="27">
        <f>B89-B91</f>
        <v>381.4432989690722</v>
      </c>
      <c r="C90" s="27">
        <f t="shared" ref="C90" si="116">C89-C91</f>
        <v>108.9837997054492</v>
      </c>
      <c r="D90" s="27">
        <f t="shared" ref="D90" si="117">D89-D91</f>
        <v>0</v>
      </c>
      <c r="E90" s="27">
        <f t="shared" ref="E90" si="118">E89-E91</f>
        <v>54.4918998527246</v>
      </c>
      <c r="F90" s="27">
        <f t="shared" ref="F90" si="119">F89-F91</f>
        <v>217.9675994108984</v>
      </c>
      <c r="G90" s="27">
        <f t="shared" ref="G90" si="120">G89-G91</f>
        <v>363.27933235149612</v>
      </c>
      <c r="H90" s="27">
        <f t="shared" ref="H90" si="121">H89-H91</f>
        <v>454.09916543936924</v>
      </c>
      <c r="I90" s="27">
        <f t="shared" ref="I90" si="122">I89-I91</f>
        <v>381.4432989690722</v>
      </c>
      <c r="J90" s="27">
        <f t="shared" ref="J90" si="123">J89-J91</f>
        <v>381.4432989690722</v>
      </c>
      <c r="K90" s="27">
        <f t="shared" ref="K90" si="124">K89-K91</f>
        <v>145.31173294059863</v>
      </c>
      <c r="L90" s="27">
        <f t="shared" ref="L90" si="125">L89-L91</f>
        <v>0</v>
      </c>
      <c r="M90" s="27">
        <f t="shared" ref="M90" si="126">M89-M91</f>
        <v>0</v>
      </c>
      <c r="N90" s="20">
        <f t="shared" ref="N90:N93" si="127">SUM(B90:M90)</f>
        <v>2488.4634266077528</v>
      </c>
    </row>
    <row r="91" spans="1:14">
      <c r="A91" s="249" t="s">
        <v>418</v>
      </c>
      <c r="B91" s="27">
        <f>B89/(1+'Transmission Formula Rate (7)'!$B$27)</f>
        <v>20618.556701030928</v>
      </c>
      <c r="C91" s="27">
        <f>C89/(1+'Transmission Formula Rate (7)'!$B$27)</f>
        <v>5891.0162002945508</v>
      </c>
      <c r="D91" s="27">
        <f>D89/(1+'Transmission Formula Rate (7)'!$B$27)</f>
        <v>0</v>
      </c>
      <c r="E91" s="27">
        <f>E89/(1+'Transmission Formula Rate (7)'!$B$27)</f>
        <v>2945.5081001472754</v>
      </c>
      <c r="F91" s="27">
        <f>F89/(1+'Transmission Formula Rate (7)'!$B$27)</f>
        <v>11782.032400589102</v>
      </c>
      <c r="G91" s="27">
        <f>G89/(1+'Transmission Formula Rate (7)'!$B$27)</f>
        <v>19636.720667648504</v>
      </c>
      <c r="H91" s="27">
        <f>H89/(1+'Transmission Formula Rate (7)'!$B$27)</f>
        <v>24545.900834560631</v>
      </c>
      <c r="I91" s="27">
        <f>I89/(1+'Transmission Formula Rate (7)'!$B$27)</f>
        <v>20618.556701030928</v>
      </c>
      <c r="J91" s="27">
        <f>J89/(1+'Transmission Formula Rate (7)'!$B$27)</f>
        <v>20618.556701030928</v>
      </c>
      <c r="K91" s="27">
        <f>K89/(1+'Transmission Formula Rate (7)'!$B$27)</f>
        <v>7854.6882670594014</v>
      </c>
      <c r="L91" s="27">
        <f>L89/(1+'Transmission Formula Rate (7)'!$B$27)</f>
        <v>0</v>
      </c>
      <c r="M91" s="27">
        <f>M89/(1+'Transmission Formula Rate (7)'!$B$27)</f>
        <v>0</v>
      </c>
      <c r="N91" s="123">
        <f t="shared" si="127"/>
        <v>134511.53657339225</v>
      </c>
    </row>
    <row r="92" spans="1:14">
      <c r="A92" s="247" t="s">
        <v>144</v>
      </c>
      <c r="B92" s="31">
        <f>'charges (1 &amp; 2)'!F10</f>
        <v>0.1008</v>
      </c>
      <c r="C92" s="31">
        <f>B92</f>
        <v>0.1008</v>
      </c>
      <c r="D92" s="31">
        <f t="shared" ref="D92:M92" si="128">C92</f>
        <v>0.1008</v>
      </c>
      <c r="E92" s="31">
        <f t="shared" si="128"/>
        <v>0.1008</v>
      </c>
      <c r="F92" s="31">
        <f t="shared" si="128"/>
        <v>0.1008</v>
      </c>
      <c r="G92" s="31">
        <f t="shared" si="128"/>
        <v>0.1008</v>
      </c>
      <c r="H92" s="31">
        <f t="shared" si="128"/>
        <v>0.1008</v>
      </c>
      <c r="I92" s="31">
        <f t="shared" si="128"/>
        <v>0.1008</v>
      </c>
      <c r="J92" s="31">
        <f t="shared" si="128"/>
        <v>0.1008</v>
      </c>
      <c r="K92" s="31">
        <f t="shared" si="128"/>
        <v>0.1008</v>
      </c>
      <c r="L92" s="31">
        <f t="shared" si="128"/>
        <v>0.1008</v>
      </c>
      <c r="M92" s="31">
        <f t="shared" si="128"/>
        <v>0.1008</v>
      </c>
      <c r="N92" s="20"/>
    </row>
    <row r="93" spans="1:14">
      <c r="A93" s="247" t="s">
        <v>17</v>
      </c>
      <c r="B93" s="20">
        <f>B89*B92</f>
        <v>2116.8000000000002</v>
      </c>
      <c r="C93" s="20">
        <f t="shared" ref="C93" si="129">C89*C92</f>
        <v>604.79999999999995</v>
      </c>
      <c r="D93" s="20">
        <f t="shared" ref="D93" si="130">D89*D92</f>
        <v>0</v>
      </c>
      <c r="E93" s="20">
        <f t="shared" ref="E93" si="131">E89*E92</f>
        <v>302.39999999999998</v>
      </c>
      <c r="F93" s="20">
        <f t="shared" ref="F93" si="132">F89*F92</f>
        <v>1209.5999999999999</v>
      </c>
      <c r="G93" s="20">
        <f t="shared" ref="G93" si="133">G89*G92</f>
        <v>2016</v>
      </c>
      <c r="H93" s="20">
        <f t="shared" ref="H93" si="134">H89*H92</f>
        <v>2520</v>
      </c>
      <c r="I93" s="20">
        <f t="shared" ref="I93" si="135">I89*I92</f>
        <v>2116.8000000000002</v>
      </c>
      <c r="J93" s="20">
        <f t="shared" ref="J93" si="136">J89*J92</f>
        <v>2116.8000000000002</v>
      </c>
      <c r="K93" s="20">
        <f t="shared" ref="K93" si="137">K89*K92</f>
        <v>806.4</v>
      </c>
      <c r="L93" s="20">
        <f t="shared" ref="L93" si="138">L89*L92</f>
        <v>0</v>
      </c>
      <c r="M93" s="20">
        <f t="shared" ref="M93" si="139">M89*M92</f>
        <v>0</v>
      </c>
      <c r="N93" s="20">
        <f t="shared" si="127"/>
        <v>13809.6</v>
      </c>
    </row>
    <row r="94" spans="1:14">
      <c r="A94" s="247"/>
    </row>
    <row r="95" spans="1:14">
      <c r="B95" s="23" t="s">
        <v>0</v>
      </c>
      <c r="C95" s="23" t="s">
        <v>1</v>
      </c>
      <c r="D95" s="23" t="s">
        <v>2</v>
      </c>
      <c r="E95" s="23" t="s">
        <v>3</v>
      </c>
      <c r="F95" s="23" t="s">
        <v>4</v>
      </c>
      <c r="G95" s="23" t="s">
        <v>5</v>
      </c>
      <c r="H95" s="23" t="s">
        <v>6</v>
      </c>
      <c r="I95" s="23" t="s">
        <v>7</v>
      </c>
      <c r="J95" s="23" t="s">
        <v>8</v>
      </c>
      <c r="K95" s="23" t="s">
        <v>9</v>
      </c>
      <c r="L95" s="23" t="s">
        <v>10</v>
      </c>
      <c r="M95" s="23" t="s">
        <v>11</v>
      </c>
      <c r="N95" s="23" t="s">
        <v>12</v>
      </c>
    </row>
    <row r="96" spans="1:14">
      <c r="A96" s="248">
        <f>A73+1</f>
        <v>2018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5">
      <c r="A97" s="247" t="s">
        <v>37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5">
      <c r="A98" s="249" t="s">
        <v>47</v>
      </c>
      <c r="B98" s="232">
        <f>'Homestead Forecast'!E14</f>
        <v>24000</v>
      </c>
      <c r="C98" s="232">
        <f>'Homestead Forecast'!F14</f>
        <v>6000</v>
      </c>
      <c r="D98" s="232">
        <f>'Homestead Forecast'!G14</f>
        <v>0</v>
      </c>
      <c r="E98" s="232">
        <f>'Homestead Forecast'!H14</f>
        <v>3000</v>
      </c>
      <c r="F98" s="232">
        <f>'Homestead Forecast'!I14</f>
        <v>12000</v>
      </c>
      <c r="G98" s="232">
        <f>'Homestead Forecast'!J14</f>
        <v>20000</v>
      </c>
      <c r="H98" s="232">
        <f>'Homestead Forecast'!K14</f>
        <v>25000</v>
      </c>
      <c r="I98" s="232">
        <f>'Homestead Forecast'!L14</f>
        <v>24000</v>
      </c>
      <c r="J98" s="232">
        <f>'Homestead Forecast'!M14</f>
        <v>21000</v>
      </c>
      <c r="K98" s="232">
        <f>'Homestead Forecast'!N14</f>
        <v>8000</v>
      </c>
      <c r="L98" s="232">
        <f>'Homestead Forecast'!O14</f>
        <v>0</v>
      </c>
      <c r="M98" s="232">
        <f>'Homestead Forecast'!P14</f>
        <v>0</v>
      </c>
      <c r="N98" s="20">
        <f>SUM(B98:M98)</f>
        <v>143000</v>
      </c>
    </row>
    <row r="99" spans="1:15">
      <c r="A99" s="249" t="s">
        <v>45</v>
      </c>
      <c r="B99" s="27">
        <f>B98-B100</f>
        <v>435.9351988217968</v>
      </c>
      <c r="C99" s="27">
        <f t="shared" ref="C99" si="140">C98-C100</f>
        <v>108.9837997054492</v>
      </c>
      <c r="D99" s="27">
        <f t="shared" ref="D99" si="141">D98-D100</f>
        <v>0</v>
      </c>
      <c r="E99" s="27">
        <f t="shared" ref="E99" si="142">E98-E100</f>
        <v>54.4918998527246</v>
      </c>
      <c r="F99" s="27">
        <f t="shared" ref="F99" si="143">F98-F100</f>
        <v>217.9675994108984</v>
      </c>
      <c r="G99" s="27">
        <f t="shared" ref="G99" si="144">G98-G100</f>
        <v>363.27933235149612</v>
      </c>
      <c r="H99" s="27">
        <f t="shared" ref="H99" si="145">H98-H100</f>
        <v>454.09916543936924</v>
      </c>
      <c r="I99" s="27">
        <f t="shared" ref="I99" si="146">I98-I100</f>
        <v>435.9351988217968</v>
      </c>
      <c r="J99" s="27">
        <f t="shared" ref="J99" si="147">J98-J100</f>
        <v>381.4432989690722</v>
      </c>
      <c r="K99" s="27">
        <f t="shared" ref="K99" si="148">K98-K100</f>
        <v>145.31173294059863</v>
      </c>
      <c r="L99" s="27">
        <f t="shared" ref="L99" si="149">L98-L100</f>
        <v>0</v>
      </c>
      <c r="M99" s="27">
        <f t="shared" ref="M99" si="150">M98-M100</f>
        <v>0</v>
      </c>
      <c r="N99" s="20">
        <f>SUM(B99:M99)</f>
        <v>2597.447226313202</v>
      </c>
    </row>
    <row r="100" spans="1:15">
      <c r="A100" s="249" t="s">
        <v>418</v>
      </c>
      <c r="B100" s="27">
        <f>B98/(1+'Transmission Formula Rate (7)'!$B$27)</f>
        <v>23564.064801178203</v>
      </c>
      <c r="C100" s="27">
        <f>C98/(1+'Transmission Formula Rate (7)'!$B$27)</f>
        <v>5891.0162002945508</v>
      </c>
      <c r="D100" s="27">
        <f>D98/(1+'Transmission Formula Rate (7)'!$B$27)</f>
        <v>0</v>
      </c>
      <c r="E100" s="27">
        <f>E98/(1+'Transmission Formula Rate (7)'!$B$27)</f>
        <v>2945.5081001472754</v>
      </c>
      <c r="F100" s="27">
        <f>F98/(1+'Transmission Formula Rate (7)'!$B$27)</f>
        <v>11782.032400589102</v>
      </c>
      <c r="G100" s="27">
        <f>G98/(1+'Transmission Formula Rate (7)'!$B$27)</f>
        <v>19636.720667648504</v>
      </c>
      <c r="H100" s="27">
        <f>H98/(1+'Transmission Formula Rate (7)'!$B$27)</f>
        <v>24545.900834560631</v>
      </c>
      <c r="I100" s="27">
        <f>I98/(1+'Transmission Formula Rate (7)'!$B$27)</f>
        <v>23564.064801178203</v>
      </c>
      <c r="J100" s="27">
        <f>J98/(1+'Transmission Formula Rate (7)'!$B$27)</f>
        <v>20618.556701030928</v>
      </c>
      <c r="K100" s="27">
        <f>K98/(1+'Transmission Formula Rate (7)'!$B$27)</f>
        <v>7854.6882670594014</v>
      </c>
      <c r="L100" s="27">
        <f>L98/(1+'Transmission Formula Rate (7)'!$B$27)</f>
        <v>0</v>
      </c>
      <c r="M100" s="27">
        <f>M98/(1+'Transmission Formula Rate (7)'!$B$27)</f>
        <v>0</v>
      </c>
      <c r="N100" s="123">
        <f>SUM(B100:M100)</f>
        <v>140402.5527736868</v>
      </c>
    </row>
    <row r="101" spans="1:15">
      <c r="A101" s="247" t="s">
        <v>20</v>
      </c>
      <c r="B101" s="29">
        <f>'Transmission Formula Rate (7)'!B16</f>
        <v>1.59</v>
      </c>
      <c r="C101" s="29">
        <f>'Transmission Formula Rate (7)'!C16</f>
        <v>1.59</v>
      </c>
      <c r="D101" s="29">
        <f>'Transmission Formula Rate (7)'!D16</f>
        <v>1.59</v>
      </c>
      <c r="E101" s="29">
        <f>'Transmission Formula Rate (7)'!E16</f>
        <v>1.59</v>
      </c>
      <c r="F101" s="29">
        <f>'Transmission Formula Rate (7)'!$F$16</f>
        <v>1.59</v>
      </c>
      <c r="G101" s="29">
        <f>'Transmission Formula Rate (7)'!$F$16</f>
        <v>1.59</v>
      </c>
      <c r="H101" s="29">
        <f>'Transmission Formula Rate (7)'!$F$16</f>
        <v>1.59</v>
      </c>
      <c r="I101" s="29">
        <f>'Transmission Formula Rate (7)'!$F$16</f>
        <v>1.59</v>
      </c>
      <c r="J101" s="29">
        <f>'Transmission Formula Rate (7)'!$F$16</f>
        <v>1.59</v>
      </c>
      <c r="K101" s="29">
        <f>'Transmission Formula Rate (7)'!$F$16</f>
        <v>1.59</v>
      </c>
      <c r="L101" s="29">
        <f>'Transmission Formula Rate (7)'!$F$16</f>
        <v>1.59</v>
      </c>
      <c r="M101" s="29">
        <f>'Transmission Formula Rate (7)'!$F$16</f>
        <v>1.59</v>
      </c>
      <c r="N101" s="19"/>
      <c r="O101" s="270"/>
    </row>
    <row r="102" spans="1:15">
      <c r="A102" s="247" t="s">
        <v>17</v>
      </c>
      <c r="B102" s="20">
        <f>B98*B101</f>
        <v>38160</v>
      </c>
      <c r="C102" s="20">
        <f t="shared" ref="C102" si="151">C98*C101</f>
        <v>9540</v>
      </c>
      <c r="D102" s="20">
        <f t="shared" ref="D102" si="152">D98*D101</f>
        <v>0</v>
      </c>
      <c r="E102" s="20">
        <f t="shared" ref="E102" si="153">E98*E101</f>
        <v>4770</v>
      </c>
      <c r="F102" s="20">
        <f t="shared" ref="F102" si="154">F98*F101</f>
        <v>19080</v>
      </c>
      <c r="G102" s="20">
        <f t="shared" ref="G102" si="155">G98*G101</f>
        <v>31800</v>
      </c>
      <c r="H102" s="20">
        <f t="shared" ref="H102" si="156">H98*H101</f>
        <v>39750</v>
      </c>
      <c r="I102" s="20">
        <f t="shared" ref="I102" si="157">I98*I101</f>
        <v>38160</v>
      </c>
      <c r="J102" s="20">
        <f t="shared" ref="J102" si="158">J98*J101</f>
        <v>33390</v>
      </c>
      <c r="K102" s="20">
        <f t="shared" ref="K102" si="159">K98*K101</f>
        <v>12720</v>
      </c>
      <c r="L102" s="20">
        <f t="shared" ref="L102" si="160">L98*L101</f>
        <v>0</v>
      </c>
      <c r="M102" s="20">
        <f t="shared" ref="M102" si="161">M98*M101</f>
        <v>0</v>
      </c>
      <c r="N102" s="20">
        <f>SUM(B102:M102)</f>
        <v>227370</v>
      </c>
    </row>
    <row r="104" spans="1:15">
      <c r="A104" s="247" t="s">
        <v>135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5">
      <c r="A105" s="249" t="s">
        <v>47</v>
      </c>
      <c r="B105" s="232">
        <f>B98</f>
        <v>24000</v>
      </c>
      <c r="C105" s="232">
        <f t="shared" ref="C105:M105" si="162">C98</f>
        <v>6000</v>
      </c>
      <c r="D105" s="232">
        <f t="shared" si="162"/>
        <v>0</v>
      </c>
      <c r="E105" s="232">
        <f t="shared" si="162"/>
        <v>3000</v>
      </c>
      <c r="F105" s="232">
        <f t="shared" si="162"/>
        <v>12000</v>
      </c>
      <c r="G105" s="232">
        <f t="shared" si="162"/>
        <v>20000</v>
      </c>
      <c r="H105" s="232">
        <f t="shared" si="162"/>
        <v>25000</v>
      </c>
      <c r="I105" s="232">
        <f t="shared" si="162"/>
        <v>24000</v>
      </c>
      <c r="J105" s="232">
        <f t="shared" si="162"/>
        <v>21000</v>
      </c>
      <c r="K105" s="232">
        <f t="shared" si="162"/>
        <v>8000</v>
      </c>
      <c r="L105" s="232">
        <f t="shared" si="162"/>
        <v>0</v>
      </c>
      <c r="M105" s="232">
        <f t="shared" si="162"/>
        <v>0</v>
      </c>
      <c r="N105" s="20">
        <f>SUM(B105:M105)</f>
        <v>143000</v>
      </c>
    </row>
    <row r="106" spans="1:15">
      <c r="A106" s="249" t="s">
        <v>45</v>
      </c>
      <c r="B106" s="27">
        <f>B105-B107</f>
        <v>435.9351988217968</v>
      </c>
      <c r="C106" s="27">
        <f t="shared" ref="C106" si="163">C105-C107</f>
        <v>108.9837997054492</v>
      </c>
      <c r="D106" s="27">
        <f t="shared" ref="D106" si="164">D105-D107</f>
        <v>0</v>
      </c>
      <c r="E106" s="27">
        <f t="shared" ref="E106" si="165">E105-E107</f>
        <v>54.4918998527246</v>
      </c>
      <c r="F106" s="27">
        <f t="shared" ref="F106" si="166">F105-F107</f>
        <v>217.9675994108984</v>
      </c>
      <c r="G106" s="27">
        <f t="shared" ref="G106" si="167">G105-G107</f>
        <v>363.27933235149612</v>
      </c>
      <c r="H106" s="27">
        <f t="shared" ref="H106" si="168">H105-H107</f>
        <v>454.09916543936924</v>
      </c>
      <c r="I106" s="27">
        <f t="shared" ref="I106" si="169">I105-I107</f>
        <v>435.9351988217968</v>
      </c>
      <c r="J106" s="27">
        <f t="shared" ref="J106" si="170">J105-J107</f>
        <v>381.4432989690722</v>
      </c>
      <c r="K106" s="27">
        <f t="shared" ref="K106" si="171">K105-K107</f>
        <v>145.31173294059863</v>
      </c>
      <c r="L106" s="27">
        <f t="shared" ref="L106" si="172">L105-L107</f>
        <v>0</v>
      </c>
      <c r="M106" s="27">
        <f t="shared" ref="M106" si="173">M105-M107</f>
        <v>0</v>
      </c>
      <c r="N106" s="20">
        <f>SUM(B106:M106)</f>
        <v>2597.447226313202</v>
      </c>
    </row>
    <row r="107" spans="1:15">
      <c r="A107" s="249" t="s">
        <v>418</v>
      </c>
      <c r="B107" s="27">
        <f>B105/(1+'Transmission Formula Rate (7)'!$B$27)</f>
        <v>23564.064801178203</v>
      </c>
      <c r="C107" s="27">
        <f>C105/(1+'Transmission Formula Rate (7)'!$B$27)</f>
        <v>5891.0162002945508</v>
      </c>
      <c r="D107" s="27">
        <f>D105/(1+'Transmission Formula Rate (7)'!$B$27)</f>
        <v>0</v>
      </c>
      <c r="E107" s="27">
        <f>E105/(1+'Transmission Formula Rate (7)'!$B$27)</f>
        <v>2945.5081001472754</v>
      </c>
      <c r="F107" s="27">
        <f>F105/(1+'Transmission Formula Rate (7)'!$B$27)</f>
        <v>11782.032400589102</v>
      </c>
      <c r="G107" s="27">
        <f>G105/(1+'Transmission Formula Rate (7)'!$B$27)</f>
        <v>19636.720667648504</v>
      </c>
      <c r="H107" s="27">
        <f>H105/(1+'Transmission Formula Rate (7)'!$B$27)</f>
        <v>24545.900834560631</v>
      </c>
      <c r="I107" s="27">
        <f>I105/(1+'Transmission Formula Rate (7)'!$B$27)</f>
        <v>23564.064801178203</v>
      </c>
      <c r="J107" s="27">
        <f>J105/(1+'Transmission Formula Rate (7)'!$B$27)</f>
        <v>20618.556701030928</v>
      </c>
      <c r="K107" s="27">
        <f>K105/(1+'Transmission Formula Rate (7)'!$B$27)</f>
        <v>7854.6882670594014</v>
      </c>
      <c r="L107" s="27">
        <f>L105/(1+'Transmission Formula Rate (7)'!$B$27)</f>
        <v>0</v>
      </c>
      <c r="M107" s="27">
        <f>M105/(1+'Transmission Formula Rate (7)'!$B$27)</f>
        <v>0</v>
      </c>
      <c r="N107" s="123">
        <f>SUM(B107:M107)</f>
        <v>140402.5527736868</v>
      </c>
    </row>
    <row r="108" spans="1:15">
      <c r="A108" s="247" t="s">
        <v>143</v>
      </c>
      <c r="B108" s="31">
        <f>'charges (1 &amp; 2)'!$H$38</f>
        <v>1.274E-2</v>
      </c>
      <c r="C108" s="31">
        <f>B108</f>
        <v>1.274E-2</v>
      </c>
      <c r="D108" s="31">
        <f t="shared" ref="D108:E108" si="174">C108</f>
        <v>1.274E-2</v>
      </c>
      <c r="E108" s="31">
        <f t="shared" si="174"/>
        <v>1.274E-2</v>
      </c>
      <c r="F108" s="31">
        <f>$E$108</f>
        <v>1.274E-2</v>
      </c>
      <c r="G108" s="31">
        <f t="shared" ref="G108:M108" si="175">$E$108</f>
        <v>1.274E-2</v>
      </c>
      <c r="H108" s="31">
        <f t="shared" si="175"/>
        <v>1.274E-2</v>
      </c>
      <c r="I108" s="31">
        <f t="shared" si="175"/>
        <v>1.274E-2</v>
      </c>
      <c r="J108" s="31">
        <f t="shared" si="175"/>
        <v>1.274E-2</v>
      </c>
      <c r="K108" s="31">
        <f t="shared" si="175"/>
        <v>1.274E-2</v>
      </c>
      <c r="L108" s="31">
        <f t="shared" si="175"/>
        <v>1.274E-2</v>
      </c>
      <c r="M108" s="31">
        <f t="shared" si="175"/>
        <v>1.274E-2</v>
      </c>
      <c r="N108" s="19"/>
    </row>
    <row r="109" spans="1:15">
      <c r="A109" s="247" t="s">
        <v>17</v>
      </c>
      <c r="B109" s="20">
        <f>B105*B108</f>
        <v>305.76</v>
      </c>
      <c r="C109" s="20">
        <f t="shared" ref="C109" si="176">C105*C108</f>
        <v>76.44</v>
      </c>
      <c r="D109" s="20">
        <f t="shared" ref="D109" si="177">D105*D108</f>
        <v>0</v>
      </c>
      <c r="E109" s="20">
        <f t="shared" ref="E109" si="178">E105*E108</f>
        <v>38.22</v>
      </c>
      <c r="F109" s="20">
        <f t="shared" ref="F109" si="179">F105*F108</f>
        <v>152.88</v>
      </c>
      <c r="G109" s="20">
        <f t="shared" ref="G109" si="180">G105*G108</f>
        <v>254.79999999999998</v>
      </c>
      <c r="H109" s="20">
        <f t="shared" ref="H109" si="181">H105*H108</f>
        <v>318.5</v>
      </c>
      <c r="I109" s="20">
        <f t="shared" ref="I109" si="182">I105*I108</f>
        <v>305.76</v>
      </c>
      <c r="J109" s="20">
        <f t="shared" ref="J109" si="183">J105*J108</f>
        <v>267.53999999999996</v>
      </c>
      <c r="K109" s="20">
        <f t="shared" ref="K109" si="184">K105*K108</f>
        <v>101.92</v>
      </c>
      <c r="L109" s="20">
        <f t="shared" ref="L109" si="185">L105*L108</f>
        <v>0</v>
      </c>
      <c r="M109" s="20">
        <f t="shared" ref="M109" si="186">M105*M108</f>
        <v>0</v>
      </c>
      <c r="N109" s="20">
        <f>SUM(B109:M109)</f>
        <v>1821.82</v>
      </c>
    </row>
    <row r="110" spans="1:15">
      <c r="A110" s="24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5">
      <c r="A111" s="247" t="s">
        <v>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5">
      <c r="A112" s="249" t="s">
        <v>47</v>
      </c>
      <c r="B112" s="232">
        <f>B98</f>
        <v>24000</v>
      </c>
      <c r="C112" s="232">
        <f t="shared" ref="C112:M112" si="187">C98</f>
        <v>6000</v>
      </c>
      <c r="D112" s="232">
        <f t="shared" si="187"/>
        <v>0</v>
      </c>
      <c r="E112" s="232">
        <f t="shared" si="187"/>
        <v>3000</v>
      </c>
      <c r="F112" s="232">
        <f t="shared" si="187"/>
        <v>12000</v>
      </c>
      <c r="G112" s="232">
        <f t="shared" si="187"/>
        <v>20000</v>
      </c>
      <c r="H112" s="232">
        <f t="shared" si="187"/>
        <v>25000</v>
      </c>
      <c r="I112" s="232">
        <f t="shared" si="187"/>
        <v>24000</v>
      </c>
      <c r="J112" s="232">
        <f t="shared" si="187"/>
        <v>21000</v>
      </c>
      <c r="K112" s="232">
        <f t="shared" si="187"/>
        <v>8000</v>
      </c>
      <c r="L112" s="232">
        <f t="shared" si="187"/>
        <v>0</v>
      </c>
      <c r="M112" s="232">
        <f t="shared" si="187"/>
        <v>0</v>
      </c>
      <c r="N112" s="20">
        <f>SUM(B112:M112)</f>
        <v>143000</v>
      </c>
    </row>
    <row r="113" spans="1:15">
      <c r="A113" s="249" t="s">
        <v>45</v>
      </c>
      <c r="B113" s="27">
        <f>B112-B114</f>
        <v>435.9351988217968</v>
      </c>
      <c r="C113" s="27">
        <f t="shared" ref="C113" si="188">C112-C114</f>
        <v>108.9837997054492</v>
      </c>
      <c r="D113" s="27">
        <f t="shared" ref="D113" si="189">D112-D114</f>
        <v>0</v>
      </c>
      <c r="E113" s="27">
        <f t="shared" ref="E113" si="190">E112-E114</f>
        <v>54.4918998527246</v>
      </c>
      <c r="F113" s="27">
        <f t="shared" ref="F113" si="191">F112-F114</f>
        <v>217.9675994108984</v>
      </c>
      <c r="G113" s="27">
        <f t="shared" ref="G113" si="192">G112-G114</f>
        <v>363.27933235149612</v>
      </c>
      <c r="H113" s="27">
        <f t="shared" ref="H113" si="193">H112-H114</f>
        <v>454.09916543936924</v>
      </c>
      <c r="I113" s="27">
        <f t="shared" ref="I113" si="194">I112-I114</f>
        <v>435.9351988217968</v>
      </c>
      <c r="J113" s="27">
        <f t="shared" ref="J113" si="195">J112-J114</f>
        <v>381.4432989690722</v>
      </c>
      <c r="K113" s="27">
        <f t="shared" ref="K113" si="196">K112-K114</f>
        <v>145.31173294059863</v>
      </c>
      <c r="L113" s="27">
        <f t="shared" ref="L113" si="197">L112-L114</f>
        <v>0</v>
      </c>
      <c r="M113" s="27">
        <f t="shared" ref="M113" si="198">M112-M114</f>
        <v>0</v>
      </c>
      <c r="N113" s="20">
        <f t="shared" ref="N113:N116" si="199">SUM(B113:M113)</f>
        <v>2597.447226313202</v>
      </c>
    </row>
    <row r="114" spans="1:15">
      <c r="A114" s="249" t="s">
        <v>418</v>
      </c>
      <c r="B114" s="27">
        <f>B112/(1+'Transmission Formula Rate (7)'!$B$27)</f>
        <v>23564.064801178203</v>
      </c>
      <c r="C114" s="27">
        <f>C112/(1+'Transmission Formula Rate (7)'!$B$27)</f>
        <v>5891.0162002945508</v>
      </c>
      <c r="D114" s="27">
        <f>D112/(1+'Transmission Formula Rate (7)'!$B$27)</f>
        <v>0</v>
      </c>
      <c r="E114" s="27">
        <f>E112/(1+'Transmission Formula Rate (7)'!$B$27)</f>
        <v>2945.5081001472754</v>
      </c>
      <c r="F114" s="27">
        <f>F112/(1+'Transmission Formula Rate (7)'!$B$27)</f>
        <v>11782.032400589102</v>
      </c>
      <c r="G114" s="27">
        <f>G112/(1+'Transmission Formula Rate (7)'!$B$27)</f>
        <v>19636.720667648504</v>
      </c>
      <c r="H114" s="27">
        <f>H112/(1+'Transmission Formula Rate (7)'!$B$27)</f>
        <v>24545.900834560631</v>
      </c>
      <c r="I114" s="27">
        <f>I112/(1+'Transmission Formula Rate (7)'!$B$27)</f>
        <v>23564.064801178203</v>
      </c>
      <c r="J114" s="27">
        <f>J112/(1+'Transmission Formula Rate (7)'!$B$27)</f>
        <v>20618.556701030928</v>
      </c>
      <c r="K114" s="27">
        <f>K112/(1+'Transmission Formula Rate (7)'!$B$27)</f>
        <v>7854.6882670594014</v>
      </c>
      <c r="L114" s="27">
        <f>L112/(1+'Transmission Formula Rate (7)'!$B$27)</f>
        <v>0</v>
      </c>
      <c r="M114" s="27">
        <f>M112/(1+'Transmission Formula Rate (7)'!$B$27)</f>
        <v>0</v>
      </c>
      <c r="N114" s="123">
        <f t="shared" si="199"/>
        <v>140402.5527736868</v>
      </c>
    </row>
    <row r="115" spans="1:15">
      <c r="A115" s="247" t="s">
        <v>144</v>
      </c>
      <c r="B115" s="31">
        <f>'charges (1 &amp; 2)'!G10</f>
        <v>0.1008</v>
      </c>
      <c r="C115" s="31">
        <f>B115</f>
        <v>0.1008</v>
      </c>
      <c r="D115" s="31">
        <f t="shared" ref="D115:M115" si="200">C115</f>
        <v>0.1008</v>
      </c>
      <c r="E115" s="31">
        <f t="shared" si="200"/>
        <v>0.1008</v>
      </c>
      <c r="F115" s="31">
        <f t="shared" si="200"/>
        <v>0.1008</v>
      </c>
      <c r="G115" s="31">
        <f t="shared" si="200"/>
        <v>0.1008</v>
      </c>
      <c r="H115" s="31">
        <f t="shared" si="200"/>
        <v>0.1008</v>
      </c>
      <c r="I115" s="31">
        <f t="shared" si="200"/>
        <v>0.1008</v>
      </c>
      <c r="J115" s="31">
        <f t="shared" si="200"/>
        <v>0.1008</v>
      </c>
      <c r="K115" s="31">
        <f t="shared" si="200"/>
        <v>0.1008</v>
      </c>
      <c r="L115" s="31">
        <f t="shared" si="200"/>
        <v>0.1008</v>
      </c>
      <c r="M115" s="31">
        <f t="shared" si="200"/>
        <v>0.1008</v>
      </c>
      <c r="N115" s="20"/>
    </row>
    <row r="116" spans="1:15">
      <c r="A116" s="247" t="s">
        <v>17</v>
      </c>
      <c r="B116" s="20">
        <f>B112*B115</f>
        <v>2419.1999999999998</v>
      </c>
      <c r="C116" s="20">
        <f t="shared" ref="C116" si="201">C112*C115</f>
        <v>604.79999999999995</v>
      </c>
      <c r="D116" s="20">
        <f t="shared" ref="D116" si="202">D112*D115</f>
        <v>0</v>
      </c>
      <c r="E116" s="20">
        <f t="shared" ref="E116" si="203">E112*E115</f>
        <v>302.39999999999998</v>
      </c>
      <c r="F116" s="20">
        <f t="shared" ref="F116" si="204">F112*F115</f>
        <v>1209.5999999999999</v>
      </c>
      <c r="G116" s="20">
        <f t="shared" ref="G116" si="205">G112*G115</f>
        <v>2016</v>
      </c>
      <c r="H116" s="20">
        <f t="shared" ref="H116" si="206">H112*H115</f>
        <v>2520</v>
      </c>
      <c r="I116" s="20">
        <f t="shared" ref="I116" si="207">I112*I115</f>
        <v>2419.1999999999998</v>
      </c>
      <c r="J116" s="20">
        <f t="shared" ref="J116" si="208">J112*J115</f>
        <v>2116.8000000000002</v>
      </c>
      <c r="K116" s="20">
        <f t="shared" ref="K116" si="209">K112*K115</f>
        <v>806.4</v>
      </c>
      <c r="L116" s="20">
        <f t="shared" ref="L116" si="210">L112*L115</f>
        <v>0</v>
      </c>
      <c r="M116" s="20">
        <f t="shared" ref="M116" si="211">M112*M115</f>
        <v>0</v>
      </c>
      <c r="N116" s="20">
        <f t="shared" si="199"/>
        <v>14414.4</v>
      </c>
    </row>
    <row r="118" spans="1:15">
      <c r="B118" s="23" t="s">
        <v>0</v>
      </c>
      <c r="C118" s="23" t="s">
        <v>1</v>
      </c>
      <c r="D118" s="23" t="s">
        <v>2</v>
      </c>
      <c r="E118" s="23" t="s">
        <v>3</v>
      </c>
      <c r="F118" s="23" t="s">
        <v>4</v>
      </c>
      <c r="G118" s="23" t="s">
        <v>5</v>
      </c>
      <c r="H118" s="23" t="s">
        <v>6</v>
      </c>
      <c r="I118" s="23" t="s">
        <v>7</v>
      </c>
      <c r="J118" s="23" t="s">
        <v>8</v>
      </c>
      <c r="K118" s="23" t="s">
        <v>9</v>
      </c>
      <c r="L118" s="23" t="s">
        <v>10</v>
      </c>
      <c r="M118" s="23" t="s">
        <v>11</v>
      </c>
      <c r="N118" s="23" t="s">
        <v>12</v>
      </c>
    </row>
    <row r="119" spans="1:15">
      <c r="A119" s="248">
        <f>A96+1</f>
        <v>2019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5">
      <c r="A120" s="247" t="s">
        <v>37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5">
      <c r="A121" s="249" t="s">
        <v>47</v>
      </c>
      <c r="B121" s="232">
        <f>'Homestead Forecast'!E15</f>
        <v>27000</v>
      </c>
      <c r="C121" s="232">
        <f>'Homestead Forecast'!F15</f>
        <v>6000</v>
      </c>
      <c r="D121" s="232">
        <f>'Homestead Forecast'!G15</f>
        <v>0</v>
      </c>
      <c r="E121" s="232">
        <f>'Homestead Forecast'!H15</f>
        <v>3000</v>
      </c>
      <c r="F121" s="232">
        <f>'Homestead Forecast'!I15</f>
        <v>12000</v>
      </c>
      <c r="G121" s="232">
        <f>'Homestead Forecast'!J15</f>
        <v>20000</v>
      </c>
      <c r="H121" s="232">
        <f>'Homestead Forecast'!K15</f>
        <v>25000</v>
      </c>
      <c r="I121" s="232">
        <f>'Homestead Forecast'!L15</f>
        <v>27000</v>
      </c>
      <c r="J121" s="232">
        <f>'Homestead Forecast'!M15</f>
        <v>21000</v>
      </c>
      <c r="K121" s="232">
        <f>'Homestead Forecast'!N15</f>
        <v>8000</v>
      </c>
      <c r="L121" s="232">
        <f>'Homestead Forecast'!O15</f>
        <v>0</v>
      </c>
      <c r="M121" s="232">
        <f>'Homestead Forecast'!P15</f>
        <v>0</v>
      </c>
      <c r="N121" s="20">
        <f>SUM(B121:M121)</f>
        <v>149000</v>
      </c>
    </row>
    <row r="122" spans="1:15">
      <c r="A122" s="249" t="s">
        <v>45</v>
      </c>
      <c r="B122" s="27">
        <f>B121-B123</f>
        <v>490.4270986745214</v>
      </c>
      <c r="C122" s="27">
        <f t="shared" ref="C122" si="212">C121-C123</f>
        <v>108.9837997054492</v>
      </c>
      <c r="D122" s="27">
        <f t="shared" ref="D122" si="213">D121-D123</f>
        <v>0</v>
      </c>
      <c r="E122" s="27">
        <f t="shared" ref="E122" si="214">E121-E123</f>
        <v>54.4918998527246</v>
      </c>
      <c r="F122" s="27">
        <f t="shared" ref="F122" si="215">F121-F123</f>
        <v>217.9675994108984</v>
      </c>
      <c r="G122" s="27">
        <f t="shared" ref="G122" si="216">G121-G123</f>
        <v>363.27933235149612</v>
      </c>
      <c r="H122" s="27">
        <f t="shared" ref="H122" si="217">H121-H123</f>
        <v>454.09916543936924</v>
      </c>
      <c r="I122" s="27">
        <f t="shared" ref="I122" si="218">I121-I123</f>
        <v>490.4270986745214</v>
      </c>
      <c r="J122" s="27">
        <f t="shared" ref="J122" si="219">J121-J123</f>
        <v>381.4432989690722</v>
      </c>
      <c r="K122" s="27">
        <f t="shared" ref="K122" si="220">K121-K123</f>
        <v>145.31173294059863</v>
      </c>
      <c r="L122" s="27">
        <f t="shared" ref="L122" si="221">L121-L123</f>
        <v>0</v>
      </c>
      <c r="M122" s="27">
        <f t="shared" ref="M122" si="222">M121-M123</f>
        <v>0</v>
      </c>
      <c r="N122" s="20">
        <f>SUM(B122:M122)</f>
        <v>2706.4310260186512</v>
      </c>
    </row>
    <row r="123" spans="1:15">
      <c r="A123" s="249" t="s">
        <v>418</v>
      </c>
      <c r="B123" s="27">
        <f>B121/(1+'Transmission Formula Rate (7)'!$B$27)</f>
        <v>26509.572901325479</v>
      </c>
      <c r="C123" s="27">
        <f>C121/(1+'Transmission Formula Rate (7)'!$B$27)</f>
        <v>5891.0162002945508</v>
      </c>
      <c r="D123" s="27">
        <f>D121/(1+'Transmission Formula Rate (7)'!$B$27)</f>
        <v>0</v>
      </c>
      <c r="E123" s="27">
        <f>E121/(1+'Transmission Formula Rate (7)'!$B$27)</f>
        <v>2945.5081001472754</v>
      </c>
      <c r="F123" s="27">
        <f>F121/(1+'Transmission Formula Rate (7)'!$B$27)</f>
        <v>11782.032400589102</v>
      </c>
      <c r="G123" s="27">
        <f>G121/(1+'Transmission Formula Rate (7)'!$B$27)</f>
        <v>19636.720667648504</v>
      </c>
      <c r="H123" s="27">
        <f>H121/(1+'Transmission Formula Rate (7)'!$B$27)</f>
        <v>24545.900834560631</v>
      </c>
      <c r="I123" s="27">
        <f>I121/(1+'Transmission Formula Rate (7)'!$B$27)</f>
        <v>26509.572901325479</v>
      </c>
      <c r="J123" s="27">
        <f>J121/(1+'Transmission Formula Rate (7)'!$B$27)</f>
        <v>20618.556701030928</v>
      </c>
      <c r="K123" s="27">
        <f>K121/(1+'Transmission Formula Rate (7)'!$B$27)</f>
        <v>7854.6882670594014</v>
      </c>
      <c r="L123" s="27">
        <f>L121/(1+'Transmission Formula Rate (7)'!$B$27)</f>
        <v>0</v>
      </c>
      <c r="M123" s="27">
        <f>M121/(1+'Transmission Formula Rate (7)'!$B$27)</f>
        <v>0</v>
      </c>
      <c r="N123" s="123">
        <f>SUM(B123:M123)</f>
        <v>146293.56897398134</v>
      </c>
    </row>
    <row r="124" spans="1:15">
      <c r="A124" s="247" t="s">
        <v>20</v>
      </c>
      <c r="B124" s="29">
        <f>B101</f>
        <v>1.59</v>
      </c>
      <c r="C124" s="29">
        <f t="shared" ref="C124:M124" si="223">C101</f>
        <v>1.59</v>
      </c>
      <c r="D124" s="29">
        <f t="shared" si="223"/>
        <v>1.59</v>
      </c>
      <c r="E124" s="29">
        <f t="shared" si="223"/>
        <v>1.59</v>
      </c>
      <c r="F124" s="29">
        <f t="shared" si="223"/>
        <v>1.59</v>
      </c>
      <c r="G124" s="29">
        <f t="shared" si="223"/>
        <v>1.59</v>
      </c>
      <c r="H124" s="29">
        <f t="shared" si="223"/>
        <v>1.59</v>
      </c>
      <c r="I124" s="29">
        <f t="shared" si="223"/>
        <v>1.59</v>
      </c>
      <c r="J124" s="29">
        <f t="shared" si="223"/>
        <v>1.59</v>
      </c>
      <c r="K124" s="29">
        <f t="shared" si="223"/>
        <v>1.59</v>
      </c>
      <c r="L124" s="29">
        <f t="shared" si="223"/>
        <v>1.59</v>
      </c>
      <c r="M124" s="29">
        <f t="shared" si="223"/>
        <v>1.59</v>
      </c>
      <c r="N124" s="19"/>
      <c r="O124" s="270"/>
    </row>
    <row r="125" spans="1:15">
      <c r="A125" s="247" t="s">
        <v>17</v>
      </c>
      <c r="B125" s="20">
        <f>B121*B124</f>
        <v>42930</v>
      </c>
      <c r="C125" s="20">
        <f t="shared" ref="C125" si="224">C121*C124</f>
        <v>9540</v>
      </c>
      <c r="D125" s="20">
        <f t="shared" ref="D125" si="225">D121*D124</f>
        <v>0</v>
      </c>
      <c r="E125" s="20">
        <f t="shared" ref="E125" si="226">E121*E124</f>
        <v>4770</v>
      </c>
      <c r="F125" s="20">
        <f t="shared" ref="F125" si="227">F121*F124</f>
        <v>19080</v>
      </c>
      <c r="G125" s="20">
        <f t="shared" ref="G125" si="228">G121*G124</f>
        <v>31800</v>
      </c>
      <c r="H125" s="20">
        <f t="shared" ref="H125" si="229">H121*H124</f>
        <v>39750</v>
      </c>
      <c r="I125" s="20">
        <f t="shared" ref="I125" si="230">I121*I124</f>
        <v>42930</v>
      </c>
      <c r="J125" s="20">
        <f t="shared" ref="J125" si="231">J121*J124</f>
        <v>33390</v>
      </c>
      <c r="K125" s="20">
        <f t="shared" ref="K125" si="232">K121*K124</f>
        <v>12720</v>
      </c>
      <c r="L125" s="20">
        <f t="shared" ref="L125" si="233">L121*L124</f>
        <v>0</v>
      </c>
      <c r="M125" s="20">
        <f t="shared" ref="M125" si="234">M121*M124</f>
        <v>0</v>
      </c>
      <c r="N125" s="20">
        <f>SUM(B125:M125)</f>
        <v>236910</v>
      </c>
    </row>
    <row r="127" spans="1:15">
      <c r="A127" s="247" t="s">
        <v>135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5">
      <c r="A128" s="249" t="s">
        <v>47</v>
      </c>
      <c r="B128" s="232">
        <f>B121</f>
        <v>27000</v>
      </c>
      <c r="C128" s="232">
        <f t="shared" ref="C128:M128" si="235">C121</f>
        <v>6000</v>
      </c>
      <c r="D128" s="232">
        <f t="shared" si="235"/>
        <v>0</v>
      </c>
      <c r="E128" s="232">
        <f t="shared" si="235"/>
        <v>3000</v>
      </c>
      <c r="F128" s="232">
        <f t="shared" si="235"/>
        <v>12000</v>
      </c>
      <c r="G128" s="232">
        <f t="shared" si="235"/>
        <v>20000</v>
      </c>
      <c r="H128" s="232">
        <f t="shared" si="235"/>
        <v>25000</v>
      </c>
      <c r="I128" s="232">
        <f t="shared" si="235"/>
        <v>27000</v>
      </c>
      <c r="J128" s="232">
        <f t="shared" si="235"/>
        <v>21000</v>
      </c>
      <c r="K128" s="232">
        <f t="shared" si="235"/>
        <v>8000</v>
      </c>
      <c r="L128" s="232">
        <f t="shared" si="235"/>
        <v>0</v>
      </c>
      <c r="M128" s="232">
        <f t="shared" si="235"/>
        <v>0</v>
      </c>
      <c r="N128" s="20">
        <f>SUM(B128:M128)</f>
        <v>149000</v>
      </c>
    </row>
    <row r="129" spans="1:14">
      <c r="A129" s="249" t="s">
        <v>45</v>
      </c>
      <c r="B129" s="27">
        <f>B128-B130</f>
        <v>490.4270986745214</v>
      </c>
      <c r="C129" s="27">
        <f t="shared" ref="C129" si="236">C128-C130</f>
        <v>108.9837997054492</v>
      </c>
      <c r="D129" s="27">
        <f t="shared" ref="D129" si="237">D128-D130</f>
        <v>0</v>
      </c>
      <c r="E129" s="27">
        <f t="shared" ref="E129" si="238">E128-E130</f>
        <v>54.4918998527246</v>
      </c>
      <c r="F129" s="27">
        <f t="shared" ref="F129" si="239">F128-F130</f>
        <v>217.9675994108984</v>
      </c>
      <c r="G129" s="27">
        <f t="shared" ref="G129" si="240">G128-G130</f>
        <v>363.27933235149612</v>
      </c>
      <c r="H129" s="27">
        <f t="shared" ref="H129" si="241">H128-H130</f>
        <v>454.09916543936924</v>
      </c>
      <c r="I129" s="27">
        <f t="shared" ref="I129" si="242">I128-I130</f>
        <v>490.4270986745214</v>
      </c>
      <c r="J129" s="27">
        <f t="shared" ref="J129" si="243">J128-J130</f>
        <v>381.4432989690722</v>
      </c>
      <c r="K129" s="27">
        <f t="shared" ref="K129" si="244">K128-K130</f>
        <v>145.31173294059863</v>
      </c>
      <c r="L129" s="27">
        <f t="shared" ref="L129" si="245">L128-L130</f>
        <v>0</v>
      </c>
      <c r="M129" s="27">
        <f t="shared" ref="M129" si="246">M128-M130</f>
        <v>0</v>
      </c>
      <c r="N129" s="20">
        <f>SUM(B129:M129)</f>
        <v>2706.4310260186512</v>
      </c>
    </row>
    <row r="130" spans="1:14">
      <c r="A130" s="249" t="s">
        <v>418</v>
      </c>
      <c r="B130" s="27">
        <f>B128/(1+'Transmission Formula Rate (7)'!$B$27)</f>
        <v>26509.572901325479</v>
      </c>
      <c r="C130" s="27">
        <f>C128/(1+'Transmission Formula Rate (7)'!$B$27)</f>
        <v>5891.0162002945508</v>
      </c>
      <c r="D130" s="27">
        <f>D128/(1+'Transmission Formula Rate (7)'!$B$27)</f>
        <v>0</v>
      </c>
      <c r="E130" s="27">
        <f>E128/(1+'Transmission Formula Rate (7)'!$B$27)</f>
        <v>2945.5081001472754</v>
      </c>
      <c r="F130" s="27">
        <f>F128/(1+'Transmission Formula Rate (7)'!$B$27)</f>
        <v>11782.032400589102</v>
      </c>
      <c r="G130" s="27">
        <f>G128/(1+'Transmission Formula Rate (7)'!$B$27)</f>
        <v>19636.720667648504</v>
      </c>
      <c r="H130" s="27">
        <f>H128/(1+'Transmission Formula Rate (7)'!$B$27)</f>
        <v>24545.900834560631</v>
      </c>
      <c r="I130" s="27">
        <f>I128/(1+'Transmission Formula Rate (7)'!$B$27)</f>
        <v>26509.572901325479</v>
      </c>
      <c r="J130" s="27">
        <f>J128/(1+'Transmission Formula Rate (7)'!$B$27)</f>
        <v>20618.556701030928</v>
      </c>
      <c r="K130" s="27">
        <f>K128/(1+'Transmission Formula Rate (7)'!$B$27)</f>
        <v>7854.6882670594014</v>
      </c>
      <c r="L130" s="27">
        <f>L128/(1+'Transmission Formula Rate (7)'!$B$27)</f>
        <v>0</v>
      </c>
      <c r="M130" s="27">
        <f>M128/(1+'Transmission Formula Rate (7)'!$B$27)</f>
        <v>0</v>
      </c>
      <c r="N130" s="123">
        <f>SUM(B130:M130)</f>
        <v>146293.56897398134</v>
      </c>
    </row>
    <row r="131" spans="1:14">
      <c r="A131" s="247" t="s">
        <v>143</v>
      </c>
      <c r="B131" s="31">
        <f>'charges (1 &amp; 2)'!$H$38</f>
        <v>1.274E-2</v>
      </c>
      <c r="C131" s="31">
        <f>B131</f>
        <v>1.274E-2</v>
      </c>
      <c r="D131" s="31">
        <f t="shared" ref="D131:M131" si="247">C131</f>
        <v>1.274E-2</v>
      </c>
      <c r="E131" s="31">
        <f t="shared" si="247"/>
        <v>1.274E-2</v>
      </c>
      <c r="F131" s="31">
        <f t="shared" si="247"/>
        <v>1.274E-2</v>
      </c>
      <c r="G131" s="31">
        <f t="shared" si="247"/>
        <v>1.274E-2</v>
      </c>
      <c r="H131" s="31">
        <f t="shared" si="247"/>
        <v>1.274E-2</v>
      </c>
      <c r="I131" s="31">
        <f t="shared" si="247"/>
        <v>1.274E-2</v>
      </c>
      <c r="J131" s="31">
        <f t="shared" si="247"/>
        <v>1.274E-2</v>
      </c>
      <c r="K131" s="31">
        <f t="shared" si="247"/>
        <v>1.274E-2</v>
      </c>
      <c r="L131" s="31">
        <f t="shared" si="247"/>
        <v>1.274E-2</v>
      </c>
      <c r="M131" s="31">
        <f t="shared" si="247"/>
        <v>1.274E-2</v>
      </c>
      <c r="N131" s="19"/>
    </row>
    <row r="132" spans="1:14">
      <c r="A132" s="247" t="s">
        <v>17</v>
      </c>
      <c r="B132" s="20">
        <f>B128*B131</f>
        <v>343.97999999999996</v>
      </c>
      <c r="C132" s="20">
        <f t="shared" ref="C132" si="248">C128*C131</f>
        <v>76.44</v>
      </c>
      <c r="D132" s="20">
        <f t="shared" ref="D132" si="249">D128*D131</f>
        <v>0</v>
      </c>
      <c r="E132" s="20">
        <f t="shared" ref="E132" si="250">E128*E131</f>
        <v>38.22</v>
      </c>
      <c r="F132" s="20">
        <f t="shared" ref="F132" si="251">F128*F131</f>
        <v>152.88</v>
      </c>
      <c r="G132" s="20">
        <f t="shared" ref="G132" si="252">G128*G131</f>
        <v>254.79999999999998</v>
      </c>
      <c r="H132" s="20">
        <f t="shared" ref="H132" si="253">H128*H131</f>
        <v>318.5</v>
      </c>
      <c r="I132" s="20">
        <f t="shared" ref="I132" si="254">I128*I131</f>
        <v>343.97999999999996</v>
      </c>
      <c r="J132" s="20">
        <f t="shared" ref="J132" si="255">J128*J131</f>
        <v>267.53999999999996</v>
      </c>
      <c r="K132" s="20">
        <f t="shared" ref="K132" si="256">K128*K131</f>
        <v>101.92</v>
      </c>
      <c r="L132" s="20">
        <f t="shared" ref="L132" si="257">L128*L131</f>
        <v>0</v>
      </c>
      <c r="M132" s="20">
        <f t="shared" ref="M132" si="258">M128*M131</f>
        <v>0</v>
      </c>
      <c r="N132" s="20">
        <f>SUM(B132:M132)</f>
        <v>1898.26</v>
      </c>
    </row>
    <row r="133" spans="1:14">
      <c r="A133" s="24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>
      <c r="A134" s="247" t="s">
        <v>38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>
      <c r="A135" s="249" t="s">
        <v>47</v>
      </c>
      <c r="B135" s="232">
        <f>B121</f>
        <v>27000</v>
      </c>
      <c r="C135" s="232">
        <f t="shared" ref="C135:M135" si="259">C121</f>
        <v>6000</v>
      </c>
      <c r="D135" s="232">
        <f t="shared" si="259"/>
        <v>0</v>
      </c>
      <c r="E135" s="232">
        <f t="shared" si="259"/>
        <v>3000</v>
      </c>
      <c r="F135" s="232">
        <f t="shared" si="259"/>
        <v>12000</v>
      </c>
      <c r="G135" s="232">
        <f t="shared" si="259"/>
        <v>20000</v>
      </c>
      <c r="H135" s="232">
        <f t="shared" si="259"/>
        <v>25000</v>
      </c>
      <c r="I135" s="232">
        <f t="shared" si="259"/>
        <v>27000</v>
      </c>
      <c r="J135" s="232">
        <f t="shared" si="259"/>
        <v>21000</v>
      </c>
      <c r="K135" s="232">
        <f t="shared" si="259"/>
        <v>8000</v>
      </c>
      <c r="L135" s="232">
        <f t="shared" si="259"/>
        <v>0</v>
      </c>
      <c r="M135" s="232">
        <f t="shared" si="259"/>
        <v>0</v>
      </c>
      <c r="N135" s="20">
        <f>SUM(B135:M135)</f>
        <v>149000</v>
      </c>
    </row>
    <row r="136" spans="1:14">
      <c r="A136" s="249" t="s">
        <v>45</v>
      </c>
      <c r="B136" s="27">
        <f>B135-B137</f>
        <v>490.4270986745214</v>
      </c>
      <c r="C136" s="27">
        <f t="shared" ref="C136" si="260">C135-C137</f>
        <v>108.9837997054492</v>
      </c>
      <c r="D136" s="27">
        <f t="shared" ref="D136" si="261">D135-D137</f>
        <v>0</v>
      </c>
      <c r="E136" s="27">
        <f t="shared" ref="E136" si="262">E135-E137</f>
        <v>54.4918998527246</v>
      </c>
      <c r="F136" s="27">
        <f t="shared" ref="F136" si="263">F135-F137</f>
        <v>217.9675994108984</v>
      </c>
      <c r="G136" s="27">
        <f t="shared" ref="G136" si="264">G135-G137</f>
        <v>363.27933235149612</v>
      </c>
      <c r="H136" s="27">
        <f t="shared" ref="H136" si="265">H135-H137</f>
        <v>454.09916543936924</v>
      </c>
      <c r="I136" s="27">
        <f t="shared" ref="I136" si="266">I135-I137</f>
        <v>490.4270986745214</v>
      </c>
      <c r="J136" s="27">
        <f t="shared" ref="J136" si="267">J135-J137</f>
        <v>381.4432989690722</v>
      </c>
      <c r="K136" s="27">
        <f t="shared" ref="K136" si="268">K135-K137</f>
        <v>145.31173294059863</v>
      </c>
      <c r="L136" s="27">
        <f t="shared" ref="L136" si="269">L135-L137</f>
        <v>0</v>
      </c>
      <c r="M136" s="27">
        <f t="shared" ref="M136" si="270">M135-M137</f>
        <v>0</v>
      </c>
      <c r="N136" s="20">
        <f>SUM(B136:M136)</f>
        <v>2706.4310260186512</v>
      </c>
    </row>
    <row r="137" spans="1:14">
      <c r="A137" s="249" t="s">
        <v>418</v>
      </c>
      <c r="B137" s="27">
        <f>B135/(1+'Transmission Formula Rate (7)'!$B$27)</f>
        <v>26509.572901325479</v>
      </c>
      <c r="C137" s="27">
        <f>C135/(1+'Transmission Formula Rate (7)'!$B$27)</f>
        <v>5891.0162002945508</v>
      </c>
      <c r="D137" s="27">
        <f>D135/(1+'Transmission Formula Rate (7)'!$B$27)</f>
        <v>0</v>
      </c>
      <c r="E137" s="27">
        <f>E135/(1+'Transmission Formula Rate (7)'!$B$27)</f>
        <v>2945.5081001472754</v>
      </c>
      <c r="F137" s="27">
        <f>F135/(1+'Transmission Formula Rate (7)'!$B$27)</f>
        <v>11782.032400589102</v>
      </c>
      <c r="G137" s="27">
        <f>G135/(1+'Transmission Formula Rate (7)'!$B$27)</f>
        <v>19636.720667648504</v>
      </c>
      <c r="H137" s="27">
        <f>H135/(1+'Transmission Formula Rate (7)'!$B$27)</f>
        <v>24545.900834560631</v>
      </c>
      <c r="I137" s="27">
        <f>I135/(1+'Transmission Formula Rate (7)'!$B$27)</f>
        <v>26509.572901325479</v>
      </c>
      <c r="J137" s="27">
        <f>J135/(1+'Transmission Formula Rate (7)'!$B$27)</f>
        <v>20618.556701030928</v>
      </c>
      <c r="K137" s="27">
        <f>K135/(1+'Transmission Formula Rate (7)'!$B$27)</f>
        <v>7854.6882670594014</v>
      </c>
      <c r="L137" s="27">
        <f>L135/(1+'Transmission Formula Rate (7)'!$B$27)</f>
        <v>0</v>
      </c>
      <c r="M137" s="27">
        <f>M135/(1+'Transmission Formula Rate (7)'!$B$27)</f>
        <v>0</v>
      </c>
      <c r="N137" s="123">
        <f>SUM(B137:M137)</f>
        <v>146293.56897398134</v>
      </c>
    </row>
    <row r="138" spans="1:14">
      <c r="A138" s="247" t="s">
        <v>144</v>
      </c>
      <c r="B138" s="31">
        <f>'charges (1 &amp; 2)'!H10</f>
        <v>0.1008</v>
      </c>
      <c r="C138" s="31">
        <f>B138</f>
        <v>0.1008</v>
      </c>
      <c r="D138" s="31">
        <f t="shared" ref="D138:M138" si="271">C138</f>
        <v>0.1008</v>
      </c>
      <c r="E138" s="31">
        <f t="shared" si="271"/>
        <v>0.1008</v>
      </c>
      <c r="F138" s="31">
        <f t="shared" si="271"/>
        <v>0.1008</v>
      </c>
      <c r="G138" s="31">
        <f t="shared" si="271"/>
        <v>0.1008</v>
      </c>
      <c r="H138" s="31">
        <f t="shared" si="271"/>
        <v>0.1008</v>
      </c>
      <c r="I138" s="31">
        <f t="shared" si="271"/>
        <v>0.1008</v>
      </c>
      <c r="J138" s="31">
        <f t="shared" si="271"/>
        <v>0.1008</v>
      </c>
      <c r="K138" s="31">
        <f t="shared" si="271"/>
        <v>0.1008</v>
      </c>
      <c r="L138" s="31">
        <f t="shared" si="271"/>
        <v>0.1008</v>
      </c>
      <c r="M138" s="31">
        <f t="shared" si="271"/>
        <v>0.1008</v>
      </c>
      <c r="N138" s="20"/>
    </row>
    <row r="139" spans="1:14">
      <c r="A139" s="247" t="s">
        <v>17</v>
      </c>
      <c r="B139" s="20">
        <f>B135*B138</f>
        <v>2721.6</v>
      </c>
      <c r="C139" s="20">
        <f t="shared" ref="C139" si="272">C135*C138</f>
        <v>604.79999999999995</v>
      </c>
      <c r="D139" s="20">
        <f t="shared" ref="D139" si="273">D135*D138</f>
        <v>0</v>
      </c>
      <c r="E139" s="20">
        <f t="shared" ref="E139" si="274">E135*E138</f>
        <v>302.39999999999998</v>
      </c>
      <c r="F139" s="20">
        <f t="shared" ref="F139" si="275">F135*F138</f>
        <v>1209.5999999999999</v>
      </c>
      <c r="G139" s="20">
        <f t="shared" ref="G139" si="276">G135*G138</f>
        <v>2016</v>
      </c>
      <c r="H139" s="20">
        <f t="shared" ref="H139" si="277">H135*H138</f>
        <v>2520</v>
      </c>
      <c r="I139" s="20">
        <f t="shared" ref="I139" si="278">I135*I138</f>
        <v>2721.6</v>
      </c>
      <c r="J139" s="20">
        <f t="shared" ref="J139" si="279">J135*J138</f>
        <v>2116.8000000000002</v>
      </c>
      <c r="K139" s="20">
        <f t="shared" ref="K139" si="280">K135*K138</f>
        <v>806.4</v>
      </c>
      <c r="L139" s="20">
        <f t="shared" ref="L139" si="281">L135*L138</f>
        <v>0</v>
      </c>
      <c r="M139" s="20">
        <f t="shared" ref="M139" si="282">M135*M138</f>
        <v>0</v>
      </c>
      <c r="N139" s="20">
        <f>SUM(B139:M139)</f>
        <v>15019.199999999999</v>
      </c>
    </row>
    <row r="141" spans="1:14">
      <c r="B141" s="23" t="s">
        <v>0</v>
      </c>
      <c r="C141" s="23" t="s">
        <v>1</v>
      </c>
      <c r="D141" s="23" t="s">
        <v>2</v>
      </c>
      <c r="E141" s="23" t="s">
        <v>3</v>
      </c>
      <c r="F141" s="23" t="s">
        <v>4</v>
      </c>
      <c r="G141" s="23" t="s">
        <v>5</v>
      </c>
      <c r="H141" s="23" t="s">
        <v>6</v>
      </c>
      <c r="I141" s="23" t="s">
        <v>7</v>
      </c>
      <c r="J141" s="23" t="s">
        <v>8</v>
      </c>
      <c r="K141" s="23" t="s">
        <v>9</v>
      </c>
      <c r="L141" s="23" t="s">
        <v>10</v>
      </c>
      <c r="M141" s="23" t="s">
        <v>11</v>
      </c>
      <c r="N141" s="23" t="s">
        <v>12</v>
      </c>
    </row>
    <row r="142" spans="1:14">
      <c r="A142" s="248">
        <v>2020</v>
      </c>
    </row>
    <row r="143" spans="1:14">
      <c r="A143" s="247" t="s">
        <v>37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>
      <c r="A144" s="249" t="s">
        <v>47</v>
      </c>
      <c r="B144" s="232">
        <f>'Homestead Forecast'!E16</f>
        <v>27000</v>
      </c>
      <c r="C144" s="232">
        <f>'Homestead Forecast'!F16</f>
        <v>47600.000000000007</v>
      </c>
      <c r="D144" s="232">
        <f>'Homestead Forecast'!G16</f>
        <v>29750</v>
      </c>
      <c r="E144" s="232">
        <f>'Homestead Forecast'!H16</f>
        <v>44450</v>
      </c>
      <c r="F144" s="232">
        <f>'Homestead Forecast'!I16</f>
        <v>53900.000000000007</v>
      </c>
      <c r="G144" s="232">
        <f>'Homestead Forecast'!J16</f>
        <v>62300</v>
      </c>
      <c r="H144" s="232">
        <f>'Homestead Forecast'!K16</f>
        <v>67550</v>
      </c>
      <c r="I144" s="232">
        <f>'Homestead Forecast'!L16</f>
        <v>27000</v>
      </c>
      <c r="J144" s="232">
        <f>'Homestead Forecast'!M16</f>
        <v>63350.000000000007</v>
      </c>
      <c r="K144" s="232">
        <f>'Homestead Forecast'!N16</f>
        <v>49700</v>
      </c>
      <c r="L144" s="232">
        <f>'Homestead Forecast'!O16</f>
        <v>40250</v>
      </c>
      <c r="M144" s="232">
        <f>'Homestead Forecast'!P16</f>
        <v>39200</v>
      </c>
      <c r="N144" s="20">
        <f>SUM(B144:M144)</f>
        <v>552050</v>
      </c>
    </row>
    <row r="145" spans="1:16">
      <c r="A145" s="249" t="s">
        <v>45</v>
      </c>
      <c r="B145" s="27">
        <f>B144-B146</f>
        <v>490.4270986745214</v>
      </c>
      <c r="C145" s="27">
        <f t="shared" ref="C145" si="283">C144-C146</f>
        <v>864.60481099656317</v>
      </c>
      <c r="D145" s="27">
        <f t="shared" ref="D145" si="284">D144-D146</f>
        <v>540.37800687285198</v>
      </c>
      <c r="E145" s="27">
        <f t="shared" ref="E145" si="285">E144-E146</f>
        <v>807.38831615119852</v>
      </c>
      <c r="F145" s="27">
        <f t="shared" ref="F145" si="286">F144-F146</f>
        <v>979.0378006872852</v>
      </c>
      <c r="G145" s="27">
        <f t="shared" ref="G145" si="287">G144-G146</f>
        <v>1131.6151202749097</v>
      </c>
      <c r="H145" s="27">
        <f t="shared" ref="H145" si="288">H144-H146</f>
        <v>1226.9759450171841</v>
      </c>
      <c r="I145" s="27">
        <f t="shared" ref="I145" si="289">I144-I146</f>
        <v>490.4270986745214</v>
      </c>
      <c r="J145" s="27">
        <f t="shared" ref="J145" si="290">J144-J146</f>
        <v>1150.6872852233646</v>
      </c>
      <c r="K145" s="27">
        <f t="shared" ref="K145" si="291">K144-K146</f>
        <v>902.74914089346566</v>
      </c>
      <c r="L145" s="27">
        <f t="shared" ref="L145" si="292">L144-L146</f>
        <v>731.09965635738627</v>
      </c>
      <c r="M145" s="27">
        <f t="shared" ref="M145" si="293">M144-M146</f>
        <v>712.02749140893138</v>
      </c>
      <c r="N145" s="20">
        <f>SUM(B145:M145)</f>
        <v>10027.417771232183</v>
      </c>
      <c r="P145" s="21" t="s">
        <v>420</v>
      </c>
    </row>
    <row r="146" spans="1:16">
      <c r="A146" s="249" t="s">
        <v>418</v>
      </c>
      <c r="B146" s="27">
        <f>B144/(1+'Transmission Formula Rate (7)'!$B$27)</f>
        <v>26509.572901325479</v>
      </c>
      <c r="C146" s="27">
        <f>C144/(1+'Transmission Formula Rate (7)'!$B$27)</f>
        <v>46735.395189003444</v>
      </c>
      <c r="D146" s="27">
        <f>D144/(1+'Transmission Formula Rate (7)'!$B$27)</f>
        <v>29209.621993127148</v>
      </c>
      <c r="E146" s="27">
        <f>E144/(1+'Transmission Formula Rate (7)'!$B$27)</f>
        <v>43642.611683848801</v>
      </c>
      <c r="F146" s="27">
        <f>F144/(1+'Transmission Formula Rate (7)'!$B$27)</f>
        <v>52920.962199312722</v>
      </c>
      <c r="G146" s="27">
        <f>G144/(1+'Transmission Formula Rate (7)'!$B$27)</f>
        <v>61168.38487972509</v>
      </c>
      <c r="H146" s="27">
        <f>H144/(1+'Transmission Formula Rate (7)'!$B$27)</f>
        <v>66323.024054982816</v>
      </c>
      <c r="I146" s="27">
        <f>I144/(1+'Transmission Formula Rate (7)'!$B$27)</f>
        <v>26509.572901325479</v>
      </c>
      <c r="J146" s="27">
        <f>J144/(1+'Transmission Formula Rate (7)'!$B$27)</f>
        <v>62199.312714776643</v>
      </c>
      <c r="K146" s="27">
        <f>K144/(1+'Transmission Formula Rate (7)'!$B$27)</f>
        <v>48797.250859106534</v>
      </c>
      <c r="L146" s="27">
        <f>L144/(1+'Transmission Formula Rate (7)'!$B$27)</f>
        <v>39518.900343642614</v>
      </c>
      <c r="M146" s="27">
        <f>M144/(1+'Transmission Formula Rate (7)'!$B$27)</f>
        <v>38487.972508591069</v>
      </c>
      <c r="N146" s="123">
        <f>SUM(B146:M146)</f>
        <v>542022.58222876792</v>
      </c>
    </row>
    <row r="147" spans="1:16">
      <c r="A147" s="247" t="s">
        <v>20</v>
      </c>
      <c r="B147" s="29">
        <f>B124</f>
        <v>1.59</v>
      </c>
      <c r="C147" s="29">
        <f t="shared" ref="C147:M147" si="294">C124</f>
        <v>1.59</v>
      </c>
      <c r="D147" s="29">
        <f t="shared" si="294"/>
        <v>1.59</v>
      </c>
      <c r="E147" s="29">
        <f t="shared" si="294"/>
        <v>1.59</v>
      </c>
      <c r="F147" s="29">
        <f t="shared" si="294"/>
        <v>1.59</v>
      </c>
      <c r="G147" s="29">
        <f t="shared" si="294"/>
        <v>1.59</v>
      </c>
      <c r="H147" s="29">
        <f t="shared" si="294"/>
        <v>1.59</v>
      </c>
      <c r="I147" s="29">
        <f t="shared" si="294"/>
        <v>1.59</v>
      </c>
      <c r="J147" s="29">
        <f t="shared" si="294"/>
        <v>1.59</v>
      </c>
      <c r="K147" s="29">
        <f t="shared" si="294"/>
        <v>1.59</v>
      </c>
      <c r="L147" s="29">
        <f t="shared" si="294"/>
        <v>1.59</v>
      </c>
      <c r="M147" s="29">
        <f t="shared" si="294"/>
        <v>1.59</v>
      </c>
      <c r="N147" s="19"/>
    </row>
    <row r="148" spans="1:16">
      <c r="A148" s="247" t="s">
        <v>17</v>
      </c>
      <c r="B148" s="20">
        <f>B144*B147</f>
        <v>42930</v>
      </c>
      <c r="C148" s="20">
        <f t="shared" ref="C148" si="295">C144*C147</f>
        <v>75684.000000000015</v>
      </c>
      <c r="D148" s="20">
        <f t="shared" ref="D148" si="296">D144*D147</f>
        <v>47302.5</v>
      </c>
      <c r="E148" s="20">
        <f t="shared" ref="E148" si="297">E144*E147</f>
        <v>70675.5</v>
      </c>
      <c r="F148" s="20">
        <f t="shared" ref="F148" si="298">F144*F147</f>
        <v>85701.000000000015</v>
      </c>
      <c r="G148" s="20">
        <f t="shared" ref="G148" si="299">G144*G147</f>
        <v>99057</v>
      </c>
      <c r="H148" s="20">
        <f t="shared" ref="H148" si="300">H144*H147</f>
        <v>107404.5</v>
      </c>
      <c r="I148" s="20">
        <f t="shared" ref="I148" si="301">I144*I147</f>
        <v>42930</v>
      </c>
      <c r="J148" s="20">
        <f t="shared" ref="J148" si="302">J144*J147</f>
        <v>100726.50000000001</v>
      </c>
      <c r="K148" s="20">
        <f t="shared" ref="K148" si="303">K144*K147</f>
        <v>79023</v>
      </c>
      <c r="L148" s="20">
        <f t="shared" ref="L148" si="304">L144*L147</f>
        <v>63997.5</v>
      </c>
      <c r="M148" s="20">
        <f t="shared" ref="M148" si="305">M144*M147</f>
        <v>62328</v>
      </c>
      <c r="N148" s="20">
        <f>SUM(B148:M148)</f>
        <v>877759.5</v>
      </c>
    </row>
    <row r="150" spans="1:16">
      <c r="A150" s="247" t="s">
        <v>135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6">
      <c r="A151" s="249" t="s">
        <v>47</v>
      </c>
      <c r="B151" s="232">
        <f>B144</f>
        <v>27000</v>
      </c>
      <c r="C151" s="232">
        <f t="shared" ref="C151:M151" si="306">C144</f>
        <v>47600.000000000007</v>
      </c>
      <c r="D151" s="232">
        <f t="shared" si="306"/>
        <v>29750</v>
      </c>
      <c r="E151" s="232">
        <f t="shared" si="306"/>
        <v>44450</v>
      </c>
      <c r="F151" s="232">
        <f t="shared" si="306"/>
        <v>53900.000000000007</v>
      </c>
      <c r="G151" s="232">
        <f t="shared" si="306"/>
        <v>62300</v>
      </c>
      <c r="H151" s="232">
        <f t="shared" si="306"/>
        <v>67550</v>
      </c>
      <c r="I151" s="232">
        <f t="shared" si="306"/>
        <v>27000</v>
      </c>
      <c r="J151" s="232">
        <f t="shared" si="306"/>
        <v>63350.000000000007</v>
      </c>
      <c r="K151" s="232">
        <f t="shared" si="306"/>
        <v>49700</v>
      </c>
      <c r="L151" s="232">
        <f t="shared" si="306"/>
        <v>40250</v>
      </c>
      <c r="M151" s="232">
        <f t="shared" si="306"/>
        <v>39200</v>
      </c>
      <c r="N151" s="20">
        <f>SUM(B151:M151)</f>
        <v>552050</v>
      </c>
    </row>
    <row r="152" spans="1:16">
      <c r="A152" s="249" t="s">
        <v>45</v>
      </c>
      <c r="B152" s="27">
        <f>B151-B153</f>
        <v>490.4270986745214</v>
      </c>
      <c r="C152" s="27">
        <f t="shared" ref="C152" si="307">C151-C153</f>
        <v>864.60481099656317</v>
      </c>
      <c r="D152" s="27">
        <f t="shared" ref="D152" si="308">D151-D153</f>
        <v>540.37800687285198</v>
      </c>
      <c r="E152" s="27">
        <f t="shared" ref="E152" si="309">E151-E153</f>
        <v>807.38831615119852</v>
      </c>
      <c r="F152" s="27">
        <f t="shared" ref="F152" si="310">F151-F153</f>
        <v>979.0378006872852</v>
      </c>
      <c r="G152" s="27">
        <f t="shared" ref="G152" si="311">G151-G153</f>
        <v>1131.6151202749097</v>
      </c>
      <c r="H152" s="27">
        <f t="shared" ref="H152" si="312">H151-H153</f>
        <v>1226.9759450171841</v>
      </c>
      <c r="I152" s="27">
        <f t="shared" ref="I152" si="313">I151-I153</f>
        <v>490.4270986745214</v>
      </c>
      <c r="J152" s="27">
        <f t="shared" ref="J152" si="314">J151-J153</f>
        <v>1150.6872852233646</v>
      </c>
      <c r="K152" s="27">
        <f t="shared" ref="K152" si="315">K151-K153</f>
        <v>902.74914089346566</v>
      </c>
      <c r="L152" s="27">
        <f t="shared" ref="L152" si="316">L151-L153</f>
        <v>731.09965635738627</v>
      </c>
      <c r="M152" s="27">
        <f t="shared" ref="M152" si="317">M151-M153</f>
        <v>712.02749140893138</v>
      </c>
      <c r="N152" s="20">
        <f>SUM(B152:M152)</f>
        <v>10027.417771232183</v>
      </c>
    </row>
    <row r="153" spans="1:16">
      <c r="A153" s="249" t="s">
        <v>418</v>
      </c>
      <c r="B153" s="27">
        <f>B151/(1+'Transmission Formula Rate (7)'!$B$27)</f>
        <v>26509.572901325479</v>
      </c>
      <c r="C153" s="27">
        <f>C151/(1+'Transmission Formula Rate (7)'!$B$27)</f>
        <v>46735.395189003444</v>
      </c>
      <c r="D153" s="27">
        <f>D151/(1+'Transmission Formula Rate (7)'!$B$27)</f>
        <v>29209.621993127148</v>
      </c>
      <c r="E153" s="27">
        <f>E151/(1+'Transmission Formula Rate (7)'!$B$27)</f>
        <v>43642.611683848801</v>
      </c>
      <c r="F153" s="27">
        <f>F151/(1+'Transmission Formula Rate (7)'!$B$27)</f>
        <v>52920.962199312722</v>
      </c>
      <c r="G153" s="27">
        <f>G151/(1+'Transmission Formula Rate (7)'!$B$27)</f>
        <v>61168.38487972509</v>
      </c>
      <c r="H153" s="27">
        <f>H151/(1+'Transmission Formula Rate (7)'!$B$27)</f>
        <v>66323.024054982816</v>
      </c>
      <c r="I153" s="27">
        <f>I151/(1+'Transmission Formula Rate (7)'!$B$27)</f>
        <v>26509.572901325479</v>
      </c>
      <c r="J153" s="27">
        <f>J151/(1+'Transmission Formula Rate (7)'!$B$27)</f>
        <v>62199.312714776643</v>
      </c>
      <c r="K153" s="27">
        <f>K151/(1+'Transmission Formula Rate (7)'!$B$27)</f>
        <v>48797.250859106534</v>
      </c>
      <c r="L153" s="27">
        <f>L151/(1+'Transmission Formula Rate (7)'!$B$27)</f>
        <v>39518.900343642614</v>
      </c>
      <c r="M153" s="27">
        <f>M151/(1+'Transmission Formula Rate (7)'!$B$27)</f>
        <v>38487.972508591069</v>
      </c>
      <c r="N153" s="123">
        <f>SUM(B153:M153)</f>
        <v>542022.58222876792</v>
      </c>
    </row>
    <row r="154" spans="1:16">
      <c r="A154" s="247" t="s">
        <v>143</v>
      </c>
      <c r="B154" s="31">
        <f>'charges (1 &amp; 2)'!$H$38</f>
        <v>1.274E-2</v>
      </c>
      <c r="C154" s="31">
        <f>B154</f>
        <v>1.274E-2</v>
      </c>
      <c r="D154" s="31">
        <f t="shared" ref="D154:M154" si="318">C154</f>
        <v>1.274E-2</v>
      </c>
      <c r="E154" s="31">
        <f t="shared" si="318"/>
        <v>1.274E-2</v>
      </c>
      <c r="F154" s="31">
        <f t="shared" si="318"/>
        <v>1.274E-2</v>
      </c>
      <c r="G154" s="31">
        <f t="shared" si="318"/>
        <v>1.274E-2</v>
      </c>
      <c r="H154" s="31">
        <f t="shared" si="318"/>
        <v>1.274E-2</v>
      </c>
      <c r="I154" s="31">
        <f t="shared" si="318"/>
        <v>1.274E-2</v>
      </c>
      <c r="J154" s="31">
        <f t="shared" si="318"/>
        <v>1.274E-2</v>
      </c>
      <c r="K154" s="31">
        <f t="shared" si="318"/>
        <v>1.274E-2</v>
      </c>
      <c r="L154" s="31">
        <f t="shared" si="318"/>
        <v>1.274E-2</v>
      </c>
      <c r="M154" s="31">
        <f t="shared" si="318"/>
        <v>1.274E-2</v>
      </c>
      <c r="N154" s="19"/>
    </row>
    <row r="155" spans="1:16">
      <c r="A155" s="247" t="s">
        <v>17</v>
      </c>
      <c r="B155" s="20">
        <f>B151*B154</f>
        <v>343.97999999999996</v>
      </c>
      <c r="C155" s="20">
        <f t="shared" ref="C155" si="319">C151*C154</f>
        <v>606.42400000000009</v>
      </c>
      <c r="D155" s="20">
        <f t="shared" ref="D155" si="320">D151*D154</f>
        <v>379.01499999999999</v>
      </c>
      <c r="E155" s="20">
        <f t="shared" ref="E155" si="321">E151*E154</f>
        <v>566.29300000000001</v>
      </c>
      <c r="F155" s="20">
        <f t="shared" ref="F155" si="322">F151*F154</f>
        <v>686.68600000000004</v>
      </c>
      <c r="G155" s="20">
        <f t="shared" ref="G155" si="323">G151*G154</f>
        <v>793.702</v>
      </c>
      <c r="H155" s="20">
        <f t="shared" ref="H155" si="324">H151*H154</f>
        <v>860.58699999999999</v>
      </c>
      <c r="I155" s="20">
        <f t="shared" ref="I155" si="325">I151*I154</f>
        <v>343.97999999999996</v>
      </c>
      <c r="J155" s="20">
        <f t="shared" ref="J155" si="326">J151*J154</f>
        <v>807.07900000000006</v>
      </c>
      <c r="K155" s="20">
        <f t="shared" ref="K155" si="327">K151*K154</f>
        <v>633.178</v>
      </c>
      <c r="L155" s="20">
        <f t="shared" ref="L155" si="328">L151*L154</f>
        <v>512.78499999999997</v>
      </c>
      <c r="M155" s="20">
        <f t="shared" ref="M155" si="329">M151*M154</f>
        <v>499.40799999999996</v>
      </c>
      <c r="N155" s="20">
        <f>SUM(B155:M155)</f>
        <v>7033.1169999999993</v>
      </c>
    </row>
    <row r="157" spans="1:16">
      <c r="A157" s="247" t="s">
        <v>38</v>
      </c>
    </row>
    <row r="158" spans="1:16">
      <c r="A158" s="249" t="s">
        <v>47</v>
      </c>
      <c r="B158" s="232">
        <f>B144</f>
        <v>27000</v>
      </c>
      <c r="C158" s="232">
        <f t="shared" ref="C158:M158" si="330">C144</f>
        <v>47600.000000000007</v>
      </c>
      <c r="D158" s="232">
        <f t="shared" si="330"/>
        <v>29750</v>
      </c>
      <c r="E158" s="232">
        <f t="shared" si="330"/>
        <v>44450</v>
      </c>
      <c r="F158" s="232">
        <f t="shared" si="330"/>
        <v>53900.000000000007</v>
      </c>
      <c r="G158" s="232">
        <f t="shared" si="330"/>
        <v>62300</v>
      </c>
      <c r="H158" s="232">
        <f t="shared" si="330"/>
        <v>67550</v>
      </c>
      <c r="I158" s="232">
        <f t="shared" si="330"/>
        <v>27000</v>
      </c>
      <c r="J158" s="232">
        <f t="shared" si="330"/>
        <v>63350.000000000007</v>
      </c>
      <c r="K158" s="232">
        <f t="shared" si="330"/>
        <v>49700</v>
      </c>
      <c r="L158" s="232">
        <f t="shared" si="330"/>
        <v>40250</v>
      </c>
      <c r="M158" s="232">
        <f t="shared" si="330"/>
        <v>39200</v>
      </c>
      <c r="N158" s="20">
        <f>SUM(B158:M158)</f>
        <v>552050</v>
      </c>
    </row>
    <row r="159" spans="1:16">
      <c r="A159" s="249" t="s">
        <v>45</v>
      </c>
      <c r="B159" s="27">
        <f>B158-B160</f>
        <v>490.4270986745214</v>
      </c>
      <c r="C159" s="27">
        <f t="shared" ref="C159" si="331">C158-C160</f>
        <v>864.60481099656317</v>
      </c>
      <c r="D159" s="27">
        <f t="shared" ref="D159" si="332">D158-D160</f>
        <v>540.37800687285198</v>
      </c>
      <c r="E159" s="27">
        <f t="shared" ref="E159" si="333">E158-E160</f>
        <v>807.38831615119852</v>
      </c>
      <c r="F159" s="27">
        <f t="shared" ref="F159" si="334">F158-F160</f>
        <v>979.0378006872852</v>
      </c>
      <c r="G159" s="27">
        <f t="shared" ref="G159" si="335">G158-G160</f>
        <v>1131.6151202749097</v>
      </c>
      <c r="H159" s="27">
        <f t="shared" ref="H159" si="336">H158-H160</f>
        <v>1226.9759450171841</v>
      </c>
      <c r="I159" s="27">
        <f t="shared" ref="I159" si="337">I158-I160</f>
        <v>490.4270986745214</v>
      </c>
      <c r="J159" s="27">
        <f t="shared" ref="J159" si="338">J158-J160</f>
        <v>1150.6872852233646</v>
      </c>
      <c r="K159" s="27">
        <f t="shared" ref="K159" si="339">K158-K160</f>
        <v>902.74914089346566</v>
      </c>
      <c r="L159" s="27">
        <f t="shared" ref="L159" si="340">L158-L160</f>
        <v>731.09965635738627</v>
      </c>
      <c r="M159" s="27">
        <f t="shared" ref="M159" si="341">M158-M160</f>
        <v>712.02749140893138</v>
      </c>
      <c r="N159" s="20">
        <f>SUM(B159:M159)</f>
        <v>10027.417771232183</v>
      </c>
    </row>
    <row r="160" spans="1:16">
      <c r="A160" s="249" t="s">
        <v>418</v>
      </c>
      <c r="B160" s="27">
        <f>B158/(1+'Transmission Formula Rate (7)'!$B$27)</f>
        <v>26509.572901325479</v>
      </c>
      <c r="C160" s="27">
        <f>C158/(1+'Transmission Formula Rate (7)'!$B$27)</f>
        <v>46735.395189003444</v>
      </c>
      <c r="D160" s="27">
        <f>D158/(1+'Transmission Formula Rate (7)'!$B$27)</f>
        <v>29209.621993127148</v>
      </c>
      <c r="E160" s="27">
        <f>E158/(1+'Transmission Formula Rate (7)'!$B$27)</f>
        <v>43642.611683848801</v>
      </c>
      <c r="F160" s="27">
        <f>F158/(1+'Transmission Formula Rate (7)'!$B$27)</f>
        <v>52920.962199312722</v>
      </c>
      <c r="G160" s="27">
        <f>G158/(1+'Transmission Formula Rate (7)'!$B$27)</f>
        <v>61168.38487972509</v>
      </c>
      <c r="H160" s="27">
        <f>H158/(1+'Transmission Formula Rate (7)'!$B$27)</f>
        <v>66323.024054982816</v>
      </c>
      <c r="I160" s="27">
        <f>I158/(1+'Transmission Formula Rate (7)'!$B$27)</f>
        <v>26509.572901325479</v>
      </c>
      <c r="J160" s="27">
        <f>J158/(1+'Transmission Formula Rate (7)'!$B$27)</f>
        <v>62199.312714776643</v>
      </c>
      <c r="K160" s="27">
        <f>K158/(1+'Transmission Formula Rate (7)'!$B$27)</f>
        <v>48797.250859106534</v>
      </c>
      <c r="L160" s="27">
        <f>L158/(1+'Transmission Formula Rate (7)'!$B$27)</f>
        <v>39518.900343642614</v>
      </c>
      <c r="M160" s="27">
        <f>M158/(1+'Transmission Formula Rate (7)'!$B$27)</f>
        <v>38487.972508591069</v>
      </c>
      <c r="N160" s="123">
        <f>SUM(B160:M160)</f>
        <v>542022.58222876792</v>
      </c>
    </row>
    <row r="161" spans="1:14">
      <c r="A161" s="247" t="s">
        <v>144</v>
      </c>
      <c r="B161" s="31">
        <f>'charges (1 &amp; 2)'!H10</f>
        <v>0.1008</v>
      </c>
      <c r="C161" s="31">
        <f>B161</f>
        <v>0.1008</v>
      </c>
      <c r="D161" s="31">
        <f t="shared" ref="D161:M161" si="342">C161</f>
        <v>0.1008</v>
      </c>
      <c r="E161" s="31">
        <f t="shared" si="342"/>
        <v>0.1008</v>
      </c>
      <c r="F161" s="31">
        <f t="shared" si="342"/>
        <v>0.1008</v>
      </c>
      <c r="G161" s="31">
        <f t="shared" si="342"/>
        <v>0.1008</v>
      </c>
      <c r="H161" s="31">
        <f t="shared" si="342"/>
        <v>0.1008</v>
      </c>
      <c r="I161" s="31">
        <f t="shared" si="342"/>
        <v>0.1008</v>
      </c>
      <c r="J161" s="31">
        <f t="shared" si="342"/>
        <v>0.1008</v>
      </c>
      <c r="K161" s="31">
        <f t="shared" si="342"/>
        <v>0.1008</v>
      </c>
      <c r="L161" s="31">
        <f t="shared" si="342"/>
        <v>0.1008</v>
      </c>
      <c r="M161" s="31">
        <f t="shared" si="342"/>
        <v>0.1008</v>
      </c>
    </row>
    <row r="162" spans="1:14">
      <c r="A162" s="247" t="s">
        <v>17</v>
      </c>
      <c r="B162" s="20">
        <f>B158*B161</f>
        <v>2721.6</v>
      </c>
      <c r="C162" s="20">
        <f t="shared" ref="C162" si="343">C158*C161</f>
        <v>4798.0800000000008</v>
      </c>
      <c r="D162" s="20">
        <f t="shared" ref="D162" si="344">D158*D161</f>
        <v>2998.8</v>
      </c>
      <c r="E162" s="20">
        <f t="shared" ref="E162" si="345">E158*E161</f>
        <v>4480.5600000000004</v>
      </c>
      <c r="F162" s="20">
        <f t="shared" ref="F162" si="346">F158*F161</f>
        <v>5433.1200000000008</v>
      </c>
      <c r="G162" s="20">
        <f t="shared" ref="G162" si="347">G158*G161</f>
        <v>6279.84</v>
      </c>
      <c r="H162" s="20">
        <f t="shared" ref="H162" si="348">H158*H161</f>
        <v>6809.04</v>
      </c>
      <c r="I162" s="20">
        <f t="shared" ref="I162" si="349">I158*I161</f>
        <v>2721.6</v>
      </c>
      <c r="J162" s="20">
        <f t="shared" ref="J162" si="350">J158*J161</f>
        <v>6385.6800000000012</v>
      </c>
      <c r="K162" s="20">
        <f t="shared" ref="K162" si="351">K158*K161</f>
        <v>5009.76</v>
      </c>
      <c r="L162" s="20">
        <f t="shared" ref="L162" si="352">L158*L161</f>
        <v>4057.2</v>
      </c>
      <c r="M162" s="20">
        <f t="shared" ref="M162" si="353">M158*M161</f>
        <v>3951.36</v>
      </c>
      <c r="N162" s="20">
        <f>SUM(B162:M162)</f>
        <v>55646.64</v>
      </c>
    </row>
    <row r="166" spans="1:14" ht="13.2">
      <c r="B166" s="234"/>
      <c r="C166" s="279"/>
      <c r="D166" s="237"/>
      <c r="E166" s="237"/>
      <c r="F166" s="237"/>
      <c r="G166" s="234"/>
      <c r="H166" s="234"/>
      <c r="I166" s="234"/>
    </row>
    <row r="167" spans="1:14" ht="13.2">
      <c r="B167" s="237"/>
      <c r="C167" s="234"/>
      <c r="D167" s="237"/>
      <c r="E167" s="365"/>
      <c r="F167" s="237"/>
      <c r="G167" s="234"/>
      <c r="H167" s="234"/>
      <c r="I167" s="234"/>
    </row>
    <row r="168" spans="1:14" ht="13.2">
      <c r="B168" s="237"/>
      <c r="C168" s="237"/>
      <c r="D168" s="237"/>
      <c r="E168" s="237"/>
      <c r="F168" s="237"/>
      <c r="G168" s="234"/>
      <c r="H168" s="234"/>
      <c r="I168" s="234"/>
    </row>
  </sheetData>
  <pageMargins left="0.7" right="0.7" top="0.75" bottom="0.75" header="0.3" footer="0.3"/>
  <pageSetup scale="74" orientation="landscape" r:id="rId1"/>
  <rowBreaks count="2" manualBreakCount="2">
    <brk id="47" max="16383" man="1"/>
    <brk id="9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34" customWidth="1"/>
    <col min="2" max="2" width="10.88671875" style="234" customWidth="1"/>
    <col min="3" max="3" width="1.6640625" style="251" customWidth="1"/>
    <col min="4" max="16384" width="9" style="234"/>
  </cols>
  <sheetData>
    <row r="1" spans="2:18">
      <c r="B1" s="481" t="s">
        <v>471</v>
      </c>
    </row>
    <row r="2" spans="2:18">
      <c r="B2" s="481" t="s">
        <v>458</v>
      </c>
    </row>
    <row r="4" spans="2:18">
      <c r="B4" s="279" t="s">
        <v>111</v>
      </c>
    </row>
    <row r="5" spans="2:18">
      <c r="B5" s="234" t="s">
        <v>428</v>
      </c>
    </row>
    <row r="9" spans="2:18">
      <c r="B9" s="234" t="s">
        <v>190</v>
      </c>
      <c r="E9" s="283" t="s">
        <v>0</v>
      </c>
      <c r="F9" s="283" t="s">
        <v>1</v>
      </c>
      <c r="G9" s="283" t="s">
        <v>2</v>
      </c>
      <c r="H9" s="283" t="s">
        <v>3</v>
      </c>
      <c r="I9" s="283" t="s">
        <v>4</v>
      </c>
      <c r="J9" s="283" t="s">
        <v>5</v>
      </c>
      <c r="K9" s="283" t="s">
        <v>6</v>
      </c>
      <c r="L9" s="283" t="s">
        <v>7</v>
      </c>
      <c r="M9" s="283" t="s">
        <v>8</v>
      </c>
      <c r="N9" s="283" t="s">
        <v>9</v>
      </c>
      <c r="O9" s="283" t="s">
        <v>10</v>
      </c>
      <c r="P9" s="283" t="s">
        <v>11</v>
      </c>
      <c r="Q9" s="284" t="s">
        <v>12</v>
      </c>
    </row>
    <row r="10" spans="2:18">
      <c r="D10" s="236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5"/>
    </row>
    <row r="11" spans="2:18">
      <c r="D11" s="236"/>
      <c r="E11" s="237">
        <v>1</v>
      </c>
      <c r="F11" s="237">
        <v>2</v>
      </c>
      <c r="G11" s="237">
        <v>3</v>
      </c>
      <c r="H11" s="237">
        <v>4</v>
      </c>
      <c r="I11" s="237">
        <v>5</v>
      </c>
      <c r="J11" s="237">
        <v>6</v>
      </c>
      <c r="K11" s="237">
        <v>7</v>
      </c>
      <c r="L11" s="237">
        <v>8</v>
      </c>
      <c r="M11" s="237">
        <v>9</v>
      </c>
      <c r="N11" s="237">
        <v>10</v>
      </c>
      <c r="O11" s="237">
        <v>11</v>
      </c>
      <c r="P11" s="237">
        <v>12</v>
      </c>
      <c r="Q11" s="235"/>
    </row>
    <row r="12" spans="2:18">
      <c r="D12" s="236">
        <v>2016</v>
      </c>
      <c r="E12" s="237">
        <v>18000</v>
      </c>
      <c r="F12" s="237">
        <v>6000</v>
      </c>
      <c r="G12" s="237">
        <v>0</v>
      </c>
      <c r="H12" s="237">
        <v>3000</v>
      </c>
      <c r="I12" s="237">
        <v>12000</v>
      </c>
      <c r="J12" s="237">
        <v>20000</v>
      </c>
      <c r="K12" s="237">
        <v>25000</v>
      </c>
      <c r="L12" s="237">
        <v>18000</v>
      </c>
      <c r="M12" s="237">
        <v>21000</v>
      </c>
      <c r="N12" s="237">
        <v>8000</v>
      </c>
      <c r="O12" s="237">
        <v>0</v>
      </c>
      <c r="P12" s="237">
        <v>0</v>
      </c>
      <c r="Q12" s="458">
        <f t="shared" ref="Q12:Q16" si="0">SUM(E12:P12)</f>
        <v>131000</v>
      </c>
    </row>
    <row r="13" spans="2:18">
      <c r="D13" s="236">
        <f>1+D12</f>
        <v>2017</v>
      </c>
      <c r="E13" s="237">
        <v>21000</v>
      </c>
      <c r="F13" s="237">
        <v>6000</v>
      </c>
      <c r="G13" s="237">
        <v>0</v>
      </c>
      <c r="H13" s="237">
        <v>3000</v>
      </c>
      <c r="I13" s="237">
        <v>12000</v>
      </c>
      <c r="J13" s="237">
        <v>20000</v>
      </c>
      <c r="K13" s="237">
        <v>25000</v>
      </c>
      <c r="L13" s="237">
        <v>21000</v>
      </c>
      <c r="M13" s="237">
        <v>21000</v>
      </c>
      <c r="N13" s="237">
        <v>8000</v>
      </c>
      <c r="O13" s="237">
        <v>0</v>
      </c>
      <c r="P13" s="237">
        <v>0</v>
      </c>
      <c r="Q13" s="459">
        <f t="shared" si="0"/>
        <v>137000</v>
      </c>
    </row>
    <row r="14" spans="2:18">
      <c r="D14" s="236">
        <f>1+D13</f>
        <v>2018</v>
      </c>
      <c r="E14" s="237">
        <v>24000</v>
      </c>
      <c r="F14" s="237">
        <v>6000</v>
      </c>
      <c r="G14" s="237">
        <v>0</v>
      </c>
      <c r="H14" s="237">
        <v>3000</v>
      </c>
      <c r="I14" s="237">
        <v>12000</v>
      </c>
      <c r="J14" s="237">
        <v>20000</v>
      </c>
      <c r="K14" s="237">
        <v>25000</v>
      </c>
      <c r="L14" s="237">
        <v>24000</v>
      </c>
      <c r="M14" s="237">
        <v>21000</v>
      </c>
      <c r="N14" s="237">
        <v>8000</v>
      </c>
      <c r="O14" s="237">
        <v>0</v>
      </c>
      <c r="P14" s="237">
        <v>0</v>
      </c>
      <c r="Q14" s="459">
        <f t="shared" si="0"/>
        <v>143000</v>
      </c>
    </row>
    <row r="15" spans="2:18">
      <c r="D15" s="236">
        <v>2019</v>
      </c>
      <c r="E15" s="237">
        <v>27000</v>
      </c>
      <c r="F15" s="237">
        <v>6000</v>
      </c>
      <c r="G15" s="237">
        <v>0</v>
      </c>
      <c r="H15" s="237">
        <v>3000</v>
      </c>
      <c r="I15" s="237">
        <v>12000</v>
      </c>
      <c r="J15" s="237">
        <v>20000</v>
      </c>
      <c r="K15" s="237">
        <v>25000</v>
      </c>
      <c r="L15" s="237">
        <v>27000</v>
      </c>
      <c r="M15" s="237">
        <v>21000</v>
      </c>
      <c r="N15" s="237">
        <v>8000</v>
      </c>
      <c r="O15" s="237">
        <v>0</v>
      </c>
      <c r="P15" s="237">
        <v>0</v>
      </c>
      <c r="Q15" s="459">
        <f t="shared" si="0"/>
        <v>149000</v>
      </c>
      <c r="R15" s="335" t="s">
        <v>419</v>
      </c>
    </row>
    <row r="16" spans="2:18">
      <c r="C16" s="252"/>
      <c r="D16" s="236">
        <v>2020</v>
      </c>
      <c r="E16" s="237">
        <v>27000</v>
      </c>
      <c r="F16" s="237">
        <v>47600.000000000007</v>
      </c>
      <c r="G16" s="237">
        <v>29750</v>
      </c>
      <c r="H16" s="237">
        <v>44450</v>
      </c>
      <c r="I16" s="237">
        <v>53900.000000000007</v>
      </c>
      <c r="J16" s="237">
        <v>62300</v>
      </c>
      <c r="K16" s="237">
        <v>67550</v>
      </c>
      <c r="L16" s="237">
        <v>27000</v>
      </c>
      <c r="M16" s="237">
        <v>63350.000000000007</v>
      </c>
      <c r="N16" s="237">
        <v>49700</v>
      </c>
      <c r="O16" s="237">
        <v>40250</v>
      </c>
      <c r="P16" s="237">
        <v>39200</v>
      </c>
      <c r="Q16" s="459">
        <f t="shared" si="0"/>
        <v>552050</v>
      </c>
    </row>
    <row r="17" spans="3:8">
      <c r="C17" s="252"/>
      <c r="D17" s="237"/>
      <c r="E17" s="237"/>
      <c r="F17" s="237"/>
      <c r="G17" s="237"/>
      <c r="H17" s="237"/>
    </row>
    <row r="18" spans="3:8">
      <c r="C18" s="252"/>
      <c r="D18" s="237"/>
      <c r="E18" s="237"/>
      <c r="F18" s="237"/>
      <c r="G18" s="237"/>
      <c r="H18" s="237"/>
    </row>
    <row r="19" spans="3:8">
      <c r="C19" s="252"/>
      <c r="D19" s="279" t="s">
        <v>424</v>
      </c>
      <c r="E19" s="279"/>
      <c r="F19" s="237"/>
      <c r="G19" s="237"/>
      <c r="H19" s="237"/>
    </row>
    <row r="20" spans="3:8">
      <c r="C20" s="252"/>
      <c r="D20" s="279" t="s">
        <v>425</v>
      </c>
      <c r="F20" s="237"/>
      <c r="G20" s="365"/>
      <c r="H20" s="237"/>
    </row>
    <row r="21" spans="3:8">
      <c r="C21" s="252"/>
      <c r="D21" s="237"/>
      <c r="E21" s="237"/>
      <c r="F21" s="237"/>
      <c r="G21" s="237"/>
      <c r="H21" s="237"/>
    </row>
    <row r="22" spans="3:8">
      <c r="C22" s="252"/>
      <c r="D22" s="237"/>
      <c r="E22" s="237"/>
      <c r="F22" s="237"/>
      <c r="G22" s="237"/>
      <c r="H22" s="237"/>
    </row>
    <row r="24" spans="3:8">
      <c r="C24" s="252"/>
      <c r="D24" s="237"/>
      <c r="E24" s="237"/>
      <c r="F24" s="237"/>
      <c r="G24" s="237"/>
      <c r="H24" s="237"/>
    </row>
    <row r="25" spans="3:8">
      <c r="C25" s="252"/>
      <c r="D25" s="237"/>
      <c r="E25" s="237"/>
      <c r="F25" s="237"/>
      <c r="G25" s="237"/>
      <c r="H25" s="237"/>
    </row>
    <row r="26" spans="3:8">
      <c r="C26" s="252"/>
      <c r="D26" s="237"/>
      <c r="E26" s="237"/>
      <c r="F26" s="237"/>
      <c r="G26" s="237"/>
      <c r="H26" s="237"/>
    </row>
    <row r="27" spans="3:8">
      <c r="C27" s="252"/>
      <c r="D27" s="237"/>
      <c r="E27" s="237"/>
      <c r="F27" s="237"/>
      <c r="G27" s="237"/>
      <c r="H27" s="237"/>
    </row>
    <row r="28" spans="3:8">
      <c r="C28" s="252"/>
      <c r="D28" s="237"/>
      <c r="E28" s="237"/>
      <c r="F28" s="237"/>
      <c r="G28" s="237"/>
      <c r="H28" s="237"/>
    </row>
    <row r="29" spans="3:8">
      <c r="C29" s="252"/>
      <c r="D29" s="237"/>
      <c r="E29" s="237"/>
      <c r="F29" s="237"/>
      <c r="G29" s="237"/>
      <c r="H29" s="237"/>
    </row>
    <row r="30" spans="3:8">
      <c r="C30" s="252"/>
      <c r="D30" s="237"/>
      <c r="E30" s="237"/>
      <c r="F30" s="237"/>
      <c r="G30" s="237"/>
      <c r="H30" s="237"/>
    </row>
    <row r="31" spans="3:8">
      <c r="C31" s="252"/>
      <c r="D31" s="237"/>
      <c r="E31" s="237"/>
      <c r="F31" s="237"/>
      <c r="G31" s="237"/>
      <c r="H31" s="237"/>
    </row>
    <row r="32" spans="3:8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0" spans="3:8">
      <c r="C40" s="252"/>
      <c r="D40" s="237"/>
      <c r="E40" s="237"/>
      <c r="F40" s="237"/>
      <c r="G40" s="237"/>
      <c r="H40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6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472</v>
      </c>
    </row>
    <row r="2" spans="1:16" s="15" customFormat="1" ht="13.8">
      <c r="A2" s="481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5" customFormat="1" ht="13.8">
      <c r="A3" s="244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5" t="s">
        <v>308</v>
      </c>
      <c r="B4" s="14"/>
      <c r="C4" s="14"/>
      <c r="D4" s="14"/>
      <c r="G4" s="14"/>
      <c r="H4" s="14"/>
      <c r="I4" s="14"/>
      <c r="J4" s="14"/>
      <c r="K4" s="14"/>
      <c r="L4" s="14"/>
      <c r="M4" s="14"/>
      <c r="O4" s="14"/>
      <c r="P4" s="14"/>
    </row>
    <row r="5" spans="1:16" s="15" customFormat="1" ht="13.8">
      <c r="A5" s="246"/>
      <c r="B5" s="238">
        <v>1</v>
      </c>
      <c r="C5" s="238">
        <f>1+B5</f>
        <v>2</v>
      </c>
      <c r="D5" s="238">
        <f t="shared" ref="D5:M5" si="0">1+C5</f>
        <v>3</v>
      </c>
      <c r="E5" s="238">
        <f t="shared" si="0"/>
        <v>4</v>
      </c>
      <c r="F5" s="238">
        <f t="shared" si="0"/>
        <v>5</v>
      </c>
      <c r="G5" s="238">
        <f t="shared" si="0"/>
        <v>6</v>
      </c>
      <c r="H5" s="238">
        <f t="shared" si="0"/>
        <v>7</v>
      </c>
      <c r="I5" s="238">
        <f t="shared" si="0"/>
        <v>8</v>
      </c>
      <c r="J5" s="238">
        <f t="shared" si="0"/>
        <v>9</v>
      </c>
      <c r="K5" s="238">
        <f t="shared" si="0"/>
        <v>10</v>
      </c>
      <c r="L5" s="238">
        <f t="shared" si="0"/>
        <v>11</v>
      </c>
      <c r="M5" s="238">
        <f t="shared" si="0"/>
        <v>12</v>
      </c>
    </row>
    <row r="6" spans="1:16" s="19" customFormat="1" ht="10.199999999999999">
      <c r="A6" s="246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</row>
    <row r="7" spans="1:16" s="19" customFormat="1" ht="13.8">
      <c r="A7" s="247"/>
      <c r="P7" s="453" t="s">
        <v>369</v>
      </c>
    </row>
    <row r="8" spans="1:16" s="19" customFormat="1" ht="10.199999999999999">
      <c r="A8" s="24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6">
      <c r="B9" s="23" t="s">
        <v>0</v>
      </c>
      <c r="C9" s="23" t="s">
        <v>1</v>
      </c>
      <c r="D9" s="23" t="s">
        <v>2</v>
      </c>
      <c r="E9" s="23" t="s">
        <v>3</v>
      </c>
      <c r="F9" s="23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23" t="s">
        <v>9</v>
      </c>
      <c r="L9" s="23" t="s">
        <v>10</v>
      </c>
      <c r="M9" s="23" t="s">
        <v>11</v>
      </c>
      <c r="N9" s="23" t="s">
        <v>12</v>
      </c>
    </row>
    <row r="10" spans="1:16">
      <c r="A10" s="248">
        <v>2014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6">
      <c r="A11" s="247" t="s">
        <v>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6">
      <c r="A12" s="249" t="s">
        <v>47</v>
      </c>
      <c r="B12" s="232"/>
      <c r="C12" s="232">
        <v>0</v>
      </c>
      <c r="D12" s="232">
        <v>30000</v>
      </c>
      <c r="E12" s="232">
        <v>20000</v>
      </c>
      <c r="F12" s="232">
        <v>10000</v>
      </c>
      <c r="G12" s="232">
        <v>30000</v>
      </c>
      <c r="H12" s="232">
        <v>35000</v>
      </c>
      <c r="I12" s="232">
        <v>35000</v>
      </c>
      <c r="J12" s="232">
        <v>35000</v>
      </c>
      <c r="K12" s="232">
        <v>25000</v>
      </c>
      <c r="L12" s="232">
        <v>20000</v>
      </c>
      <c r="M12" s="232">
        <v>20000</v>
      </c>
      <c r="N12" s="20">
        <f>SUM(B12:M12)</f>
        <v>260000</v>
      </c>
    </row>
    <row r="13" spans="1:16">
      <c r="A13" s="249" t="s">
        <v>45</v>
      </c>
      <c r="B13" s="27">
        <f>ROUND(B12*'Transmission Formula Rate (7)'!$B$27,0)</f>
        <v>0</v>
      </c>
      <c r="C13" s="27">
        <f>ROUND(C12*'Transmission Formula Rate (7)'!$B$27,0)</f>
        <v>0</v>
      </c>
      <c r="D13" s="27">
        <f>ROUND(D12*'Transmission Formula Rate (7)'!$B$27,0)</f>
        <v>555</v>
      </c>
      <c r="E13" s="27">
        <f>ROUND(E12*'Transmission Formula Rate (7)'!$B$27,0)</f>
        <v>370</v>
      </c>
      <c r="F13" s="27">
        <f>ROUND(F12*'Transmission Formula Rate (7)'!$B$27,0)</f>
        <v>185</v>
      </c>
      <c r="G13" s="27">
        <f>ROUND(G12*'Transmission Formula Rate (7)'!$B$27,0)</f>
        <v>555</v>
      </c>
      <c r="H13" s="27">
        <f>ROUND(H12*'Transmission Formula Rate (7)'!$B$27,0)</f>
        <v>648</v>
      </c>
      <c r="I13" s="27">
        <f>ROUND(I12*'Transmission Formula Rate (7)'!$B$27,0)</f>
        <v>648</v>
      </c>
      <c r="J13" s="27">
        <f>ROUND(J12*'Transmission Formula Rate (7)'!$B$27,0)</f>
        <v>648</v>
      </c>
      <c r="K13" s="27">
        <f>ROUND(K12*'Transmission Formula Rate (7)'!$B$27,0)</f>
        <v>463</v>
      </c>
      <c r="L13" s="27">
        <f>ROUND(L12*'Transmission Formula Rate (7)'!$B$27,0)</f>
        <v>370</v>
      </c>
      <c r="M13" s="27">
        <f>ROUND(M12*'Transmission Formula Rate (7)'!$B$27,0)</f>
        <v>370</v>
      </c>
      <c r="N13" s="20">
        <f>SUM(B13:M13)</f>
        <v>4812</v>
      </c>
    </row>
    <row r="14" spans="1:16">
      <c r="A14" s="249" t="s">
        <v>309</v>
      </c>
      <c r="B14" s="27">
        <f t="shared" ref="B14:M14" si="1">B12+B13</f>
        <v>0</v>
      </c>
      <c r="C14" s="27">
        <f t="shared" si="1"/>
        <v>0</v>
      </c>
      <c r="D14" s="27">
        <f t="shared" si="1"/>
        <v>30555</v>
      </c>
      <c r="E14" s="27">
        <f t="shared" si="1"/>
        <v>20370</v>
      </c>
      <c r="F14" s="27">
        <f t="shared" si="1"/>
        <v>10185</v>
      </c>
      <c r="G14" s="27">
        <f t="shared" si="1"/>
        <v>30555</v>
      </c>
      <c r="H14" s="27">
        <f t="shared" si="1"/>
        <v>35648</v>
      </c>
      <c r="I14" s="27">
        <f t="shared" si="1"/>
        <v>35648</v>
      </c>
      <c r="J14" s="27">
        <f t="shared" si="1"/>
        <v>35648</v>
      </c>
      <c r="K14" s="27">
        <f t="shared" si="1"/>
        <v>25463</v>
      </c>
      <c r="L14" s="27">
        <f t="shared" si="1"/>
        <v>20370</v>
      </c>
      <c r="M14" s="27">
        <f t="shared" si="1"/>
        <v>20370</v>
      </c>
      <c r="N14" s="123">
        <f>SUM(B14:M14)</f>
        <v>264812</v>
      </c>
    </row>
    <row r="15" spans="1:16">
      <c r="A15" s="247" t="s">
        <v>20</v>
      </c>
      <c r="B15" s="29">
        <f>'Transmission Formula Rate (7)'!B8</f>
        <v>1.59</v>
      </c>
      <c r="C15" s="29">
        <f>'Transmission Formula Rate (7)'!C8</f>
        <v>1.59</v>
      </c>
      <c r="D15" s="29">
        <f>'Transmission Formula Rate (7)'!D8</f>
        <v>1.59</v>
      </c>
      <c r="E15" s="29">
        <f>'Transmission Formula Rate (7)'!E8</f>
        <v>1.59</v>
      </c>
      <c r="F15" s="29">
        <f>'Transmission Formula Rate (7)'!F8</f>
        <v>1.59</v>
      </c>
      <c r="G15" s="29">
        <f>'Transmission Formula Rate (7)'!G8</f>
        <v>1.59</v>
      </c>
      <c r="H15" s="29">
        <f>'Transmission Formula Rate (7)'!H8</f>
        <v>1.59</v>
      </c>
      <c r="I15" s="29">
        <f>'Transmission Formula Rate (7)'!I8</f>
        <v>1.59</v>
      </c>
      <c r="J15" s="29">
        <f>'Transmission Formula Rate (7)'!J8</f>
        <v>1.59</v>
      </c>
      <c r="K15" s="29">
        <f>'Transmission Formula Rate (7)'!K8</f>
        <v>1.59</v>
      </c>
      <c r="L15" s="29">
        <f>'Transmission Formula Rate (7)'!L8</f>
        <v>1.59</v>
      </c>
      <c r="M15" s="29">
        <f>'Transmission Formula Rate (7)'!M8</f>
        <v>1.59</v>
      </c>
      <c r="N15" s="19"/>
    </row>
    <row r="16" spans="1:16">
      <c r="A16" s="247" t="s">
        <v>17</v>
      </c>
      <c r="B16" s="20">
        <f t="shared" ref="B16:M16" si="2">B14*B15</f>
        <v>0</v>
      </c>
      <c r="C16" s="20">
        <f t="shared" si="2"/>
        <v>0</v>
      </c>
      <c r="D16" s="20">
        <f>D14*D15</f>
        <v>48582.450000000004</v>
      </c>
      <c r="E16" s="20">
        <f t="shared" si="2"/>
        <v>32388.300000000003</v>
      </c>
      <c r="F16" s="20">
        <f t="shared" si="2"/>
        <v>16194.150000000001</v>
      </c>
      <c r="G16" s="20">
        <f t="shared" si="2"/>
        <v>48582.450000000004</v>
      </c>
      <c r="H16" s="20">
        <f t="shared" si="2"/>
        <v>56680.32</v>
      </c>
      <c r="I16" s="20">
        <f t="shared" si="2"/>
        <v>56680.32</v>
      </c>
      <c r="J16" s="20">
        <f t="shared" si="2"/>
        <v>56680.32</v>
      </c>
      <c r="K16" s="20">
        <f t="shared" si="2"/>
        <v>40486.170000000006</v>
      </c>
      <c r="L16" s="20">
        <f t="shared" si="2"/>
        <v>32388.300000000003</v>
      </c>
      <c r="M16" s="20">
        <f t="shared" si="2"/>
        <v>32388.300000000003</v>
      </c>
      <c r="N16" s="20">
        <f>SUM(B16:M16)</f>
        <v>421051.07999999996</v>
      </c>
    </row>
    <row r="17" spans="1:14">
      <c r="A17" s="24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>
      <c r="A18" s="247" t="s">
        <v>135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249" t="s">
        <v>47</v>
      </c>
      <c r="B19" s="232">
        <f>B12</f>
        <v>0</v>
      </c>
      <c r="C19" s="232">
        <f t="shared" ref="C19:M19" si="3">C12</f>
        <v>0</v>
      </c>
      <c r="D19" s="232">
        <f t="shared" si="3"/>
        <v>30000</v>
      </c>
      <c r="E19" s="232">
        <f t="shared" si="3"/>
        <v>20000</v>
      </c>
      <c r="F19" s="232">
        <f t="shared" si="3"/>
        <v>10000</v>
      </c>
      <c r="G19" s="232">
        <f t="shared" si="3"/>
        <v>30000</v>
      </c>
      <c r="H19" s="232">
        <f t="shared" si="3"/>
        <v>35000</v>
      </c>
      <c r="I19" s="232">
        <f t="shared" si="3"/>
        <v>35000</v>
      </c>
      <c r="J19" s="232">
        <f t="shared" si="3"/>
        <v>35000</v>
      </c>
      <c r="K19" s="232">
        <f t="shared" si="3"/>
        <v>25000</v>
      </c>
      <c r="L19" s="232">
        <f t="shared" si="3"/>
        <v>20000</v>
      </c>
      <c r="M19" s="232">
        <f t="shared" si="3"/>
        <v>20000</v>
      </c>
      <c r="N19" s="20">
        <f>SUM(B19:M19)</f>
        <v>260000</v>
      </c>
    </row>
    <row r="20" spans="1:14">
      <c r="A20" s="249" t="s">
        <v>45</v>
      </c>
      <c r="B20" s="27">
        <f>ROUND(B19*'Transmission Formula Rate (7)'!$B$27,0)</f>
        <v>0</v>
      </c>
      <c r="C20" s="27">
        <f>ROUND(C19*'Transmission Formula Rate (7)'!$B$27,0)</f>
        <v>0</v>
      </c>
      <c r="D20" s="27">
        <f>ROUND(D19*'Transmission Formula Rate (7)'!$B$27,0)</f>
        <v>555</v>
      </c>
      <c r="E20" s="27">
        <f>ROUND(E19*'Transmission Formula Rate (7)'!$B$27,0)</f>
        <v>370</v>
      </c>
      <c r="F20" s="27">
        <f>ROUND(F19*'Transmission Formula Rate (7)'!$B$27,0)</f>
        <v>185</v>
      </c>
      <c r="G20" s="27">
        <f>ROUND(G19*'Transmission Formula Rate (7)'!$B$27,0)</f>
        <v>555</v>
      </c>
      <c r="H20" s="27">
        <f>ROUND(H19*'Transmission Formula Rate (7)'!$B$27,0)</f>
        <v>648</v>
      </c>
      <c r="I20" s="27">
        <f>ROUND(I19*'Transmission Formula Rate (7)'!$B$27,0)</f>
        <v>648</v>
      </c>
      <c r="J20" s="27">
        <f>ROUND(J19*'Transmission Formula Rate (7)'!$B$27,0)</f>
        <v>648</v>
      </c>
      <c r="K20" s="27">
        <f>ROUND(K19*'Transmission Formula Rate (7)'!$B$27,0)</f>
        <v>463</v>
      </c>
      <c r="L20" s="27">
        <f>ROUND(L19*'Transmission Formula Rate (7)'!$B$27,0)</f>
        <v>370</v>
      </c>
      <c r="M20" s="27">
        <f>ROUND(M19*'Transmission Formula Rate (7)'!$B$27,0)</f>
        <v>370</v>
      </c>
      <c r="N20" s="20">
        <f>SUM(B20:M20)</f>
        <v>4812</v>
      </c>
    </row>
    <row r="21" spans="1:14">
      <c r="A21" s="249" t="str">
        <f>$A$14</f>
        <v xml:space="preserve">       New Smyrna Load</v>
      </c>
      <c r="B21" s="27">
        <f>B19+B20</f>
        <v>0</v>
      </c>
      <c r="C21" s="27">
        <f t="shared" ref="C21:M21" si="4">C19+C20</f>
        <v>0</v>
      </c>
      <c r="D21" s="27">
        <f t="shared" si="4"/>
        <v>30555</v>
      </c>
      <c r="E21" s="27">
        <f t="shared" si="4"/>
        <v>20370</v>
      </c>
      <c r="F21" s="27">
        <f t="shared" si="4"/>
        <v>10185</v>
      </c>
      <c r="G21" s="27">
        <f t="shared" si="4"/>
        <v>30555</v>
      </c>
      <c r="H21" s="27">
        <f t="shared" si="4"/>
        <v>35648</v>
      </c>
      <c r="I21" s="27">
        <f t="shared" si="4"/>
        <v>35648</v>
      </c>
      <c r="J21" s="27">
        <f t="shared" si="4"/>
        <v>35648</v>
      </c>
      <c r="K21" s="27">
        <f t="shared" si="4"/>
        <v>25463</v>
      </c>
      <c r="L21" s="27">
        <f t="shared" si="4"/>
        <v>20370</v>
      </c>
      <c r="M21" s="27">
        <f t="shared" si="4"/>
        <v>20370</v>
      </c>
      <c r="N21" s="123">
        <f>SUM(B21:M21)</f>
        <v>264812</v>
      </c>
    </row>
    <row r="22" spans="1:14">
      <c r="A22" s="247" t="s">
        <v>143</v>
      </c>
      <c r="B22" s="31">
        <f>'charges (1 &amp; 2)'!C32</f>
        <v>1.274E-2</v>
      </c>
      <c r="C22" s="31">
        <f>B22</f>
        <v>1.274E-2</v>
      </c>
      <c r="D22" s="31">
        <f t="shared" ref="D22:M22" si="5">C22</f>
        <v>1.274E-2</v>
      </c>
      <c r="E22" s="31">
        <f t="shared" si="5"/>
        <v>1.274E-2</v>
      </c>
      <c r="F22" s="31">
        <f t="shared" si="5"/>
        <v>1.274E-2</v>
      </c>
      <c r="G22" s="31">
        <f t="shared" si="5"/>
        <v>1.274E-2</v>
      </c>
      <c r="H22" s="31">
        <f t="shared" si="5"/>
        <v>1.274E-2</v>
      </c>
      <c r="I22" s="31">
        <f t="shared" si="5"/>
        <v>1.274E-2</v>
      </c>
      <c r="J22" s="31">
        <f t="shared" si="5"/>
        <v>1.274E-2</v>
      </c>
      <c r="K22" s="31">
        <f t="shared" si="5"/>
        <v>1.274E-2</v>
      </c>
      <c r="L22" s="31">
        <f t="shared" si="5"/>
        <v>1.274E-2</v>
      </c>
      <c r="M22" s="31">
        <f t="shared" si="5"/>
        <v>1.274E-2</v>
      </c>
      <c r="N22" s="19"/>
    </row>
    <row r="23" spans="1:14">
      <c r="A23" s="247" t="s">
        <v>17</v>
      </c>
      <c r="B23" s="20">
        <f t="shared" ref="B23:M23" si="6">B21*B22</f>
        <v>0</v>
      </c>
      <c r="C23" s="20">
        <f t="shared" si="6"/>
        <v>0</v>
      </c>
      <c r="D23" s="20">
        <f t="shared" si="6"/>
        <v>389.27069999999998</v>
      </c>
      <c r="E23" s="20">
        <f t="shared" si="6"/>
        <v>259.5138</v>
      </c>
      <c r="F23" s="20">
        <f t="shared" si="6"/>
        <v>129.7569</v>
      </c>
      <c r="G23" s="20">
        <f t="shared" si="6"/>
        <v>389.27069999999998</v>
      </c>
      <c r="H23" s="20">
        <f t="shared" si="6"/>
        <v>454.15551999999997</v>
      </c>
      <c r="I23" s="20">
        <f t="shared" si="6"/>
        <v>454.15551999999997</v>
      </c>
      <c r="J23" s="20">
        <f t="shared" si="6"/>
        <v>454.15551999999997</v>
      </c>
      <c r="K23" s="20">
        <f t="shared" si="6"/>
        <v>324.39861999999999</v>
      </c>
      <c r="L23" s="20">
        <f t="shared" si="6"/>
        <v>259.5138</v>
      </c>
      <c r="M23" s="20">
        <f t="shared" si="6"/>
        <v>259.5138</v>
      </c>
      <c r="N23" s="20">
        <f>SUM(B23:M23)</f>
        <v>3373.7048799999998</v>
      </c>
    </row>
    <row r="24" spans="1:14">
      <c r="A24" s="25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>
      <c r="A25" s="25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B26" s="23" t="s">
        <v>0</v>
      </c>
      <c r="C26" s="23" t="s">
        <v>1</v>
      </c>
      <c r="D26" s="23" t="s">
        <v>2</v>
      </c>
      <c r="E26" s="23" t="s">
        <v>3</v>
      </c>
      <c r="F26" s="23" t="s">
        <v>4</v>
      </c>
      <c r="G26" s="23" t="s">
        <v>5</v>
      </c>
      <c r="H26" s="23" t="s">
        <v>6</v>
      </c>
      <c r="I26" s="23" t="s">
        <v>7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</row>
    <row r="27" spans="1:14">
      <c r="A27" s="248">
        <f>+A10+1</f>
        <v>2015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A28" s="247" t="s">
        <v>37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49" t="s">
        <v>47</v>
      </c>
      <c r="B29" s="232">
        <v>20000</v>
      </c>
      <c r="C29" s="232">
        <v>35000</v>
      </c>
      <c r="D29" s="232">
        <v>40000</v>
      </c>
      <c r="E29" s="232">
        <v>20000</v>
      </c>
      <c r="F29" s="232">
        <v>20000</v>
      </c>
      <c r="G29" s="232">
        <v>25000</v>
      </c>
      <c r="H29" s="232">
        <v>40000</v>
      </c>
      <c r="I29" s="232">
        <v>45000</v>
      </c>
      <c r="J29" s="232">
        <v>45000</v>
      </c>
      <c r="K29" s="232">
        <v>30000</v>
      </c>
      <c r="L29" s="232">
        <v>20000</v>
      </c>
      <c r="M29" s="232">
        <v>15000</v>
      </c>
      <c r="N29" s="20">
        <f>SUM(B29:M29)</f>
        <v>355000</v>
      </c>
    </row>
    <row r="30" spans="1:14">
      <c r="A30" s="249" t="s">
        <v>45</v>
      </c>
      <c r="B30" s="27">
        <f>B29-B31</f>
        <v>363.27933235149612</v>
      </c>
      <c r="C30" s="27">
        <f t="shared" ref="C30:M30" si="7">C29-C31</f>
        <v>635.73883161511912</v>
      </c>
      <c r="D30" s="27">
        <f t="shared" si="7"/>
        <v>726.55866470299225</v>
      </c>
      <c r="E30" s="27">
        <f t="shared" si="7"/>
        <v>363.27933235149612</v>
      </c>
      <c r="F30" s="27">
        <f t="shared" si="7"/>
        <v>363.27933235149612</v>
      </c>
      <c r="G30" s="27">
        <f t="shared" si="7"/>
        <v>454.09916543936924</v>
      </c>
      <c r="H30" s="27">
        <f t="shared" si="7"/>
        <v>726.55866470299225</v>
      </c>
      <c r="I30" s="27">
        <f t="shared" si="7"/>
        <v>817.37849779086537</v>
      </c>
      <c r="J30" s="27">
        <f t="shared" si="7"/>
        <v>817.37849779086537</v>
      </c>
      <c r="K30" s="27">
        <f t="shared" si="7"/>
        <v>544.918998527246</v>
      </c>
      <c r="L30" s="27">
        <f t="shared" si="7"/>
        <v>363.27933235149612</v>
      </c>
      <c r="M30" s="27">
        <f t="shared" si="7"/>
        <v>272.459499263623</v>
      </c>
      <c r="N30" s="20">
        <f>SUM(B30:M30)</f>
        <v>6448.2081492390571</v>
      </c>
    </row>
    <row r="31" spans="1:14">
      <c r="A31" s="249" t="str">
        <f>$A$14</f>
        <v xml:space="preserve">       New Smyrna Load</v>
      </c>
      <c r="B31" s="27">
        <f>B29/(1+'Transmission Formula Rate (7)'!$B$27)</f>
        <v>19636.720667648504</v>
      </c>
      <c r="C31" s="27">
        <f>C29/(1+'Transmission Formula Rate (7)'!$B$27)</f>
        <v>34364.261168384881</v>
      </c>
      <c r="D31" s="27">
        <f>D29/(1+'Transmission Formula Rate (7)'!$B$27)</f>
        <v>39273.441335297008</v>
      </c>
      <c r="E31" s="27">
        <f>E29/(1+'Transmission Formula Rate (7)'!$B$27)</f>
        <v>19636.720667648504</v>
      </c>
      <c r="F31" s="27">
        <f>F29/(1+'Transmission Formula Rate (7)'!$B$27)</f>
        <v>19636.720667648504</v>
      </c>
      <c r="G31" s="27">
        <f>G29/(1+'Transmission Formula Rate (7)'!$B$27)</f>
        <v>24545.900834560631</v>
      </c>
      <c r="H31" s="27">
        <f>H29/(1+'Transmission Formula Rate (7)'!$B$27)</f>
        <v>39273.441335297008</v>
      </c>
      <c r="I31" s="27">
        <f>I29/(1+'Transmission Formula Rate (7)'!$B$27)</f>
        <v>44182.621502209135</v>
      </c>
      <c r="J31" s="27">
        <f>J29/(1+'Transmission Formula Rate (7)'!$B$27)</f>
        <v>44182.621502209135</v>
      </c>
      <c r="K31" s="27">
        <f>K29/(1+'Transmission Formula Rate (7)'!$B$27)</f>
        <v>29455.081001472754</v>
      </c>
      <c r="L31" s="27">
        <f>L29/(1+'Transmission Formula Rate (7)'!$B$27)</f>
        <v>19636.720667648504</v>
      </c>
      <c r="M31" s="27">
        <f>M29/(1+'Transmission Formula Rate (7)'!$B$27)</f>
        <v>14727.540500736377</v>
      </c>
      <c r="N31" s="123">
        <f>SUM(B31:M31)</f>
        <v>348551.79185076099</v>
      </c>
    </row>
    <row r="32" spans="1:14">
      <c r="A32" s="247" t="s">
        <v>20</v>
      </c>
      <c r="B32" s="29">
        <f>'Transmission Formula Rate (7)'!B10</f>
        <v>1.59</v>
      </c>
      <c r="C32" s="29">
        <f>'Transmission Formula Rate (7)'!C10</f>
        <v>1.59</v>
      </c>
      <c r="D32" s="29">
        <f>'Transmission Formula Rate (7)'!D10</f>
        <v>1.59</v>
      </c>
      <c r="E32" s="29">
        <f>'Transmission Formula Rate (7)'!E10</f>
        <v>1.59</v>
      </c>
      <c r="F32" s="29">
        <f>'Transmission Formula Rate (7)'!F10</f>
        <v>1.59</v>
      </c>
      <c r="G32" s="29">
        <f>'Transmission Formula Rate (7)'!G10</f>
        <v>1.59</v>
      </c>
      <c r="H32" s="29">
        <f>'Transmission Formula Rate (7)'!H10</f>
        <v>1.59</v>
      </c>
      <c r="I32" s="29">
        <f>'Transmission Formula Rate (7)'!I10</f>
        <v>1.59</v>
      </c>
      <c r="J32" s="29">
        <f>'Transmission Formula Rate (7)'!J10</f>
        <v>1.59</v>
      </c>
      <c r="K32" s="29">
        <f>'Transmission Formula Rate (7)'!K10</f>
        <v>1.59</v>
      </c>
      <c r="L32" s="29">
        <f>'Transmission Formula Rate (7)'!L10</f>
        <v>1.59</v>
      </c>
      <c r="M32" s="29">
        <f>'Transmission Formula Rate (7)'!M10</f>
        <v>1.59</v>
      </c>
      <c r="N32" s="19"/>
    </row>
    <row r="33" spans="1:14">
      <c r="A33" s="247" t="s">
        <v>17</v>
      </c>
      <c r="B33" s="20">
        <f>B29*B32</f>
        <v>31800</v>
      </c>
      <c r="C33" s="20">
        <f t="shared" ref="C33:M33" si="8">C29*C32</f>
        <v>55650</v>
      </c>
      <c r="D33" s="20">
        <f t="shared" si="8"/>
        <v>63600</v>
      </c>
      <c r="E33" s="20">
        <f t="shared" si="8"/>
        <v>31800</v>
      </c>
      <c r="F33" s="20">
        <f t="shared" si="8"/>
        <v>31800</v>
      </c>
      <c r="G33" s="20">
        <f t="shared" si="8"/>
        <v>39750</v>
      </c>
      <c r="H33" s="20">
        <f t="shared" si="8"/>
        <v>63600</v>
      </c>
      <c r="I33" s="20">
        <f t="shared" si="8"/>
        <v>71550</v>
      </c>
      <c r="J33" s="20">
        <f t="shared" si="8"/>
        <v>71550</v>
      </c>
      <c r="K33" s="20">
        <f t="shared" si="8"/>
        <v>47700</v>
      </c>
      <c r="L33" s="20">
        <f t="shared" si="8"/>
        <v>31800</v>
      </c>
      <c r="M33" s="20">
        <f t="shared" si="8"/>
        <v>23850</v>
      </c>
      <c r="N33" s="20">
        <f>SUM(B33:M33)</f>
        <v>564450</v>
      </c>
    </row>
    <row r="34" spans="1:14">
      <c r="A34" s="25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247" t="s">
        <v>135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249" t="s">
        <v>47</v>
      </c>
      <c r="B36" s="232">
        <f>B29</f>
        <v>20000</v>
      </c>
      <c r="C36" s="232">
        <f t="shared" ref="C36:M36" si="9">C29</f>
        <v>35000</v>
      </c>
      <c r="D36" s="232">
        <f t="shared" si="9"/>
        <v>40000</v>
      </c>
      <c r="E36" s="232">
        <f t="shared" si="9"/>
        <v>20000</v>
      </c>
      <c r="F36" s="232">
        <f t="shared" si="9"/>
        <v>20000</v>
      </c>
      <c r="G36" s="232">
        <f t="shared" si="9"/>
        <v>25000</v>
      </c>
      <c r="H36" s="232">
        <f t="shared" si="9"/>
        <v>40000</v>
      </c>
      <c r="I36" s="232">
        <f t="shared" si="9"/>
        <v>45000</v>
      </c>
      <c r="J36" s="232">
        <f t="shared" si="9"/>
        <v>45000</v>
      </c>
      <c r="K36" s="232">
        <f t="shared" si="9"/>
        <v>30000</v>
      </c>
      <c r="L36" s="232">
        <f t="shared" si="9"/>
        <v>20000</v>
      </c>
      <c r="M36" s="232">
        <f t="shared" si="9"/>
        <v>15000</v>
      </c>
      <c r="N36" s="20">
        <f>SUM(B36:M36)</f>
        <v>355000</v>
      </c>
    </row>
    <row r="37" spans="1:14">
      <c r="A37" s="249" t="s">
        <v>45</v>
      </c>
      <c r="B37" s="27">
        <f>B36-B38</f>
        <v>363.27933235149612</v>
      </c>
      <c r="C37" s="27">
        <f t="shared" ref="C37:M37" si="10">C36-C38</f>
        <v>635.73883161511912</v>
      </c>
      <c r="D37" s="27">
        <f t="shared" si="10"/>
        <v>726.55866470299225</v>
      </c>
      <c r="E37" s="27">
        <f t="shared" si="10"/>
        <v>363.27933235149612</v>
      </c>
      <c r="F37" s="27">
        <f t="shared" si="10"/>
        <v>363.27933235149612</v>
      </c>
      <c r="G37" s="27">
        <f t="shared" si="10"/>
        <v>454.09916543936924</v>
      </c>
      <c r="H37" s="27">
        <f t="shared" si="10"/>
        <v>726.55866470299225</v>
      </c>
      <c r="I37" s="27">
        <f t="shared" si="10"/>
        <v>817.37849779086537</v>
      </c>
      <c r="J37" s="27">
        <f t="shared" si="10"/>
        <v>817.37849779086537</v>
      </c>
      <c r="K37" s="27">
        <f t="shared" si="10"/>
        <v>544.918998527246</v>
      </c>
      <c r="L37" s="27">
        <f t="shared" si="10"/>
        <v>363.27933235149612</v>
      </c>
      <c r="M37" s="27">
        <f t="shared" si="10"/>
        <v>272.459499263623</v>
      </c>
      <c r="N37" s="20">
        <f>SUM(B37:M37)</f>
        <v>6448.2081492390571</v>
      </c>
    </row>
    <row r="38" spans="1:14">
      <c r="A38" s="249" t="str">
        <f>$A$14</f>
        <v xml:space="preserve">       New Smyrna Load</v>
      </c>
      <c r="B38" s="27">
        <f>B36/(1+'Transmission Formula Rate (7)'!$B$27)</f>
        <v>19636.720667648504</v>
      </c>
      <c r="C38" s="27">
        <f>C36/(1+'Transmission Formula Rate (7)'!$B$27)</f>
        <v>34364.261168384881</v>
      </c>
      <c r="D38" s="27">
        <f>D36/(1+'Transmission Formula Rate (7)'!$B$27)</f>
        <v>39273.441335297008</v>
      </c>
      <c r="E38" s="27">
        <f>E36/(1+'Transmission Formula Rate (7)'!$B$27)</f>
        <v>19636.720667648504</v>
      </c>
      <c r="F38" s="27">
        <f>F36/(1+'Transmission Formula Rate (7)'!$B$27)</f>
        <v>19636.720667648504</v>
      </c>
      <c r="G38" s="27">
        <f>G36/(1+'Transmission Formula Rate (7)'!$B$27)</f>
        <v>24545.900834560631</v>
      </c>
      <c r="H38" s="27">
        <f>H36/(1+'Transmission Formula Rate (7)'!$B$27)</f>
        <v>39273.441335297008</v>
      </c>
      <c r="I38" s="27">
        <f>I36/(1+'Transmission Formula Rate (7)'!$B$27)</f>
        <v>44182.621502209135</v>
      </c>
      <c r="J38" s="27">
        <f>J36/(1+'Transmission Formula Rate (7)'!$B$27)</f>
        <v>44182.621502209135</v>
      </c>
      <c r="K38" s="27">
        <f>K36/(1+'Transmission Formula Rate (7)'!$B$27)</f>
        <v>29455.081001472754</v>
      </c>
      <c r="L38" s="27">
        <f>L36/(1+'Transmission Formula Rate (7)'!$B$27)</f>
        <v>19636.720667648504</v>
      </c>
      <c r="M38" s="27">
        <f>M36/(1+'Transmission Formula Rate (7)'!$B$27)</f>
        <v>14727.540500736377</v>
      </c>
      <c r="N38" s="123">
        <f>SUM(B38:M38)</f>
        <v>348551.79185076099</v>
      </c>
    </row>
    <row r="39" spans="1:14">
      <c r="A39" s="247" t="s">
        <v>143</v>
      </c>
      <c r="B39" s="31">
        <f>'charges (1 &amp; 2)'!D11</f>
        <v>1.274E-2</v>
      </c>
      <c r="C39" s="31">
        <f>B39</f>
        <v>1.274E-2</v>
      </c>
      <c r="D39" s="31">
        <f t="shared" ref="D39:M39" si="11">C39</f>
        <v>1.274E-2</v>
      </c>
      <c r="E39" s="31">
        <f t="shared" si="11"/>
        <v>1.274E-2</v>
      </c>
      <c r="F39" s="31">
        <f t="shared" si="11"/>
        <v>1.274E-2</v>
      </c>
      <c r="G39" s="31">
        <f t="shared" si="11"/>
        <v>1.274E-2</v>
      </c>
      <c r="H39" s="31">
        <f t="shared" si="11"/>
        <v>1.274E-2</v>
      </c>
      <c r="I39" s="31">
        <f t="shared" si="11"/>
        <v>1.274E-2</v>
      </c>
      <c r="J39" s="31">
        <f t="shared" si="11"/>
        <v>1.274E-2</v>
      </c>
      <c r="K39" s="31">
        <f t="shared" si="11"/>
        <v>1.274E-2</v>
      </c>
      <c r="L39" s="31">
        <f t="shared" si="11"/>
        <v>1.274E-2</v>
      </c>
      <c r="M39" s="31">
        <f t="shared" si="11"/>
        <v>1.274E-2</v>
      </c>
      <c r="N39" s="19"/>
    </row>
    <row r="40" spans="1:14">
      <c r="A40" s="247" t="s">
        <v>17</v>
      </c>
      <c r="B40" s="20">
        <f>B36*B39</f>
        <v>254.79999999999998</v>
      </c>
      <c r="C40" s="20">
        <f t="shared" ref="C40:M40" si="12">C36*C39</f>
        <v>445.9</v>
      </c>
      <c r="D40" s="20">
        <f t="shared" si="12"/>
        <v>509.59999999999997</v>
      </c>
      <c r="E40" s="20">
        <f t="shared" si="12"/>
        <v>254.79999999999998</v>
      </c>
      <c r="F40" s="20">
        <f t="shared" si="12"/>
        <v>254.79999999999998</v>
      </c>
      <c r="G40" s="20">
        <f t="shared" si="12"/>
        <v>318.5</v>
      </c>
      <c r="H40" s="20">
        <f t="shared" si="12"/>
        <v>509.59999999999997</v>
      </c>
      <c r="I40" s="20">
        <f t="shared" si="12"/>
        <v>573.29999999999995</v>
      </c>
      <c r="J40" s="20">
        <f t="shared" si="12"/>
        <v>573.29999999999995</v>
      </c>
      <c r="K40" s="20">
        <f t="shared" si="12"/>
        <v>382.2</v>
      </c>
      <c r="L40" s="20">
        <f t="shared" si="12"/>
        <v>254.79999999999998</v>
      </c>
      <c r="M40" s="20">
        <f t="shared" si="12"/>
        <v>191.1</v>
      </c>
      <c r="N40" s="20">
        <f>SUM(B40:M40)</f>
        <v>4522.7000000000007</v>
      </c>
    </row>
    <row r="41" spans="1:14">
      <c r="A41" s="24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247" t="s">
        <v>38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249" t="s">
        <v>47</v>
      </c>
      <c r="B43" s="232">
        <f>B29</f>
        <v>20000</v>
      </c>
      <c r="C43" s="232">
        <f t="shared" ref="C43:M43" si="13">C29</f>
        <v>35000</v>
      </c>
      <c r="D43" s="232">
        <f t="shared" si="13"/>
        <v>40000</v>
      </c>
      <c r="E43" s="232">
        <f t="shared" si="13"/>
        <v>20000</v>
      </c>
      <c r="F43" s="232">
        <f t="shared" si="13"/>
        <v>20000</v>
      </c>
      <c r="G43" s="232">
        <f t="shared" si="13"/>
        <v>25000</v>
      </c>
      <c r="H43" s="232">
        <f t="shared" si="13"/>
        <v>40000</v>
      </c>
      <c r="I43" s="232">
        <f t="shared" si="13"/>
        <v>45000</v>
      </c>
      <c r="J43" s="232">
        <f t="shared" si="13"/>
        <v>45000</v>
      </c>
      <c r="K43" s="232">
        <f t="shared" si="13"/>
        <v>30000</v>
      </c>
      <c r="L43" s="232">
        <f t="shared" si="13"/>
        <v>20000</v>
      </c>
      <c r="M43" s="232">
        <f t="shared" si="13"/>
        <v>15000</v>
      </c>
      <c r="N43" s="20">
        <f>SUM(B43:M43)</f>
        <v>355000</v>
      </c>
    </row>
    <row r="44" spans="1:14">
      <c r="A44" s="249" t="s">
        <v>45</v>
      </c>
      <c r="B44" s="27">
        <f>B43-B45</f>
        <v>363.27933235149612</v>
      </c>
      <c r="C44" s="27">
        <f t="shared" ref="C44" si="14">C43-C45</f>
        <v>635.73883161511912</v>
      </c>
      <c r="D44" s="27">
        <f t="shared" ref="D44" si="15">D43-D45</f>
        <v>726.55866470299225</v>
      </c>
      <c r="E44" s="27">
        <f t="shared" ref="E44" si="16">E43-E45</f>
        <v>363.27933235149612</v>
      </c>
      <c r="F44" s="27">
        <f t="shared" ref="F44" si="17">F43-F45</f>
        <v>363.27933235149612</v>
      </c>
      <c r="G44" s="27">
        <f t="shared" ref="G44" si="18">G43-G45</f>
        <v>454.09916543936924</v>
      </c>
      <c r="H44" s="27">
        <f t="shared" ref="H44" si="19">H43-H45</f>
        <v>726.55866470299225</v>
      </c>
      <c r="I44" s="27">
        <f t="shared" ref="I44" si="20">I43-I45</f>
        <v>817.37849779086537</v>
      </c>
      <c r="J44" s="27">
        <f t="shared" ref="J44" si="21">J43-J45</f>
        <v>817.37849779086537</v>
      </c>
      <c r="K44" s="27">
        <f t="shared" ref="K44" si="22">K43-K45</f>
        <v>544.918998527246</v>
      </c>
      <c r="L44" s="27">
        <f t="shared" ref="L44" si="23">L43-L45</f>
        <v>363.27933235149612</v>
      </c>
      <c r="M44" s="27">
        <f t="shared" ref="M44" si="24">M43-M45</f>
        <v>272.459499263623</v>
      </c>
      <c r="N44" s="20">
        <f>SUM(B44:M44)</f>
        <v>6448.2081492390571</v>
      </c>
    </row>
    <row r="45" spans="1:14">
      <c r="A45" s="249" t="str">
        <f>$A$14</f>
        <v xml:space="preserve">       New Smyrna Load</v>
      </c>
      <c r="B45" s="27">
        <f>B43/(1+'Transmission Formula Rate (7)'!$B$27)</f>
        <v>19636.720667648504</v>
      </c>
      <c r="C45" s="27">
        <f>C43/(1+'Transmission Formula Rate (7)'!$B$27)</f>
        <v>34364.261168384881</v>
      </c>
      <c r="D45" s="27">
        <f>D43/(1+'Transmission Formula Rate (7)'!$B$27)</f>
        <v>39273.441335297008</v>
      </c>
      <c r="E45" s="27">
        <f>E43/(1+'Transmission Formula Rate (7)'!$B$27)</f>
        <v>19636.720667648504</v>
      </c>
      <c r="F45" s="27">
        <f>F43/(1+'Transmission Formula Rate (7)'!$B$27)</f>
        <v>19636.720667648504</v>
      </c>
      <c r="G45" s="27">
        <f>G43/(1+'Transmission Formula Rate (7)'!$B$27)</f>
        <v>24545.900834560631</v>
      </c>
      <c r="H45" s="27">
        <f>H43/(1+'Transmission Formula Rate (7)'!$B$27)</f>
        <v>39273.441335297008</v>
      </c>
      <c r="I45" s="27">
        <f>I43/(1+'Transmission Formula Rate (7)'!$B$27)</f>
        <v>44182.621502209135</v>
      </c>
      <c r="J45" s="27">
        <f>J43/(1+'Transmission Formula Rate (7)'!$B$27)</f>
        <v>44182.621502209135</v>
      </c>
      <c r="K45" s="27">
        <f>K43/(1+'Transmission Formula Rate (7)'!$B$27)</f>
        <v>29455.081001472754</v>
      </c>
      <c r="L45" s="27">
        <f>L43/(1+'Transmission Formula Rate (7)'!$B$27)</f>
        <v>19636.720667648504</v>
      </c>
      <c r="M45" s="27">
        <f>M43/(1+'Transmission Formula Rate (7)'!$B$27)</f>
        <v>14727.540500736377</v>
      </c>
      <c r="N45" s="123">
        <f>SUM(B45:M45)</f>
        <v>348551.79185076099</v>
      </c>
    </row>
    <row r="46" spans="1:14">
      <c r="A46" s="247" t="s">
        <v>144</v>
      </c>
      <c r="B46" s="31">
        <f>'charges (1 &amp; 2)'!C10</f>
        <v>0.1008</v>
      </c>
      <c r="C46" s="31">
        <f>B46</f>
        <v>0.1008</v>
      </c>
      <c r="D46" s="31">
        <f t="shared" ref="D46:M46" si="25">C46</f>
        <v>0.1008</v>
      </c>
      <c r="E46" s="31">
        <f t="shared" si="25"/>
        <v>0.1008</v>
      </c>
      <c r="F46" s="31">
        <f t="shared" si="25"/>
        <v>0.1008</v>
      </c>
      <c r="G46" s="31">
        <f t="shared" si="25"/>
        <v>0.1008</v>
      </c>
      <c r="H46" s="31">
        <f t="shared" si="25"/>
        <v>0.1008</v>
      </c>
      <c r="I46" s="31">
        <f t="shared" si="25"/>
        <v>0.1008</v>
      </c>
      <c r="J46" s="31">
        <f t="shared" si="25"/>
        <v>0.1008</v>
      </c>
      <c r="K46" s="31">
        <f t="shared" si="25"/>
        <v>0.1008</v>
      </c>
      <c r="L46" s="31">
        <f t="shared" si="25"/>
        <v>0.1008</v>
      </c>
      <c r="M46" s="31">
        <f t="shared" si="25"/>
        <v>0.1008</v>
      </c>
      <c r="N46" s="19"/>
    </row>
    <row r="47" spans="1:14">
      <c r="A47" s="247" t="s">
        <v>17</v>
      </c>
      <c r="B47" s="20">
        <f>B43*B46</f>
        <v>2016</v>
      </c>
      <c r="C47" s="20">
        <f t="shared" ref="C47" si="26">C43*C46</f>
        <v>3528</v>
      </c>
      <c r="D47" s="20">
        <f t="shared" ref="D47" si="27">D43*D46</f>
        <v>4032</v>
      </c>
      <c r="E47" s="20">
        <f t="shared" ref="E47" si="28">E43*E46</f>
        <v>2016</v>
      </c>
      <c r="F47" s="20">
        <f t="shared" ref="F47" si="29">F43*F46</f>
        <v>2016</v>
      </c>
      <c r="G47" s="20">
        <f t="shared" ref="G47" si="30">G43*G46</f>
        <v>2520</v>
      </c>
      <c r="H47" s="20">
        <f t="shared" ref="H47" si="31">H43*H46</f>
        <v>4032</v>
      </c>
      <c r="I47" s="20">
        <f t="shared" ref="I47" si="32">I43*I46</f>
        <v>4536</v>
      </c>
      <c r="J47" s="20">
        <f t="shared" ref="J47" si="33">J43*J46</f>
        <v>4536</v>
      </c>
      <c r="K47" s="20">
        <f t="shared" ref="K47" si="34">K43*K46</f>
        <v>3024</v>
      </c>
      <c r="L47" s="20">
        <f t="shared" ref="L47" si="35">L43*L46</f>
        <v>2016</v>
      </c>
      <c r="M47" s="20">
        <f t="shared" ref="M47" si="36">M43*M46</f>
        <v>1512</v>
      </c>
      <c r="N47" s="20">
        <f>SUM(B47:M47)</f>
        <v>35784</v>
      </c>
    </row>
    <row r="48" spans="1:14">
      <c r="A48" s="24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>
      <c r="B49" s="23" t="s">
        <v>0</v>
      </c>
      <c r="C49" s="23" t="s">
        <v>1</v>
      </c>
      <c r="D49" s="23" t="s">
        <v>2</v>
      </c>
      <c r="E49" s="23" t="s">
        <v>3</v>
      </c>
      <c r="F49" s="23" t="s">
        <v>4</v>
      </c>
      <c r="G49" s="23" t="s">
        <v>5</v>
      </c>
      <c r="H49" s="23" t="s">
        <v>6</v>
      </c>
      <c r="I49" s="23" t="s">
        <v>7</v>
      </c>
      <c r="J49" s="23" t="s">
        <v>8</v>
      </c>
      <c r="K49" s="23" t="s">
        <v>9</v>
      </c>
      <c r="L49" s="23" t="s">
        <v>10</v>
      </c>
      <c r="M49" s="23" t="s">
        <v>11</v>
      </c>
      <c r="N49" s="23" t="s">
        <v>12</v>
      </c>
    </row>
    <row r="50" spans="1:14">
      <c r="A50" s="248">
        <f>+A27+1</f>
        <v>2016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>
      <c r="A51" s="247" t="s">
        <v>37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>
      <c r="A52" s="249" t="s">
        <v>47</v>
      </c>
      <c r="B52" s="232">
        <v>20000</v>
      </c>
      <c r="C52" s="232">
        <v>40000</v>
      </c>
      <c r="D52" s="232">
        <v>40000</v>
      </c>
      <c r="E52" s="232">
        <v>25000</v>
      </c>
      <c r="F52" s="232">
        <v>20000</v>
      </c>
      <c r="G52" s="232">
        <v>30000</v>
      </c>
      <c r="H52" s="232">
        <v>40000</v>
      </c>
      <c r="I52" s="232">
        <v>45000</v>
      </c>
      <c r="J52" s="232">
        <v>45000</v>
      </c>
      <c r="K52" s="232">
        <v>35000</v>
      </c>
      <c r="L52" s="232">
        <v>25000</v>
      </c>
      <c r="M52" s="232">
        <v>20000</v>
      </c>
      <c r="N52" s="20">
        <f>SUM(B52:M52)</f>
        <v>385000</v>
      </c>
    </row>
    <row r="53" spans="1:14">
      <c r="A53" s="249" t="s">
        <v>45</v>
      </c>
      <c r="B53" s="27">
        <f>B52-B54</f>
        <v>363.27933235149612</v>
      </c>
      <c r="C53" s="27">
        <f t="shared" ref="C53" si="37">C52-C54</f>
        <v>726.55866470299225</v>
      </c>
      <c r="D53" s="27">
        <f t="shared" ref="D53" si="38">D52-D54</f>
        <v>726.55866470299225</v>
      </c>
      <c r="E53" s="27">
        <f t="shared" ref="E53" si="39">E52-E54</f>
        <v>454.09916543936924</v>
      </c>
      <c r="F53" s="27">
        <f t="shared" ref="F53" si="40">F52-F54</f>
        <v>363.27933235149612</v>
      </c>
      <c r="G53" s="27">
        <f t="shared" ref="G53" si="41">G52-G54</f>
        <v>544.918998527246</v>
      </c>
      <c r="H53" s="27">
        <f t="shared" ref="H53" si="42">H52-H54</f>
        <v>726.55866470299225</v>
      </c>
      <c r="I53" s="27">
        <f t="shared" ref="I53" si="43">I52-I54</f>
        <v>817.37849779086537</v>
      </c>
      <c r="J53" s="27">
        <f t="shared" ref="J53" si="44">J52-J54</f>
        <v>817.37849779086537</v>
      </c>
      <c r="K53" s="27">
        <f t="shared" ref="K53" si="45">K52-K54</f>
        <v>635.73883161511912</v>
      </c>
      <c r="L53" s="27">
        <f t="shared" ref="L53" si="46">L52-L54</f>
        <v>454.09916543936924</v>
      </c>
      <c r="M53" s="27">
        <f t="shared" ref="M53" si="47">M52-M54</f>
        <v>363.27933235149612</v>
      </c>
      <c r="N53" s="20">
        <f>SUM(B53:M53)</f>
        <v>6993.1271477662995</v>
      </c>
    </row>
    <row r="54" spans="1:14">
      <c r="A54" s="249" t="str">
        <f>$A$14</f>
        <v xml:space="preserve">       New Smyrna Load</v>
      </c>
      <c r="B54" s="27">
        <f>B52/(1+'Transmission Formula Rate (7)'!$B$27)</f>
        <v>19636.720667648504</v>
      </c>
      <c r="C54" s="27">
        <f>C52/(1+'Transmission Formula Rate (7)'!$B$27)</f>
        <v>39273.441335297008</v>
      </c>
      <c r="D54" s="27">
        <f>D52/(1+'Transmission Formula Rate (7)'!$B$27)</f>
        <v>39273.441335297008</v>
      </c>
      <c r="E54" s="27">
        <f>E52/(1+'Transmission Formula Rate (7)'!$B$27)</f>
        <v>24545.900834560631</v>
      </c>
      <c r="F54" s="27">
        <f>F52/(1+'Transmission Formula Rate (7)'!$B$27)</f>
        <v>19636.720667648504</v>
      </c>
      <c r="G54" s="27">
        <f>G52/(1+'Transmission Formula Rate (7)'!$B$27)</f>
        <v>29455.081001472754</v>
      </c>
      <c r="H54" s="27">
        <f>H52/(1+'Transmission Formula Rate (7)'!$B$27)</f>
        <v>39273.441335297008</v>
      </c>
      <c r="I54" s="27">
        <f>I52/(1+'Transmission Formula Rate (7)'!$B$27)</f>
        <v>44182.621502209135</v>
      </c>
      <c r="J54" s="27">
        <f>J52/(1+'Transmission Formula Rate (7)'!$B$27)</f>
        <v>44182.621502209135</v>
      </c>
      <c r="K54" s="27">
        <f>K52/(1+'Transmission Formula Rate (7)'!$B$27)</f>
        <v>34364.261168384881</v>
      </c>
      <c r="L54" s="27">
        <f>L52/(1+'Transmission Formula Rate (7)'!$B$27)</f>
        <v>24545.900834560631</v>
      </c>
      <c r="M54" s="27">
        <f>M52/(1+'Transmission Formula Rate (7)'!$B$27)</f>
        <v>19636.720667648504</v>
      </c>
      <c r="N54" s="123">
        <f>SUM(B54:M54)</f>
        <v>378006.87285223365</v>
      </c>
    </row>
    <row r="55" spans="1:14">
      <c r="A55" s="247" t="s">
        <v>20</v>
      </c>
      <c r="B55" s="29">
        <f>'Transmission Formula Rate (7)'!B12</f>
        <v>1.59</v>
      </c>
      <c r="C55" s="29">
        <f>'Transmission Formula Rate (7)'!C12</f>
        <v>1.59</v>
      </c>
      <c r="D55" s="29">
        <f>'Transmission Formula Rate (7)'!D12</f>
        <v>1.59</v>
      </c>
      <c r="E55" s="29">
        <f>'Transmission Formula Rate (7)'!E12</f>
        <v>1.59</v>
      </c>
      <c r="F55" s="29">
        <f>'Transmission Formula Rate (7)'!F12</f>
        <v>1.59</v>
      </c>
      <c r="G55" s="29">
        <f>'Transmission Formula Rate (7)'!G12</f>
        <v>1.59</v>
      </c>
      <c r="H55" s="29">
        <f>'Transmission Formula Rate (7)'!H12</f>
        <v>1.59</v>
      </c>
      <c r="I55" s="29">
        <f>'Transmission Formula Rate (7)'!I12</f>
        <v>1.59</v>
      </c>
      <c r="J55" s="29">
        <f>'Transmission Formula Rate (7)'!J12</f>
        <v>1.59</v>
      </c>
      <c r="K55" s="29">
        <f>'Transmission Formula Rate (7)'!K12</f>
        <v>1.59</v>
      </c>
      <c r="L55" s="29">
        <f>'Transmission Formula Rate (7)'!L12</f>
        <v>1.59</v>
      </c>
      <c r="M55" s="29">
        <f>'Transmission Formula Rate (7)'!M12</f>
        <v>1.59</v>
      </c>
      <c r="N55" s="19"/>
    </row>
    <row r="56" spans="1:14">
      <c r="A56" s="247" t="s">
        <v>17</v>
      </c>
      <c r="B56" s="20">
        <f>B52*B55</f>
        <v>31800</v>
      </c>
      <c r="C56" s="20">
        <f t="shared" ref="C56" si="48">C52*C55</f>
        <v>63600</v>
      </c>
      <c r="D56" s="20">
        <f t="shared" ref="D56" si="49">D52*D55</f>
        <v>63600</v>
      </c>
      <c r="E56" s="20">
        <f t="shared" ref="E56" si="50">E52*E55</f>
        <v>39750</v>
      </c>
      <c r="F56" s="20">
        <f t="shared" ref="F56" si="51">F52*F55</f>
        <v>31800</v>
      </c>
      <c r="G56" s="20">
        <f t="shared" ref="G56" si="52">G52*G55</f>
        <v>47700</v>
      </c>
      <c r="H56" s="20">
        <f t="shared" ref="H56" si="53">H52*H55</f>
        <v>63600</v>
      </c>
      <c r="I56" s="20">
        <f t="shared" ref="I56" si="54">I52*I55</f>
        <v>71550</v>
      </c>
      <c r="J56" s="20">
        <f t="shared" ref="J56" si="55">J52*J55</f>
        <v>71550</v>
      </c>
      <c r="K56" s="20">
        <f t="shared" ref="K56" si="56">K52*K55</f>
        <v>55650</v>
      </c>
      <c r="L56" s="20">
        <f t="shared" ref="L56" si="57">L52*L55</f>
        <v>39750</v>
      </c>
      <c r="M56" s="20">
        <f t="shared" ref="M56" si="58">M52*M55</f>
        <v>31800</v>
      </c>
      <c r="N56" s="20">
        <f>SUM(B56:M56)</f>
        <v>612150</v>
      </c>
    </row>
    <row r="58" spans="1:14">
      <c r="A58" s="247" t="s">
        <v>135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>
      <c r="A59" s="249" t="s">
        <v>47</v>
      </c>
      <c r="B59" s="232">
        <f>B52</f>
        <v>20000</v>
      </c>
      <c r="C59" s="232">
        <f t="shared" ref="C59:M59" si="59">C52</f>
        <v>40000</v>
      </c>
      <c r="D59" s="232">
        <f t="shared" si="59"/>
        <v>40000</v>
      </c>
      <c r="E59" s="232">
        <f t="shared" si="59"/>
        <v>25000</v>
      </c>
      <c r="F59" s="232">
        <f t="shared" si="59"/>
        <v>20000</v>
      </c>
      <c r="G59" s="232">
        <f t="shared" si="59"/>
        <v>30000</v>
      </c>
      <c r="H59" s="232">
        <f t="shared" si="59"/>
        <v>40000</v>
      </c>
      <c r="I59" s="232">
        <f t="shared" si="59"/>
        <v>45000</v>
      </c>
      <c r="J59" s="232">
        <f t="shared" si="59"/>
        <v>45000</v>
      </c>
      <c r="K59" s="232">
        <f t="shared" si="59"/>
        <v>35000</v>
      </c>
      <c r="L59" s="232">
        <f t="shared" si="59"/>
        <v>25000</v>
      </c>
      <c r="M59" s="232">
        <f t="shared" si="59"/>
        <v>20000</v>
      </c>
      <c r="N59" s="20">
        <f>SUM(B59:M59)</f>
        <v>385000</v>
      </c>
    </row>
    <row r="60" spans="1:14">
      <c r="A60" s="249" t="s">
        <v>45</v>
      </c>
      <c r="B60" s="27">
        <f>B59-B61</f>
        <v>363.27933235149612</v>
      </c>
      <c r="C60" s="27">
        <f t="shared" ref="C60" si="60">C59-C61</f>
        <v>726.55866470299225</v>
      </c>
      <c r="D60" s="27">
        <f t="shared" ref="D60" si="61">D59-D61</f>
        <v>726.55866470299225</v>
      </c>
      <c r="E60" s="27">
        <f t="shared" ref="E60" si="62">E59-E61</f>
        <v>454.09916543936924</v>
      </c>
      <c r="F60" s="27">
        <f t="shared" ref="F60" si="63">F59-F61</f>
        <v>363.27933235149612</v>
      </c>
      <c r="G60" s="27">
        <f t="shared" ref="G60" si="64">G59-G61</f>
        <v>544.918998527246</v>
      </c>
      <c r="H60" s="27">
        <f t="shared" ref="H60" si="65">H59-H61</f>
        <v>726.55866470299225</v>
      </c>
      <c r="I60" s="27">
        <f t="shared" ref="I60" si="66">I59-I61</f>
        <v>817.37849779086537</v>
      </c>
      <c r="J60" s="27">
        <f t="shared" ref="J60" si="67">J59-J61</f>
        <v>817.37849779086537</v>
      </c>
      <c r="K60" s="27">
        <f t="shared" ref="K60" si="68">K59-K61</f>
        <v>635.73883161511912</v>
      </c>
      <c r="L60" s="27">
        <f t="shared" ref="L60" si="69">L59-L61</f>
        <v>454.09916543936924</v>
      </c>
      <c r="M60" s="27">
        <f t="shared" ref="M60" si="70">M59-M61</f>
        <v>363.27933235149612</v>
      </c>
      <c r="N60" s="20">
        <f>SUM(B60:M60)</f>
        <v>6993.1271477662995</v>
      </c>
    </row>
    <row r="61" spans="1:14">
      <c r="A61" s="249" t="str">
        <f>$A$14</f>
        <v xml:space="preserve">       New Smyrna Load</v>
      </c>
      <c r="B61" s="27">
        <f>B59/(1+'Transmission Formula Rate (7)'!$B$27)</f>
        <v>19636.720667648504</v>
      </c>
      <c r="C61" s="27">
        <f>C59/(1+'Transmission Formula Rate (7)'!$B$27)</f>
        <v>39273.441335297008</v>
      </c>
      <c r="D61" s="27">
        <f>D59/(1+'Transmission Formula Rate (7)'!$B$27)</f>
        <v>39273.441335297008</v>
      </c>
      <c r="E61" s="27">
        <f>E59/(1+'Transmission Formula Rate (7)'!$B$27)</f>
        <v>24545.900834560631</v>
      </c>
      <c r="F61" s="27">
        <f>F59/(1+'Transmission Formula Rate (7)'!$B$27)</f>
        <v>19636.720667648504</v>
      </c>
      <c r="G61" s="27">
        <f>G59/(1+'Transmission Formula Rate (7)'!$B$27)</f>
        <v>29455.081001472754</v>
      </c>
      <c r="H61" s="27">
        <f>H59/(1+'Transmission Formula Rate (7)'!$B$27)</f>
        <v>39273.441335297008</v>
      </c>
      <c r="I61" s="27">
        <f>I59/(1+'Transmission Formula Rate (7)'!$B$27)</f>
        <v>44182.621502209135</v>
      </c>
      <c r="J61" s="27">
        <f>J59/(1+'Transmission Formula Rate (7)'!$B$27)</f>
        <v>44182.621502209135</v>
      </c>
      <c r="K61" s="27">
        <f>K59/(1+'Transmission Formula Rate (7)'!$B$27)</f>
        <v>34364.261168384881</v>
      </c>
      <c r="L61" s="27">
        <f>L59/(1+'Transmission Formula Rate (7)'!$B$27)</f>
        <v>24545.900834560631</v>
      </c>
      <c r="M61" s="27">
        <f>M59/(1+'Transmission Formula Rate (7)'!$B$27)</f>
        <v>19636.720667648504</v>
      </c>
      <c r="N61" s="123">
        <f>SUM(B61:M61)</f>
        <v>378006.87285223365</v>
      </c>
    </row>
    <row r="62" spans="1:14">
      <c r="A62" s="247" t="s">
        <v>143</v>
      </c>
      <c r="B62" s="31">
        <f>'charges (1 &amp; 2)'!E11</f>
        <v>1.274E-2</v>
      </c>
      <c r="C62" s="31">
        <f>B62</f>
        <v>1.274E-2</v>
      </c>
      <c r="D62" s="31">
        <f t="shared" ref="D62:M62" si="71">C62</f>
        <v>1.274E-2</v>
      </c>
      <c r="E62" s="31">
        <f t="shared" si="71"/>
        <v>1.274E-2</v>
      </c>
      <c r="F62" s="31">
        <f t="shared" si="71"/>
        <v>1.274E-2</v>
      </c>
      <c r="G62" s="31">
        <f t="shared" si="71"/>
        <v>1.274E-2</v>
      </c>
      <c r="H62" s="31">
        <f t="shared" si="71"/>
        <v>1.274E-2</v>
      </c>
      <c r="I62" s="31">
        <f t="shared" si="71"/>
        <v>1.274E-2</v>
      </c>
      <c r="J62" s="31">
        <f t="shared" si="71"/>
        <v>1.274E-2</v>
      </c>
      <c r="K62" s="31">
        <f t="shared" si="71"/>
        <v>1.274E-2</v>
      </c>
      <c r="L62" s="31">
        <f t="shared" si="71"/>
        <v>1.274E-2</v>
      </c>
      <c r="M62" s="31">
        <f t="shared" si="71"/>
        <v>1.274E-2</v>
      </c>
      <c r="N62" s="19"/>
    </row>
    <row r="63" spans="1:14">
      <c r="A63" s="247" t="s">
        <v>17</v>
      </c>
      <c r="B63" s="20">
        <f>B59*B62</f>
        <v>254.79999999999998</v>
      </c>
      <c r="C63" s="20">
        <f t="shared" ref="C63" si="72">C59*C62</f>
        <v>509.59999999999997</v>
      </c>
      <c r="D63" s="20">
        <f t="shared" ref="D63" si="73">D59*D62</f>
        <v>509.59999999999997</v>
      </c>
      <c r="E63" s="20">
        <f t="shared" ref="E63" si="74">E59*E62</f>
        <v>318.5</v>
      </c>
      <c r="F63" s="20">
        <f t="shared" ref="F63" si="75">F59*F62</f>
        <v>254.79999999999998</v>
      </c>
      <c r="G63" s="20">
        <f t="shared" ref="G63" si="76">G59*G62</f>
        <v>382.2</v>
      </c>
      <c r="H63" s="20">
        <f t="shared" ref="H63" si="77">H59*H62</f>
        <v>509.59999999999997</v>
      </c>
      <c r="I63" s="20">
        <f t="shared" ref="I63" si="78">I59*I62</f>
        <v>573.29999999999995</v>
      </c>
      <c r="J63" s="20">
        <f t="shared" ref="J63" si="79">J59*J62</f>
        <v>573.29999999999995</v>
      </c>
      <c r="K63" s="20">
        <f t="shared" ref="K63" si="80">K59*K62</f>
        <v>445.9</v>
      </c>
      <c r="L63" s="20">
        <f t="shared" ref="L63" si="81">L59*L62</f>
        <v>318.5</v>
      </c>
      <c r="M63" s="20">
        <f t="shared" ref="M63" si="82">M59*M62</f>
        <v>254.79999999999998</v>
      </c>
      <c r="N63" s="20">
        <f>SUM(B63:M63)</f>
        <v>4904.8999999999996</v>
      </c>
    </row>
    <row r="65" spans="1:16">
      <c r="A65" s="247" t="s">
        <v>38</v>
      </c>
    </row>
    <row r="66" spans="1:16">
      <c r="A66" s="249" t="s">
        <v>47</v>
      </c>
      <c r="B66" s="232">
        <f>B52</f>
        <v>20000</v>
      </c>
      <c r="C66" s="232">
        <f t="shared" ref="C66:M66" si="83">C52</f>
        <v>40000</v>
      </c>
      <c r="D66" s="232">
        <f t="shared" si="83"/>
        <v>40000</v>
      </c>
      <c r="E66" s="232">
        <f t="shared" si="83"/>
        <v>25000</v>
      </c>
      <c r="F66" s="232">
        <f t="shared" si="83"/>
        <v>20000</v>
      </c>
      <c r="G66" s="232">
        <f t="shared" si="83"/>
        <v>30000</v>
      </c>
      <c r="H66" s="232">
        <f t="shared" si="83"/>
        <v>40000</v>
      </c>
      <c r="I66" s="232">
        <f t="shared" si="83"/>
        <v>45000</v>
      </c>
      <c r="J66" s="232">
        <f t="shared" si="83"/>
        <v>45000</v>
      </c>
      <c r="K66" s="232">
        <f t="shared" si="83"/>
        <v>35000</v>
      </c>
      <c r="L66" s="232">
        <f t="shared" si="83"/>
        <v>25000</v>
      </c>
      <c r="M66" s="232">
        <f t="shared" si="83"/>
        <v>20000</v>
      </c>
      <c r="N66" s="20">
        <f>SUM(B66:M66)</f>
        <v>385000</v>
      </c>
    </row>
    <row r="67" spans="1:16">
      <c r="A67" s="249" t="s">
        <v>45</v>
      </c>
      <c r="B67" s="27">
        <f>B66-B68</f>
        <v>363.27933235149612</v>
      </c>
      <c r="C67" s="27">
        <f t="shared" ref="C67" si="84">C66-C68</f>
        <v>726.55866470299225</v>
      </c>
      <c r="D67" s="27">
        <f t="shared" ref="D67" si="85">D66-D68</f>
        <v>726.55866470299225</v>
      </c>
      <c r="E67" s="27">
        <f t="shared" ref="E67" si="86">E66-E68</f>
        <v>454.09916543936924</v>
      </c>
      <c r="F67" s="27">
        <f t="shared" ref="F67" si="87">F66-F68</f>
        <v>363.27933235149612</v>
      </c>
      <c r="G67" s="27">
        <f t="shared" ref="G67" si="88">G66-G68</f>
        <v>544.918998527246</v>
      </c>
      <c r="H67" s="27">
        <f t="shared" ref="H67" si="89">H66-H68</f>
        <v>726.55866470299225</v>
      </c>
      <c r="I67" s="27">
        <f t="shared" ref="I67" si="90">I66-I68</f>
        <v>817.37849779086537</v>
      </c>
      <c r="J67" s="27">
        <f t="shared" ref="J67" si="91">J66-J68</f>
        <v>817.37849779086537</v>
      </c>
      <c r="K67" s="27">
        <f t="shared" ref="K67" si="92">K66-K68</f>
        <v>635.73883161511912</v>
      </c>
      <c r="L67" s="27">
        <f t="shared" ref="L67" si="93">L66-L68</f>
        <v>454.09916543936924</v>
      </c>
      <c r="M67" s="27">
        <f t="shared" ref="M67" si="94">M66-M68</f>
        <v>363.27933235149612</v>
      </c>
    </row>
    <row r="68" spans="1:16">
      <c r="A68" s="249" t="str">
        <f>$A$14</f>
        <v xml:space="preserve">       New Smyrna Load</v>
      </c>
      <c r="B68" s="27">
        <f>B66/(1+'Transmission Formula Rate (7)'!$B$27)</f>
        <v>19636.720667648504</v>
      </c>
      <c r="C68" s="27">
        <f>C66/(1+'Transmission Formula Rate (7)'!$B$27)</f>
        <v>39273.441335297008</v>
      </c>
      <c r="D68" s="27">
        <f>D66/(1+'Transmission Formula Rate (7)'!$B$27)</f>
        <v>39273.441335297008</v>
      </c>
      <c r="E68" s="27">
        <f>E66/(1+'Transmission Formula Rate (7)'!$B$27)</f>
        <v>24545.900834560631</v>
      </c>
      <c r="F68" s="27">
        <f>F66/(1+'Transmission Formula Rate (7)'!$B$27)</f>
        <v>19636.720667648504</v>
      </c>
      <c r="G68" s="27">
        <f>G66/(1+'Transmission Formula Rate (7)'!$B$27)</f>
        <v>29455.081001472754</v>
      </c>
      <c r="H68" s="27">
        <f>H66/(1+'Transmission Formula Rate (7)'!$B$27)</f>
        <v>39273.441335297008</v>
      </c>
      <c r="I68" s="27">
        <f>I66/(1+'Transmission Formula Rate (7)'!$B$27)</f>
        <v>44182.621502209135</v>
      </c>
      <c r="J68" s="27">
        <f>J66/(1+'Transmission Formula Rate (7)'!$B$27)</f>
        <v>44182.621502209135</v>
      </c>
      <c r="K68" s="27">
        <f>K66/(1+'Transmission Formula Rate (7)'!$B$27)</f>
        <v>34364.261168384881</v>
      </c>
      <c r="L68" s="27">
        <f>L66/(1+'Transmission Formula Rate (7)'!$B$27)</f>
        <v>24545.900834560631</v>
      </c>
      <c r="M68" s="27">
        <f>M66/(1+'Transmission Formula Rate (7)'!$B$27)</f>
        <v>19636.720667648504</v>
      </c>
    </row>
    <row r="69" spans="1:16">
      <c r="A69" s="247" t="s">
        <v>144</v>
      </c>
      <c r="B69" s="31">
        <f>'charges (1 &amp; 2)'!D10</f>
        <v>0.1008</v>
      </c>
      <c r="C69" s="31">
        <f>B69</f>
        <v>0.1008</v>
      </c>
      <c r="D69" s="31">
        <f t="shared" ref="D69:M69" si="95">C69</f>
        <v>0.1008</v>
      </c>
      <c r="E69" s="31">
        <f t="shared" si="95"/>
        <v>0.1008</v>
      </c>
      <c r="F69" s="31">
        <f t="shared" si="95"/>
        <v>0.1008</v>
      </c>
      <c r="G69" s="31">
        <f t="shared" si="95"/>
        <v>0.1008</v>
      </c>
      <c r="H69" s="31">
        <f t="shared" si="95"/>
        <v>0.1008</v>
      </c>
      <c r="I69" s="31">
        <f t="shared" si="95"/>
        <v>0.1008</v>
      </c>
      <c r="J69" s="31">
        <f t="shared" si="95"/>
        <v>0.1008</v>
      </c>
      <c r="K69" s="31">
        <f t="shared" si="95"/>
        <v>0.1008</v>
      </c>
      <c r="L69" s="31">
        <f t="shared" si="95"/>
        <v>0.1008</v>
      </c>
      <c r="M69" s="31">
        <f t="shared" si="95"/>
        <v>0.1008</v>
      </c>
    </row>
    <row r="70" spans="1:16">
      <c r="A70" s="247" t="s">
        <v>17</v>
      </c>
      <c r="B70" s="20">
        <f>B66*B69</f>
        <v>2016</v>
      </c>
      <c r="C70" s="20">
        <f t="shared" ref="C70" si="96">C66*C69</f>
        <v>4032</v>
      </c>
      <c r="D70" s="20">
        <f t="shared" ref="D70" si="97">D66*D69</f>
        <v>4032</v>
      </c>
      <c r="E70" s="20">
        <f t="shared" ref="E70" si="98">E66*E69</f>
        <v>2520</v>
      </c>
      <c r="F70" s="20">
        <f t="shared" ref="F70" si="99">F66*F69</f>
        <v>2016</v>
      </c>
      <c r="G70" s="20">
        <f t="shared" ref="G70" si="100">G66*G69</f>
        <v>3024</v>
      </c>
      <c r="H70" s="20">
        <f t="shared" ref="H70" si="101">H66*H69</f>
        <v>4032</v>
      </c>
      <c r="I70" s="20">
        <f t="shared" ref="I70" si="102">I66*I69</f>
        <v>4536</v>
      </c>
      <c r="J70" s="20">
        <f t="shared" ref="J70" si="103">J66*J69</f>
        <v>4536</v>
      </c>
      <c r="K70" s="20">
        <f t="shared" ref="K70" si="104">K66*K69</f>
        <v>3528</v>
      </c>
      <c r="L70" s="20">
        <f t="shared" ref="L70" si="105">L66*L69</f>
        <v>2520</v>
      </c>
      <c r="M70" s="20">
        <f t="shared" ref="M70" si="106">M66*M69</f>
        <v>2016</v>
      </c>
    </row>
    <row r="72" spans="1:16">
      <c r="B72" s="23" t="s">
        <v>0</v>
      </c>
      <c r="C72" s="23" t="s">
        <v>1</v>
      </c>
      <c r="D72" s="23" t="s">
        <v>2</v>
      </c>
      <c r="E72" s="23" t="s">
        <v>3</v>
      </c>
      <c r="F72" s="23" t="s">
        <v>4</v>
      </c>
      <c r="G72" s="23" t="s">
        <v>5</v>
      </c>
      <c r="H72" s="23" t="s">
        <v>6</v>
      </c>
      <c r="I72" s="23" t="s">
        <v>7</v>
      </c>
      <c r="J72" s="23" t="s">
        <v>8</v>
      </c>
      <c r="K72" s="23" t="s">
        <v>9</v>
      </c>
      <c r="L72" s="23" t="s">
        <v>10</v>
      </c>
      <c r="M72" s="23" t="s">
        <v>11</v>
      </c>
      <c r="N72" s="23" t="s">
        <v>12</v>
      </c>
    </row>
    <row r="73" spans="1:16">
      <c r="A73" s="248">
        <f>+A50+1</f>
        <v>2017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6">
      <c r="A74" s="247" t="s">
        <v>37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6" ht="13.2">
      <c r="A75" s="249" t="s">
        <v>47</v>
      </c>
      <c r="B75" s="232">
        <v>25000</v>
      </c>
      <c r="C75" s="232">
        <v>45000</v>
      </c>
      <c r="D75" s="232">
        <v>45000</v>
      </c>
      <c r="E75" s="232">
        <v>30000</v>
      </c>
      <c r="F75" s="232">
        <v>20000</v>
      </c>
      <c r="G75" s="232">
        <v>30000</v>
      </c>
      <c r="H75" s="232">
        <v>45000</v>
      </c>
      <c r="I75" s="232">
        <v>45000</v>
      </c>
      <c r="J75" s="232">
        <v>45000</v>
      </c>
      <c r="K75" s="232">
        <v>30000</v>
      </c>
      <c r="L75" s="232">
        <v>35000</v>
      </c>
      <c r="M75" s="232">
        <v>0</v>
      </c>
      <c r="N75" s="20">
        <f>SUM(B75:M75)</f>
        <v>395000</v>
      </c>
      <c r="P75" s="279" t="s">
        <v>436</v>
      </c>
    </row>
    <row r="76" spans="1:16" ht="13.2">
      <c r="A76" s="249" t="s">
        <v>45</v>
      </c>
      <c r="B76" s="27">
        <f>B75-B77</f>
        <v>454.09916543936924</v>
      </c>
      <c r="C76" s="27">
        <f t="shared" ref="C76" si="107">C75-C77</f>
        <v>817.37849779086537</v>
      </c>
      <c r="D76" s="27">
        <f t="shared" ref="D76" si="108">D75-D77</f>
        <v>817.37849779086537</v>
      </c>
      <c r="E76" s="27">
        <f t="shared" ref="E76" si="109">E75-E77</f>
        <v>544.918998527246</v>
      </c>
      <c r="F76" s="27">
        <f t="shared" ref="F76" si="110">F75-F77</f>
        <v>363.27933235149612</v>
      </c>
      <c r="G76" s="27">
        <f t="shared" ref="G76" si="111">G75-G77</f>
        <v>544.918998527246</v>
      </c>
      <c r="H76" s="27">
        <f t="shared" ref="H76" si="112">H75-H77</f>
        <v>817.37849779086537</v>
      </c>
      <c r="I76" s="27">
        <f t="shared" ref="I76" si="113">I75-I77</f>
        <v>817.37849779086537</v>
      </c>
      <c r="J76" s="27">
        <f t="shared" ref="J76" si="114">J75-J77</f>
        <v>817.37849779086537</v>
      </c>
      <c r="K76" s="27">
        <f t="shared" ref="K76" si="115">K75-K77</f>
        <v>544.918998527246</v>
      </c>
      <c r="L76" s="27">
        <f t="shared" ref="L76" si="116">L75-L77</f>
        <v>635.73883161511912</v>
      </c>
      <c r="M76" s="27">
        <f t="shared" ref="M76" si="117">M75-M77</f>
        <v>0</v>
      </c>
      <c r="N76" s="20">
        <f>SUM(B76:M76)</f>
        <v>7174.7668139420493</v>
      </c>
      <c r="P76" s="279" t="s">
        <v>425</v>
      </c>
    </row>
    <row r="77" spans="1:16">
      <c r="A77" s="249" t="str">
        <f>$A$14</f>
        <v xml:space="preserve">       New Smyrna Load</v>
      </c>
      <c r="B77" s="27">
        <f>B75/(1+'Transmission Formula Rate (7)'!$B$27)</f>
        <v>24545.900834560631</v>
      </c>
      <c r="C77" s="27">
        <f>C75/(1+'Transmission Formula Rate (7)'!$B$27)</f>
        <v>44182.621502209135</v>
      </c>
      <c r="D77" s="27">
        <f>D75/(1+'Transmission Formula Rate (7)'!$B$27)</f>
        <v>44182.621502209135</v>
      </c>
      <c r="E77" s="27">
        <f>E75/(1+'Transmission Formula Rate (7)'!$B$27)</f>
        <v>29455.081001472754</v>
      </c>
      <c r="F77" s="27">
        <f>F75/(1+'Transmission Formula Rate (7)'!$B$27)</f>
        <v>19636.720667648504</v>
      </c>
      <c r="G77" s="27">
        <f>G75/(1+'Transmission Formula Rate (7)'!$B$27)</f>
        <v>29455.081001472754</v>
      </c>
      <c r="H77" s="27">
        <f>H75/(1+'Transmission Formula Rate (7)'!$B$27)</f>
        <v>44182.621502209135</v>
      </c>
      <c r="I77" s="27">
        <f>I75/(1+'Transmission Formula Rate (7)'!$B$27)</f>
        <v>44182.621502209135</v>
      </c>
      <c r="J77" s="27">
        <f>J75/(1+'Transmission Formula Rate (7)'!$B$27)</f>
        <v>44182.621502209135</v>
      </c>
      <c r="K77" s="27">
        <f>K75/(1+'Transmission Formula Rate (7)'!$B$27)</f>
        <v>29455.081001472754</v>
      </c>
      <c r="L77" s="27">
        <f>L75/(1+'Transmission Formula Rate (7)'!$B$27)</f>
        <v>34364.261168384881</v>
      </c>
      <c r="M77" s="27">
        <f>M75/(1+'Transmission Formula Rate (7)'!$B$27)</f>
        <v>0</v>
      </c>
      <c r="N77" s="123">
        <f>SUM(B77:M77)</f>
        <v>387825.23318605794</v>
      </c>
    </row>
    <row r="78" spans="1:16">
      <c r="A78" s="247" t="s">
        <v>20</v>
      </c>
      <c r="B78" s="29">
        <f>'Transmission Formula Rate (7)'!B14</f>
        <v>1.59</v>
      </c>
      <c r="C78" s="29">
        <f>'Transmission Formula Rate (7)'!C14</f>
        <v>1.59</v>
      </c>
      <c r="D78" s="29">
        <f>'Transmission Formula Rate (7)'!D14</f>
        <v>1.59</v>
      </c>
      <c r="E78" s="29">
        <f>'Transmission Formula Rate (7)'!E14</f>
        <v>1.59</v>
      </c>
      <c r="F78" s="29">
        <f>'Transmission Formula Rate (7)'!F14</f>
        <v>1.59</v>
      </c>
      <c r="G78" s="29">
        <f>'Transmission Formula Rate (7)'!G14</f>
        <v>1.59</v>
      </c>
      <c r="H78" s="29">
        <f>'Transmission Formula Rate (7)'!H14</f>
        <v>1.59</v>
      </c>
      <c r="I78" s="29">
        <f>'Transmission Formula Rate (7)'!I14</f>
        <v>1.59</v>
      </c>
      <c r="J78" s="29">
        <f>'Transmission Formula Rate (7)'!J14</f>
        <v>1.59</v>
      </c>
      <c r="K78" s="29">
        <f>'Transmission Formula Rate (7)'!K14</f>
        <v>1.59</v>
      </c>
      <c r="L78" s="29">
        <f>'Transmission Formula Rate (7)'!L14</f>
        <v>1.59</v>
      </c>
      <c r="M78" s="29">
        <f>'Transmission Formula Rate (7)'!M14</f>
        <v>1.59</v>
      </c>
      <c r="N78" s="19"/>
      <c r="O78" s="270"/>
    </row>
    <row r="79" spans="1:16">
      <c r="A79" s="247" t="s">
        <v>17</v>
      </c>
      <c r="B79" s="20">
        <f>B75*B78</f>
        <v>39750</v>
      </c>
      <c r="C79" s="20">
        <f t="shared" ref="C79" si="118">C75*C78</f>
        <v>71550</v>
      </c>
      <c r="D79" s="20">
        <f t="shared" ref="D79" si="119">D75*D78</f>
        <v>71550</v>
      </c>
      <c r="E79" s="20">
        <f t="shared" ref="E79" si="120">E75*E78</f>
        <v>47700</v>
      </c>
      <c r="F79" s="20">
        <f t="shared" ref="F79" si="121">F75*F78</f>
        <v>31800</v>
      </c>
      <c r="G79" s="20">
        <f t="shared" ref="G79" si="122">G75*G78</f>
        <v>47700</v>
      </c>
      <c r="H79" s="20">
        <f t="shared" ref="H79" si="123">H75*H78</f>
        <v>71550</v>
      </c>
      <c r="I79" s="20">
        <f t="shared" ref="I79" si="124">I75*I78</f>
        <v>71550</v>
      </c>
      <c r="J79" s="20">
        <f t="shared" ref="J79" si="125">J75*J78</f>
        <v>71550</v>
      </c>
      <c r="K79" s="20">
        <f t="shared" ref="K79" si="126">K75*K78</f>
        <v>47700</v>
      </c>
      <c r="L79" s="20">
        <f t="shared" ref="L79" si="127">L75*L78</f>
        <v>55650</v>
      </c>
      <c r="M79" s="20">
        <f t="shared" ref="M79" si="128">M75*M78</f>
        <v>0</v>
      </c>
      <c r="N79" s="20">
        <f>SUM(B79:M79)</f>
        <v>628050</v>
      </c>
    </row>
    <row r="81" spans="1:14">
      <c r="A81" s="247" t="s">
        <v>135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>
      <c r="A82" s="249" t="s">
        <v>47</v>
      </c>
      <c r="B82" s="232">
        <f>B75</f>
        <v>25000</v>
      </c>
      <c r="C82" s="232">
        <f t="shared" ref="C82:M82" si="129">C75</f>
        <v>45000</v>
      </c>
      <c r="D82" s="232">
        <f t="shared" si="129"/>
        <v>45000</v>
      </c>
      <c r="E82" s="232">
        <f t="shared" si="129"/>
        <v>30000</v>
      </c>
      <c r="F82" s="232">
        <f t="shared" si="129"/>
        <v>20000</v>
      </c>
      <c r="G82" s="232">
        <f t="shared" si="129"/>
        <v>30000</v>
      </c>
      <c r="H82" s="232">
        <f t="shared" si="129"/>
        <v>45000</v>
      </c>
      <c r="I82" s="232">
        <f t="shared" si="129"/>
        <v>45000</v>
      </c>
      <c r="J82" s="232">
        <f t="shared" si="129"/>
        <v>45000</v>
      </c>
      <c r="K82" s="232">
        <f t="shared" si="129"/>
        <v>30000</v>
      </c>
      <c r="L82" s="232">
        <f t="shared" si="129"/>
        <v>35000</v>
      </c>
      <c r="M82" s="232">
        <f t="shared" si="129"/>
        <v>0</v>
      </c>
      <c r="N82" s="20">
        <f>SUM(B82:M82)</f>
        <v>395000</v>
      </c>
    </row>
    <row r="83" spans="1:14">
      <c r="A83" s="249" t="s">
        <v>45</v>
      </c>
      <c r="B83" s="27">
        <f>B82-B84</f>
        <v>454.09916543936924</v>
      </c>
      <c r="C83" s="27">
        <f t="shared" ref="C83" si="130">C82-C84</f>
        <v>817.37849779086537</v>
      </c>
      <c r="D83" s="27">
        <f t="shared" ref="D83" si="131">D82-D84</f>
        <v>817.37849779086537</v>
      </c>
      <c r="E83" s="27">
        <f t="shared" ref="E83" si="132">E82-E84</f>
        <v>544.918998527246</v>
      </c>
      <c r="F83" s="27">
        <f t="shared" ref="F83" si="133">F82-F84</f>
        <v>363.27933235149612</v>
      </c>
      <c r="G83" s="27">
        <f t="shared" ref="G83" si="134">G82-G84</f>
        <v>544.918998527246</v>
      </c>
      <c r="H83" s="27">
        <f t="shared" ref="H83" si="135">H82-H84</f>
        <v>817.37849779086537</v>
      </c>
      <c r="I83" s="27">
        <f t="shared" ref="I83" si="136">I82-I84</f>
        <v>817.37849779086537</v>
      </c>
      <c r="J83" s="27">
        <f t="shared" ref="J83" si="137">J82-J84</f>
        <v>817.37849779086537</v>
      </c>
      <c r="K83" s="27">
        <f t="shared" ref="K83" si="138">K82-K84</f>
        <v>544.918998527246</v>
      </c>
      <c r="L83" s="27">
        <f t="shared" ref="L83" si="139">L82-L84</f>
        <v>635.73883161511912</v>
      </c>
      <c r="M83" s="27">
        <f t="shared" ref="M83" si="140">M82-M84</f>
        <v>0</v>
      </c>
      <c r="N83" s="20">
        <f>SUM(B83:M83)</f>
        <v>7174.7668139420493</v>
      </c>
    </row>
    <row r="84" spans="1:14">
      <c r="A84" s="249" t="str">
        <f>$A$14</f>
        <v xml:space="preserve">       New Smyrna Load</v>
      </c>
      <c r="B84" s="27">
        <f>B82/(1+'Transmission Formula Rate (7)'!$B$27)</f>
        <v>24545.900834560631</v>
      </c>
      <c r="C84" s="27">
        <f>C82/(1+'Transmission Formula Rate (7)'!$B$27)</f>
        <v>44182.621502209135</v>
      </c>
      <c r="D84" s="27">
        <f>D82/(1+'Transmission Formula Rate (7)'!$B$27)</f>
        <v>44182.621502209135</v>
      </c>
      <c r="E84" s="27">
        <f>E82/(1+'Transmission Formula Rate (7)'!$B$27)</f>
        <v>29455.081001472754</v>
      </c>
      <c r="F84" s="27">
        <f>F82/(1+'Transmission Formula Rate (7)'!$B$27)</f>
        <v>19636.720667648504</v>
      </c>
      <c r="G84" s="27">
        <f>G82/(1+'Transmission Formula Rate (7)'!$B$27)</f>
        <v>29455.081001472754</v>
      </c>
      <c r="H84" s="27">
        <f>H82/(1+'Transmission Formula Rate (7)'!$B$27)</f>
        <v>44182.621502209135</v>
      </c>
      <c r="I84" s="27">
        <f>I82/(1+'Transmission Formula Rate (7)'!$B$27)</f>
        <v>44182.621502209135</v>
      </c>
      <c r="J84" s="27">
        <f>J82/(1+'Transmission Formula Rate (7)'!$B$27)</f>
        <v>44182.621502209135</v>
      </c>
      <c r="K84" s="27">
        <f>K82/(1+'Transmission Formula Rate (7)'!$B$27)</f>
        <v>29455.081001472754</v>
      </c>
      <c r="L84" s="27">
        <f>L82/(1+'Transmission Formula Rate (7)'!$B$27)</f>
        <v>34364.261168384881</v>
      </c>
      <c r="M84" s="27">
        <f>M82/(1+'Transmission Formula Rate (7)'!$B$27)</f>
        <v>0</v>
      </c>
      <c r="N84" s="123">
        <f>SUM(B84:M84)</f>
        <v>387825.23318605794</v>
      </c>
    </row>
    <row r="85" spans="1:14">
      <c r="A85" s="247" t="s">
        <v>143</v>
      </c>
      <c r="B85" s="31">
        <f>'charges (1 &amp; 2)'!F11</f>
        <v>1.274E-2</v>
      </c>
      <c r="C85" s="31">
        <f>B85</f>
        <v>1.274E-2</v>
      </c>
      <c r="D85" s="31">
        <f t="shared" ref="D85:M85" si="141">C85</f>
        <v>1.274E-2</v>
      </c>
      <c r="E85" s="31">
        <f t="shared" si="141"/>
        <v>1.274E-2</v>
      </c>
      <c r="F85" s="31">
        <f t="shared" si="141"/>
        <v>1.274E-2</v>
      </c>
      <c r="G85" s="31">
        <f t="shared" si="141"/>
        <v>1.274E-2</v>
      </c>
      <c r="H85" s="31">
        <f t="shared" si="141"/>
        <v>1.274E-2</v>
      </c>
      <c r="I85" s="31">
        <f t="shared" si="141"/>
        <v>1.274E-2</v>
      </c>
      <c r="J85" s="31">
        <f t="shared" si="141"/>
        <v>1.274E-2</v>
      </c>
      <c r="K85" s="31">
        <f t="shared" si="141"/>
        <v>1.274E-2</v>
      </c>
      <c r="L85" s="31">
        <f t="shared" si="141"/>
        <v>1.274E-2</v>
      </c>
      <c r="M85" s="31">
        <f t="shared" si="141"/>
        <v>1.274E-2</v>
      </c>
      <c r="N85" s="19"/>
    </row>
    <row r="86" spans="1:14">
      <c r="A86" s="247" t="s">
        <v>17</v>
      </c>
      <c r="B86" s="20">
        <f>B82*B85</f>
        <v>318.5</v>
      </c>
      <c r="C86" s="20">
        <f t="shared" ref="C86" si="142">C82*C85</f>
        <v>573.29999999999995</v>
      </c>
      <c r="D86" s="20">
        <f t="shared" ref="D86" si="143">D82*D85</f>
        <v>573.29999999999995</v>
      </c>
      <c r="E86" s="20">
        <f t="shared" ref="E86" si="144">E82*E85</f>
        <v>382.2</v>
      </c>
      <c r="F86" s="20">
        <f t="shared" ref="F86" si="145">F82*F85</f>
        <v>254.79999999999998</v>
      </c>
      <c r="G86" s="20">
        <f t="shared" ref="G86" si="146">G82*G85</f>
        <v>382.2</v>
      </c>
      <c r="H86" s="20">
        <f t="shared" ref="H86" si="147">H82*H85</f>
        <v>573.29999999999995</v>
      </c>
      <c r="I86" s="20">
        <f t="shared" ref="I86" si="148">I82*I85</f>
        <v>573.29999999999995</v>
      </c>
      <c r="J86" s="20">
        <f t="shared" ref="J86" si="149">J82*J85</f>
        <v>573.29999999999995</v>
      </c>
      <c r="K86" s="20">
        <f t="shared" ref="K86" si="150">K82*K85</f>
        <v>382.2</v>
      </c>
      <c r="L86" s="20">
        <f t="shared" ref="L86" si="151">L82*L85</f>
        <v>445.9</v>
      </c>
      <c r="M86" s="20">
        <f t="shared" ref="M86" si="152">M82*M85</f>
        <v>0</v>
      </c>
      <c r="N86" s="20">
        <f>SUM(B86:M86)</f>
        <v>5032.2999999999993</v>
      </c>
    </row>
    <row r="88" spans="1:14">
      <c r="A88" s="247" t="s">
        <v>38</v>
      </c>
    </row>
    <row r="89" spans="1:14">
      <c r="A89" s="249" t="s">
        <v>47</v>
      </c>
      <c r="B89" s="232">
        <f>B75</f>
        <v>25000</v>
      </c>
      <c r="C89" s="232">
        <f t="shared" ref="C89:M89" si="153">C75</f>
        <v>45000</v>
      </c>
      <c r="D89" s="232">
        <f t="shared" si="153"/>
        <v>45000</v>
      </c>
      <c r="E89" s="232">
        <f t="shared" si="153"/>
        <v>30000</v>
      </c>
      <c r="F89" s="232">
        <f t="shared" si="153"/>
        <v>20000</v>
      </c>
      <c r="G89" s="232">
        <f t="shared" si="153"/>
        <v>30000</v>
      </c>
      <c r="H89" s="232">
        <f t="shared" si="153"/>
        <v>45000</v>
      </c>
      <c r="I89" s="232">
        <f t="shared" si="153"/>
        <v>45000</v>
      </c>
      <c r="J89" s="232">
        <f t="shared" si="153"/>
        <v>45000</v>
      </c>
      <c r="K89" s="232">
        <f t="shared" si="153"/>
        <v>30000</v>
      </c>
      <c r="L89" s="232">
        <f t="shared" si="153"/>
        <v>35000</v>
      </c>
      <c r="M89" s="232">
        <f t="shared" si="153"/>
        <v>0</v>
      </c>
      <c r="N89" s="20">
        <f>SUM(B89:M89)</f>
        <v>395000</v>
      </c>
    </row>
    <row r="90" spans="1:14">
      <c r="A90" s="249" t="s">
        <v>45</v>
      </c>
      <c r="B90" s="27">
        <f>B89-B91</f>
        <v>454.09916543936924</v>
      </c>
      <c r="C90" s="27">
        <f t="shared" ref="C90" si="154">C89-C91</f>
        <v>817.37849779086537</v>
      </c>
      <c r="D90" s="27">
        <f t="shared" ref="D90" si="155">D89-D91</f>
        <v>817.37849779086537</v>
      </c>
      <c r="E90" s="27">
        <f t="shared" ref="E90" si="156">E89-E91</f>
        <v>544.918998527246</v>
      </c>
      <c r="F90" s="27">
        <f t="shared" ref="F90" si="157">F89-F91</f>
        <v>363.27933235149612</v>
      </c>
      <c r="G90" s="27">
        <f t="shared" ref="G90" si="158">G89-G91</f>
        <v>544.918998527246</v>
      </c>
      <c r="H90" s="27">
        <f t="shared" ref="H90" si="159">H89-H91</f>
        <v>817.37849779086537</v>
      </c>
      <c r="I90" s="27">
        <f t="shared" ref="I90" si="160">I89-I91</f>
        <v>817.37849779086537</v>
      </c>
      <c r="J90" s="27">
        <f t="shared" ref="J90" si="161">J89-J91</f>
        <v>817.37849779086537</v>
      </c>
      <c r="K90" s="27">
        <f t="shared" ref="K90" si="162">K89-K91</f>
        <v>544.918998527246</v>
      </c>
      <c r="L90" s="27">
        <f t="shared" ref="L90" si="163">L89-L91</f>
        <v>635.73883161511912</v>
      </c>
      <c r="M90" s="27">
        <f t="shared" ref="M90" si="164">M89-M91</f>
        <v>0</v>
      </c>
      <c r="N90" s="20">
        <f>SUM(B90:M90)</f>
        <v>7174.7668139420493</v>
      </c>
    </row>
    <row r="91" spans="1:14">
      <c r="A91" s="249" t="str">
        <f>$A$14</f>
        <v xml:space="preserve">       New Smyrna Load</v>
      </c>
      <c r="B91" s="27">
        <f>B89/(1+'Transmission Formula Rate (7)'!$B$27)</f>
        <v>24545.900834560631</v>
      </c>
      <c r="C91" s="27">
        <f>C89/(1+'Transmission Formula Rate (7)'!$B$27)</f>
        <v>44182.621502209135</v>
      </c>
      <c r="D91" s="27">
        <f>D89/(1+'Transmission Formula Rate (7)'!$B$27)</f>
        <v>44182.621502209135</v>
      </c>
      <c r="E91" s="27">
        <f>E89/(1+'Transmission Formula Rate (7)'!$B$27)</f>
        <v>29455.081001472754</v>
      </c>
      <c r="F91" s="27">
        <f>F89/(1+'Transmission Formula Rate (7)'!$B$27)</f>
        <v>19636.720667648504</v>
      </c>
      <c r="G91" s="27">
        <f>G89/(1+'Transmission Formula Rate (7)'!$B$27)</f>
        <v>29455.081001472754</v>
      </c>
      <c r="H91" s="27">
        <f>H89/(1+'Transmission Formula Rate (7)'!$B$27)</f>
        <v>44182.621502209135</v>
      </c>
      <c r="I91" s="27">
        <f>I89/(1+'Transmission Formula Rate (7)'!$B$27)</f>
        <v>44182.621502209135</v>
      </c>
      <c r="J91" s="27">
        <f>J89/(1+'Transmission Formula Rate (7)'!$B$27)</f>
        <v>44182.621502209135</v>
      </c>
      <c r="K91" s="27">
        <f>K89/(1+'Transmission Formula Rate (7)'!$B$27)</f>
        <v>29455.081001472754</v>
      </c>
      <c r="L91" s="27">
        <f>L89/(1+'Transmission Formula Rate (7)'!$B$27)</f>
        <v>34364.261168384881</v>
      </c>
      <c r="M91" s="27">
        <f>M89/(1+'Transmission Formula Rate (7)'!$B$27)</f>
        <v>0</v>
      </c>
      <c r="N91" s="123">
        <f>SUM(B91:M91)</f>
        <v>387825.23318605794</v>
      </c>
    </row>
    <row r="92" spans="1:14">
      <c r="A92" s="247" t="s">
        <v>144</v>
      </c>
      <c r="B92" s="31">
        <f>'charges (1 &amp; 2)'!F10</f>
        <v>0.1008</v>
      </c>
      <c r="C92" s="31">
        <f>B92</f>
        <v>0.1008</v>
      </c>
      <c r="D92" s="31">
        <f t="shared" ref="D92:M92" si="165">C92</f>
        <v>0.1008</v>
      </c>
      <c r="E92" s="31">
        <f t="shared" si="165"/>
        <v>0.1008</v>
      </c>
      <c r="F92" s="31">
        <f t="shared" si="165"/>
        <v>0.1008</v>
      </c>
      <c r="G92" s="31">
        <f t="shared" si="165"/>
        <v>0.1008</v>
      </c>
      <c r="H92" s="31">
        <f t="shared" si="165"/>
        <v>0.1008</v>
      </c>
      <c r="I92" s="31">
        <f t="shared" si="165"/>
        <v>0.1008</v>
      </c>
      <c r="J92" s="31">
        <f t="shared" si="165"/>
        <v>0.1008</v>
      </c>
      <c r="K92" s="31">
        <f t="shared" si="165"/>
        <v>0.1008</v>
      </c>
      <c r="L92" s="31">
        <f t="shared" si="165"/>
        <v>0.1008</v>
      </c>
      <c r="M92" s="31">
        <f t="shared" si="165"/>
        <v>0.1008</v>
      </c>
      <c r="N92" s="19"/>
    </row>
    <row r="93" spans="1:14">
      <c r="A93" s="247" t="s">
        <v>17</v>
      </c>
      <c r="B93" s="20">
        <f>B89*B92</f>
        <v>2520</v>
      </c>
      <c r="C93" s="20">
        <f t="shared" ref="C93" si="166">C89*C92</f>
        <v>4536</v>
      </c>
      <c r="D93" s="20">
        <f t="shared" ref="D93" si="167">D89*D92</f>
        <v>4536</v>
      </c>
      <c r="E93" s="20">
        <f t="shared" ref="E93" si="168">E89*E92</f>
        <v>3024</v>
      </c>
      <c r="F93" s="20">
        <f t="shared" ref="F93" si="169">F89*F92</f>
        <v>2016</v>
      </c>
      <c r="G93" s="20">
        <f t="shared" ref="G93" si="170">G89*G92</f>
        <v>3024</v>
      </c>
      <c r="H93" s="20">
        <f t="shared" ref="H93" si="171">H89*H92</f>
        <v>4536</v>
      </c>
      <c r="I93" s="20">
        <f t="shared" ref="I93" si="172">I89*I92</f>
        <v>4536</v>
      </c>
      <c r="J93" s="20">
        <f t="shared" ref="J93" si="173">J89*J92</f>
        <v>4536</v>
      </c>
      <c r="K93" s="20">
        <f t="shared" ref="K93" si="174">K89*K92</f>
        <v>3024</v>
      </c>
      <c r="L93" s="20">
        <f t="shared" ref="L93" si="175">L89*L92</f>
        <v>3528</v>
      </c>
      <c r="M93" s="20">
        <f t="shared" ref="M93" si="176">M89*M92</f>
        <v>0</v>
      </c>
      <c r="N93" s="20">
        <f>SUM(B93:M93)</f>
        <v>39816</v>
      </c>
    </row>
    <row r="95" spans="1:14">
      <c r="B95" s="23" t="s">
        <v>0</v>
      </c>
      <c r="C95" s="23" t="s">
        <v>1</v>
      </c>
      <c r="D95" s="23" t="s">
        <v>2</v>
      </c>
      <c r="E95" s="23" t="s">
        <v>3</v>
      </c>
      <c r="F95" s="23" t="s">
        <v>4</v>
      </c>
      <c r="G95" s="23" t="s">
        <v>5</v>
      </c>
      <c r="H95" s="23" t="s">
        <v>6</v>
      </c>
      <c r="I95" s="23" t="s">
        <v>7</v>
      </c>
      <c r="J95" s="23" t="s">
        <v>8</v>
      </c>
      <c r="K95" s="23" t="s">
        <v>9</v>
      </c>
      <c r="L95" s="23" t="s">
        <v>10</v>
      </c>
      <c r="M95" s="23" t="s">
        <v>11</v>
      </c>
      <c r="N95" s="23" t="s">
        <v>12</v>
      </c>
    </row>
    <row r="96" spans="1:14">
      <c r="A96" s="248">
        <f>A73+1</f>
        <v>2018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5">
      <c r="A97" s="247" t="s">
        <v>37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5">
      <c r="A98" s="249" t="s">
        <v>47</v>
      </c>
      <c r="B98" s="232">
        <v>45000</v>
      </c>
      <c r="C98" s="232">
        <v>45000</v>
      </c>
      <c r="D98" s="232">
        <v>30000</v>
      </c>
      <c r="E98" s="232">
        <v>20000</v>
      </c>
      <c r="F98" s="232">
        <v>30000</v>
      </c>
      <c r="G98" s="232">
        <v>45000</v>
      </c>
      <c r="H98" s="232">
        <v>45000</v>
      </c>
      <c r="I98" s="232">
        <v>45000</v>
      </c>
      <c r="J98" s="232">
        <v>35000</v>
      </c>
      <c r="K98" s="232">
        <v>30000</v>
      </c>
      <c r="L98" s="232">
        <v>20000</v>
      </c>
      <c r="M98" s="232">
        <v>30000</v>
      </c>
      <c r="N98" s="20">
        <f>SUM(B98:M98)</f>
        <v>420000</v>
      </c>
    </row>
    <row r="99" spans="1:15">
      <c r="A99" s="249" t="s">
        <v>45</v>
      </c>
      <c r="B99" s="27">
        <f>B98-B100</f>
        <v>817.37849779086537</v>
      </c>
      <c r="C99" s="27">
        <f t="shared" ref="C99" si="177">C98-C100</f>
        <v>817.37849779086537</v>
      </c>
      <c r="D99" s="27">
        <f t="shared" ref="D99" si="178">D98-D100</f>
        <v>544.918998527246</v>
      </c>
      <c r="E99" s="27">
        <f t="shared" ref="E99" si="179">E98-E100</f>
        <v>363.27933235149612</v>
      </c>
      <c r="F99" s="27">
        <f t="shared" ref="F99" si="180">F98-F100</f>
        <v>544.918998527246</v>
      </c>
      <c r="G99" s="27">
        <f t="shared" ref="G99" si="181">G98-G100</f>
        <v>817.37849779086537</v>
      </c>
      <c r="H99" s="27">
        <f t="shared" ref="H99" si="182">H98-H100</f>
        <v>817.37849779086537</v>
      </c>
      <c r="I99" s="27">
        <f t="shared" ref="I99" si="183">I98-I100</f>
        <v>817.37849779086537</v>
      </c>
      <c r="J99" s="27">
        <f t="shared" ref="J99" si="184">J98-J100</f>
        <v>635.73883161511912</v>
      </c>
      <c r="K99" s="27">
        <f t="shared" ref="K99" si="185">K98-K100</f>
        <v>544.918998527246</v>
      </c>
      <c r="L99" s="27">
        <f t="shared" ref="L99" si="186">L98-L100</f>
        <v>363.27933235149612</v>
      </c>
      <c r="M99" s="27">
        <f t="shared" ref="M99" si="187">M98-M100</f>
        <v>544.918998527246</v>
      </c>
      <c r="N99" s="20">
        <f>SUM(B99:M99)</f>
        <v>7628.8659793814222</v>
      </c>
    </row>
    <row r="100" spans="1:15">
      <c r="A100" s="249" t="str">
        <f>$A$14</f>
        <v xml:space="preserve">       New Smyrna Load</v>
      </c>
      <c r="B100" s="27">
        <f>B98/(1+'Transmission Formula Rate (7)'!$B$27)</f>
        <v>44182.621502209135</v>
      </c>
      <c r="C100" s="27">
        <f>C98/(1+'Transmission Formula Rate (7)'!$B$27)</f>
        <v>44182.621502209135</v>
      </c>
      <c r="D100" s="27">
        <f>D98/(1+'Transmission Formula Rate (7)'!$B$27)</f>
        <v>29455.081001472754</v>
      </c>
      <c r="E100" s="27">
        <f>E98/(1+'Transmission Formula Rate (7)'!$B$27)</f>
        <v>19636.720667648504</v>
      </c>
      <c r="F100" s="27">
        <f>F98/(1+'Transmission Formula Rate (7)'!$B$27)</f>
        <v>29455.081001472754</v>
      </c>
      <c r="G100" s="27">
        <f>G98/(1+'Transmission Formula Rate (7)'!$B$27)</f>
        <v>44182.621502209135</v>
      </c>
      <c r="H100" s="27">
        <f>H98/(1+'Transmission Formula Rate (7)'!$B$27)</f>
        <v>44182.621502209135</v>
      </c>
      <c r="I100" s="27">
        <f>I98/(1+'Transmission Formula Rate (7)'!$B$27)</f>
        <v>44182.621502209135</v>
      </c>
      <c r="J100" s="27">
        <f>J98/(1+'Transmission Formula Rate (7)'!$B$27)</f>
        <v>34364.261168384881</v>
      </c>
      <c r="K100" s="27">
        <f>K98/(1+'Transmission Formula Rate (7)'!$B$27)</f>
        <v>29455.081001472754</v>
      </c>
      <c r="L100" s="27">
        <f>L98/(1+'Transmission Formula Rate (7)'!$B$27)</f>
        <v>19636.720667648504</v>
      </c>
      <c r="M100" s="27">
        <f>M98/(1+'Transmission Formula Rate (7)'!$B$27)</f>
        <v>29455.081001472754</v>
      </c>
      <c r="N100" s="123">
        <f>SUM(B100:M100)</f>
        <v>412371.13402061857</v>
      </c>
    </row>
    <row r="101" spans="1:15">
      <c r="A101" s="247" t="s">
        <v>20</v>
      </c>
      <c r="B101" s="29">
        <f>'Transmission Formula Rate (7)'!B16</f>
        <v>1.59</v>
      </c>
      <c r="C101" s="29">
        <f>'Transmission Formula Rate (7)'!C16</f>
        <v>1.59</v>
      </c>
      <c r="D101" s="29">
        <f>'Transmission Formula Rate (7)'!D16</f>
        <v>1.59</v>
      </c>
      <c r="E101" s="29">
        <f>'Transmission Formula Rate (7)'!E16</f>
        <v>1.59</v>
      </c>
      <c r="F101" s="29">
        <f>'Transmission Formula Rate (7)'!$F$16</f>
        <v>1.59</v>
      </c>
      <c r="G101" s="29">
        <f>'Transmission Formula Rate (7)'!$F$16</f>
        <v>1.59</v>
      </c>
      <c r="H101" s="29">
        <f>'Transmission Formula Rate (7)'!$F$16</f>
        <v>1.59</v>
      </c>
      <c r="I101" s="29">
        <f>'Transmission Formula Rate (7)'!$F$16</f>
        <v>1.59</v>
      </c>
      <c r="J101" s="29">
        <f>'Transmission Formula Rate (7)'!$F$16</f>
        <v>1.59</v>
      </c>
      <c r="K101" s="29">
        <f>'Transmission Formula Rate (7)'!$F$16</f>
        <v>1.59</v>
      </c>
      <c r="L101" s="29">
        <f>'Transmission Formula Rate (7)'!$F$16</f>
        <v>1.59</v>
      </c>
      <c r="M101" s="29">
        <f>'Transmission Formula Rate (7)'!$F$16</f>
        <v>1.59</v>
      </c>
      <c r="N101" s="19"/>
      <c r="O101" s="270"/>
    </row>
    <row r="102" spans="1:15">
      <c r="A102" s="247" t="s">
        <v>17</v>
      </c>
      <c r="B102" s="20">
        <f>B98*B101</f>
        <v>71550</v>
      </c>
      <c r="C102" s="20">
        <f t="shared" ref="C102" si="188">C98*C101</f>
        <v>71550</v>
      </c>
      <c r="D102" s="20">
        <f t="shared" ref="D102" si="189">D98*D101</f>
        <v>47700</v>
      </c>
      <c r="E102" s="20">
        <f t="shared" ref="E102" si="190">E98*E101</f>
        <v>31800</v>
      </c>
      <c r="F102" s="20">
        <f t="shared" ref="F102" si="191">F98*F101</f>
        <v>47700</v>
      </c>
      <c r="G102" s="20">
        <f t="shared" ref="G102" si="192">G98*G101</f>
        <v>71550</v>
      </c>
      <c r="H102" s="20">
        <f t="shared" ref="H102" si="193">H98*H101</f>
        <v>71550</v>
      </c>
      <c r="I102" s="20">
        <f t="shared" ref="I102" si="194">I98*I101</f>
        <v>71550</v>
      </c>
      <c r="J102" s="20">
        <f t="shared" ref="J102" si="195">J98*J101</f>
        <v>55650</v>
      </c>
      <c r="K102" s="20">
        <f t="shared" ref="K102" si="196">K98*K101</f>
        <v>47700</v>
      </c>
      <c r="L102" s="20">
        <f t="shared" ref="L102" si="197">L98*L101</f>
        <v>31800</v>
      </c>
      <c r="M102" s="20">
        <f t="shared" ref="M102" si="198">M98*M101</f>
        <v>47700</v>
      </c>
      <c r="N102" s="20">
        <f>SUM(B102:M102)</f>
        <v>667800</v>
      </c>
    </row>
    <row r="104" spans="1:15">
      <c r="A104" s="247" t="s">
        <v>135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5">
      <c r="A105" s="249" t="s">
        <v>47</v>
      </c>
      <c r="B105" s="232">
        <f>B98</f>
        <v>45000</v>
      </c>
      <c r="C105" s="232">
        <f t="shared" ref="C105:M105" si="199">C98</f>
        <v>45000</v>
      </c>
      <c r="D105" s="232">
        <f t="shared" si="199"/>
        <v>30000</v>
      </c>
      <c r="E105" s="232">
        <f t="shared" si="199"/>
        <v>20000</v>
      </c>
      <c r="F105" s="232">
        <f t="shared" si="199"/>
        <v>30000</v>
      </c>
      <c r="G105" s="232">
        <f t="shared" si="199"/>
        <v>45000</v>
      </c>
      <c r="H105" s="232">
        <f t="shared" si="199"/>
        <v>45000</v>
      </c>
      <c r="I105" s="232">
        <f t="shared" si="199"/>
        <v>45000</v>
      </c>
      <c r="J105" s="232">
        <f t="shared" si="199"/>
        <v>35000</v>
      </c>
      <c r="K105" s="232">
        <f t="shared" si="199"/>
        <v>30000</v>
      </c>
      <c r="L105" s="232">
        <f t="shared" si="199"/>
        <v>20000</v>
      </c>
      <c r="M105" s="232">
        <f t="shared" si="199"/>
        <v>30000</v>
      </c>
      <c r="N105" s="20">
        <f>SUM(B105:M105)</f>
        <v>420000</v>
      </c>
    </row>
    <row r="106" spans="1:15">
      <c r="A106" s="249" t="s">
        <v>45</v>
      </c>
      <c r="B106" s="27">
        <f>B105-B107</f>
        <v>817.37849779086537</v>
      </c>
      <c r="C106" s="27">
        <f t="shared" ref="C106" si="200">C105-C107</f>
        <v>817.37849779086537</v>
      </c>
      <c r="D106" s="27">
        <f t="shared" ref="D106" si="201">D105-D107</f>
        <v>544.918998527246</v>
      </c>
      <c r="E106" s="27">
        <f t="shared" ref="E106" si="202">E105-E107</f>
        <v>363.27933235149612</v>
      </c>
      <c r="F106" s="27">
        <f t="shared" ref="F106" si="203">F105-F107</f>
        <v>544.918998527246</v>
      </c>
      <c r="G106" s="27">
        <f t="shared" ref="G106" si="204">G105-G107</f>
        <v>817.37849779086537</v>
      </c>
      <c r="H106" s="27">
        <f t="shared" ref="H106" si="205">H105-H107</f>
        <v>817.37849779086537</v>
      </c>
      <c r="I106" s="27">
        <f t="shared" ref="I106" si="206">I105-I107</f>
        <v>817.37849779086537</v>
      </c>
      <c r="J106" s="27">
        <f t="shared" ref="J106" si="207">J105-J107</f>
        <v>635.73883161511912</v>
      </c>
      <c r="K106" s="27">
        <f t="shared" ref="K106" si="208">K105-K107</f>
        <v>544.918998527246</v>
      </c>
      <c r="L106" s="27">
        <f t="shared" ref="L106" si="209">L105-L107</f>
        <v>363.27933235149612</v>
      </c>
      <c r="M106" s="27">
        <f t="shared" ref="M106" si="210">M105-M107</f>
        <v>544.918998527246</v>
      </c>
      <c r="N106" s="20">
        <f>SUM(B106:M106)</f>
        <v>7628.8659793814222</v>
      </c>
    </row>
    <row r="107" spans="1:15">
      <c r="A107" s="249" t="str">
        <f>$A$14</f>
        <v xml:space="preserve">       New Smyrna Load</v>
      </c>
      <c r="B107" s="27">
        <f>B105/(1+'Transmission Formula Rate (7)'!$B$27)</f>
        <v>44182.621502209135</v>
      </c>
      <c r="C107" s="27">
        <f>C105/(1+'Transmission Formula Rate (7)'!$B$27)</f>
        <v>44182.621502209135</v>
      </c>
      <c r="D107" s="27">
        <f>D105/(1+'Transmission Formula Rate (7)'!$B$27)</f>
        <v>29455.081001472754</v>
      </c>
      <c r="E107" s="27">
        <f>E105/(1+'Transmission Formula Rate (7)'!$B$27)</f>
        <v>19636.720667648504</v>
      </c>
      <c r="F107" s="27">
        <f>F105/(1+'Transmission Formula Rate (7)'!$B$27)</f>
        <v>29455.081001472754</v>
      </c>
      <c r="G107" s="27">
        <f>G105/(1+'Transmission Formula Rate (7)'!$B$27)</f>
        <v>44182.621502209135</v>
      </c>
      <c r="H107" s="27">
        <f>H105/(1+'Transmission Formula Rate (7)'!$B$27)</f>
        <v>44182.621502209135</v>
      </c>
      <c r="I107" s="27">
        <f>I105/(1+'Transmission Formula Rate (7)'!$B$27)</f>
        <v>44182.621502209135</v>
      </c>
      <c r="J107" s="27">
        <f>J105/(1+'Transmission Formula Rate (7)'!$B$27)</f>
        <v>34364.261168384881</v>
      </c>
      <c r="K107" s="27">
        <f>K105/(1+'Transmission Formula Rate (7)'!$B$27)</f>
        <v>29455.081001472754</v>
      </c>
      <c r="L107" s="27">
        <f>L105/(1+'Transmission Formula Rate (7)'!$B$27)</f>
        <v>19636.720667648504</v>
      </c>
      <c r="M107" s="27">
        <f>M105/(1+'Transmission Formula Rate (7)'!$B$27)</f>
        <v>29455.081001472754</v>
      </c>
      <c r="N107" s="123">
        <f>SUM(B107:M107)</f>
        <v>412371.13402061857</v>
      </c>
    </row>
    <row r="108" spans="1:15">
      <c r="A108" s="247" t="s">
        <v>143</v>
      </c>
      <c r="B108" s="31">
        <f>'charges (1 &amp; 2)'!G11</f>
        <v>1.274E-2</v>
      </c>
      <c r="C108" s="31">
        <f>B108</f>
        <v>1.274E-2</v>
      </c>
      <c r="D108" s="31">
        <f t="shared" ref="D108:E108" si="211">C108</f>
        <v>1.274E-2</v>
      </c>
      <c r="E108" s="31">
        <f t="shared" si="211"/>
        <v>1.274E-2</v>
      </c>
      <c r="F108" s="31">
        <f>$E$108</f>
        <v>1.274E-2</v>
      </c>
      <c r="G108" s="31">
        <f t="shared" ref="G108:M108" si="212">$E$108</f>
        <v>1.274E-2</v>
      </c>
      <c r="H108" s="31">
        <f t="shared" si="212"/>
        <v>1.274E-2</v>
      </c>
      <c r="I108" s="31">
        <f t="shared" si="212"/>
        <v>1.274E-2</v>
      </c>
      <c r="J108" s="31">
        <f t="shared" si="212"/>
        <v>1.274E-2</v>
      </c>
      <c r="K108" s="31">
        <f t="shared" si="212"/>
        <v>1.274E-2</v>
      </c>
      <c r="L108" s="31">
        <f t="shared" si="212"/>
        <v>1.274E-2</v>
      </c>
      <c r="M108" s="31">
        <f t="shared" si="212"/>
        <v>1.274E-2</v>
      </c>
      <c r="N108" s="19"/>
    </row>
    <row r="109" spans="1:15">
      <c r="A109" s="247" t="s">
        <v>17</v>
      </c>
      <c r="B109" s="20">
        <f>B105*B108</f>
        <v>573.29999999999995</v>
      </c>
      <c r="C109" s="20">
        <f t="shared" ref="C109" si="213">C105*C108</f>
        <v>573.29999999999995</v>
      </c>
      <c r="D109" s="20">
        <f t="shared" ref="D109" si="214">D105*D108</f>
        <v>382.2</v>
      </c>
      <c r="E109" s="20">
        <f t="shared" ref="E109" si="215">E105*E108</f>
        <v>254.79999999999998</v>
      </c>
      <c r="F109" s="20">
        <f t="shared" ref="F109" si="216">F105*F108</f>
        <v>382.2</v>
      </c>
      <c r="G109" s="20">
        <f t="shared" ref="G109" si="217">G105*G108</f>
        <v>573.29999999999995</v>
      </c>
      <c r="H109" s="20">
        <f t="shared" ref="H109" si="218">H105*H108</f>
        <v>573.29999999999995</v>
      </c>
      <c r="I109" s="20">
        <f t="shared" ref="I109" si="219">I105*I108</f>
        <v>573.29999999999995</v>
      </c>
      <c r="J109" s="20">
        <f t="shared" ref="J109" si="220">J105*J108</f>
        <v>445.9</v>
      </c>
      <c r="K109" s="20">
        <f t="shared" ref="K109" si="221">K105*K108</f>
        <v>382.2</v>
      </c>
      <c r="L109" s="20">
        <f t="shared" ref="L109" si="222">L105*L108</f>
        <v>254.79999999999998</v>
      </c>
      <c r="M109" s="20">
        <f t="shared" ref="M109" si="223">M105*M108</f>
        <v>382.2</v>
      </c>
      <c r="N109" s="20">
        <f>SUM(B109:M109)</f>
        <v>5350.7999999999993</v>
      </c>
    </row>
    <row r="111" spans="1:15">
      <c r="A111" s="247" t="s">
        <v>38</v>
      </c>
    </row>
    <row r="112" spans="1:15">
      <c r="A112" s="249" t="s">
        <v>47</v>
      </c>
      <c r="B112" s="232">
        <f>B98</f>
        <v>45000</v>
      </c>
      <c r="C112" s="232">
        <f t="shared" ref="C112:M112" si="224">C98</f>
        <v>45000</v>
      </c>
      <c r="D112" s="232">
        <f t="shared" si="224"/>
        <v>30000</v>
      </c>
      <c r="E112" s="232">
        <f t="shared" si="224"/>
        <v>20000</v>
      </c>
      <c r="F112" s="232">
        <f t="shared" si="224"/>
        <v>30000</v>
      </c>
      <c r="G112" s="232">
        <f t="shared" si="224"/>
        <v>45000</v>
      </c>
      <c r="H112" s="232">
        <f t="shared" si="224"/>
        <v>45000</v>
      </c>
      <c r="I112" s="232">
        <f t="shared" si="224"/>
        <v>45000</v>
      </c>
      <c r="J112" s="232">
        <f t="shared" si="224"/>
        <v>35000</v>
      </c>
      <c r="K112" s="232">
        <f t="shared" si="224"/>
        <v>30000</v>
      </c>
      <c r="L112" s="232">
        <f t="shared" si="224"/>
        <v>20000</v>
      </c>
      <c r="M112" s="232">
        <f t="shared" si="224"/>
        <v>30000</v>
      </c>
      <c r="N112" s="20">
        <f>SUM(B112:M112)</f>
        <v>420000</v>
      </c>
    </row>
    <row r="113" spans="1:15">
      <c r="A113" s="249" t="s">
        <v>45</v>
      </c>
      <c r="B113" s="27">
        <f>B112-B114</f>
        <v>817.37849779086537</v>
      </c>
      <c r="C113" s="27">
        <f t="shared" ref="C113" si="225">C112-C114</f>
        <v>817.37849779086537</v>
      </c>
      <c r="D113" s="27">
        <f t="shared" ref="D113" si="226">D112-D114</f>
        <v>544.918998527246</v>
      </c>
      <c r="E113" s="27">
        <f t="shared" ref="E113" si="227">E112-E114</f>
        <v>363.27933235149612</v>
      </c>
      <c r="F113" s="27">
        <f t="shared" ref="F113" si="228">F112-F114</f>
        <v>544.918998527246</v>
      </c>
      <c r="G113" s="27">
        <f t="shared" ref="G113" si="229">G112-G114</f>
        <v>817.37849779086537</v>
      </c>
      <c r="H113" s="27">
        <f t="shared" ref="H113" si="230">H112-H114</f>
        <v>817.37849779086537</v>
      </c>
      <c r="I113" s="27">
        <f t="shared" ref="I113" si="231">I112-I114</f>
        <v>817.37849779086537</v>
      </c>
      <c r="J113" s="27">
        <f t="shared" ref="J113" si="232">J112-J114</f>
        <v>635.73883161511912</v>
      </c>
      <c r="K113" s="27">
        <f t="shared" ref="K113" si="233">K112-K114</f>
        <v>544.918998527246</v>
      </c>
      <c r="L113" s="27">
        <f t="shared" ref="L113" si="234">L112-L114</f>
        <v>363.27933235149612</v>
      </c>
      <c r="M113" s="27">
        <f t="shared" ref="M113" si="235">M112-M114</f>
        <v>544.918998527246</v>
      </c>
      <c r="N113" s="23"/>
    </row>
    <row r="114" spans="1:15">
      <c r="A114" s="249" t="str">
        <f>$A$14</f>
        <v xml:space="preserve">       New Smyrna Load</v>
      </c>
      <c r="B114" s="27">
        <f>B112/(1+'Transmission Formula Rate (7)'!$B$27)</f>
        <v>44182.621502209135</v>
      </c>
      <c r="C114" s="27">
        <f>C112/(1+'Transmission Formula Rate (7)'!$B$27)</f>
        <v>44182.621502209135</v>
      </c>
      <c r="D114" s="27">
        <f>D112/(1+'Transmission Formula Rate (7)'!$B$27)</f>
        <v>29455.081001472754</v>
      </c>
      <c r="E114" s="27">
        <f>E112/(1+'Transmission Formula Rate (7)'!$B$27)</f>
        <v>19636.720667648504</v>
      </c>
      <c r="F114" s="27">
        <f>F112/(1+'Transmission Formula Rate (7)'!$B$27)</f>
        <v>29455.081001472754</v>
      </c>
      <c r="G114" s="27">
        <f>G112/(1+'Transmission Formula Rate (7)'!$B$27)</f>
        <v>44182.621502209135</v>
      </c>
      <c r="H114" s="27">
        <f>H112/(1+'Transmission Formula Rate (7)'!$B$27)</f>
        <v>44182.621502209135</v>
      </c>
      <c r="I114" s="27">
        <f>I112/(1+'Transmission Formula Rate (7)'!$B$27)</f>
        <v>44182.621502209135</v>
      </c>
      <c r="J114" s="27">
        <f>J112/(1+'Transmission Formula Rate (7)'!$B$27)</f>
        <v>34364.261168384881</v>
      </c>
      <c r="K114" s="27">
        <f>K112/(1+'Transmission Formula Rate (7)'!$B$27)</f>
        <v>29455.081001472754</v>
      </c>
      <c r="L114" s="27">
        <f>L112/(1+'Transmission Formula Rate (7)'!$B$27)</f>
        <v>19636.720667648504</v>
      </c>
      <c r="M114" s="27">
        <f>M112/(1+'Transmission Formula Rate (7)'!$B$27)</f>
        <v>29455.081001472754</v>
      </c>
      <c r="N114" s="23"/>
    </row>
    <row r="115" spans="1:15">
      <c r="A115" s="247" t="s">
        <v>144</v>
      </c>
      <c r="B115" s="31">
        <f>'charges (1 &amp; 2)'!G10</f>
        <v>0.1008</v>
      </c>
      <c r="C115" s="31">
        <f>B115</f>
        <v>0.1008</v>
      </c>
      <c r="D115" s="31">
        <f t="shared" ref="D115:M115" si="236">C115</f>
        <v>0.1008</v>
      </c>
      <c r="E115" s="31">
        <f t="shared" si="236"/>
        <v>0.1008</v>
      </c>
      <c r="F115" s="31">
        <f t="shared" si="236"/>
        <v>0.1008</v>
      </c>
      <c r="G115" s="31">
        <f t="shared" si="236"/>
        <v>0.1008</v>
      </c>
      <c r="H115" s="31">
        <f t="shared" si="236"/>
        <v>0.1008</v>
      </c>
      <c r="I115" s="31">
        <f t="shared" si="236"/>
        <v>0.1008</v>
      </c>
      <c r="J115" s="31">
        <f t="shared" si="236"/>
        <v>0.1008</v>
      </c>
      <c r="K115" s="31">
        <f t="shared" si="236"/>
        <v>0.1008</v>
      </c>
      <c r="L115" s="31">
        <f t="shared" si="236"/>
        <v>0.1008</v>
      </c>
      <c r="M115" s="31">
        <f t="shared" si="236"/>
        <v>0.1008</v>
      </c>
      <c r="N115" s="23"/>
    </row>
    <row r="116" spans="1:15">
      <c r="A116" s="247" t="s">
        <v>17</v>
      </c>
      <c r="B116" s="20">
        <f>B112*B115</f>
        <v>4536</v>
      </c>
      <c r="C116" s="20">
        <f t="shared" ref="C116" si="237">C112*C115</f>
        <v>4536</v>
      </c>
      <c r="D116" s="20">
        <f t="shared" ref="D116" si="238">D112*D115</f>
        <v>3024</v>
      </c>
      <c r="E116" s="20">
        <f t="shared" ref="E116" si="239">E112*E115</f>
        <v>2016</v>
      </c>
      <c r="F116" s="20">
        <f t="shared" ref="F116" si="240">F112*F115</f>
        <v>3024</v>
      </c>
      <c r="G116" s="20">
        <f t="shared" ref="G116" si="241">G112*G115</f>
        <v>4536</v>
      </c>
      <c r="H116" s="20">
        <f t="shared" ref="H116" si="242">H112*H115</f>
        <v>4536</v>
      </c>
      <c r="I116" s="20">
        <f t="shared" ref="I116" si="243">I112*I115</f>
        <v>4536</v>
      </c>
      <c r="J116" s="20">
        <f t="shared" ref="J116" si="244">J112*J115</f>
        <v>3528</v>
      </c>
      <c r="K116" s="20">
        <f t="shared" ref="K116" si="245">K112*K115</f>
        <v>3024</v>
      </c>
      <c r="L116" s="20">
        <f t="shared" ref="L116" si="246">L112*L115</f>
        <v>2016</v>
      </c>
      <c r="M116" s="20">
        <f t="shared" ref="M116" si="247">M112*M115</f>
        <v>3024</v>
      </c>
      <c r="N116" s="23"/>
    </row>
    <row r="117" spans="1:1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1:1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</row>
    <row r="119" spans="1:1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1:15">
      <c r="A120" s="248">
        <f>A96+1</f>
        <v>2019</v>
      </c>
      <c r="B120" s="23" t="s">
        <v>0</v>
      </c>
      <c r="C120" s="23" t="s">
        <v>1</v>
      </c>
      <c r="D120" s="23" t="s">
        <v>2</v>
      </c>
      <c r="E120" s="23" t="s">
        <v>3</v>
      </c>
      <c r="F120" s="23" t="s">
        <v>4</v>
      </c>
      <c r="G120" s="23" t="s">
        <v>5</v>
      </c>
      <c r="H120" s="23" t="s">
        <v>6</v>
      </c>
      <c r="I120" s="23" t="s">
        <v>7</v>
      </c>
      <c r="J120" s="23" t="s">
        <v>8</v>
      </c>
      <c r="K120" s="23" t="s">
        <v>9</v>
      </c>
      <c r="L120" s="23" t="s">
        <v>10</v>
      </c>
      <c r="M120" s="23" t="s">
        <v>11</v>
      </c>
      <c r="N120" s="23" t="s">
        <v>12</v>
      </c>
    </row>
    <row r="121" spans="1:15">
      <c r="A121" s="247" t="s">
        <v>37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5">
      <c r="A122" s="249" t="s">
        <v>47</v>
      </c>
      <c r="B122" s="232">
        <v>0</v>
      </c>
      <c r="C122" s="232">
        <v>0</v>
      </c>
      <c r="D122" s="232">
        <v>0</v>
      </c>
      <c r="E122" s="232">
        <v>0</v>
      </c>
      <c r="F122" s="232">
        <v>0</v>
      </c>
      <c r="G122" s="232">
        <v>0</v>
      </c>
      <c r="H122" s="232">
        <v>0</v>
      </c>
      <c r="I122" s="232">
        <v>0</v>
      </c>
      <c r="J122" s="232">
        <v>0</v>
      </c>
      <c r="K122" s="232">
        <v>0</v>
      </c>
      <c r="L122" s="232">
        <v>0</v>
      </c>
      <c r="M122" s="232">
        <v>0</v>
      </c>
      <c r="N122" s="20">
        <f>SUM(B122:M122)</f>
        <v>0</v>
      </c>
    </row>
    <row r="123" spans="1:15">
      <c r="A123" s="249" t="s">
        <v>45</v>
      </c>
      <c r="B123" s="27">
        <f>B122-B124</f>
        <v>0</v>
      </c>
      <c r="C123" s="27">
        <f t="shared" ref="C123" si="248">C122-C124</f>
        <v>0</v>
      </c>
      <c r="D123" s="27">
        <f t="shared" ref="D123" si="249">D122-D124</f>
        <v>0</v>
      </c>
      <c r="E123" s="27">
        <f t="shared" ref="E123" si="250">E122-E124</f>
        <v>0</v>
      </c>
      <c r="F123" s="27">
        <f t="shared" ref="F123" si="251">F122-F124</f>
        <v>0</v>
      </c>
      <c r="G123" s="27">
        <f t="shared" ref="G123" si="252">G122-G124</f>
        <v>0</v>
      </c>
      <c r="H123" s="27">
        <f t="shared" ref="H123" si="253">H122-H124</f>
        <v>0</v>
      </c>
      <c r="I123" s="27">
        <f t="shared" ref="I123" si="254">I122-I124</f>
        <v>0</v>
      </c>
      <c r="J123" s="27">
        <f t="shared" ref="J123" si="255">J122-J124</f>
        <v>0</v>
      </c>
      <c r="K123" s="27">
        <f t="shared" ref="K123" si="256">K122-K124</f>
        <v>0</v>
      </c>
      <c r="L123" s="27">
        <f t="shared" ref="L123" si="257">L122-L124</f>
        <v>0</v>
      </c>
      <c r="M123" s="27">
        <f t="shared" ref="M123" si="258">M122-M124</f>
        <v>0</v>
      </c>
      <c r="N123" s="20">
        <f>SUM(B123:M123)</f>
        <v>0</v>
      </c>
    </row>
    <row r="124" spans="1:15">
      <c r="A124" s="249" t="str">
        <f>$A$14</f>
        <v xml:space="preserve">       New Smyrna Load</v>
      </c>
      <c r="B124" s="27">
        <f>B122/(1+'Transmission Formula Rate (7)'!$B$27)</f>
        <v>0</v>
      </c>
      <c r="C124" s="27">
        <f>C122/(1+'Transmission Formula Rate (7)'!$B$27)</f>
        <v>0</v>
      </c>
      <c r="D124" s="27">
        <f>D122/(1+'Transmission Formula Rate (7)'!$B$27)</f>
        <v>0</v>
      </c>
      <c r="E124" s="27">
        <f>E122/(1+'Transmission Formula Rate (7)'!$B$27)</f>
        <v>0</v>
      </c>
      <c r="F124" s="27">
        <f>F122/(1+'Transmission Formula Rate (7)'!$B$27)</f>
        <v>0</v>
      </c>
      <c r="G124" s="27">
        <f>G122/(1+'Transmission Formula Rate (7)'!$B$27)</f>
        <v>0</v>
      </c>
      <c r="H124" s="27">
        <f>H122/(1+'Transmission Formula Rate (7)'!$B$27)</f>
        <v>0</v>
      </c>
      <c r="I124" s="27">
        <f>I122/(1+'Transmission Formula Rate (7)'!$B$27)</f>
        <v>0</v>
      </c>
      <c r="J124" s="27">
        <f>J122/(1+'Transmission Formula Rate (7)'!$B$27)</f>
        <v>0</v>
      </c>
      <c r="K124" s="27">
        <f>K122/(1+'Transmission Formula Rate (7)'!$B$27)</f>
        <v>0</v>
      </c>
      <c r="L124" s="27">
        <f>L122/(1+'Transmission Formula Rate (7)'!$B$27)</f>
        <v>0</v>
      </c>
      <c r="M124" s="27">
        <f>M122/(1+'Transmission Formula Rate (7)'!$B$27)</f>
        <v>0</v>
      </c>
      <c r="N124" s="123">
        <f>SUM(B124:M124)</f>
        <v>0</v>
      </c>
    </row>
    <row r="125" spans="1:15">
      <c r="A125" s="247" t="s">
        <v>20</v>
      </c>
      <c r="B125" s="29">
        <f>B101</f>
        <v>1.59</v>
      </c>
      <c r="C125" s="29">
        <f t="shared" ref="C125:M125" si="259">C101</f>
        <v>1.59</v>
      </c>
      <c r="D125" s="29">
        <f t="shared" si="259"/>
        <v>1.59</v>
      </c>
      <c r="E125" s="29">
        <f t="shared" si="259"/>
        <v>1.59</v>
      </c>
      <c r="F125" s="29">
        <f t="shared" si="259"/>
        <v>1.59</v>
      </c>
      <c r="G125" s="29">
        <f t="shared" si="259"/>
        <v>1.59</v>
      </c>
      <c r="H125" s="29">
        <f t="shared" si="259"/>
        <v>1.59</v>
      </c>
      <c r="I125" s="29">
        <f t="shared" si="259"/>
        <v>1.59</v>
      </c>
      <c r="J125" s="29">
        <f t="shared" si="259"/>
        <v>1.59</v>
      </c>
      <c r="K125" s="29">
        <f t="shared" si="259"/>
        <v>1.59</v>
      </c>
      <c r="L125" s="29">
        <f t="shared" si="259"/>
        <v>1.59</v>
      </c>
      <c r="M125" s="29">
        <f t="shared" si="259"/>
        <v>1.59</v>
      </c>
      <c r="N125" s="19"/>
      <c r="O125" s="270"/>
    </row>
    <row r="126" spans="1:15">
      <c r="A126" s="247" t="s">
        <v>17</v>
      </c>
      <c r="B126" s="20">
        <f>B122*B125</f>
        <v>0</v>
      </c>
      <c r="C126" s="20">
        <f t="shared" ref="C126" si="260">C122*C125</f>
        <v>0</v>
      </c>
      <c r="D126" s="20">
        <f t="shared" ref="D126" si="261">D122*D125</f>
        <v>0</v>
      </c>
      <c r="E126" s="20">
        <f t="shared" ref="E126" si="262">E122*E125</f>
        <v>0</v>
      </c>
      <c r="F126" s="20">
        <f t="shared" ref="F126" si="263">F122*F125</f>
        <v>0</v>
      </c>
      <c r="G126" s="20">
        <f t="shared" ref="G126" si="264">G122*G125</f>
        <v>0</v>
      </c>
      <c r="H126" s="20">
        <f t="shared" ref="H126" si="265">H122*H125</f>
        <v>0</v>
      </c>
      <c r="I126" s="20">
        <f t="shared" ref="I126" si="266">I122*I125</f>
        <v>0</v>
      </c>
      <c r="J126" s="20">
        <f t="shared" ref="J126" si="267">J122*J125</f>
        <v>0</v>
      </c>
      <c r="K126" s="20">
        <f t="shared" ref="K126" si="268">K122*K125</f>
        <v>0</v>
      </c>
      <c r="L126" s="20">
        <f t="shared" ref="L126" si="269">L122*L125</f>
        <v>0</v>
      </c>
      <c r="M126" s="20">
        <f t="shared" ref="M126" si="270">M122*M125</f>
        <v>0</v>
      </c>
      <c r="N126" s="20">
        <f>SUM(B126:M126)</f>
        <v>0</v>
      </c>
    </row>
    <row r="128" spans="1:15">
      <c r="A128" s="247" t="s">
        <v>135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14">
      <c r="A129" s="249" t="s">
        <v>47</v>
      </c>
      <c r="B129" s="232">
        <f>B122</f>
        <v>0</v>
      </c>
      <c r="C129" s="232">
        <f t="shared" ref="C129:M129" si="271">C122</f>
        <v>0</v>
      </c>
      <c r="D129" s="232">
        <f t="shared" si="271"/>
        <v>0</v>
      </c>
      <c r="E129" s="232">
        <f t="shared" si="271"/>
        <v>0</v>
      </c>
      <c r="F129" s="232">
        <f t="shared" si="271"/>
        <v>0</v>
      </c>
      <c r="G129" s="232">
        <f t="shared" si="271"/>
        <v>0</v>
      </c>
      <c r="H129" s="232">
        <f t="shared" si="271"/>
        <v>0</v>
      </c>
      <c r="I129" s="232">
        <f t="shared" si="271"/>
        <v>0</v>
      </c>
      <c r="J129" s="232">
        <f t="shared" si="271"/>
        <v>0</v>
      </c>
      <c r="K129" s="232">
        <f t="shared" si="271"/>
        <v>0</v>
      </c>
      <c r="L129" s="232">
        <f t="shared" si="271"/>
        <v>0</v>
      </c>
      <c r="M129" s="232">
        <f t="shared" si="271"/>
        <v>0</v>
      </c>
      <c r="N129" s="20">
        <f>SUM(B129:M129)</f>
        <v>0</v>
      </c>
    </row>
    <row r="130" spans="1:14">
      <c r="A130" s="249" t="s">
        <v>45</v>
      </c>
      <c r="B130" s="27">
        <f>B129-B131</f>
        <v>0</v>
      </c>
      <c r="C130" s="27">
        <f t="shared" ref="C130" si="272">C129-C131</f>
        <v>0</v>
      </c>
      <c r="D130" s="27">
        <f t="shared" ref="D130" si="273">D129-D131</f>
        <v>0</v>
      </c>
      <c r="E130" s="27">
        <f t="shared" ref="E130" si="274">E129-E131</f>
        <v>0</v>
      </c>
      <c r="F130" s="27">
        <f t="shared" ref="F130" si="275">F129-F131</f>
        <v>0</v>
      </c>
      <c r="G130" s="27">
        <f t="shared" ref="G130" si="276">G129-G131</f>
        <v>0</v>
      </c>
      <c r="H130" s="27">
        <f t="shared" ref="H130" si="277">H129-H131</f>
        <v>0</v>
      </c>
      <c r="I130" s="27">
        <f t="shared" ref="I130" si="278">I129-I131</f>
        <v>0</v>
      </c>
      <c r="J130" s="27">
        <f t="shared" ref="J130" si="279">J129-J131</f>
        <v>0</v>
      </c>
      <c r="K130" s="27">
        <f t="shared" ref="K130" si="280">K129-K131</f>
        <v>0</v>
      </c>
      <c r="L130" s="27">
        <f t="shared" ref="L130" si="281">L129-L131</f>
        <v>0</v>
      </c>
      <c r="M130" s="27">
        <f t="shared" ref="M130" si="282">M129-M131</f>
        <v>0</v>
      </c>
      <c r="N130" s="20">
        <f>SUM(B130:M130)</f>
        <v>0</v>
      </c>
    </row>
    <row r="131" spans="1:14">
      <c r="A131" s="249" t="str">
        <f>$A$14</f>
        <v xml:space="preserve">       New Smyrna Load</v>
      </c>
      <c r="B131" s="27">
        <f>B129/(1+'Transmission Formula Rate (7)'!$B$27)</f>
        <v>0</v>
      </c>
      <c r="C131" s="27">
        <f>C129/(1+'Transmission Formula Rate (7)'!$B$27)</f>
        <v>0</v>
      </c>
      <c r="D131" s="27">
        <f>D129/(1+'Transmission Formula Rate (7)'!$B$27)</f>
        <v>0</v>
      </c>
      <c r="E131" s="27">
        <f>E129/(1+'Transmission Formula Rate (7)'!$B$27)</f>
        <v>0</v>
      </c>
      <c r="F131" s="27">
        <f>F129/(1+'Transmission Formula Rate (7)'!$B$27)</f>
        <v>0</v>
      </c>
      <c r="G131" s="27">
        <f>G129/(1+'Transmission Formula Rate (7)'!$B$27)</f>
        <v>0</v>
      </c>
      <c r="H131" s="27">
        <f>H129/(1+'Transmission Formula Rate (7)'!$B$27)</f>
        <v>0</v>
      </c>
      <c r="I131" s="27">
        <f>I129/(1+'Transmission Formula Rate (7)'!$B$27)</f>
        <v>0</v>
      </c>
      <c r="J131" s="27">
        <f>J129/(1+'Transmission Formula Rate (7)'!$B$27)</f>
        <v>0</v>
      </c>
      <c r="K131" s="27">
        <f>K129/(1+'Transmission Formula Rate (7)'!$B$27)</f>
        <v>0</v>
      </c>
      <c r="L131" s="27">
        <f>L129/(1+'Transmission Formula Rate (7)'!$B$27)</f>
        <v>0</v>
      </c>
      <c r="M131" s="27">
        <f>M129/(1+'Transmission Formula Rate (7)'!$B$27)</f>
        <v>0</v>
      </c>
      <c r="N131" s="123">
        <f>SUM(B131:M131)</f>
        <v>0</v>
      </c>
    </row>
    <row r="132" spans="1:14">
      <c r="A132" s="247" t="s">
        <v>143</v>
      </c>
      <c r="B132" s="31">
        <f>'charges (1 &amp; 2)'!$H$38</f>
        <v>1.274E-2</v>
      </c>
      <c r="C132" s="31">
        <f>B132</f>
        <v>1.274E-2</v>
      </c>
      <c r="D132" s="31">
        <f t="shared" ref="D132" si="283">C132</f>
        <v>1.274E-2</v>
      </c>
      <c r="E132" s="31">
        <f t="shared" ref="E132" si="284">D132</f>
        <v>1.274E-2</v>
      </c>
      <c r="F132" s="31">
        <f t="shared" ref="F132" si="285">E132</f>
        <v>1.274E-2</v>
      </c>
      <c r="G132" s="31">
        <f t="shared" ref="G132" si="286">F132</f>
        <v>1.274E-2</v>
      </c>
      <c r="H132" s="31">
        <f t="shared" ref="H132" si="287">G132</f>
        <v>1.274E-2</v>
      </c>
      <c r="I132" s="31">
        <f t="shared" ref="I132" si="288">H132</f>
        <v>1.274E-2</v>
      </c>
      <c r="J132" s="31">
        <f t="shared" ref="J132" si="289">I132</f>
        <v>1.274E-2</v>
      </c>
      <c r="K132" s="31">
        <f t="shared" ref="K132" si="290">J132</f>
        <v>1.274E-2</v>
      </c>
      <c r="L132" s="31">
        <f t="shared" ref="L132" si="291">K132</f>
        <v>1.274E-2</v>
      </c>
      <c r="M132" s="31">
        <f t="shared" ref="M132" si="292">L132</f>
        <v>1.274E-2</v>
      </c>
      <c r="N132" s="19"/>
    </row>
    <row r="133" spans="1:14">
      <c r="A133" s="247" t="s">
        <v>17</v>
      </c>
      <c r="B133" s="20">
        <f>B129*B132</f>
        <v>0</v>
      </c>
      <c r="C133" s="20">
        <f t="shared" ref="C133" si="293">C129*C132</f>
        <v>0</v>
      </c>
      <c r="D133" s="20">
        <f t="shared" ref="D133" si="294">D129*D132</f>
        <v>0</v>
      </c>
      <c r="E133" s="20">
        <f t="shared" ref="E133" si="295">E129*E132</f>
        <v>0</v>
      </c>
      <c r="F133" s="20">
        <f t="shared" ref="F133" si="296">F129*F132</f>
        <v>0</v>
      </c>
      <c r="G133" s="20">
        <f t="shared" ref="G133" si="297">G129*G132</f>
        <v>0</v>
      </c>
      <c r="H133" s="20">
        <f t="shared" ref="H133" si="298">H129*H132</f>
        <v>0</v>
      </c>
      <c r="I133" s="20">
        <f t="shared" ref="I133" si="299">I129*I132</f>
        <v>0</v>
      </c>
      <c r="J133" s="20">
        <f t="shared" ref="J133" si="300">J129*J132</f>
        <v>0</v>
      </c>
      <c r="K133" s="20">
        <f t="shared" ref="K133" si="301">K129*K132</f>
        <v>0</v>
      </c>
      <c r="L133" s="20">
        <f t="shared" ref="L133" si="302">L129*L132</f>
        <v>0</v>
      </c>
      <c r="M133" s="20">
        <f t="shared" ref="M133" si="303">M129*M132</f>
        <v>0</v>
      </c>
      <c r="N133" s="20">
        <f>SUM(B133:M133)</f>
        <v>0</v>
      </c>
    </row>
    <row r="135" spans="1:14">
      <c r="A135" s="247" t="s">
        <v>38</v>
      </c>
    </row>
    <row r="136" spans="1:14">
      <c r="A136" s="249" t="s">
        <v>47</v>
      </c>
      <c r="B136" s="232">
        <f>B122</f>
        <v>0</v>
      </c>
      <c r="C136" s="232">
        <f t="shared" ref="C136:M136" si="304">C122</f>
        <v>0</v>
      </c>
      <c r="D136" s="232">
        <f t="shared" si="304"/>
        <v>0</v>
      </c>
      <c r="E136" s="232">
        <f t="shared" si="304"/>
        <v>0</v>
      </c>
      <c r="F136" s="232">
        <f t="shared" si="304"/>
        <v>0</v>
      </c>
      <c r="G136" s="232">
        <f t="shared" si="304"/>
        <v>0</v>
      </c>
      <c r="H136" s="232">
        <f t="shared" si="304"/>
        <v>0</v>
      </c>
      <c r="I136" s="232">
        <f t="shared" si="304"/>
        <v>0</v>
      </c>
      <c r="J136" s="232">
        <f t="shared" si="304"/>
        <v>0</v>
      </c>
      <c r="K136" s="232">
        <f t="shared" si="304"/>
        <v>0</v>
      </c>
      <c r="L136" s="232">
        <f t="shared" si="304"/>
        <v>0</v>
      </c>
      <c r="M136" s="232">
        <f t="shared" si="304"/>
        <v>0</v>
      </c>
      <c r="N136" s="20">
        <f>SUM(B136:M136)</f>
        <v>0</v>
      </c>
    </row>
    <row r="137" spans="1:14">
      <c r="A137" s="249" t="s">
        <v>45</v>
      </c>
      <c r="B137" s="27">
        <f>B136-B138</f>
        <v>0</v>
      </c>
      <c r="C137" s="27">
        <f t="shared" ref="C137" si="305">C136-C138</f>
        <v>0</v>
      </c>
      <c r="D137" s="27">
        <f t="shared" ref="D137" si="306">D136-D138</f>
        <v>0</v>
      </c>
      <c r="E137" s="27">
        <f t="shared" ref="E137" si="307">E136-E138</f>
        <v>0</v>
      </c>
      <c r="F137" s="27">
        <f t="shared" ref="F137" si="308">F136-F138</f>
        <v>0</v>
      </c>
      <c r="G137" s="27">
        <f t="shared" ref="G137" si="309">G136-G138</f>
        <v>0</v>
      </c>
      <c r="H137" s="27">
        <f t="shared" ref="H137" si="310">H136-H138</f>
        <v>0</v>
      </c>
      <c r="I137" s="27">
        <f t="shared" ref="I137" si="311">I136-I138</f>
        <v>0</v>
      </c>
      <c r="J137" s="27">
        <f t="shared" ref="J137" si="312">J136-J138</f>
        <v>0</v>
      </c>
      <c r="K137" s="27">
        <f t="shared" ref="K137" si="313">K136-K138</f>
        <v>0</v>
      </c>
      <c r="L137" s="27">
        <f t="shared" ref="L137" si="314">L136-L138</f>
        <v>0</v>
      </c>
      <c r="M137" s="27">
        <f t="shared" ref="M137" si="315">M136-M138</f>
        <v>0</v>
      </c>
      <c r="N137" s="23"/>
    </row>
    <row r="138" spans="1:14">
      <c r="A138" s="249" t="str">
        <f>$A$14</f>
        <v xml:space="preserve">       New Smyrna Load</v>
      </c>
      <c r="B138" s="27">
        <f>B136/(1+'Transmission Formula Rate (7)'!$B$27)</f>
        <v>0</v>
      </c>
      <c r="C138" s="27">
        <f>C136/(1+'Transmission Formula Rate (7)'!$B$27)</f>
        <v>0</v>
      </c>
      <c r="D138" s="27">
        <f>D136/(1+'Transmission Formula Rate (7)'!$B$27)</f>
        <v>0</v>
      </c>
      <c r="E138" s="27">
        <f>E136/(1+'Transmission Formula Rate (7)'!$B$27)</f>
        <v>0</v>
      </c>
      <c r="F138" s="27">
        <f>F136/(1+'Transmission Formula Rate (7)'!$B$27)</f>
        <v>0</v>
      </c>
      <c r="G138" s="27">
        <f>G136/(1+'Transmission Formula Rate (7)'!$B$27)</f>
        <v>0</v>
      </c>
      <c r="H138" s="27">
        <f>H136/(1+'Transmission Formula Rate (7)'!$B$27)</f>
        <v>0</v>
      </c>
      <c r="I138" s="27">
        <f>I136/(1+'Transmission Formula Rate (7)'!$B$27)</f>
        <v>0</v>
      </c>
      <c r="J138" s="27">
        <f>J136/(1+'Transmission Formula Rate (7)'!$B$27)</f>
        <v>0</v>
      </c>
      <c r="K138" s="27">
        <f>K136/(1+'Transmission Formula Rate (7)'!$B$27)</f>
        <v>0</v>
      </c>
      <c r="L138" s="27">
        <f>L136/(1+'Transmission Formula Rate (7)'!$B$27)</f>
        <v>0</v>
      </c>
      <c r="M138" s="27">
        <f>M136/(1+'Transmission Formula Rate (7)'!$B$27)</f>
        <v>0</v>
      </c>
      <c r="N138" s="23"/>
    </row>
    <row r="139" spans="1:14">
      <c r="A139" s="247" t="s">
        <v>144</v>
      </c>
      <c r="B139" s="31">
        <f>'charges (1 &amp; 2)'!H10</f>
        <v>0.1008</v>
      </c>
      <c r="C139" s="31">
        <f>B139</f>
        <v>0.1008</v>
      </c>
      <c r="D139" s="31">
        <f t="shared" ref="D139:M139" si="316">C139</f>
        <v>0.1008</v>
      </c>
      <c r="E139" s="31">
        <f t="shared" si="316"/>
        <v>0.1008</v>
      </c>
      <c r="F139" s="31">
        <f t="shared" si="316"/>
        <v>0.1008</v>
      </c>
      <c r="G139" s="31">
        <f t="shared" si="316"/>
        <v>0.1008</v>
      </c>
      <c r="H139" s="31">
        <f t="shared" si="316"/>
        <v>0.1008</v>
      </c>
      <c r="I139" s="31">
        <f t="shared" si="316"/>
        <v>0.1008</v>
      </c>
      <c r="J139" s="31">
        <f t="shared" si="316"/>
        <v>0.1008</v>
      </c>
      <c r="K139" s="31">
        <f t="shared" si="316"/>
        <v>0.1008</v>
      </c>
      <c r="L139" s="31">
        <f t="shared" si="316"/>
        <v>0.1008</v>
      </c>
      <c r="M139" s="31">
        <f t="shared" si="316"/>
        <v>0.1008</v>
      </c>
      <c r="N139" s="23"/>
    </row>
    <row r="140" spans="1:14">
      <c r="A140" s="247" t="s">
        <v>17</v>
      </c>
      <c r="B140" s="20">
        <f>B136*B139</f>
        <v>0</v>
      </c>
      <c r="C140" s="20">
        <f t="shared" ref="C140" si="317">C136*C139</f>
        <v>0</v>
      </c>
      <c r="D140" s="20">
        <f t="shared" ref="D140" si="318">D136*D139</f>
        <v>0</v>
      </c>
      <c r="E140" s="20">
        <f t="shared" ref="E140" si="319">E136*E139</f>
        <v>0</v>
      </c>
      <c r="F140" s="20">
        <f t="shared" ref="F140" si="320">F136*F139</f>
        <v>0</v>
      </c>
      <c r="G140" s="20">
        <f t="shared" ref="G140" si="321">G136*G139</f>
        <v>0</v>
      </c>
      <c r="H140" s="20">
        <f t="shared" ref="H140" si="322">H136*H139</f>
        <v>0</v>
      </c>
      <c r="I140" s="20">
        <f t="shared" ref="I140" si="323">I136*I139</f>
        <v>0</v>
      </c>
      <c r="J140" s="20">
        <f t="shared" ref="J140" si="324">J136*J139</f>
        <v>0</v>
      </c>
      <c r="K140" s="20">
        <f t="shared" ref="K140" si="325">K136*K139</f>
        <v>0</v>
      </c>
      <c r="L140" s="20">
        <f t="shared" ref="L140" si="326">L136*L139</f>
        <v>0</v>
      </c>
      <c r="M140" s="20">
        <f t="shared" ref="M140" si="327">M136*M139</f>
        <v>0</v>
      </c>
      <c r="N140" s="23"/>
    </row>
    <row r="141" spans="1:14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1:14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1:14">
      <c r="B143" s="23" t="s">
        <v>0</v>
      </c>
      <c r="C143" s="23" t="s">
        <v>1</v>
      </c>
      <c r="D143" s="23" t="s">
        <v>2</v>
      </c>
      <c r="E143" s="23" t="s">
        <v>3</v>
      </c>
      <c r="F143" s="23" t="s">
        <v>4</v>
      </c>
      <c r="G143" s="23" t="s">
        <v>5</v>
      </c>
      <c r="H143" s="23" t="s">
        <v>6</v>
      </c>
      <c r="I143" s="23" t="s">
        <v>7</v>
      </c>
      <c r="J143" s="23" t="s">
        <v>8</v>
      </c>
      <c r="K143" s="23" t="s">
        <v>9</v>
      </c>
      <c r="L143" s="23" t="s">
        <v>10</v>
      </c>
      <c r="M143" s="23" t="s">
        <v>11</v>
      </c>
      <c r="N143" s="23" t="s">
        <v>12</v>
      </c>
    </row>
    <row r="144" spans="1:14">
      <c r="A144" s="248">
        <f>A120+1</f>
        <v>2020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>
      <c r="A145" s="247" t="s">
        <v>37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>
      <c r="A146" s="249" t="s">
        <v>47</v>
      </c>
      <c r="B146" s="232">
        <v>0</v>
      </c>
      <c r="C146" s="232">
        <v>0</v>
      </c>
      <c r="D146" s="232">
        <v>0</v>
      </c>
      <c r="E146" s="232"/>
      <c r="F146" s="232"/>
      <c r="G146" s="232"/>
      <c r="H146" s="232"/>
      <c r="I146" s="232"/>
      <c r="J146" s="232"/>
      <c r="K146" s="232"/>
      <c r="L146" s="232"/>
      <c r="M146" s="232"/>
      <c r="N146" s="20">
        <f>SUM(B146:M146)</f>
        <v>0</v>
      </c>
    </row>
    <row r="147" spans="1:14">
      <c r="A147" s="249" t="s">
        <v>45</v>
      </c>
      <c r="B147" s="27">
        <f>B146-B148</f>
        <v>0</v>
      </c>
      <c r="C147" s="27">
        <f t="shared" ref="C147" si="328">C146-C148</f>
        <v>0</v>
      </c>
      <c r="D147" s="27">
        <f t="shared" ref="D147" si="329">D146-D148</f>
        <v>0</v>
      </c>
      <c r="E147" s="27">
        <f t="shared" ref="E147" si="330">E146-E148</f>
        <v>0</v>
      </c>
      <c r="F147" s="27">
        <f t="shared" ref="F147" si="331">F146-F148</f>
        <v>0</v>
      </c>
      <c r="G147" s="27">
        <f t="shared" ref="G147" si="332">G146-G148</f>
        <v>0</v>
      </c>
      <c r="H147" s="27">
        <f t="shared" ref="H147" si="333">H146-H148</f>
        <v>0</v>
      </c>
      <c r="I147" s="27">
        <f t="shared" ref="I147" si="334">I146-I148</f>
        <v>0</v>
      </c>
      <c r="J147" s="27">
        <f t="shared" ref="J147" si="335">J146-J148</f>
        <v>0</v>
      </c>
      <c r="K147" s="27">
        <f t="shared" ref="K147" si="336">K146-K148</f>
        <v>0</v>
      </c>
      <c r="L147" s="27">
        <f t="shared" ref="L147" si="337">L146-L148</f>
        <v>0</v>
      </c>
      <c r="M147" s="27">
        <f t="shared" ref="M147" si="338">M146-M148</f>
        <v>0</v>
      </c>
      <c r="N147" s="20">
        <f>SUM(B147:M147)</f>
        <v>0</v>
      </c>
    </row>
    <row r="148" spans="1:14">
      <c r="A148" s="249" t="str">
        <f>$A$14</f>
        <v xml:space="preserve">       New Smyrna Load</v>
      </c>
      <c r="B148" s="27">
        <f>B146/(1+'Transmission Formula Rate (7)'!$B$27)</f>
        <v>0</v>
      </c>
      <c r="C148" s="27">
        <f>C146/(1+'Transmission Formula Rate (7)'!$B$27)</f>
        <v>0</v>
      </c>
      <c r="D148" s="27">
        <f>D146/(1+'Transmission Formula Rate (7)'!$B$27)</f>
        <v>0</v>
      </c>
      <c r="E148" s="27">
        <f>E146/(1+'Transmission Formula Rate (7)'!$B$27)</f>
        <v>0</v>
      </c>
      <c r="F148" s="27">
        <f>F146/(1+'Transmission Formula Rate (7)'!$B$27)</f>
        <v>0</v>
      </c>
      <c r="G148" s="27">
        <f>G146/(1+'Transmission Formula Rate (7)'!$B$27)</f>
        <v>0</v>
      </c>
      <c r="H148" s="27">
        <f>H146/(1+'Transmission Formula Rate (7)'!$B$27)</f>
        <v>0</v>
      </c>
      <c r="I148" s="27">
        <f>I146/(1+'Transmission Formula Rate (7)'!$B$27)</f>
        <v>0</v>
      </c>
      <c r="J148" s="27">
        <f>J146/(1+'Transmission Formula Rate (7)'!$B$27)</f>
        <v>0</v>
      </c>
      <c r="K148" s="27">
        <f>K146/(1+'Transmission Formula Rate (7)'!$B$27)</f>
        <v>0</v>
      </c>
      <c r="L148" s="27">
        <f>L146/(1+'Transmission Formula Rate (7)'!$B$27)</f>
        <v>0</v>
      </c>
      <c r="M148" s="27">
        <f>M146/(1+'Transmission Formula Rate (7)'!$B$27)</f>
        <v>0</v>
      </c>
      <c r="N148" s="123">
        <f>SUM(B148:M148)</f>
        <v>0</v>
      </c>
    </row>
    <row r="149" spans="1:14">
      <c r="A149" s="247" t="s">
        <v>20</v>
      </c>
      <c r="B149" s="29">
        <f>B125</f>
        <v>1.59</v>
      </c>
      <c r="C149" s="29">
        <f t="shared" ref="C149:M149" si="339">C125</f>
        <v>1.59</v>
      </c>
      <c r="D149" s="29">
        <f t="shared" si="339"/>
        <v>1.59</v>
      </c>
      <c r="E149" s="29">
        <f t="shared" si="339"/>
        <v>1.59</v>
      </c>
      <c r="F149" s="29">
        <f t="shared" si="339"/>
        <v>1.59</v>
      </c>
      <c r="G149" s="29">
        <f t="shared" si="339"/>
        <v>1.59</v>
      </c>
      <c r="H149" s="29">
        <f t="shared" si="339"/>
        <v>1.59</v>
      </c>
      <c r="I149" s="29">
        <f t="shared" si="339"/>
        <v>1.59</v>
      </c>
      <c r="J149" s="29">
        <f t="shared" si="339"/>
        <v>1.59</v>
      </c>
      <c r="K149" s="29">
        <f t="shared" si="339"/>
        <v>1.59</v>
      </c>
      <c r="L149" s="29">
        <f t="shared" si="339"/>
        <v>1.59</v>
      </c>
      <c r="M149" s="29">
        <f t="shared" si="339"/>
        <v>1.59</v>
      </c>
      <c r="N149" s="19"/>
    </row>
    <row r="150" spans="1:14">
      <c r="A150" s="247" t="s">
        <v>17</v>
      </c>
      <c r="B150" s="20">
        <f>B146*B149</f>
        <v>0</v>
      </c>
      <c r="C150" s="20">
        <f t="shared" ref="C150" si="340">C146*C149</f>
        <v>0</v>
      </c>
      <c r="D150" s="20">
        <f t="shared" ref="D150" si="341">D146*D149</f>
        <v>0</v>
      </c>
      <c r="E150" s="20">
        <f t="shared" ref="E150" si="342">E146*E149</f>
        <v>0</v>
      </c>
      <c r="F150" s="20">
        <f t="shared" ref="F150" si="343">F146*F149</f>
        <v>0</v>
      </c>
      <c r="G150" s="20">
        <f t="shared" ref="G150" si="344">G146*G149</f>
        <v>0</v>
      </c>
      <c r="H150" s="20">
        <f t="shared" ref="H150" si="345">H146*H149</f>
        <v>0</v>
      </c>
      <c r="I150" s="20">
        <f t="shared" ref="I150" si="346">I146*I149</f>
        <v>0</v>
      </c>
      <c r="J150" s="20">
        <f t="shared" ref="J150" si="347">J146*J149</f>
        <v>0</v>
      </c>
      <c r="K150" s="20">
        <f t="shared" ref="K150" si="348">K146*K149</f>
        <v>0</v>
      </c>
      <c r="L150" s="20">
        <f t="shared" ref="L150" si="349">L146*L149</f>
        <v>0</v>
      </c>
      <c r="M150" s="20">
        <f t="shared" ref="M150" si="350">M146*M149</f>
        <v>0</v>
      </c>
      <c r="N150" s="20">
        <f>SUM(B150:M150)</f>
        <v>0</v>
      </c>
    </row>
    <row r="152" spans="1:14">
      <c r="A152" s="247" t="s">
        <v>135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>
      <c r="A153" s="249" t="s">
        <v>47</v>
      </c>
      <c r="B153" s="232">
        <f>B146</f>
        <v>0</v>
      </c>
      <c r="C153" s="232">
        <f t="shared" ref="C153:M153" si="351">C146</f>
        <v>0</v>
      </c>
      <c r="D153" s="232">
        <f t="shared" si="351"/>
        <v>0</v>
      </c>
      <c r="E153" s="232">
        <f t="shared" si="351"/>
        <v>0</v>
      </c>
      <c r="F153" s="232">
        <f t="shared" si="351"/>
        <v>0</v>
      </c>
      <c r="G153" s="232">
        <f t="shared" si="351"/>
        <v>0</v>
      </c>
      <c r="H153" s="232">
        <f t="shared" si="351"/>
        <v>0</v>
      </c>
      <c r="I153" s="232">
        <f t="shared" si="351"/>
        <v>0</v>
      </c>
      <c r="J153" s="232">
        <f t="shared" si="351"/>
        <v>0</v>
      </c>
      <c r="K153" s="232">
        <f t="shared" si="351"/>
        <v>0</v>
      </c>
      <c r="L153" s="232">
        <f t="shared" si="351"/>
        <v>0</v>
      </c>
      <c r="M153" s="232">
        <f t="shared" si="351"/>
        <v>0</v>
      </c>
      <c r="N153" s="20">
        <f>SUM(B153:M153)</f>
        <v>0</v>
      </c>
    </row>
    <row r="154" spans="1:14">
      <c r="A154" s="249" t="s">
        <v>45</v>
      </c>
      <c r="B154" s="27">
        <f>ROUND(B153*'Transmission Formula Rate (7)'!$B$27,0)</f>
        <v>0</v>
      </c>
      <c r="C154" s="27">
        <f>ROUND(C153*'Transmission Formula Rate (7)'!$B$27,0)</f>
        <v>0</v>
      </c>
      <c r="D154" s="27">
        <f>ROUND(D153*'Transmission Formula Rate (7)'!$B$27,0)</f>
        <v>0</v>
      </c>
      <c r="E154" s="27">
        <f>ROUND(E153*'Transmission Formula Rate (7)'!$B$27,0)</f>
        <v>0</v>
      </c>
      <c r="F154" s="27">
        <f>ROUND(F153*'Transmission Formula Rate (7)'!$B$27,0)</f>
        <v>0</v>
      </c>
      <c r="G154" s="27">
        <f>ROUND(G153*'Transmission Formula Rate (7)'!$B$27,0)</f>
        <v>0</v>
      </c>
      <c r="H154" s="27">
        <f>ROUND(H153*'Transmission Formula Rate (7)'!$B$27,0)</f>
        <v>0</v>
      </c>
      <c r="I154" s="27">
        <f>ROUND(I153*'Transmission Formula Rate (7)'!$B$27,0)</f>
        <v>0</v>
      </c>
      <c r="J154" s="27">
        <f>ROUND(J153*'Transmission Formula Rate (7)'!$B$27,0)</f>
        <v>0</v>
      </c>
      <c r="K154" s="27">
        <f>ROUND(K153*'Transmission Formula Rate (7)'!$B$27,0)</f>
        <v>0</v>
      </c>
      <c r="L154" s="27">
        <f>ROUND(L153*'Transmission Formula Rate (7)'!$B$27,0)</f>
        <v>0</v>
      </c>
      <c r="M154" s="27">
        <f>ROUND(M153*'Transmission Formula Rate (7)'!$B$27,0)</f>
        <v>0</v>
      </c>
      <c r="N154" s="20">
        <f>SUM(B154:M154)</f>
        <v>0</v>
      </c>
    </row>
    <row r="155" spans="1:14">
      <c r="A155" s="249" t="str">
        <f>$A$14</f>
        <v xml:space="preserve">       New Smyrna Load</v>
      </c>
      <c r="B155" s="27">
        <f t="shared" ref="B155:M155" si="352">B153+B154</f>
        <v>0</v>
      </c>
      <c r="C155" s="27">
        <f t="shared" si="352"/>
        <v>0</v>
      </c>
      <c r="D155" s="27">
        <f t="shared" si="352"/>
        <v>0</v>
      </c>
      <c r="E155" s="27">
        <f t="shared" si="352"/>
        <v>0</v>
      </c>
      <c r="F155" s="27">
        <f t="shared" si="352"/>
        <v>0</v>
      </c>
      <c r="G155" s="27">
        <f t="shared" si="352"/>
        <v>0</v>
      </c>
      <c r="H155" s="27">
        <f t="shared" si="352"/>
        <v>0</v>
      </c>
      <c r="I155" s="27">
        <f t="shared" si="352"/>
        <v>0</v>
      </c>
      <c r="J155" s="27">
        <f t="shared" si="352"/>
        <v>0</v>
      </c>
      <c r="K155" s="27">
        <f t="shared" si="352"/>
        <v>0</v>
      </c>
      <c r="L155" s="27">
        <f t="shared" si="352"/>
        <v>0</v>
      </c>
      <c r="M155" s="27">
        <f t="shared" si="352"/>
        <v>0</v>
      </c>
      <c r="N155" s="123">
        <f>SUM(B155:M155)</f>
        <v>0</v>
      </c>
    </row>
    <row r="156" spans="1:14">
      <c r="A156" s="247" t="s">
        <v>143</v>
      </c>
      <c r="B156" s="31">
        <f>'charges (1 &amp; 2)'!$H$38</f>
        <v>1.274E-2</v>
      </c>
      <c r="C156" s="31">
        <f>B156</f>
        <v>1.274E-2</v>
      </c>
      <c r="D156" s="31">
        <f t="shared" ref="D156" si="353">C156</f>
        <v>1.274E-2</v>
      </c>
      <c r="E156" s="31">
        <f t="shared" ref="E156" si="354">D156</f>
        <v>1.274E-2</v>
      </c>
      <c r="F156" s="31">
        <f t="shared" ref="F156" si="355">E156</f>
        <v>1.274E-2</v>
      </c>
      <c r="G156" s="31">
        <f t="shared" ref="G156" si="356">F156</f>
        <v>1.274E-2</v>
      </c>
      <c r="H156" s="31">
        <f t="shared" ref="H156" si="357">G156</f>
        <v>1.274E-2</v>
      </c>
      <c r="I156" s="31">
        <f t="shared" ref="I156" si="358">H156</f>
        <v>1.274E-2</v>
      </c>
      <c r="J156" s="31">
        <f t="shared" ref="J156" si="359">I156</f>
        <v>1.274E-2</v>
      </c>
      <c r="K156" s="31">
        <f t="shared" ref="K156" si="360">J156</f>
        <v>1.274E-2</v>
      </c>
      <c r="L156" s="31">
        <f t="shared" ref="L156" si="361">K156</f>
        <v>1.274E-2</v>
      </c>
      <c r="M156" s="31">
        <f t="shared" ref="M156" si="362">L156</f>
        <v>1.274E-2</v>
      </c>
      <c r="N156" s="19"/>
    </row>
    <row r="157" spans="1:14">
      <c r="A157" s="247" t="s">
        <v>17</v>
      </c>
      <c r="B157" s="20">
        <f>B153*B156</f>
        <v>0</v>
      </c>
      <c r="C157" s="20">
        <f t="shared" ref="C157" si="363">C153*C156</f>
        <v>0</v>
      </c>
      <c r="D157" s="20">
        <f t="shared" ref="D157" si="364">D153*D156</f>
        <v>0</v>
      </c>
      <c r="E157" s="20">
        <f t="shared" ref="E157" si="365">E153*E156</f>
        <v>0</v>
      </c>
      <c r="F157" s="20">
        <f t="shared" ref="F157" si="366">F153*F156</f>
        <v>0</v>
      </c>
      <c r="G157" s="20">
        <f t="shared" ref="G157" si="367">G153*G156</f>
        <v>0</v>
      </c>
      <c r="H157" s="20">
        <f t="shared" ref="H157" si="368">H153*H156</f>
        <v>0</v>
      </c>
      <c r="I157" s="20">
        <f t="shared" ref="I157" si="369">I153*I156</f>
        <v>0</v>
      </c>
      <c r="J157" s="20">
        <f t="shared" ref="J157" si="370">J153*J156</f>
        <v>0</v>
      </c>
      <c r="K157" s="20">
        <f t="shared" ref="K157" si="371">K153*K156</f>
        <v>0</v>
      </c>
      <c r="L157" s="20">
        <f t="shared" ref="L157" si="372">L153*L156</f>
        <v>0</v>
      </c>
      <c r="M157" s="20">
        <f t="shared" ref="M157" si="373">M153*M156</f>
        <v>0</v>
      </c>
      <c r="N157" s="20">
        <f>SUM(B157:M157)</f>
        <v>0</v>
      </c>
    </row>
    <row r="164" spans="1:2">
      <c r="A164" s="243" t="s">
        <v>262</v>
      </c>
      <c r="B164" s="391" t="s">
        <v>335</v>
      </c>
    </row>
    <row r="166" spans="1:2">
      <c r="A166" s="243" t="s">
        <v>336</v>
      </c>
      <c r="B166" s="361" t="s">
        <v>337</v>
      </c>
    </row>
  </sheetData>
  <hyperlinks>
    <hyperlink ref="B164" r:id="rId1"/>
    <hyperlink ref="B166" r:id="rId2"/>
  </hyperlinks>
  <pageMargins left="0.7" right="0.7" top="0.75" bottom="0.75" header="0.3" footer="0.3"/>
  <pageSetup scale="74" orientation="landscape" r:id="rId3"/>
  <rowBreaks count="2" manualBreakCount="2">
    <brk id="47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2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5" width="9" style="270"/>
    <col min="16" max="16" width="8.44140625" style="270" customWidth="1"/>
    <col min="17" max="16384" width="9" style="21"/>
  </cols>
  <sheetData>
    <row r="1" spans="1:18">
      <c r="A1" s="481" t="s">
        <v>473</v>
      </c>
    </row>
    <row r="2" spans="1:18" s="15" customFormat="1" ht="13.8">
      <c r="A2" s="481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267"/>
      <c r="P2" s="267"/>
      <c r="Q2" s="14"/>
      <c r="R2" s="14"/>
    </row>
    <row r="3" spans="1:18" s="15" customFormat="1" ht="13.8">
      <c r="A3" s="244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67"/>
      <c r="P3" s="267"/>
      <c r="Q3" s="14"/>
      <c r="R3" s="14"/>
    </row>
    <row r="4" spans="1:18" s="15" customFormat="1" ht="13.8">
      <c r="A4" s="245" t="s">
        <v>255</v>
      </c>
      <c r="B4" s="14"/>
      <c r="C4" s="14"/>
      <c r="D4" s="14"/>
      <c r="G4" s="14"/>
      <c r="H4" s="14"/>
      <c r="I4" s="14"/>
      <c r="J4" s="14"/>
      <c r="K4" s="14"/>
      <c r="L4" s="14"/>
      <c r="M4" s="14"/>
      <c r="O4" s="267"/>
      <c r="P4" s="267"/>
      <c r="Q4" s="14"/>
      <c r="R4" s="14"/>
    </row>
    <row r="5" spans="1:18" s="15" customFormat="1" ht="13.8">
      <c r="A5" s="246"/>
      <c r="B5" s="238">
        <v>1</v>
      </c>
      <c r="C5" s="238">
        <f>1+B5</f>
        <v>2</v>
      </c>
      <c r="D5" s="238">
        <f t="shared" ref="D5:M5" si="0">1+C5</f>
        <v>3</v>
      </c>
      <c r="E5" s="238">
        <f t="shared" si="0"/>
        <v>4</v>
      </c>
      <c r="F5" s="238">
        <f t="shared" si="0"/>
        <v>5</v>
      </c>
      <c r="G5" s="238">
        <f t="shared" si="0"/>
        <v>6</v>
      </c>
      <c r="H5" s="238">
        <f t="shared" si="0"/>
        <v>7</v>
      </c>
      <c r="I5" s="238">
        <f t="shared" si="0"/>
        <v>8</v>
      </c>
      <c r="J5" s="238">
        <f t="shared" si="0"/>
        <v>9</v>
      </c>
      <c r="K5" s="238">
        <f t="shared" si="0"/>
        <v>10</v>
      </c>
      <c r="L5" s="238">
        <f t="shared" si="0"/>
        <v>11</v>
      </c>
      <c r="M5" s="238">
        <f t="shared" si="0"/>
        <v>12</v>
      </c>
      <c r="O5" s="268"/>
      <c r="P5" s="268"/>
    </row>
    <row r="6" spans="1:18" s="19" customFormat="1" ht="10.199999999999999">
      <c r="A6" s="246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  <c r="O6" s="269"/>
      <c r="P6" s="269"/>
    </row>
    <row r="7" spans="1:18" s="19" customFormat="1" ht="10.199999999999999">
      <c r="A7" s="247"/>
      <c r="O7" s="485" t="s">
        <v>127</v>
      </c>
      <c r="P7" s="485"/>
    </row>
    <row r="8" spans="1:18" s="19" customFormat="1" ht="10.199999999999999">
      <c r="A8" s="24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69"/>
      <c r="P8" s="269"/>
    </row>
    <row r="9" spans="1:18">
      <c r="B9" s="23" t="s">
        <v>0</v>
      </c>
      <c r="C9" s="23" t="s">
        <v>1</v>
      </c>
      <c r="D9" s="23" t="s">
        <v>2</v>
      </c>
      <c r="E9" s="23" t="s">
        <v>3</v>
      </c>
      <c r="F9" s="23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23" t="s">
        <v>9</v>
      </c>
      <c r="L9" s="23" t="s">
        <v>10</v>
      </c>
      <c r="M9" s="23" t="s">
        <v>11</v>
      </c>
      <c r="N9" s="23" t="s">
        <v>12</v>
      </c>
    </row>
    <row r="10" spans="1:18">
      <c r="A10" s="248">
        <v>2014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8">
      <c r="A11" s="247" t="s">
        <v>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8">
      <c r="A12" s="249" t="s">
        <v>47</v>
      </c>
      <c r="B12" s="232">
        <f>'Blountstown Forecast'!E10</f>
        <v>4000</v>
      </c>
      <c r="C12" s="232">
        <f>'Blountstown Forecast'!F10</f>
        <v>7000</v>
      </c>
      <c r="D12" s="232">
        <f>'Blountstown Forecast'!G10</f>
        <v>4000</v>
      </c>
      <c r="E12" s="232">
        <f>'Blountstown Forecast'!H10</f>
        <v>3000</v>
      </c>
      <c r="F12" s="232">
        <f>'Blountstown Forecast'!I10</f>
        <v>7000</v>
      </c>
      <c r="G12" s="232">
        <f>'Blountstown Forecast'!J10</f>
        <v>7000</v>
      </c>
      <c r="H12" s="232">
        <f>'Blountstown Forecast'!K10</f>
        <v>7000</v>
      </c>
      <c r="I12" s="232">
        <f>'Blountstown Forecast'!L10</f>
        <v>8000</v>
      </c>
      <c r="J12" s="232">
        <f>'Blountstown Forecast'!M10</f>
        <v>8000</v>
      </c>
      <c r="K12" s="232">
        <f>'Blountstown Forecast'!N10</f>
        <v>7000</v>
      </c>
      <c r="L12" s="232">
        <f>'Blountstown Forecast'!O10</f>
        <v>7000</v>
      </c>
      <c r="M12" s="232">
        <f>'Blountstown Forecast'!P10</f>
        <v>4000</v>
      </c>
      <c r="N12" s="20">
        <f>SUM(B12:M12)</f>
        <v>73000</v>
      </c>
      <c r="O12" s="272">
        <f>'Blountstown Forecast'!Q11</f>
        <v>82000</v>
      </c>
      <c r="P12" s="271">
        <f>N12-O12</f>
        <v>-9000</v>
      </c>
    </row>
    <row r="13" spans="1:18">
      <c r="A13" s="249" t="s">
        <v>45</v>
      </c>
      <c r="B13" s="27">
        <f>ROUND(B12*'Transmission Formula Rate (7)'!$B$27,0)</f>
        <v>74</v>
      </c>
      <c r="C13" s="27">
        <f>ROUND(C12*'Transmission Formula Rate (7)'!$B$27,0)</f>
        <v>130</v>
      </c>
      <c r="D13" s="27">
        <f>ROUND(D12*'Transmission Formula Rate (7)'!$B$27,0)</f>
        <v>74</v>
      </c>
      <c r="E13" s="27">
        <f>ROUND(E12*'Transmission Formula Rate (7)'!$B$27,0)</f>
        <v>56</v>
      </c>
      <c r="F13" s="27">
        <f>ROUND(F12*'Transmission Formula Rate (7)'!$B$27,0)</f>
        <v>130</v>
      </c>
      <c r="G13" s="27">
        <f>ROUND(G12*'Transmission Formula Rate (7)'!$B$27,0)</f>
        <v>130</v>
      </c>
      <c r="H13" s="27">
        <f>ROUND(H12*'Transmission Formula Rate (7)'!$B$27,0)</f>
        <v>130</v>
      </c>
      <c r="I13" s="27">
        <f>ROUND(I12*'Transmission Formula Rate (7)'!$B$27,0)</f>
        <v>148</v>
      </c>
      <c r="J13" s="27">
        <f>ROUND(J12*'Transmission Formula Rate (7)'!$B$27,0)</f>
        <v>148</v>
      </c>
      <c r="K13" s="27">
        <f>ROUND(K12*'Transmission Formula Rate (7)'!$B$27,0)</f>
        <v>130</v>
      </c>
      <c r="L13" s="27">
        <f>ROUND(L12*'Transmission Formula Rate (7)'!$B$27,0)</f>
        <v>130</v>
      </c>
      <c r="M13" s="27">
        <f>ROUND(M12*'Transmission Formula Rate (7)'!$B$27,0)</f>
        <v>74</v>
      </c>
      <c r="N13" s="20">
        <f>SUM(B13:M13)</f>
        <v>1354</v>
      </c>
    </row>
    <row r="14" spans="1:18">
      <c r="A14" s="249" t="s">
        <v>281</v>
      </c>
      <c r="B14" s="27">
        <f t="shared" ref="B14:M14" si="1">B12+B13</f>
        <v>4074</v>
      </c>
      <c r="C14" s="27">
        <f t="shared" si="1"/>
        <v>7130</v>
      </c>
      <c r="D14" s="27">
        <f t="shared" si="1"/>
        <v>4074</v>
      </c>
      <c r="E14" s="27">
        <f t="shared" si="1"/>
        <v>3056</v>
      </c>
      <c r="F14" s="27">
        <f t="shared" si="1"/>
        <v>7130</v>
      </c>
      <c r="G14" s="27">
        <f t="shared" si="1"/>
        <v>7130</v>
      </c>
      <c r="H14" s="27">
        <f t="shared" si="1"/>
        <v>7130</v>
      </c>
      <c r="I14" s="27">
        <f t="shared" si="1"/>
        <v>8148</v>
      </c>
      <c r="J14" s="27">
        <f t="shared" si="1"/>
        <v>8148</v>
      </c>
      <c r="K14" s="27">
        <f t="shared" si="1"/>
        <v>7130</v>
      </c>
      <c r="L14" s="27">
        <f t="shared" si="1"/>
        <v>7130</v>
      </c>
      <c r="M14" s="27">
        <f t="shared" si="1"/>
        <v>4074</v>
      </c>
      <c r="N14" s="123">
        <f>SUM(B14:M14)</f>
        <v>74354</v>
      </c>
    </row>
    <row r="15" spans="1:18">
      <c r="A15" s="247" t="s">
        <v>20</v>
      </c>
      <c r="B15" s="29">
        <f>'Transmission Formula Rate (7)'!B8</f>
        <v>1.59</v>
      </c>
      <c r="C15" s="29">
        <f>'Transmission Formula Rate (7)'!C8</f>
        <v>1.59</v>
      </c>
      <c r="D15" s="29">
        <f>'Transmission Formula Rate (7)'!D8</f>
        <v>1.59</v>
      </c>
      <c r="E15" s="29">
        <f>'Transmission Formula Rate (7)'!E8</f>
        <v>1.59</v>
      </c>
      <c r="F15" s="29">
        <f>'Transmission Formula Rate (7)'!F8</f>
        <v>1.59</v>
      </c>
      <c r="G15" s="29">
        <f>'Transmission Formula Rate (7)'!G8</f>
        <v>1.59</v>
      </c>
      <c r="H15" s="29">
        <f>'Transmission Formula Rate (7)'!H8</f>
        <v>1.59</v>
      </c>
      <c r="I15" s="29">
        <f>'Transmission Formula Rate (7)'!I8</f>
        <v>1.59</v>
      </c>
      <c r="J15" s="29">
        <f>'Transmission Formula Rate (7)'!J8</f>
        <v>1.59</v>
      </c>
      <c r="K15" s="29">
        <f>'Transmission Formula Rate (7)'!K8</f>
        <v>1.59</v>
      </c>
      <c r="L15" s="29">
        <f>'Transmission Formula Rate (7)'!L8</f>
        <v>1.59</v>
      </c>
      <c r="M15" s="29">
        <f>'Transmission Formula Rate (7)'!M8</f>
        <v>1.59</v>
      </c>
      <c r="N15" s="19"/>
    </row>
    <row r="16" spans="1:18">
      <c r="A16" s="247" t="s">
        <v>17</v>
      </c>
      <c r="B16" s="20">
        <f t="shared" ref="B16:M16" si="2">B14*B15</f>
        <v>6477.6600000000008</v>
      </c>
      <c r="C16" s="20">
        <f t="shared" si="2"/>
        <v>11336.7</v>
      </c>
      <c r="D16" s="20">
        <f t="shared" si="2"/>
        <v>6477.6600000000008</v>
      </c>
      <c r="E16" s="20">
        <f t="shared" si="2"/>
        <v>4859.04</v>
      </c>
      <c r="F16" s="20">
        <f t="shared" si="2"/>
        <v>11336.7</v>
      </c>
      <c r="G16" s="20">
        <f t="shared" si="2"/>
        <v>11336.7</v>
      </c>
      <c r="H16" s="20">
        <f t="shared" si="2"/>
        <v>11336.7</v>
      </c>
      <c r="I16" s="20">
        <f t="shared" si="2"/>
        <v>12955.320000000002</v>
      </c>
      <c r="J16" s="20">
        <f t="shared" si="2"/>
        <v>12955.320000000002</v>
      </c>
      <c r="K16" s="20">
        <f t="shared" si="2"/>
        <v>11336.7</v>
      </c>
      <c r="L16" s="20">
        <f t="shared" si="2"/>
        <v>11336.7</v>
      </c>
      <c r="M16" s="20">
        <f t="shared" si="2"/>
        <v>6477.6600000000008</v>
      </c>
      <c r="N16" s="20">
        <f>SUM(B16:M16)</f>
        <v>118222.86000000002</v>
      </c>
    </row>
    <row r="17" spans="1:16">
      <c r="A17" s="24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6">
      <c r="A18" s="247" t="s">
        <v>135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6">
      <c r="A19" s="249" t="s">
        <v>47</v>
      </c>
      <c r="B19" s="232">
        <f>B12</f>
        <v>4000</v>
      </c>
      <c r="C19" s="232">
        <f t="shared" ref="C19:M19" si="3">C12</f>
        <v>7000</v>
      </c>
      <c r="D19" s="232">
        <f t="shared" si="3"/>
        <v>4000</v>
      </c>
      <c r="E19" s="232">
        <f t="shared" si="3"/>
        <v>3000</v>
      </c>
      <c r="F19" s="232">
        <f t="shared" si="3"/>
        <v>7000</v>
      </c>
      <c r="G19" s="232">
        <f t="shared" si="3"/>
        <v>7000</v>
      </c>
      <c r="H19" s="232">
        <f t="shared" si="3"/>
        <v>7000</v>
      </c>
      <c r="I19" s="232">
        <f t="shared" si="3"/>
        <v>8000</v>
      </c>
      <c r="J19" s="232">
        <f t="shared" si="3"/>
        <v>8000</v>
      </c>
      <c r="K19" s="232">
        <f t="shared" si="3"/>
        <v>7000</v>
      </c>
      <c r="L19" s="232">
        <f t="shared" si="3"/>
        <v>7000</v>
      </c>
      <c r="M19" s="232">
        <f t="shared" si="3"/>
        <v>4000</v>
      </c>
      <c r="N19" s="20">
        <f>SUM(B19:M19)</f>
        <v>73000</v>
      </c>
      <c r="O19" s="272">
        <f>O12</f>
        <v>82000</v>
      </c>
      <c r="P19" s="271">
        <f>N19-O19</f>
        <v>-9000</v>
      </c>
    </row>
    <row r="20" spans="1:16">
      <c r="A20" s="249" t="s">
        <v>45</v>
      </c>
      <c r="B20" s="27">
        <f>ROUND(B19*'Transmission Formula Rate (7)'!$B$27,0)</f>
        <v>74</v>
      </c>
      <c r="C20" s="27">
        <f>ROUND(C19*'Transmission Formula Rate (7)'!$B$27,0)</f>
        <v>130</v>
      </c>
      <c r="D20" s="27">
        <f>ROUND(D19*'Transmission Formula Rate (7)'!$B$27,0)</f>
        <v>74</v>
      </c>
      <c r="E20" s="27">
        <f>ROUND(E19*'Transmission Formula Rate (7)'!$B$27,0)</f>
        <v>56</v>
      </c>
      <c r="F20" s="27">
        <f>ROUND(F19*'Transmission Formula Rate (7)'!$B$27,0)</f>
        <v>130</v>
      </c>
      <c r="G20" s="27">
        <f>ROUND(G19*'Transmission Formula Rate (7)'!$B$27,0)</f>
        <v>130</v>
      </c>
      <c r="H20" s="27">
        <f>ROUND(H19*'Transmission Formula Rate (7)'!$B$27,0)</f>
        <v>130</v>
      </c>
      <c r="I20" s="27">
        <f>ROUND(I19*'Transmission Formula Rate (7)'!$B$27,0)</f>
        <v>148</v>
      </c>
      <c r="J20" s="27">
        <f>ROUND(J19*'Transmission Formula Rate (7)'!$B$27,0)</f>
        <v>148</v>
      </c>
      <c r="K20" s="27">
        <f>ROUND(K19*'Transmission Formula Rate (7)'!$B$27,0)</f>
        <v>130</v>
      </c>
      <c r="L20" s="27">
        <f>ROUND(L19*'Transmission Formula Rate (7)'!$B$27,0)</f>
        <v>130</v>
      </c>
      <c r="M20" s="27">
        <f>ROUND(M19*'Transmission Formula Rate (7)'!$B$27,0)</f>
        <v>74</v>
      </c>
      <c r="N20" s="20">
        <f>SUM(B20:M20)</f>
        <v>1354</v>
      </c>
    </row>
    <row r="21" spans="1:16">
      <c r="A21" s="249" t="s">
        <v>281</v>
      </c>
      <c r="B21" s="27">
        <f>B19+B20</f>
        <v>4074</v>
      </c>
      <c r="C21" s="27">
        <f t="shared" ref="C21:M21" si="4">C19+C20</f>
        <v>7130</v>
      </c>
      <c r="D21" s="27">
        <f t="shared" si="4"/>
        <v>4074</v>
      </c>
      <c r="E21" s="27">
        <f t="shared" si="4"/>
        <v>3056</v>
      </c>
      <c r="F21" s="27">
        <f t="shared" si="4"/>
        <v>7130</v>
      </c>
      <c r="G21" s="27">
        <f t="shared" si="4"/>
        <v>7130</v>
      </c>
      <c r="H21" s="27">
        <f t="shared" si="4"/>
        <v>7130</v>
      </c>
      <c r="I21" s="27">
        <f t="shared" si="4"/>
        <v>8148</v>
      </c>
      <c r="J21" s="27">
        <f t="shared" si="4"/>
        <v>8148</v>
      </c>
      <c r="K21" s="27">
        <f t="shared" si="4"/>
        <v>7130</v>
      </c>
      <c r="L21" s="27">
        <f t="shared" si="4"/>
        <v>7130</v>
      </c>
      <c r="M21" s="27">
        <f t="shared" si="4"/>
        <v>4074</v>
      </c>
      <c r="N21" s="123">
        <f>SUM(B21:M21)</f>
        <v>74354</v>
      </c>
    </row>
    <row r="22" spans="1:16">
      <c r="A22" s="247" t="s">
        <v>143</v>
      </c>
      <c r="B22" s="31">
        <f>'charges (1 &amp; 2)'!E32</f>
        <v>1.274E-2</v>
      </c>
      <c r="C22" s="31">
        <f>B22</f>
        <v>1.274E-2</v>
      </c>
      <c r="D22" s="31">
        <f t="shared" ref="D22:M22" si="5">C22</f>
        <v>1.274E-2</v>
      </c>
      <c r="E22" s="31">
        <f t="shared" si="5"/>
        <v>1.274E-2</v>
      </c>
      <c r="F22" s="31">
        <f t="shared" si="5"/>
        <v>1.274E-2</v>
      </c>
      <c r="G22" s="31">
        <f t="shared" si="5"/>
        <v>1.274E-2</v>
      </c>
      <c r="H22" s="31">
        <f t="shared" si="5"/>
        <v>1.274E-2</v>
      </c>
      <c r="I22" s="31">
        <f t="shared" si="5"/>
        <v>1.274E-2</v>
      </c>
      <c r="J22" s="31">
        <f t="shared" si="5"/>
        <v>1.274E-2</v>
      </c>
      <c r="K22" s="31">
        <f t="shared" si="5"/>
        <v>1.274E-2</v>
      </c>
      <c r="L22" s="31">
        <f t="shared" si="5"/>
        <v>1.274E-2</v>
      </c>
      <c r="M22" s="31">
        <f t="shared" si="5"/>
        <v>1.274E-2</v>
      </c>
      <c r="N22" s="19"/>
    </row>
    <row r="23" spans="1:16">
      <c r="A23" s="247" t="s">
        <v>17</v>
      </c>
      <c r="B23" s="20">
        <f t="shared" ref="B23:M23" si="6">B21*B22</f>
        <v>51.902760000000001</v>
      </c>
      <c r="C23" s="20">
        <f t="shared" si="6"/>
        <v>90.836199999999991</v>
      </c>
      <c r="D23" s="20">
        <f t="shared" si="6"/>
        <v>51.902760000000001</v>
      </c>
      <c r="E23" s="20">
        <f t="shared" si="6"/>
        <v>38.933439999999997</v>
      </c>
      <c r="F23" s="20">
        <f t="shared" si="6"/>
        <v>90.836199999999991</v>
      </c>
      <c r="G23" s="20">
        <f t="shared" si="6"/>
        <v>90.836199999999991</v>
      </c>
      <c r="H23" s="20">
        <f t="shared" si="6"/>
        <v>90.836199999999991</v>
      </c>
      <c r="I23" s="20">
        <f t="shared" si="6"/>
        <v>103.80552</v>
      </c>
      <c r="J23" s="20">
        <f t="shared" si="6"/>
        <v>103.80552</v>
      </c>
      <c r="K23" s="20">
        <f t="shared" si="6"/>
        <v>90.836199999999991</v>
      </c>
      <c r="L23" s="20">
        <f t="shared" si="6"/>
        <v>90.836199999999991</v>
      </c>
      <c r="M23" s="20">
        <f t="shared" si="6"/>
        <v>51.902760000000001</v>
      </c>
      <c r="N23" s="20">
        <f>SUM(B23:M23)</f>
        <v>947.26995999999986</v>
      </c>
    </row>
    <row r="24" spans="1:16">
      <c r="A24" s="25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6">
      <c r="A25" s="25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6">
      <c r="B26" s="23" t="s">
        <v>0</v>
      </c>
      <c r="C26" s="23" t="s">
        <v>1</v>
      </c>
      <c r="D26" s="23" t="s">
        <v>2</v>
      </c>
      <c r="E26" s="23" t="s">
        <v>3</v>
      </c>
      <c r="F26" s="23" t="s">
        <v>4</v>
      </c>
      <c r="G26" s="23" t="s">
        <v>5</v>
      </c>
      <c r="H26" s="23" t="s">
        <v>6</v>
      </c>
      <c r="I26" s="23" t="s">
        <v>7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</row>
    <row r="27" spans="1:16">
      <c r="A27" s="248">
        <f>+A10+1</f>
        <v>2015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6">
      <c r="A28" s="247" t="s">
        <v>37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6">
      <c r="A29" s="249" t="s">
        <v>281</v>
      </c>
      <c r="B29" s="232">
        <f>'Blountstown Forecast'!E11</f>
        <v>4000</v>
      </c>
      <c r="C29" s="232">
        <f>'Blountstown Forecast'!F11</f>
        <v>3000</v>
      </c>
      <c r="D29" s="232">
        <f>'Blountstown Forecast'!G11</f>
        <v>8000</v>
      </c>
      <c r="E29" s="232">
        <f>'Blountstown Forecast'!H11</f>
        <v>4000</v>
      </c>
      <c r="F29" s="232">
        <f>'Blountstown Forecast'!I11</f>
        <v>5000</v>
      </c>
      <c r="G29" s="232">
        <f>'Blountstown Forecast'!J11</f>
        <v>7000</v>
      </c>
      <c r="H29" s="232">
        <f>'Blountstown Forecast'!K11</f>
        <v>8000</v>
      </c>
      <c r="I29" s="232">
        <f>'Blountstown Forecast'!L11</f>
        <v>7000</v>
      </c>
      <c r="J29" s="232">
        <f>'Blountstown Forecast'!M11</f>
        <v>9000</v>
      </c>
      <c r="K29" s="232">
        <f>'Blountstown Forecast'!N11</f>
        <v>9000</v>
      </c>
      <c r="L29" s="232">
        <f>'Blountstown Forecast'!O11</f>
        <v>9000</v>
      </c>
      <c r="M29" s="232">
        <f>'Blountstown Forecast'!P11</f>
        <v>9000</v>
      </c>
      <c r="N29" s="20">
        <f>SUM(B29:M29)</f>
        <v>82000</v>
      </c>
      <c r="O29" s="272">
        <f>'Blountstown Forecast'!Q12</f>
        <v>108000</v>
      </c>
      <c r="P29" s="271">
        <f>N29-O29</f>
        <v>-26000</v>
      </c>
    </row>
    <row r="30" spans="1:16">
      <c r="A30" s="249" t="s">
        <v>45</v>
      </c>
      <c r="B30" s="27">
        <f>B29-B31</f>
        <v>72.655866470299316</v>
      </c>
      <c r="C30" s="27">
        <f t="shared" ref="C30:M30" si="7">C29-C31</f>
        <v>54.4918998527246</v>
      </c>
      <c r="D30" s="27">
        <f t="shared" si="7"/>
        <v>145.31173294059863</v>
      </c>
      <c r="E30" s="27">
        <f t="shared" si="7"/>
        <v>72.655866470299316</v>
      </c>
      <c r="F30" s="27">
        <f t="shared" si="7"/>
        <v>90.819833087874031</v>
      </c>
      <c r="G30" s="27">
        <f t="shared" si="7"/>
        <v>127.14776632302346</v>
      </c>
      <c r="H30" s="27">
        <f t="shared" si="7"/>
        <v>145.31173294059863</v>
      </c>
      <c r="I30" s="27">
        <f t="shared" si="7"/>
        <v>127.14776632302346</v>
      </c>
      <c r="J30" s="27">
        <f t="shared" si="7"/>
        <v>163.4756995581738</v>
      </c>
      <c r="K30" s="27">
        <f t="shared" si="7"/>
        <v>163.4756995581738</v>
      </c>
      <c r="L30" s="27">
        <f t="shared" si="7"/>
        <v>163.4756995581738</v>
      </c>
      <c r="M30" s="27">
        <f t="shared" si="7"/>
        <v>163.4756995581738</v>
      </c>
      <c r="N30" s="20">
        <f>SUM(B30:M30)</f>
        <v>1489.4452626411367</v>
      </c>
    </row>
    <row r="31" spans="1:16">
      <c r="A31" s="249" t="s">
        <v>47</v>
      </c>
      <c r="B31" s="27">
        <f>B29/(1+'Transmission Formula Rate (7)'!$B$27)</f>
        <v>3927.3441335297007</v>
      </c>
      <c r="C31" s="27">
        <f>C29/(1+'Transmission Formula Rate (7)'!$B$27)</f>
        <v>2945.5081001472754</v>
      </c>
      <c r="D31" s="27">
        <f>D29/(1+'Transmission Formula Rate (7)'!$B$27)</f>
        <v>7854.6882670594014</v>
      </c>
      <c r="E31" s="27">
        <f>E29/(1+'Transmission Formula Rate (7)'!$B$27)</f>
        <v>3927.3441335297007</v>
      </c>
      <c r="F31" s="27">
        <f>F29/(1+'Transmission Formula Rate (7)'!$B$27)</f>
        <v>4909.180166912126</v>
      </c>
      <c r="G31" s="27">
        <f>G29/(1+'Transmission Formula Rate (7)'!$B$27)</f>
        <v>6872.8522336769765</v>
      </c>
      <c r="H31" s="27">
        <f>H29/(1+'Transmission Formula Rate (7)'!$B$27)</f>
        <v>7854.6882670594014</v>
      </c>
      <c r="I31" s="27">
        <f>I29/(1+'Transmission Formula Rate (7)'!$B$27)</f>
        <v>6872.8522336769765</v>
      </c>
      <c r="J31" s="27">
        <f>J29/(1+'Transmission Formula Rate (7)'!$B$27)</f>
        <v>8836.5243004418262</v>
      </c>
      <c r="K31" s="27">
        <f>K29/(1+'Transmission Formula Rate (7)'!$B$27)</f>
        <v>8836.5243004418262</v>
      </c>
      <c r="L31" s="27">
        <f>L29/(1+'Transmission Formula Rate (7)'!$B$27)</f>
        <v>8836.5243004418262</v>
      </c>
      <c r="M31" s="27">
        <f>M29/(1+'Transmission Formula Rate (7)'!$B$27)</f>
        <v>8836.5243004418262</v>
      </c>
      <c r="N31" s="123">
        <f>SUM(B31:M31)</f>
        <v>80510.554737358863</v>
      </c>
    </row>
    <row r="32" spans="1:16">
      <c r="A32" s="247" t="s">
        <v>20</v>
      </c>
      <c r="B32" s="29">
        <f>'Transmission Formula Rate (7)'!B10</f>
        <v>1.59</v>
      </c>
      <c r="C32" s="29">
        <f>'Transmission Formula Rate (7)'!C10</f>
        <v>1.59</v>
      </c>
      <c r="D32" s="29">
        <f>'Transmission Formula Rate (7)'!D10</f>
        <v>1.59</v>
      </c>
      <c r="E32" s="29">
        <f>'Transmission Formula Rate (7)'!E10</f>
        <v>1.59</v>
      </c>
      <c r="F32" s="29">
        <f>'Transmission Formula Rate (7)'!F10</f>
        <v>1.59</v>
      </c>
      <c r="G32" s="29">
        <f>'Transmission Formula Rate (7)'!G10</f>
        <v>1.59</v>
      </c>
      <c r="H32" s="29">
        <f>'Transmission Formula Rate (7)'!H10</f>
        <v>1.59</v>
      </c>
      <c r="I32" s="29">
        <f>'Transmission Formula Rate (7)'!I10</f>
        <v>1.59</v>
      </c>
      <c r="J32" s="29">
        <f>'Transmission Formula Rate (7)'!J10</f>
        <v>1.59</v>
      </c>
      <c r="K32" s="29">
        <f>'Transmission Formula Rate (7)'!K10</f>
        <v>1.59</v>
      </c>
      <c r="L32" s="29">
        <f>'Transmission Formula Rate (7)'!L10</f>
        <v>1.59</v>
      </c>
      <c r="M32" s="29">
        <f>'Transmission Formula Rate (7)'!M10</f>
        <v>1.59</v>
      </c>
      <c r="N32" s="19"/>
    </row>
    <row r="33" spans="1:16">
      <c r="A33" s="247" t="s">
        <v>17</v>
      </c>
      <c r="B33" s="20">
        <f>B29*B32</f>
        <v>6360</v>
      </c>
      <c r="C33" s="20">
        <f t="shared" ref="C33:M33" si="8">C29*C32</f>
        <v>4770</v>
      </c>
      <c r="D33" s="20">
        <f t="shared" si="8"/>
        <v>12720</v>
      </c>
      <c r="E33" s="20">
        <f t="shared" si="8"/>
        <v>6360</v>
      </c>
      <c r="F33" s="20">
        <f t="shared" si="8"/>
        <v>7950</v>
      </c>
      <c r="G33" s="20">
        <f t="shared" si="8"/>
        <v>11130</v>
      </c>
      <c r="H33" s="20">
        <f t="shared" si="8"/>
        <v>12720</v>
      </c>
      <c r="I33" s="20">
        <f t="shared" si="8"/>
        <v>11130</v>
      </c>
      <c r="J33" s="20">
        <f t="shared" si="8"/>
        <v>14310</v>
      </c>
      <c r="K33" s="20">
        <f t="shared" si="8"/>
        <v>14310</v>
      </c>
      <c r="L33" s="20">
        <f t="shared" si="8"/>
        <v>14310</v>
      </c>
      <c r="M33" s="20">
        <f t="shared" si="8"/>
        <v>14310</v>
      </c>
      <c r="N33" s="20">
        <f>SUM(B33:M33)</f>
        <v>130380</v>
      </c>
    </row>
    <row r="34" spans="1:16">
      <c r="A34" s="25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6">
      <c r="A35" s="247" t="s">
        <v>135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6">
      <c r="A36" s="249" t="s">
        <v>281</v>
      </c>
      <c r="B36" s="232">
        <f>B29</f>
        <v>4000</v>
      </c>
      <c r="C36" s="232">
        <f t="shared" ref="C36:M36" si="9">C29</f>
        <v>3000</v>
      </c>
      <c r="D36" s="232">
        <f t="shared" si="9"/>
        <v>8000</v>
      </c>
      <c r="E36" s="232">
        <f t="shared" si="9"/>
        <v>4000</v>
      </c>
      <c r="F36" s="232">
        <f t="shared" si="9"/>
        <v>5000</v>
      </c>
      <c r="G36" s="232">
        <f t="shared" si="9"/>
        <v>7000</v>
      </c>
      <c r="H36" s="232">
        <f t="shared" si="9"/>
        <v>8000</v>
      </c>
      <c r="I36" s="232">
        <f t="shared" si="9"/>
        <v>7000</v>
      </c>
      <c r="J36" s="232">
        <f t="shared" si="9"/>
        <v>9000</v>
      </c>
      <c r="K36" s="232">
        <f t="shared" si="9"/>
        <v>9000</v>
      </c>
      <c r="L36" s="232">
        <f t="shared" si="9"/>
        <v>9000</v>
      </c>
      <c r="M36" s="232">
        <f t="shared" si="9"/>
        <v>9000</v>
      </c>
      <c r="N36" s="20">
        <f>SUM(B36:M36)</f>
        <v>82000</v>
      </c>
    </row>
    <row r="37" spans="1:16">
      <c r="A37" s="249" t="s">
        <v>45</v>
      </c>
      <c r="B37" s="27">
        <f>B36-B38</f>
        <v>72.655866470299316</v>
      </c>
      <c r="C37" s="27">
        <f t="shared" ref="C37" si="10">C36-C38</f>
        <v>54.4918998527246</v>
      </c>
      <c r="D37" s="27">
        <f t="shared" ref="D37" si="11">D36-D38</f>
        <v>145.31173294059863</v>
      </c>
      <c r="E37" s="27">
        <f t="shared" ref="E37" si="12">E36-E38</f>
        <v>72.655866470299316</v>
      </c>
      <c r="F37" s="27">
        <f t="shared" ref="F37" si="13">F36-F38</f>
        <v>90.819833087874031</v>
      </c>
      <c r="G37" s="27">
        <f t="shared" ref="G37" si="14">G36-G38</f>
        <v>127.14776632302346</v>
      </c>
      <c r="H37" s="27">
        <f t="shared" ref="H37" si="15">H36-H38</f>
        <v>145.31173294059863</v>
      </c>
      <c r="I37" s="27">
        <f t="shared" ref="I37" si="16">I36-I38</f>
        <v>127.14776632302346</v>
      </c>
      <c r="J37" s="27">
        <f t="shared" ref="J37" si="17">J36-J38</f>
        <v>163.4756995581738</v>
      </c>
      <c r="K37" s="27">
        <f t="shared" ref="K37" si="18">K36-K38</f>
        <v>163.4756995581738</v>
      </c>
      <c r="L37" s="27">
        <f t="shared" ref="L37" si="19">L36-L38</f>
        <v>163.4756995581738</v>
      </c>
      <c r="M37" s="27">
        <f t="shared" ref="M37" si="20">M36-M38</f>
        <v>163.4756995581738</v>
      </c>
      <c r="N37" s="20">
        <f>SUM(B37:M37)</f>
        <v>1489.4452626411367</v>
      </c>
    </row>
    <row r="38" spans="1:16">
      <c r="A38" s="249" t="s">
        <v>47</v>
      </c>
      <c r="B38" s="27">
        <f>B36/(1+'Transmission Formula Rate (7)'!$B$27)</f>
        <v>3927.3441335297007</v>
      </c>
      <c r="C38" s="27">
        <f>C36/(1+'Transmission Formula Rate (7)'!$B$27)</f>
        <v>2945.5081001472754</v>
      </c>
      <c r="D38" s="27">
        <f>D36/(1+'Transmission Formula Rate (7)'!$B$27)</f>
        <v>7854.6882670594014</v>
      </c>
      <c r="E38" s="27">
        <f>E36/(1+'Transmission Formula Rate (7)'!$B$27)</f>
        <v>3927.3441335297007</v>
      </c>
      <c r="F38" s="27">
        <f>F36/(1+'Transmission Formula Rate (7)'!$B$27)</f>
        <v>4909.180166912126</v>
      </c>
      <c r="G38" s="27">
        <f>G36/(1+'Transmission Formula Rate (7)'!$B$27)</f>
        <v>6872.8522336769765</v>
      </c>
      <c r="H38" s="27">
        <f>H36/(1+'Transmission Formula Rate (7)'!$B$27)</f>
        <v>7854.6882670594014</v>
      </c>
      <c r="I38" s="27">
        <f>I36/(1+'Transmission Formula Rate (7)'!$B$27)</f>
        <v>6872.8522336769765</v>
      </c>
      <c r="J38" s="27">
        <f>J36/(1+'Transmission Formula Rate (7)'!$B$27)</f>
        <v>8836.5243004418262</v>
      </c>
      <c r="K38" s="27">
        <f>K36/(1+'Transmission Formula Rate (7)'!$B$27)</f>
        <v>8836.5243004418262</v>
      </c>
      <c r="L38" s="27">
        <f>L36/(1+'Transmission Formula Rate (7)'!$B$27)</f>
        <v>8836.5243004418262</v>
      </c>
      <c r="M38" s="27">
        <f>M36/(1+'Transmission Formula Rate (7)'!$B$27)</f>
        <v>8836.5243004418262</v>
      </c>
      <c r="N38" s="123">
        <f>SUM(B38:M38)</f>
        <v>80510.554737358863</v>
      </c>
    </row>
    <row r="39" spans="1:16">
      <c r="A39" s="247" t="s">
        <v>143</v>
      </c>
      <c r="B39" s="31">
        <f>'charges (1 &amp; 2)'!F32</f>
        <v>1.274E-2</v>
      </c>
      <c r="C39" s="31">
        <f>B39</f>
        <v>1.274E-2</v>
      </c>
      <c r="D39" s="31">
        <f t="shared" ref="D39:M39" si="21">C39</f>
        <v>1.274E-2</v>
      </c>
      <c r="E39" s="31">
        <f t="shared" si="21"/>
        <v>1.274E-2</v>
      </c>
      <c r="F39" s="31">
        <f t="shared" si="21"/>
        <v>1.274E-2</v>
      </c>
      <c r="G39" s="31">
        <f t="shared" si="21"/>
        <v>1.274E-2</v>
      </c>
      <c r="H39" s="31">
        <f t="shared" si="21"/>
        <v>1.274E-2</v>
      </c>
      <c r="I39" s="31">
        <f t="shared" si="21"/>
        <v>1.274E-2</v>
      </c>
      <c r="J39" s="31">
        <f t="shared" si="21"/>
        <v>1.274E-2</v>
      </c>
      <c r="K39" s="31">
        <f t="shared" si="21"/>
        <v>1.274E-2</v>
      </c>
      <c r="L39" s="31">
        <f t="shared" si="21"/>
        <v>1.274E-2</v>
      </c>
      <c r="M39" s="31">
        <f t="shared" si="21"/>
        <v>1.274E-2</v>
      </c>
      <c r="N39" s="19"/>
    </row>
    <row r="40" spans="1:16">
      <c r="A40" s="247" t="s">
        <v>17</v>
      </c>
      <c r="B40" s="20">
        <f>B36*B39</f>
        <v>50.96</v>
      </c>
      <c r="C40" s="20">
        <f t="shared" ref="C40" si="22">C36*C39</f>
        <v>38.22</v>
      </c>
      <c r="D40" s="20">
        <f t="shared" ref="D40" si="23">D36*D39</f>
        <v>101.92</v>
      </c>
      <c r="E40" s="20">
        <f t="shared" ref="E40" si="24">E36*E39</f>
        <v>50.96</v>
      </c>
      <c r="F40" s="20">
        <f t="shared" ref="F40" si="25">F36*F39</f>
        <v>63.699999999999996</v>
      </c>
      <c r="G40" s="20">
        <f t="shared" ref="G40" si="26">G36*G39</f>
        <v>89.179999999999993</v>
      </c>
      <c r="H40" s="20">
        <f t="shared" ref="H40" si="27">H36*H39</f>
        <v>101.92</v>
      </c>
      <c r="I40" s="20">
        <f t="shared" ref="I40" si="28">I36*I39</f>
        <v>89.179999999999993</v>
      </c>
      <c r="J40" s="20">
        <f t="shared" ref="J40" si="29">J36*J39</f>
        <v>114.66</v>
      </c>
      <c r="K40" s="20">
        <f t="shared" ref="K40" si="30">K36*K39</f>
        <v>114.66</v>
      </c>
      <c r="L40" s="20">
        <f t="shared" ref="L40" si="31">L36*L39</f>
        <v>114.66</v>
      </c>
      <c r="M40" s="20">
        <f t="shared" ref="M40" si="32">M36*M39</f>
        <v>114.66</v>
      </c>
      <c r="N40" s="20">
        <f>SUM(B40:M40)</f>
        <v>1044.68</v>
      </c>
    </row>
    <row r="41" spans="1:16">
      <c r="A41" s="24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6">
      <c r="A42" s="24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6">
      <c r="B43" s="23" t="s">
        <v>0</v>
      </c>
      <c r="C43" s="23" t="s">
        <v>1</v>
      </c>
      <c r="D43" s="23" t="s">
        <v>2</v>
      </c>
      <c r="E43" s="23" t="s">
        <v>3</v>
      </c>
      <c r="F43" s="23" t="s">
        <v>4</v>
      </c>
      <c r="G43" s="23" t="s">
        <v>5</v>
      </c>
      <c r="H43" s="23" t="s">
        <v>6</v>
      </c>
      <c r="I43" s="23" t="s">
        <v>7</v>
      </c>
      <c r="J43" s="23" t="s">
        <v>8</v>
      </c>
      <c r="K43" s="23" t="s">
        <v>9</v>
      </c>
      <c r="L43" s="23" t="s">
        <v>10</v>
      </c>
      <c r="M43" s="23" t="s">
        <v>11</v>
      </c>
      <c r="N43" s="23" t="s">
        <v>12</v>
      </c>
    </row>
    <row r="44" spans="1:16">
      <c r="A44" s="248">
        <f>+A27+1</f>
        <v>2016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6">
      <c r="A45" s="247" t="s">
        <v>37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6">
      <c r="A46" s="249" t="s">
        <v>281</v>
      </c>
      <c r="B46" s="232">
        <f>'Blountstown Forecast'!E12</f>
        <v>9000</v>
      </c>
      <c r="C46" s="232">
        <f>'Blountstown Forecast'!F12</f>
        <v>9000</v>
      </c>
      <c r="D46" s="232">
        <f>'Blountstown Forecast'!G12</f>
        <v>9000</v>
      </c>
      <c r="E46" s="232">
        <f>'Blountstown Forecast'!H12</f>
        <v>9000</v>
      </c>
      <c r="F46" s="232">
        <f>'Blountstown Forecast'!I12</f>
        <v>9000</v>
      </c>
      <c r="G46" s="232">
        <f>'Blountstown Forecast'!J12</f>
        <v>9000</v>
      </c>
      <c r="H46" s="232">
        <f>'Blountstown Forecast'!K12</f>
        <v>9000</v>
      </c>
      <c r="I46" s="232">
        <f>'Blountstown Forecast'!L12</f>
        <v>9000</v>
      </c>
      <c r="J46" s="232">
        <f>'Blountstown Forecast'!M12</f>
        <v>9000</v>
      </c>
      <c r="K46" s="232">
        <f>'Blountstown Forecast'!N12</f>
        <v>9000</v>
      </c>
      <c r="L46" s="232">
        <f>'Blountstown Forecast'!O12</f>
        <v>9000</v>
      </c>
      <c r="M46" s="232">
        <f>'Blountstown Forecast'!P12</f>
        <v>9000</v>
      </c>
      <c r="N46" s="20">
        <f>SUM(B46:M46)</f>
        <v>108000</v>
      </c>
      <c r="O46" s="272">
        <f>'Blountstown Forecast'!Q13</f>
        <v>9000</v>
      </c>
      <c r="P46" s="271">
        <f>N46-O46</f>
        <v>99000</v>
      </c>
    </row>
    <row r="47" spans="1:16">
      <c r="A47" s="249" t="s">
        <v>45</v>
      </c>
      <c r="B47" s="27">
        <f>B46-B48</f>
        <v>163.4756995581738</v>
      </c>
      <c r="C47" s="27">
        <f t="shared" ref="C47" si="33">C46-C48</f>
        <v>163.4756995581738</v>
      </c>
      <c r="D47" s="27">
        <f t="shared" ref="D47" si="34">D46-D48</f>
        <v>163.4756995581738</v>
      </c>
      <c r="E47" s="27">
        <f t="shared" ref="E47" si="35">E46-E48</f>
        <v>163.4756995581738</v>
      </c>
      <c r="F47" s="27">
        <f t="shared" ref="F47" si="36">F46-F48</f>
        <v>163.4756995581738</v>
      </c>
      <c r="G47" s="27">
        <f t="shared" ref="G47" si="37">G46-G48</f>
        <v>163.4756995581738</v>
      </c>
      <c r="H47" s="27">
        <f t="shared" ref="H47" si="38">H46-H48</f>
        <v>163.4756995581738</v>
      </c>
      <c r="I47" s="27">
        <f t="shared" ref="I47" si="39">I46-I48</f>
        <v>163.4756995581738</v>
      </c>
      <c r="J47" s="27">
        <f t="shared" ref="J47" si="40">J46-J48</f>
        <v>163.4756995581738</v>
      </c>
      <c r="K47" s="27">
        <f t="shared" ref="K47" si="41">K46-K48</f>
        <v>163.4756995581738</v>
      </c>
      <c r="L47" s="27">
        <f t="shared" ref="L47" si="42">L46-L48</f>
        <v>163.4756995581738</v>
      </c>
      <c r="M47" s="27">
        <f t="shared" ref="M47" si="43">M46-M48</f>
        <v>163.4756995581738</v>
      </c>
      <c r="N47" s="20">
        <f>SUM(B47:M47)</f>
        <v>1961.7083946980856</v>
      </c>
    </row>
    <row r="48" spans="1:16">
      <c r="A48" s="249" t="s">
        <v>47</v>
      </c>
      <c r="B48" s="27">
        <f>B46/(1+'Transmission Formula Rate (7)'!$B$27)</f>
        <v>8836.5243004418262</v>
      </c>
      <c r="C48" s="27">
        <f>C46/(1+'Transmission Formula Rate (7)'!$B$27)</f>
        <v>8836.5243004418262</v>
      </c>
      <c r="D48" s="27">
        <f>D46/(1+'Transmission Formula Rate (7)'!$B$27)</f>
        <v>8836.5243004418262</v>
      </c>
      <c r="E48" s="27">
        <f>E46/(1+'Transmission Formula Rate (7)'!$B$27)</f>
        <v>8836.5243004418262</v>
      </c>
      <c r="F48" s="27">
        <f>F46/(1+'Transmission Formula Rate (7)'!$B$27)</f>
        <v>8836.5243004418262</v>
      </c>
      <c r="G48" s="27">
        <f>G46/(1+'Transmission Formula Rate (7)'!$B$27)</f>
        <v>8836.5243004418262</v>
      </c>
      <c r="H48" s="27">
        <f>H46/(1+'Transmission Formula Rate (7)'!$B$27)</f>
        <v>8836.5243004418262</v>
      </c>
      <c r="I48" s="27">
        <f>I46/(1+'Transmission Formula Rate (7)'!$B$27)</f>
        <v>8836.5243004418262</v>
      </c>
      <c r="J48" s="27">
        <f>J46/(1+'Transmission Formula Rate (7)'!$B$27)</f>
        <v>8836.5243004418262</v>
      </c>
      <c r="K48" s="27">
        <f>K46/(1+'Transmission Formula Rate (7)'!$B$27)</f>
        <v>8836.5243004418262</v>
      </c>
      <c r="L48" s="27">
        <f>L46/(1+'Transmission Formula Rate (7)'!$B$27)</f>
        <v>8836.5243004418262</v>
      </c>
      <c r="M48" s="27">
        <f>M46/(1+'Transmission Formula Rate (7)'!$B$27)</f>
        <v>8836.5243004418262</v>
      </c>
      <c r="N48" s="123">
        <f>SUM(B48:M48)</f>
        <v>106038.29160530194</v>
      </c>
    </row>
    <row r="49" spans="1:16">
      <c r="A49" s="247" t="s">
        <v>20</v>
      </c>
      <c r="B49" s="29">
        <f>'Transmission Formula Rate (7)'!B12</f>
        <v>1.59</v>
      </c>
      <c r="C49" s="29">
        <f>'Transmission Formula Rate (7)'!C12</f>
        <v>1.59</v>
      </c>
      <c r="D49" s="29">
        <f>'Transmission Formula Rate (7)'!D12</f>
        <v>1.59</v>
      </c>
      <c r="E49" s="29">
        <f>'Transmission Formula Rate (7)'!E12</f>
        <v>1.59</v>
      </c>
      <c r="F49" s="29">
        <f>'Transmission Formula Rate (7)'!F12</f>
        <v>1.59</v>
      </c>
      <c r="G49" s="29">
        <f>'Transmission Formula Rate (7)'!G12</f>
        <v>1.59</v>
      </c>
      <c r="H49" s="29">
        <f>'Transmission Formula Rate (7)'!H12</f>
        <v>1.59</v>
      </c>
      <c r="I49" s="29">
        <f>'Transmission Formula Rate (7)'!I12</f>
        <v>1.59</v>
      </c>
      <c r="J49" s="29">
        <f>'Transmission Formula Rate (7)'!J12</f>
        <v>1.59</v>
      </c>
      <c r="K49" s="29">
        <f>'Transmission Formula Rate (7)'!K12</f>
        <v>1.59</v>
      </c>
      <c r="L49" s="29">
        <f>'Transmission Formula Rate (7)'!L12</f>
        <v>1.59</v>
      </c>
      <c r="M49" s="29">
        <f>'Transmission Formula Rate (7)'!M12</f>
        <v>1.59</v>
      </c>
      <c r="N49" s="19"/>
    </row>
    <row r="50" spans="1:16">
      <c r="A50" s="247" t="s">
        <v>17</v>
      </c>
      <c r="B50" s="20">
        <f>B46*B49</f>
        <v>14310</v>
      </c>
      <c r="C50" s="20">
        <f t="shared" ref="C50" si="44">C46*C49</f>
        <v>14310</v>
      </c>
      <c r="D50" s="20">
        <f t="shared" ref="D50" si="45">D46*D49</f>
        <v>14310</v>
      </c>
      <c r="E50" s="20">
        <f t="shared" ref="E50" si="46">E46*E49</f>
        <v>14310</v>
      </c>
      <c r="F50" s="20">
        <f t="shared" ref="F50" si="47">F46*F49</f>
        <v>14310</v>
      </c>
      <c r="G50" s="20">
        <f t="shared" ref="G50" si="48">G46*G49</f>
        <v>14310</v>
      </c>
      <c r="H50" s="20">
        <f t="shared" ref="H50" si="49">H46*H49</f>
        <v>14310</v>
      </c>
      <c r="I50" s="20">
        <f t="shared" ref="I50" si="50">I46*I49</f>
        <v>14310</v>
      </c>
      <c r="J50" s="20">
        <f t="shared" ref="J50" si="51">J46*J49</f>
        <v>14310</v>
      </c>
      <c r="K50" s="20">
        <f t="shared" ref="K50" si="52">K46*K49</f>
        <v>14310</v>
      </c>
      <c r="L50" s="20">
        <f t="shared" ref="L50" si="53">L46*L49</f>
        <v>14310</v>
      </c>
      <c r="M50" s="20">
        <f t="shared" ref="M50" si="54">M46*M49</f>
        <v>14310</v>
      </c>
      <c r="N50" s="20">
        <f>SUM(B50:M50)</f>
        <v>171720</v>
      </c>
    </row>
    <row r="52" spans="1:16">
      <c r="A52" s="247" t="s">
        <v>135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6">
      <c r="A53" s="249" t="s">
        <v>281</v>
      </c>
      <c r="B53" s="232">
        <f>B46</f>
        <v>9000</v>
      </c>
      <c r="C53" s="232">
        <f t="shared" ref="C53:M53" si="55">C46</f>
        <v>9000</v>
      </c>
      <c r="D53" s="232">
        <f t="shared" si="55"/>
        <v>9000</v>
      </c>
      <c r="E53" s="232">
        <f t="shared" si="55"/>
        <v>9000</v>
      </c>
      <c r="F53" s="232">
        <f t="shared" si="55"/>
        <v>9000</v>
      </c>
      <c r="G53" s="232">
        <f t="shared" si="55"/>
        <v>9000</v>
      </c>
      <c r="H53" s="232">
        <f t="shared" si="55"/>
        <v>9000</v>
      </c>
      <c r="I53" s="232">
        <f t="shared" si="55"/>
        <v>9000</v>
      </c>
      <c r="J53" s="232">
        <f t="shared" si="55"/>
        <v>9000</v>
      </c>
      <c r="K53" s="232">
        <f t="shared" si="55"/>
        <v>9000</v>
      </c>
      <c r="L53" s="232">
        <f t="shared" si="55"/>
        <v>9000</v>
      </c>
      <c r="M53" s="232">
        <f t="shared" si="55"/>
        <v>9000</v>
      </c>
      <c r="N53" s="20">
        <f>SUM(B53:M53)</f>
        <v>108000</v>
      </c>
    </row>
    <row r="54" spans="1:16">
      <c r="A54" s="249" t="s">
        <v>45</v>
      </c>
      <c r="B54" s="27">
        <f>B53-B55</f>
        <v>163.4756995581738</v>
      </c>
      <c r="C54" s="27">
        <f t="shared" ref="C54" si="56">C53-C55</f>
        <v>163.4756995581738</v>
      </c>
      <c r="D54" s="27">
        <f t="shared" ref="D54" si="57">D53-D55</f>
        <v>163.4756995581738</v>
      </c>
      <c r="E54" s="27">
        <f t="shared" ref="E54" si="58">E53-E55</f>
        <v>163.4756995581738</v>
      </c>
      <c r="F54" s="27">
        <f t="shared" ref="F54" si="59">F53-F55</f>
        <v>163.4756995581738</v>
      </c>
      <c r="G54" s="27">
        <f t="shared" ref="G54" si="60">G53-G55</f>
        <v>163.4756995581738</v>
      </c>
      <c r="H54" s="27">
        <f t="shared" ref="H54" si="61">H53-H55</f>
        <v>163.4756995581738</v>
      </c>
      <c r="I54" s="27">
        <f t="shared" ref="I54" si="62">I53-I55</f>
        <v>163.4756995581738</v>
      </c>
      <c r="J54" s="27">
        <f t="shared" ref="J54" si="63">J53-J55</f>
        <v>163.4756995581738</v>
      </c>
      <c r="K54" s="27">
        <f t="shared" ref="K54" si="64">K53-K55</f>
        <v>163.4756995581738</v>
      </c>
      <c r="L54" s="27">
        <f t="shared" ref="L54" si="65">L53-L55</f>
        <v>163.4756995581738</v>
      </c>
      <c r="M54" s="27">
        <f t="shared" ref="M54" si="66">M53-M55</f>
        <v>163.4756995581738</v>
      </c>
      <c r="N54" s="20">
        <f>SUM(B54:M54)</f>
        <v>1961.7083946980856</v>
      </c>
    </row>
    <row r="55" spans="1:16">
      <c r="A55" s="249" t="s">
        <v>47</v>
      </c>
      <c r="B55" s="27">
        <f>B53/(1+'Transmission Formula Rate (7)'!$B$27)</f>
        <v>8836.5243004418262</v>
      </c>
      <c r="C55" s="27">
        <f>C53/(1+'Transmission Formula Rate (7)'!$B$27)</f>
        <v>8836.5243004418262</v>
      </c>
      <c r="D55" s="27">
        <f>D53/(1+'Transmission Formula Rate (7)'!$B$27)</f>
        <v>8836.5243004418262</v>
      </c>
      <c r="E55" s="27">
        <f>E53/(1+'Transmission Formula Rate (7)'!$B$27)</f>
        <v>8836.5243004418262</v>
      </c>
      <c r="F55" s="27">
        <f>F53/(1+'Transmission Formula Rate (7)'!$B$27)</f>
        <v>8836.5243004418262</v>
      </c>
      <c r="G55" s="27">
        <f>G53/(1+'Transmission Formula Rate (7)'!$B$27)</f>
        <v>8836.5243004418262</v>
      </c>
      <c r="H55" s="27">
        <f>H53/(1+'Transmission Formula Rate (7)'!$B$27)</f>
        <v>8836.5243004418262</v>
      </c>
      <c r="I55" s="27">
        <f>I53/(1+'Transmission Formula Rate (7)'!$B$27)</f>
        <v>8836.5243004418262</v>
      </c>
      <c r="J55" s="27">
        <f>J53/(1+'Transmission Formula Rate (7)'!$B$27)</f>
        <v>8836.5243004418262</v>
      </c>
      <c r="K55" s="27">
        <f>K53/(1+'Transmission Formula Rate (7)'!$B$27)</f>
        <v>8836.5243004418262</v>
      </c>
      <c r="L55" s="27">
        <f>L53/(1+'Transmission Formula Rate (7)'!$B$27)</f>
        <v>8836.5243004418262</v>
      </c>
      <c r="M55" s="27">
        <f>M53/(1+'Transmission Formula Rate (7)'!$B$27)</f>
        <v>8836.5243004418262</v>
      </c>
      <c r="N55" s="123">
        <f>SUM(B55:M55)</f>
        <v>106038.29160530194</v>
      </c>
    </row>
    <row r="56" spans="1:16">
      <c r="A56" s="247" t="s">
        <v>143</v>
      </c>
      <c r="B56" s="31">
        <f>'charges (1 &amp; 2)'!G32</f>
        <v>1.274E-2</v>
      </c>
      <c r="C56" s="31">
        <f>B56</f>
        <v>1.274E-2</v>
      </c>
      <c r="D56" s="31">
        <f t="shared" ref="D56:M56" si="67">C56</f>
        <v>1.274E-2</v>
      </c>
      <c r="E56" s="31">
        <f t="shared" si="67"/>
        <v>1.274E-2</v>
      </c>
      <c r="F56" s="31">
        <f t="shared" si="67"/>
        <v>1.274E-2</v>
      </c>
      <c r="G56" s="31">
        <f t="shared" si="67"/>
        <v>1.274E-2</v>
      </c>
      <c r="H56" s="31">
        <f t="shared" si="67"/>
        <v>1.274E-2</v>
      </c>
      <c r="I56" s="31">
        <f t="shared" si="67"/>
        <v>1.274E-2</v>
      </c>
      <c r="J56" s="31">
        <f t="shared" si="67"/>
        <v>1.274E-2</v>
      </c>
      <c r="K56" s="31">
        <f t="shared" si="67"/>
        <v>1.274E-2</v>
      </c>
      <c r="L56" s="31">
        <f t="shared" si="67"/>
        <v>1.274E-2</v>
      </c>
      <c r="M56" s="31">
        <f t="shared" si="67"/>
        <v>1.274E-2</v>
      </c>
      <c r="N56" s="19"/>
    </row>
    <row r="57" spans="1:16">
      <c r="A57" s="247" t="s">
        <v>17</v>
      </c>
      <c r="B57" s="20">
        <f>B53*B56</f>
        <v>114.66</v>
      </c>
      <c r="C57" s="20">
        <f t="shared" ref="C57" si="68">C53*C56</f>
        <v>114.66</v>
      </c>
      <c r="D57" s="20">
        <f t="shared" ref="D57" si="69">D53*D56</f>
        <v>114.66</v>
      </c>
      <c r="E57" s="20">
        <f t="shared" ref="E57" si="70">E53*E56</f>
        <v>114.66</v>
      </c>
      <c r="F57" s="20">
        <f t="shared" ref="F57" si="71">F53*F56</f>
        <v>114.66</v>
      </c>
      <c r="G57" s="20">
        <f t="shared" ref="G57" si="72">G53*G56</f>
        <v>114.66</v>
      </c>
      <c r="H57" s="20">
        <f t="shared" ref="H57" si="73">H53*H56</f>
        <v>114.66</v>
      </c>
      <c r="I57" s="20">
        <f t="shared" ref="I57" si="74">I53*I56</f>
        <v>114.66</v>
      </c>
      <c r="J57" s="20">
        <f t="shared" ref="J57" si="75">J53*J56</f>
        <v>114.66</v>
      </c>
      <c r="K57" s="20">
        <f t="shared" ref="K57" si="76">K53*K56</f>
        <v>114.66</v>
      </c>
      <c r="L57" s="20">
        <f t="shared" ref="L57" si="77">L53*L56</f>
        <v>114.66</v>
      </c>
      <c r="M57" s="20">
        <f t="shared" ref="M57" si="78">M53*M56</f>
        <v>114.66</v>
      </c>
      <c r="N57" s="20">
        <f>SUM(B57:M57)</f>
        <v>1375.92</v>
      </c>
    </row>
    <row r="60" spans="1:16">
      <c r="B60" s="23" t="s">
        <v>0</v>
      </c>
      <c r="C60" s="23" t="s">
        <v>1</v>
      </c>
      <c r="D60" s="23" t="s">
        <v>2</v>
      </c>
      <c r="E60" s="23" t="s">
        <v>3</v>
      </c>
      <c r="F60" s="23" t="s">
        <v>4</v>
      </c>
      <c r="G60" s="23" t="s">
        <v>5</v>
      </c>
      <c r="H60" s="23" t="s">
        <v>6</v>
      </c>
      <c r="I60" s="23" t="s">
        <v>7</v>
      </c>
      <c r="J60" s="23" t="s">
        <v>8</v>
      </c>
      <c r="K60" s="23" t="s">
        <v>9</v>
      </c>
      <c r="L60" s="23" t="s">
        <v>10</v>
      </c>
      <c r="M60" s="23" t="s">
        <v>11</v>
      </c>
      <c r="N60" s="23" t="s">
        <v>12</v>
      </c>
    </row>
    <row r="61" spans="1:16">
      <c r="A61" s="248">
        <f>+A44+1</f>
        <v>2017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6">
      <c r="A62" s="247" t="s">
        <v>37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6">
      <c r="A63" s="249" t="s">
        <v>281</v>
      </c>
      <c r="B63" s="232">
        <f>'Blountstown Forecast'!E13</f>
        <v>9000</v>
      </c>
      <c r="C63" s="232">
        <f>'Blountstown Forecast'!F13</f>
        <v>0</v>
      </c>
      <c r="D63" s="232">
        <f>'Blountstown Forecast'!G13</f>
        <v>0</v>
      </c>
      <c r="E63" s="232">
        <f>'Blountstown Forecast'!H13</f>
        <v>0</v>
      </c>
      <c r="F63" s="232">
        <f>'Blountstown Forecast'!I13</f>
        <v>0</v>
      </c>
      <c r="G63" s="232">
        <f>'Blountstown Forecast'!J13</f>
        <v>0</v>
      </c>
      <c r="H63" s="232">
        <f>'Blountstown Forecast'!K13</f>
        <v>0</v>
      </c>
      <c r="I63" s="232">
        <f>'Blountstown Forecast'!L13</f>
        <v>0</v>
      </c>
      <c r="J63" s="232">
        <f>'Blountstown Forecast'!M13</f>
        <v>0</v>
      </c>
      <c r="K63" s="232">
        <f>'Blountstown Forecast'!N13</f>
        <v>0</v>
      </c>
      <c r="L63" s="232">
        <f>'Blountstown Forecast'!O13</f>
        <v>0</v>
      </c>
      <c r="M63" s="232">
        <f>'Blountstown Forecast'!P13</f>
        <v>0</v>
      </c>
      <c r="N63" s="20">
        <f>SUM(B63:M63)</f>
        <v>9000</v>
      </c>
      <c r="O63" s="272">
        <f>'Blountstown Forecast'!Q14</f>
        <v>0</v>
      </c>
      <c r="P63" s="271">
        <f>N63-O63</f>
        <v>9000</v>
      </c>
    </row>
    <row r="64" spans="1:16">
      <c r="A64" s="249" t="s">
        <v>45</v>
      </c>
      <c r="B64" s="27">
        <f>B63-B65</f>
        <v>163.4756995581738</v>
      </c>
      <c r="C64" s="27">
        <f t="shared" ref="C64" si="79">C63-C65</f>
        <v>0</v>
      </c>
      <c r="D64" s="27">
        <f t="shared" ref="D64" si="80">D63-D65</f>
        <v>0</v>
      </c>
      <c r="E64" s="27">
        <f t="shared" ref="E64" si="81">E63-E65</f>
        <v>0</v>
      </c>
      <c r="F64" s="27">
        <f t="shared" ref="F64" si="82">F63-F65</f>
        <v>0</v>
      </c>
      <c r="G64" s="27">
        <f t="shared" ref="G64" si="83">G63-G65</f>
        <v>0</v>
      </c>
      <c r="H64" s="27">
        <f t="shared" ref="H64" si="84">H63-H65</f>
        <v>0</v>
      </c>
      <c r="I64" s="27">
        <f t="shared" ref="I64" si="85">I63-I65</f>
        <v>0</v>
      </c>
      <c r="J64" s="27">
        <f t="shared" ref="J64" si="86">J63-J65</f>
        <v>0</v>
      </c>
      <c r="K64" s="27">
        <f t="shared" ref="K64" si="87">K63-K65</f>
        <v>0</v>
      </c>
      <c r="L64" s="27">
        <f t="shared" ref="L64" si="88">L63-L65</f>
        <v>0</v>
      </c>
      <c r="M64" s="27">
        <f t="shared" ref="M64" si="89">M63-M65</f>
        <v>0</v>
      </c>
      <c r="N64" s="20">
        <f>SUM(B64:M64)</f>
        <v>163.4756995581738</v>
      </c>
    </row>
    <row r="65" spans="1:17">
      <c r="A65" s="249" t="s">
        <v>47</v>
      </c>
      <c r="B65" s="27">
        <f>B63/(1+'Transmission Formula Rate (7)'!$B$27)</f>
        <v>8836.5243004418262</v>
      </c>
      <c r="C65" s="27">
        <f>C63/(1+'Transmission Formula Rate (7)'!$B$27)</f>
        <v>0</v>
      </c>
      <c r="D65" s="27">
        <f>D63/(1+'Transmission Formula Rate (7)'!$B$27)</f>
        <v>0</v>
      </c>
      <c r="E65" s="27">
        <f>E63/(1+'Transmission Formula Rate (7)'!$B$27)</f>
        <v>0</v>
      </c>
      <c r="F65" s="27">
        <f>F63/(1+'Transmission Formula Rate (7)'!$B$27)</f>
        <v>0</v>
      </c>
      <c r="G65" s="27">
        <f>G63/(1+'Transmission Formula Rate (7)'!$B$27)</f>
        <v>0</v>
      </c>
      <c r="H65" s="27">
        <f>H63/(1+'Transmission Formula Rate (7)'!$B$27)</f>
        <v>0</v>
      </c>
      <c r="I65" s="27">
        <f>I63/(1+'Transmission Formula Rate (7)'!$B$27)</f>
        <v>0</v>
      </c>
      <c r="J65" s="27">
        <f>J63/(1+'Transmission Formula Rate (7)'!$B$27)</f>
        <v>0</v>
      </c>
      <c r="K65" s="27">
        <f>K63/(1+'Transmission Formula Rate (7)'!$B$27)</f>
        <v>0</v>
      </c>
      <c r="L65" s="27">
        <f>L63/(1+'Transmission Formula Rate (7)'!$B$27)</f>
        <v>0</v>
      </c>
      <c r="M65" s="27">
        <f>M63/(1+'Transmission Formula Rate (7)'!$B$27)</f>
        <v>0</v>
      </c>
      <c r="N65" s="123">
        <f>SUM(B65:M65)</f>
        <v>8836.5243004418262</v>
      </c>
    </row>
    <row r="66" spans="1:17">
      <c r="A66" s="247" t="s">
        <v>20</v>
      </c>
      <c r="B66" s="29">
        <f>'Transmission Formula Rate (7)'!B14</f>
        <v>1.59</v>
      </c>
      <c r="C66" s="29">
        <f>'Transmission Formula Rate (7)'!C14</f>
        <v>1.59</v>
      </c>
      <c r="D66" s="29">
        <f>'Transmission Formula Rate (7)'!D14</f>
        <v>1.59</v>
      </c>
      <c r="E66" s="29">
        <f>'Transmission Formula Rate (7)'!E14</f>
        <v>1.59</v>
      </c>
      <c r="F66" s="29">
        <f>'Transmission Formula Rate (7)'!F14</f>
        <v>1.59</v>
      </c>
      <c r="G66" s="29">
        <f>'Transmission Formula Rate (7)'!G14</f>
        <v>1.59</v>
      </c>
      <c r="H66" s="29">
        <f>'Transmission Formula Rate (7)'!H14</f>
        <v>1.59</v>
      </c>
      <c r="I66" s="29">
        <f>'Transmission Formula Rate (7)'!I14</f>
        <v>1.59</v>
      </c>
      <c r="J66" s="29">
        <f>'Transmission Formula Rate (7)'!J14</f>
        <v>1.59</v>
      </c>
      <c r="K66" s="29">
        <f>'Transmission Formula Rate (7)'!K14</f>
        <v>1.59</v>
      </c>
      <c r="L66" s="29">
        <f>'Transmission Formula Rate (7)'!L14</f>
        <v>1.59</v>
      </c>
      <c r="M66" s="29">
        <f>'Transmission Formula Rate (7)'!M14</f>
        <v>1.59</v>
      </c>
      <c r="N66" s="19"/>
      <c r="Q66" s="270"/>
    </row>
    <row r="67" spans="1:17">
      <c r="A67" s="247" t="s">
        <v>17</v>
      </c>
      <c r="B67" s="20">
        <f>B63*B66</f>
        <v>14310</v>
      </c>
      <c r="C67" s="20">
        <f t="shared" ref="C67" si="90">C63*C66</f>
        <v>0</v>
      </c>
      <c r="D67" s="20">
        <f t="shared" ref="D67" si="91">D63*D66</f>
        <v>0</v>
      </c>
      <c r="E67" s="20">
        <f t="shared" ref="E67" si="92">E63*E66</f>
        <v>0</v>
      </c>
      <c r="F67" s="20">
        <f t="shared" ref="F67" si="93">F63*F66</f>
        <v>0</v>
      </c>
      <c r="G67" s="20">
        <f t="shared" ref="G67" si="94">G63*G66</f>
        <v>0</v>
      </c>
      <c r="H67" s="20">
        <f t="shared" ref="H67" si="95">H63*H66</f>
        <v>0</v>
      </c>
      <c r="I67" s="20">
        <f t="shared" ref="I67" si="96">I63*I66</f>
        <v>0</v>
      </c>
      <c r="J67" s="20">
        <f t="shared" ref="J67" si="97">J63*J66</f>
        <v>0</v>
      </c>
      <c r="K67" s="20">
        <f t="shared" ref="K67" si="98">K63*K66</f>
        <v>0</v>
      </c>
      <c r="L67" s="20">
        <f t="shared" ref="L67" si="99">L63*L66</f>
        <v>0</v>
      </c>
      <c r="M67" s="20">
        <f t="shared" ref="M67" si="100">M63*M66</f>
        <v>0</v>
      </c>
      <c r="N67" s="20">
        <f>SUM(B67:M67)</f>
        <v>14310</v>
      </c>
    </row>
    <row r="69" spans="1:17">
      <c r="A69" s="247" t="s">
        <v>135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7">
      <c r="A70" s="249" t="s">
        <v>281</v>
      </c>
      <c r="B70" s="232">
        <f>B63</f>
        <v>9000</v>
      </c>
      <c r="C70" s="232">
        <f t="shared" ref="C70:M70" si="101">C63</f>
        <v>0</v>
      </c>
      <c r="D70" s="232">
        <f t="shared" si="101"/>
        <v>0</v>
      </c>
      <c r="E70" s="232">
        <f t="shared" si="101"/>
        <v>0</v>
      </c>
      <c r="F70" s="232">
        <f t="shared" si="101"/>
        <v>0</v>
      </c>
      <c r="G70" s="232">
        <f t="shared" si="101"/>
        <v>0</v>
      </c>
      <c r="H70" s="232">
        <f t="shared" si="101"/>
        <v>0</v>
      </c>
      <c r="I70" s="232">
        <f t="shared" si="101"/>
        <v>0</v>
      </c>
      <c r="J70" s="232">
        <f t="shared" si="101"/>
        <v>0</v>
      </c>
      <c r="K70" s="232">
        <f t="shared" si="101"/>
        <v>0</v>
      </c>
      <c r="L70" s="232">
        <f t="shared" si="101"/>
        <v>0</v>
      </c>
      <c r="M70" s="232">
        <f t="shared" si="101"/>
        <v>0</v>
      </c>
      <c r="N70" s="20">
        <f>SUM(B70:M70)</f>
        <v>9000</v>
      </c>
    </row>
    <row r="71" spans="1:17">
      <c r="A71" s="249" t="s">
        <v>45</v>
      </c>
      <c r="B71" s="27">
        <f>B70-B72</f>
        <v>163.4756995581738</v>
      </c>
      <c r="C71" s="27">
        <f t="shared" ref="C71" si="102">C70-C72</f>
        <v>0</v>
      </c>
      <c r="D71" s="27">
        <f t="shared" ref="D71" si="103">D70-D72</f>
        <v>0</v>
      </c>
      <c r="E71" s="27">
        <f t="shared" ref="E71" si="104">E70-E72</f>
        <v>0</v>
      </c>
      <c r="F71" s="27">
        <f t="shared" ref="F71" si="105">F70-F72</f>
        <v>0</v>
      </c>
      <c r="G71" s="27">
        <f t="shared" ref="G71" si="106">G70-G72</f>
        <v>0</v>
      </c>
      <c r="H71" s="27">
        <f t="shared" ref="H71" si="107">H70-H72</f>
        <v>0</v>
      </c>
      <c r="I71" s="27">
        <f t="shared" ref="I71" si="108">I70-I72</f>
        <v>0</v>
      </c>
      <c r="J71" s="27">
        <f t="shared" ref="J71" si="109">J70-J72</f>
        <v>0</v>
      </c>
      <c r="K71" s="27">
        <f t="shared" ref="K71" si="110">K70-K72</f>
        <v>0</v>
      </c>
      <c r="L71" s="27">
        <f t="shared" ref="L71" si="111">L70-L72</f>
        <v>0</v>
      </c>
      <c r="M71" s="27">
        <f t="shared" ref="M71" si="112">M70-M72</f>
        <v>0</v>
      </c>
      <c r="N71" s="20">
        <f>SUM(B71:M71)</f>
        <v>163.4756995581738</v>
      </c>
    </row>
    <row r="72" spans="1:17">
      <c r="A72" s="249" t="s">
        <v>47</v>
      </c>
      <c r="B72" s="27">
        <f>B70/(1+'Transmission Formula Rate (7)'!$B$27)</f>
        <v>8836.5243004418262</v>
      </c>
      <c r="C72" s="27">
        <f>C70/(1+'Transmission Formula Rate (7)'!$B$27)</f>
        <v>0</v>
      </c>
      <c r="D72" s="27">
        <f>D70/(1+'Transmission Formula Rate (7)'!$B$27)</f>
        <v>0</v>
      </c>
      <c r="E72" s="27">
        <f>E70/(1+'Transmission Formula Rate (7)'!$B$27)</f>
        <v>0</v>
      </c>
      <c r="F72" s="27">
        <f>F70/(1+'Transmission Formula Rate (7)'!$B$27)</f>
        <v>0</v>
      </c>
      <c r="G72" s="27">
        <f>G70/(1+'Transmission Formula Rate (7)'!$B$27)</f>
        <v>0</v>
      </c>
      <c r="H72" s="27">
        <f>H70/(1+'Transmission Formula Rate (7)'!$B$27)</f>
        <v>0</v>
      </c>
      <c r="I72" s="27">
        <f>I70/(1+'Transmission Formula Rate (7)'!$B$27)</f>
        <v>0</v>
      </c>
      <c r="J72" s="27">
        <f>J70/(1+'Transmission Formula Rate (7)'!$B$27)</f>
        <v>0</v>
      </c>
      <c r="K72" s="27">
        <f>K70/(1+'Transmission Formula Rate (7)'!$B$27)</f>
        <v>0</v>
      </c>
      <c r="L72" s="27">
        <f>L70/(1+'Transmission Formula Rate (7)'!$B$27)</f>
        <v>0</v>
      </c>
      <c r="M72" s="27">
        <f>M70/(1+'Transmission Formula Rate (7)'!$B$27)</f>
        <v>0</v>
      </c>
      <c r="N72" s="123">
        <f>SUM(B72:M72)</f>
        <v>8836.5243004418262</v>
      </c>
    </row>
    <row r="73" spans="1:17">
      <c r="A73" s="247" t="s">
        <v>143</v>
      </c>
      <c r="B73" s="31">
        <f>'charges (1 &amp; 2)'!H32</f>
        <v>1.274E-2</v>
      </c>
      <c r="C73" s="31">
        <f>B73</f>
        <v>1.274E-2</v>
      </c>
      <c r="D73" s="31">
        <f t="shared" ref="D73:M73" si="113">C73</f>
        <v>1.274E-2</v>
      </c>
      <c r="E73" s="31">
        <f t="shared" si="113"/>
        <v>1.274E-2</v>
      </c>
      <c r="F73" s="31">
        <f t="shared" si="113"/>
        <v>1.274E-2</v>
      </c>
      <c r="G73" s="31">
        <f t="shared" si="113"/>
        <v>1.274E-2</v>
      </c>
      <c r="H73" s="31">
        <f t="shared" si="113"/>
        <v>1.274E-2</v>
      </c>
      <c r="I73" s="31">
        <f t="shared" si="113"/>
        <v>1.274E-2</v>
      </c>
      <c r="J73" s="31">
        <f t="shared" si="113"/>
        <v>1.274E-2</v>
      </c>
      <c r="K73" s="31">
        <f t="shared" si="113"/>
        <v>1.274E-2</v>
      </c>
      <c r="L73" s="31">
        <f t="shared" si="113"/>
        <v>1.274E-2</v>
      </c>
      <c r="M73" s="31">
        <f t="shared" si="113"/>
        <v>1.274E-2</v>
      </c>
      <c r="N73" s="19"/>
    </row>
    <row r="74" spans="1:17">
      <c r="A74" s="247" t="s">
        <v>17</v>
      </c>
      <c r="B74" s="20">
        <f>B70*B73</f>
        <v>114.66</v>
      </c>
      <c r="C74" s="20">
        <f t="shared" ref="C74" si="114">C70*C73</f>
        <v>0</v>
      </c>
      <c r="D74" s="20">
        <f t="shared" ref="D74" si="115">D70*D73</f>
        <v>0</v>
      </c>
      <c r="E74" s="20">
        <f t="shared" ref="E74" si="116">E70*E73</f>
        <v>0</v>
      </c>
      <c r="F74" s="20">
        <f t="shared" ref="F74" si="117">F70*F73</f>
        <v>0</v>
      </c>
      <c r="G74" s="20">
        <f t="shared" ref="G74" si="118">G70*G73</f>
        <v>0</v>
      </c>
      <c r="H74" s="20">
        <f t="shared" ref="H74" si="119">H70*H73</f>
        <v>0</v>
      </c>
      <c r="I74" s="20">
        <f t="shared" ref="I74" si="120">I70*I73</f>
        <v>0</v>
      </c>
      <c r="J74" s="20">
        <f t="shared" ref="J74" si="121">J70*J73</f>
        <v>0</v>
      </c>
      <c r="K74" s="20">
        <f t="shared" ref="K74" si="122">K70*K73</f>
        <v>0</v>
      </c>
      <c r="L74" s="20">
        <f t="shared" ref="L74" si="123">L70*L73</f>
        <v>0</v>
      </c>
      <c r="M74" s="20">
        <f t="shared" ref="M74" si="124">M70*M73</f>
        <v>0</v>
      </c>
      <c r="N74" s="20">
        <f>SUM(B74:M74)</f>
        <v>114.66</v>
      </c>
    </row>
    <row r="76" spans="1:17">
      <c r="B76" s="23" t="s">
        <v>0</v>
      </c>
      <c r="C76" s="23" t="s">
        <v>1</v>
      </c>
      <c r="D76" s="23" t="s">
        <v>2</v>
      </c>
      <c r="E76" s="23" t="s">
        <v>3</v>
      </c>
      <c r="F76" s="23" t="s">
        <v>4</v>
      </c>
      <c r="G76" s="23" t="s">
        <v>5</v>
      </c>
      <c r="H76" s="23" t="s">
        <v>6</v>
      </c>
      <c r="I76" s="23" t="s">
        <v>7</v>
      </c>
      <c r="J76" s="23" t="s">
        <v>8</v>
      </c>
      <c r="K76" s="23" t="s">
        <v>9</v>
      </c>
      <c r="L76" s="23" t="s">
        <v>10</v>
      </c>
      <c r="M76" s="23" t="s">
        <v>11</v>
      </c>
      <c r="N76" s="23" t="s">
        <v>12</v>
      </c>
    </row>
    <row r="77" spans="1:17">
      <c r="A77" s="248">
        <f>A61+1</f>
        <v>2018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7">
      <c r="A78" s="247" t="s">
        <v>37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7">
      <c r="A79" s="249" t="s">
        <v>281</v>
      </c>
      <c r="B79" s="232">
        <f>'Blountstown Forecast'!E14</f>
        <v>0</v>
      </c>
      <c r="C79" s="232">
        <f>'Blountstown Forecast'!F14</f>
        <v>0</v>
      </c>
      <c r="D79" s="232">
        <f>'Blountstown Forecast'!G14</f>
        <v>0</v>
      </c>
      <c r="E79" s="232">
        <f>'Blountstown Forecast'!H14</f>
        <v>0</v>
      </c>
      <c r="F79" s="232">
        <f>'Blountstown Forecast'!I14</f>
        <v>0</v>
      </c>
      <c r="G79" s="232">
        <f>'Blountstown Forecast'!J14</f>
        <v>0</v>
      </c>
      <c r="H79" s="232">
        <f>'Blountstown Forecast'!K14</f>
        <v>0</v>
      </c>
      <c r="I79" s="232">
        <f>'Blountstown Forecast'!L14</f>
        <v>0</v>
      </c>
      <c r="J79" s="232">
        <f>'Blountstown Forecast'!M14</f>
        <v>0</v>
      </c>
      <c r="K79" s="232">
        <f>'Blountstown Forecast'!N14</f>
        <v>0</v>
      </c>
      <c r="L79" s="232">
        <f>'Blountstown Forecast'!O14</f>
        <v>0</v>
      </c>
      <c r="M79" s="232">
        <f>'Blountstown Forecast'!P14</f>
        <v>0</v>
      </c>
      <c r="N79" s="20">
        <f>SUM(B79:M79)</f>
        <v>0</v>
      </c>
      <c r="O79" s="272">
        <f>'Blountstown Forecast'!Q30</f>
        <v>0</v>
      </c>
      <c r="P79" s="271">
        <f>N79-O79</f>
        <v>0</v>
      </c>
    </row>
    <row r="80" spans="1:17">
      <c r="A80" s="249" t="s">
        <v>45</v>
      </c>
      <c r="B80" s="27">
        <f>ROUND(B79*'Transmission Formula Rate (7)'!$B$27,0)</f>
        <v>0</v>
      </c>
      <c r="C80" s="27">
        <f>ROUND(C79*'Transmission Formula Rate (7)'!$B$27,0)</f>
        <v>0</v>
      </c>
      <c r="D80" s="27">
        <f>ROUND(D79*'Transmission Formula Rate (7)'!$B$27,0)</f>
        <v>0</v>
      </c>
      <c r="E80" s="27">
        <f>ROUND(E79*'Transmission Formula Rate (7)'!$B$27,0)</f>
        <v>0</v>
      </c>
      <c r="F80" s="27">
        <f>ROUND(F79*'Transmission Formula Rate (7)'!$B$27,0)</f>
        <v>0</v>
      </c>
      <c r="G80" s="27">
        <f>ROUND(G79*'Transmission Formula Rate (7)'!$B$27,0)</f>
        <v>0</v>
      </c>
      <c r="H80" s="27">
        <f>ROUND(H79*'Transmission Formula Rate (7)'!$B$27,0)</f>
        <v>0</v>
      </c>
      <c r="I80" s="27">
        <f>ROUND(I79*'Transmission Formula Rate (7)'!$B$27,0)</f>
        <v>0</v>
      </c>
      <c r="J80" s="27">
        <f>ROUND(J79*'Transmission Formula Rate (7)'!$B$27,0)</f>
        <v>0</v>
      </c>
      <c r="K80" s="27">
        <f>ROUND(K79*'Transmission Formula Rate (7)'!$B$27,0)</f>
        <v>0</v>
      </c>
      <c r="L80" s="27">
        <f>ROUND(L79*'Transmission Formula Rate (7)'!$B$27,0)</f>
        <v>0</v>
      </c>
      <c r="M80" s="27">
        <f>ROUND(M79*'Transmission Formula Rate (7)'!$B$27,0)</f>
        <v>0</v>
      </c>
      <c r="N80" s="20">
        <f>SUM(B80:M80)</f>
        <v>0</v>
      </c>
    </row>
    <row r="81" spans="1:17">
      <c r="A81" s="249" t="s">
        <v>47</v>
      </c>
      <c r="B81" s="27">
        <f t="shared" ref="B81:M81" si="125">B79+B80</f>
        <v>0</v>
      </c>
      <c r="C81" s="27">
        <f t="shared" si="125"/>
        <v>0</v>
      </c>
      <c r="D81" s="27">
        <f t="shared" si="125"/>
        <v>0</v>
      </c>
      <c r="E81" s="27">
        <f t="shared" si="125"/>
        <v>0</v>
      </c>
      <c r="F81" s="27">
        <f t="shared" si="125"/>
        <v>0</v>
      </c>
      <c r="G81" s="27">
        <f t="shared" si="125"/>
        <v>0</v>
      </c>
      <c r="H81" s="27">
        <f t="shared" si="125"/>
        <v>0</v>
      </c>
      <c r="I81" s="27">
        <f t="shared" si="125"/>
        <v>0</v>
      </c>
      <c r="J81" s="27">
        <f t="shared" si="125"/>
        <v>0</v>
      </c>
      <c r="K81" s="27">
        <f t="shared" si="125"/>
        <v>0</v>
      </c>
      <c r="L81" s="27">
        <f t="shared" si="125"/>
        <v>0</v>
      </c>
      <c r="M81" s="27">
        <f t="shared" si="125"/>
        <v>0</v>
      </c>
      <c r="N81" s="123">
        <f>SUM(B81:M81)</f>
        <v>0</v>
      </c>
    </row>
    <row r="82" spans="1:17">
      <c r="A82" s="247" t="s">
        <v>20</v>
      </c>
      <c r="B82" s="29">
        <f>'Transmission Formula Rate (7)'!B16</f>
        <v>1.59</v>
      </c>
      <c r="C82" s="29">
        <f>'Transmission Formula Rate (7)'!C16</f>
        <v>1.59</v>
      </c>
      <c r="D82" s="29">
        <f>'Transmission Formula Rate (7)'!D16</f>
        <v>1.59</v>
      </c>
      <c r="E82" s="29">
        <f>'Transmission Formula Rate (7)'!E16</f>
        <v>1.59</v>
      </c>
      <c r="F82" s="29">
        <f>'Transmission Formula Rate (7)'!F16</f>
        <v>1.59</v>
      </c>
      <c r="G82" s="29">
        <f>'Transmission Formula Rate (7)'!G32</f>
        <v>0</v>
      </c>
      <c r="H82" s="29">
        <f>'Transmission Formula Rate (7)'!H32</f>
        <v>0</v>
      </c>
      <c r="I82" s="29">
        <f>'Transmission Formula Rate (7)'!I32</f>
        <v>0</v>
      </c>
      <c r="J82" s="29">
        <f>'Transmission Formula Rate (7)'!J32</f>
        <v>0</v>
      </c>
      <c r="K82" s="29">
        <f>'Transmission Formula Rate (7)'!K32</f>
        <v>0</v>
      </c>
      <c r="L82" s="29">
        <f>'Transmission Formula Rate (7)'!L32</f>
        <v>0</v>
      </c>
      <c r="M82" s="29">
        <f>'Transmission Formula Rate (7)'!M32</f>
        <v>0</v>
      </c>
      <c r="N82" s="19"/>
      <c r="Q82" s="270" t="s">
        <v>256</v>
      </c>
    </row>
    <row r="83" spans="1:17">
      <c r="A83" s="247" t="s">
        <v>17</v>
      </c>
      <c r="B83" s="20">
        <f t="shared" ref="B83:M83" si="126">B81*B82</f>
        <v>0</v>
      </c>
      <c r="C83" s="20">
        <f t="shared" si="126"/>
        <v>0</v>
      </c>
      <c r="D83" s="20">
        <f t="shared" si="126"/>
        <v>0</v>
      </c>
      <c r="E83" s="20">
        <f t="shared" si="126"/>
        <v>0</v>
      </c>
      <c r="F83" s="20">
        <f t="shared" si="126"/>
        <v>0</v>
      </c>
      <c r="G83" s="20">
        <f t="shared" si="126"/>
        <v>0</v>
      </c>
      <c r="H83" s="20">
        <f t="shared" si="126"/>
        <v>0</v>
      </c>
      <c r="I83" s="20">
        <f t="shared" si="126"/>
        <v>0</v>
      </c>
      <c r="J83" s="20">
        <f t="shared" si="126"/>
        <v>0</v>
      </c>
      <c r="K83" s="20">
        <f t="shared" si="126"/>
        <v>0</v>
      </c>
      <c r="L83" s="20">
        <f t="shared" si="126"/>
        <v>0</v>
      </c>
      <c r="M83" s="20">
        <f t="shared" si="126"/>
        <v>0</v>
      </c>
      <c r="N83" s="20">
        <f>SUM(B83:M83)</f>
        <v>0</v>
      </c>
    </row>
    <row r="85" spans="1:17">
      <c r="A85" s="247" t="s">
        <v>135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7">
      <c r="A86" s="249" t="s">
        <v>281</v>
      </c>
      <c r="B86" s="232">
        <f>B79</f>
        <v>0</v>
      </c>
      <c r="C86" s="232">
        <f t="shared" ref="C86:M86" si="127">C79</f>
        <v>0</v>
      </c>
      <c r="D86" s="232">
        <f t="shared" si="127"/>
        <v>0</v>
      </c>
      <c r="E86" s="232">
        <f t="shared" si="127"/>
        <v>0</v>
      </c>
      <c r="F86" s="232">
        <f t="shared" si="127"/>
        <v>0</v>
      </c>
      <c r="G86" s="232">
        <f t="shared" si="127"/>
        <v>0</v>
      </c>
      <c r="H86" s="232">
        <f t="shared" si="127"/>
        <v>0</v>
      </c>
      <c r="I86" s="232">
        <f t="shared" si="127"/>
        <v>0</v>
      </c>
      <c r="J86" s="232">
        <f t="shared" si="127"/>
        <v>0</v>
      </c>
      <c r="K86" s="232">
        <f t="shared" si="127"/>
        <v>0</v>
      </c>
      <c r="L86" s="232">
        <f t="shared" si="127"/>
        <v>0</v>
      </c>
      <c r="M86" s="232">
        <f t="shared" si="127"/>
        <v>0</v>
      </c>
      <c r="N86" s="20">
        <f>SUM(B86:M86)</f>
        <v>0</v>
      </c>
    </row>
    <row r="87" spans="1:17">
      <c r="A87" s="249" t="s">
        <v>45</v>
      </c>
      <c r="B87" s="27">
        <f>ROUND(B86*'Transmission Formula Rate (7)'!$B$27,0)</f>
        <v>0</v>
      </c>
      <c r="C87" s="27">
        <f>ROUND(C86*'Transmission Formula Rate (7)'!$B$27,0)</f>
        <v>0</v>
      </c>
      <c r="D87" s="27">
        <f>ROUND(D86*'Transmission Formula Rate (7)'!$B$27,0)</f>
        <v>0</v>
      </c>
      <c r="E87" s="27">
        <f>ROUND(E86*'Transmission Formula Rate (7)'!$B$27,0)</f>
        <v>0</v>
      </c>
      <c r="F87" s="27">
        <f>ROUND(F86*'Transmission Formula Rate (7)'!$B$27,0)</f>
        <v>0</v>
      </c>
      <c r="G87" s="27">
        <f>ROUND(G86*'Transmission Formula Rate (7)'!$B$27,0)</f>
        <v>0</v>
      </c>
      <c r="H87" s="27">
        <f>ROUND(H86*'Transmission Formula Rate (7)'!$B$27,0)</f>
        <v>0</v>
      </c>
      <c r="I87" s="27">
        <f>ROUND(I86*'Transmission Formula Rate (7)'!$B$27,0)</f>
        <v>0</v>
      </c>
      <c r="J87" s="27">
        <f>ROUND(J86*'Transmission Formula Rate (7)'!$B$27,0)</f>
        <v>0</v>
      </c>
      <c r="K87" s="27">
        <f>ROUND(K86*'Transmission Formula Rate (7)'!$B$27,0)</f>
        <v>0</v>
      </c>
      <c r="L87" s="27">
        <f>ROUND(L86*'Transmission Formula Rate (7)'!$B$27,0)</f>
        <v>0</v>
      </c>
      <c r="M87" s="27">
        <f>ROUND(M86*'Transmission Formula Rate (7)'!$B$27,0)</f>
        <v>0</v>
      </c>
      <c r="N87" s="20">
        <f>SUM(B87:M87)</f>
        <v>0</v>
      </c>
    </row>
    <row r="88" spans="1:17">
      <c r="A88" s="249" t="s">
        <v>47</v>
      </c>
      <c r="B88" s="27">
        <f t="shared" ref="B88:M88" si="128">B86+B87</f>
        <v>0</v>
      </c>
      <c r="C88" s="27">
        <f t="shared" si="128"/>
        <v>0</v>
      </c>
      <c r="D88" s="27">
        <f t="shared" si="128"/>
        <v>0</v>
      </c>
      <c r="E88" s="27">
        <f t="shared" si="128"/>
        <v>0</v>
      </c>
      <c r="F88" s="27">
        <f t="shared" si="128"/>
        <v>0</v>
      </c>
      <c r="G88" s="27">
        <f t="shared" si="128"/>
        <v>0</v>
      </c>
      <c r="H88" s="27">
        <f t="shared" si="128"/>
        <v>0</v>
      </c>
      <c r="I88" s="27">
        <f t="shared" si="128"/>
        <v>0</v>
      </c>
      <c r="J88" s="27">
        <f t="shared" si="128"/>
        <v>0</v>
      </c>
      <c r="K88" s="27">
        <f t="shared" si="128"/>
        <v>0</v>
      </c>
      <c r="L88" s="27">
        <f t="shared" si="128"/>
        <v>0</v>
      </c>
      <c r="M88" s="27">
        <f t="shared" si="128"/>
        <v>0</v>
      </c>
      <c r="N88" s="123">
        <f>SUM(B88:M88)</f>
        <v>0</v>
      </c>
    </row>
    <row r="89" spans="1:17">
      <c r="A89" s="247" t="s">
        <v>143</v>
      </c>
      <c r="B89" s="31">
        <f>'charges (1 &amp; 2)'!$H$38</f>
        <v>1.274E-2</v>
      </c>
      <c r="C89" s="31">
        <f>B89</f>
        <v>1.274E-2</v>
      </c>
      <c r="D89" s="31">
        <f t="shared" ref="D89" si="129">C89</f>
        <v>1.274E-2</v>
      </c>
      <c r="E89" s="31">
        <f t="shared" ref="E89" si="130">D89</f>
        <v>1.274E-2</v>
      </c>
      <c r="F89" s="31">
        <f t="shared" ref="F89" si="131">E89</f>
        <v>1.274E-2</v>
      </c>
      <c r="G89" s="31">
        <v>0</v>
      </c>
      <c r="H89" s="31">
        <f t="shared" ref="H89" si="132">G89</f>
        <v>0</v>
      </c>
      <c r="I89" s="31">
        <f t="shared" ref="I89" si="133">H89</f>
        <v>0</v>
      </c>
      <c r="J89" s="31">
        <f t="shared" ref="J89" si="134">I89</f>
        <v>0</v>
      </c>
      <c r="K89" s="31">
        <f t="shared" ref="K89" si="135">J89</f>
        <v>0</v>
      </c>
      <c r="L89" s="31">
        <f t="shared" ref="L89" si="136">K89</f>
        <v>0</v>
      </c>
      <c r="M89" s="31">
        <f t="shared" ref="M89" si="137">L89</f>
        <v>0</v>
      </c>
      <c r="N89" s="19"/>
    </row>
    <row r="90" spans="1:17">
      <c r="A90" s="247" t="s">
        <v>17</v>
      </c>
      <c r="B90" s="20">
        <f t="shared" ref="B90:M90" si="138">B88*B89</f>
        <v>0</v>
      </c>
      <c r="C90" s="20">
        <f t="shared" si="138"/>
        <v>0</v>
      </c>
      <c r="D90" s="20">
        <f t="shared" si="138"/>
        <v>0</v>
      </c>
      <c r="E90" s="20">
        <f t="shared" si="138"/>
        <v>0</v>
      </c>
      <c r="F90" s="20">
        <f t="shared" si="138"/>
        <v>0</v>
      </c>
      <c r="G90" s="20">
        <f t="shared" si="138"/>
        <v>0</v>
      </c>
      <c r="H90" s="20">
        <f t="shared" si="138"/>
        <v>0</v>
      </c>
      <c r="I90" s="20">
        <f t="shared" si="138"/>
        <v>0</v>
      </c>
      <c r="J90" s="20">
        <f t="shared" si="138"/>
        <v>0</v>
      </c>
      <c r="K90" s="20">
        <f t="shared" si="138"/>
        <v>0</v>
      </c>
      <c r="L90" s="20">
        <f t="shared" si="138"/>
        <v>0</v>
      </c>
      <c r="M90" s="20">
        <f t="shared" si="138"/>
        <v>0</v>
      </c>
      <c r="N90" s="20">
        <f>SUM(B90:M90)</f>
        <v>0</v>
      </c>
    </row>
    <row r="92" spans="1:17">
      <c r="A92" s="243" t="s">
        <v>262</v>
      </c>
      <c r="B92" s="361" t="s">
        <v>263</v>
      </c>
    </row>
  </sheetData>
  <mergeCells count="1">
    <mergeCell ref="O7:P7"/>
  </mergeCells>
  <hyperlinks>
    <hyperlink ref="B92" r:id="rId1"/>
  </hyperlinks>
  <pageMargins left="0.7" right="0.7" top="0.75" bottom="0.75" header="0.3" footer="0.3"/>
  <pageSetup scale="74" orientation="landscape" r:id="rId2"/>
  <rowBreaks count="2" manualBreakCount="2">
    <brk id="41" max="16383" man="1"/>
    <brk id="75" max="16383" man="1"/>
  </rowBreaks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34" customWidth="1"/>
    <col min="2" max="2" width="10.88671875" style="234" customWidth="1"/>
    <col min="3" max="3" width="1.6640625" style="251" customWidth="1"/>
    <col min="4" max="16384" width="9" style="234"/>
  </cols>
  <sheetData>
    <row r="1" spans="2:18">
      <c r="B1" s="481" t="s">
        <v>474</v>
      </c>
    </row>
    <row r="2" spans="2:18">
      <c r="B2" s="481" t="s">
        <v>458</v>
      </c>
    </row>
    <row r="4" spans="2:18">
      <c r="B4" s="279" t="s">
        <v>264</v>
      </c>
    </row>
    <row r="5" spans="2:18">
      <c r="B5" s="234" t="s">
        <v>183</v>
      </c>
    </row>
    <row r="6" spans="2:18">
      <c r="B6" s="234" t="s">
        <v>399</v>
      </c>
    </row>
    <row r="9" spans="2:18">
      <c r="B9" s="234" t="s">
        <v>190</v>
      </c>
      <c r="E9" s="283" t="s">
        <v>0</v>
      </c>
      <c r="F9" s="283" t="s">
        <v>1</v>
      </c>
      <c r="G9" s="283" t="s">
        <v>2</v>
      </c>
      <c r="H9" s="283" t="s">
        <v>3</v>
      </c>
      <c r="I9" s="283" t="s">
        <v>4</v>
      </c>
      <c r="J9" s="283" t="s">
        <v>5</v>
      </c>
      <c r="K9" s="283" t="s">
        <v>6</v>
      </c>
      <c r="L9" s="283" t="s">
        <v>7</v>
      </c>
      <c r="M9" s="283" t="s">
        <v>8</v>
      </c>
      <c r="N9" s="283" t="s">
        <v>9</v>
      </c>
      <c r="O9" s="283" t="s">
        <v>10</v>
      </c>
      <c r="P9" s="283" t="s">
        <v>11</v>
      </c>
      <c r="Q9" s="284" t="s">
        <v>12</v>
      </c>
    </row>
    <row r="10" spans="2:18">
      <c r="D10" s="236">
        <v>2014</v>
      </c>
      <c r="E10" s="237">
        <v>4000</v>
      </c>
      <c r="F10" s="237">
        <v>7000</v>
      </c>
      <c r="G10" s="237">
        <v>4000</v>
      </c>
      <c r="H10" s="237">
        <v>3000</v>
      </c>
      <c r="I10" s="237">
        <v>7000</v>
      </c>
      <c r="J10" s="237">
        <v>7000</v>
      </c>
      <c r="K10" s="237">
        <v>7000</v>
      </c>
      <c r="L10" s="237">
        <v>8000</v>
      </c>
      <c r="M10" s="237">
        <v>8000</v>
      </c>
      <c r="N10" s="237">
        <v>7000</v>
      </c>
      <c r="O10" s="237">
        <v>7000</v>
      </c>
      <c r="P10" s="237">
        <v>4000</v>
      </c>
      <c r="Q10" s="235">
        <f t="shared" ref="Q10:Q15" si="0">SUM(E10:P10)</f>
        <v>73000</v>
      </c>
    </row>
    <row r="11" spans="2:18">
      <c r="D11" s="236">
        <f>1+D10</f>
        <v>2015</v>
      </c>
      <c r="E11" s="237">
        <v>4000</v>
      </c>
      <c r="F11" s="237">
        <v>3000</v>
      </c>
      <c r="G11" s="237">
        <v>8000</v>
      </c>
      <c r="H11" s="237">
        <v>4000</v>
      </c>
      <c r="I11" s="237">
        <v>5000</v>
      </c>
      <c r="J11" s="237">
        <v>7000</v>
      </c>
      <c r="K11" s="237">
        <v>8000</v>
      </c>
      <c r="L11" s="237">
        <v>7000</v>
      </c>
      <c r="M11" s="237">
        <v>9000</v>
      </c>
      <c r="N11" s="237">
        <v>9000</v>
      </c>
      <c r="O11" s="237">
        <v>9000</v>
      </c>
      <c r="P11" s="237">
        <v>9000</v>
      </c>
      <c r="Q11" s="235">
        <f t="shared" si="0"/>
        <v>82000</v>
      </c>
    </row>
    <row r="12" spans="2:18">
      <c r="D12" s="236">
        <f>1+D11</f>
        <v>2016</v>
      </c>
      <c r="E12" s="237">
        <v>9000</v>
      </c>
      <c r="F12" s="237">
        <v>9000</v>
      </c>
      <c r="G12" s="237">
        <v>9000</v>
      </c>
      <c r="H12" s="237">
        <v>9000</v>
      </c>
      <c r="I12" s="237">
        <v>9000</v>
      </c>
      <c r="J12" s="237">
        <v>9000</v>
      </c>
      <c r="K12" s="237">
        <v>9000</v>
      </c>
      <c r="L12" s="237">
        <v>9000</v>
      </c>
      <c r="M12" s="237">
        <v>9000</v>
      </c>
      <c r="N12" s="237">
        <v>9000</v>
      </c>
      <c r="O12" s="237">
        <v>9000</v>
      </c>
      <c r="P12" s="237">
        <v>9000</v>
      </c>
      <c r="Q12" s="235">
        <f t="shared" si="0"/>
        <v>108000</v>
      </c>
    </row>
    <row r="13" spans="2:18">
      <c r="D13" s="236">
        <f>1+D12</f>
        <v>2017</v>
      </c>
      <c r="E13" s="237">
        <v>9000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5">
        <f t="shared" si="0"/>
        <v>9000</v>
      </c>
    </row>
    <row r="14" spans="2:18">
      <c r="D14" s="236">
        <f>1+D13</f>
        <v>2018</v>
      </c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5">
        <f t="shared" si="0"/>
        <v>0</v>
      </c>
      <c r="R14" s="335" t="s">
        <v>254</v>
      </c>
    </row>
    <row r="15" spans="2:18">
      <c r="D15" s="236">
        <f>1+D14</f>
        <v>2019</v>
      </c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5">
        <f t="shared" si="0"/>
        <v>0</v>
      </c>
    </row>
    <row r="16" spans="2:18">
      <c r="C16" s="252"/>
      <c r="D16" s="237"/>
      <c r="E16" s="237"/>
      <c r="F16" s="237"/>
      <c r="G16" s="237"/>
      <c r="H16" s="237"/>
    </row>
    <row r="17" spans="3:8">
      <c r="C17" s="252"/>
      <c r="D17" s="237"/>
      <c r="E17" s="237"/>
      <c r="F17" s="237"/>
      <c r="G17" s="237"/>
      <c r="H17" s="237"/>
    </row>
    <row r="18" spans="3:8">
      <c r="C18" s="252"/>
      <c r="D18" s="237"/>
      <c r="E18" s="237"/>
      <c r="F18" s="237"/>
      <c r="G18" s="237"/>
      <c r="H18" s="237"/>
    </row>
    <row r="19" spans="3:8">
      <c r="C19" s="252"/>
      <c r="D19" s="237"/>
      <c r="E19" s="237"/>
      <c r="F19" s="237"/>
      <c r="G19" s="237"/>
      <c r="H19" s="237"/>
    </row>
    <row r="20" spans="3:8">
      <c r="C20" s="252"/>
      <c r="D20" s="237"/>
      <c r="E20" s="237"/>
      <c r="F20" s="237"/>
      <c r="G20" s="237"/>
      <c r="H20" s="237"/>
    </row>
    <row r="21" spans="3:8">
      <c r="C21" s="252"/>
      <c r="D21" s="237"/>
      <c r="E21" s="237"/>
      <c r="F21" s="237"/>
      <c r="G21" s="237"/>
      <c r="H21" s="237"/>
    </row>
    <row r="22" spans="3:8">
      <c r="C22" s="252"/>
      <c r="D22" s="237"/>
      <c r="E22" s="237"/>
      <c r="F22" s="237"/>
      <c r="G22" s="237"/>
      <c r="H22" s="237"/>
    </row>
    <row r="24" spans="3:8">
      <c r="C24" s="252"/>
      <c r="D24" s="237"/>
      <c r="E24" s="237"/>
      <c r="F24" s="237"/>
      <c r="G24" s="237"/>
      <c r="H24" s="237"/>
    </row>
    <row r="25" spans="3:8">
      <c r="C25" s="252"/>
      <c r="D25" s="237"/>
      <c r="E25" s="237"/>
      <c r="F25" s="237"/>
      <c r="G25" s="237"/>
      <c r="H25" s="237"/>
    </row>
    <row r="26" spans="3:8">
      <c r="C26" s="252"/>
      <c r="D26" s="237"/>
      <c r="E26" s="237"/>
      <c r="F26" s="237"/>
      <c r="G26" s="237"/>
      <c r="H26" s="237"/>
    </row>
    <row r="27" spans="3:8">
      <c r="C27" s="252"/>
      <c r="D27" s="237"/>
      <c r="E27" s="237"/>
      <c r="F27" s="237"/>
      <c r="G27" s="237"/>
      <c r="H27" s="237"/>
    </row>
    <row r="28" spans="3:8">
      <c r="C28" s="252"/>
      <c r="D28" s="237"/>
      <c r="E28" s="237"/>
      <c r="F28" s="237"/>
      <c r="G28" s="237"/>
      <c r="H28" s="237"/>
    </row>
    <row r="29" spans="3:8">
      <c r="C29" s="252"/>
      <c r="D29" s="237"/>
      <c r="E29" s="237"/>
      <c r="F29" s="237"/>
      <c r="G29" s="237"/>
      <c r="H29" s="237"/>
    </row>
    <row r="30" spans="3:8">
      <c r="C30" s="252"/>
      <c r="D30" s="237"/>
      <c r="E30" s="237"/>
      <c r="F30" s="237"/>
      <c r="G30" s="237"/>
      <c r="H30" s="237"/>
    </row>
    <row r="31" spans="3:8">
      <c r="C31" s="252"/>
      <c r="D31" s="237"/>
      <c r="E31" s="237"/>
      <c r="F31" s="237"/>
      <c r="G31" s="237"/>
      <c r="H31" s="237"/>
    </row>
    <row r="32" spans="3:8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0" spans="3:8">
      <c r="C40" s="252"/>
      <c r="D40" s="237"/>
      <c r="E40" s="237"/>
      <c r="F40" s="237"/>
      <c r="G40" s="237"/>
      <c r="H40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03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475</v>
      </c>
    </row>
    <row r="2" spans="1:16">
      <c r="A2" s="481" t="s">
        <v>458</v>
      </c>
    </row>
    <row r="3" spans="1:16" s="15" customFormat="1" ht="13.8">
      <c r="A3" s="243"/>
      <c r="B3" s="13">
        <f ca="1">TRUNC(NOW())</f>
        <v>42476</v>
      </c>
      <c r="C3" s="14"/>
      <c r="D3" s="16" t="s">
        <v>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4"/>
      <c r="B4" s="17">
        <f ca="1">NOW()</f>
        <v>42476.370215393516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15" customFormat="1" ht="13.8">
      <c r="A5" s="245" t="s">
        <v>283</v>
      </c>
      <c r="B5" s="14"/>
      <c r="C5" s="14"/>
      <c r="D5" s="14"/>
      <c r="G5" s="14"/>
      <c r="H5" s="14"/>
      <c r="I5" s="14"/>
      <c r="J5" s="14"/>
      <c r="K5" s="14"/>
      <c r="L5" s="14"/>
      <c r="M5" s="14"/>
      <c r="O5" s="14"/>
      <c r="P5" s="14"/>
    </row>
    <row r="6" spans="1:16" s="15" customFormat="1" ht="13.8">
      <c r="A6" s="246"/>
      <c r="B6" s="238">
        <v>1</v>
      </c>
      <c r="C6" s="238">
        <f>1+B6</f>
        <v>2</v>
      </c>
      <c r="D6" s="238">
        <f t="shared" ref="D6:M6" si="0">1+C6</f>
        <v>3</v>
      </c>
      <c r="E6" s="238">
        <f t="shared" si="0"/>
        <v>4</v>
      </c>
      <c r="F6" s="238">
        <f t="shared" si="0"/>
        <v>5</v>
      </c>
      <c r="G6" s="238">
        <f t="shared" si="0"/>
        <v>6</v>
      </c>
      <c r="H6" s="238">
        <f t="shared" si="0"/>
        <v>7</v>
      </c>
      <c r="I6" s="238">
        <f t="shared" si="0"/>
        <v>8</v>
      </c>
      <c r="J6" s="238">
        <f t="shared" si="0"/>
        <v>9</v>
      </c>
      <c r="K6" s="238">
        <f t="shared" si="0"/>
        <v>10</v>
      </c>
      <c r="L6" s="238">
        <f t="shared" si="0"/>
        <v>11</v>
      </c>
      <c r="M6" s="238">
        <f t="shared" si="0"/>
        <v>12</v>
      </c>
    </row>
    <row r="7" spans="1:16" s="19" customFormat="1" ht="10.199999999999999">
      <c r="A7" s="246"/>
      <c r="B7" s="23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6</v>
      </c>
      <c r="I7" s="23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 t="s">
        <v>12</v>
      </c>
    </row>
    <row r="8" spans="1:16" s="19" customFormat="1" ht="10.199999999999999">
      <c r="A8" s="247"/>
    </row>
    <row r="9" spans="1:16" s="19" customFormat="1" ht="10.199999999999999">
      <c r="A9" s="24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6">
      <c r="B10" s="23" t="s">
        <v>0</v>
      </c>
      <c r="C10" s="23" t="s">
        <v>1</v>
      </c>
      <c r="D10" s="23" t="s">
        <v>2</v>
      </c>
      <c r="E10" s="23" t="s">
        <v>3</v>
      </c>
      <c r="F10" s="23" t="s">
        <v>4</v>
      </c>
      <c r="G10" s="23" t="s">
        <v>5</v>
      </c>
      <c r="H10" s="23" t="s">
        <v>6</v>
      </c>
      <c r="I10" s="23" t="s">
        <v>7</v>
      </c>
      <c r="J10" s="23" t="s">
        <v>8</v>
      </c>
      <c r="K10" s="23" t="s">
        <v>9</v>
      </c>
      <c r="L10" s="23" t="s">
        <v>10</v>
      </c>
      <c r="M10" s="23" t="s">
        <v>11</v>
      </c>
      <c r="N10" s="23" t="s">
        <v>12</v>
      </c>
    </row>
    <row r="11" spans="1:16">
      <c r="A11" s="248">
        <v>2014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6">
      <c r="A12" s="247" t="s">
        <v>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6">
      <c r="A13" s="249" t="s">
        <v>47</v>
      </c>
      <c r="B13" s="232">
        <f>'Winter Park Forecast'!E10</f>
        <v>1</v>
      </c>
      <c r="C13" s="232">
        <f>'Winter Park Forecast'!F10</f>
        <v>2</v>
      </c>
      <c r="D13" s="232">
        <f>'Winter Park Forecast'!G10</f>
        <v>3</v>
      </c>
      <c r="E13" s="232">
        <f>'Winter Park Forecast'!H10</f>
        <v>4</v>
      </c>
      <c r="F13" s="232">
        <f>'Winter Park Forecast'!I10</f>
        <v>5</v>
      </c>
      <c r="G13" s="232">
        <f>'Winter Park Forecast'!J10</f>
        <v>6</v>
      </c>
      <c r="H13" s="232">
        <f>'Winter Park Forecast'!K10</f>
        <v>7</v>
      </c>
      <c r="I13" s="232">
        <f>'Winter Park Forecast'!L10</f>
        <v>8</v>
      </c>
      <c r="J13" s="232">
        <f>'Winter Park Forecast'!M10</f>
        <v>9</v>
      </c>
      <c r="K13" s="232">
        <f>'Winter Park Forecast'!N10</f>
        <v>10</v>
      </c>
      <c r="L13" s="232">
        <f>'Winter Park Forecast'!O10</f>
        <v>11</v>
      </c>
      <c r="M13" s="232">
        <f>'Winter Park Forecast'!P10</f>
        <v>12</v>
      </c>
      <c r="N13" s="20">
        <f>SUM(B13:M13)</f>
        <v>78</v>
      </c>
    </row>
    <row r="14" spans="1:16">
      <c r="A14" s="249" t="s">
        <v>45</v>
      </c>
      <c r="B14" s="27">
        <f>ROUND(B13*'Transmission Formula Rate (7)'!$B$27,0)</f>
        <v>0</v>
      </c>
      <c r="C14" s="27">
        <f>ROUND(C13*'Transmission Formula Rate (7)'!$B$27,0)</f>
        <v>0</v>
      </c>
      <c r="D14" s="27">
        <f>ROUND(D13*'Transmission Formula Rate (7)'!$B$27,0)</f>
        <v>0</v>
      </c>
      <c r="E14" s="27">
        <f>ROUND(E13*'Transmission Formula Rate (7)'!$B$27,0)</f>
        <v>0</v>
      </c>
      <c r="F14" s="27">
        <f>ROUND(F13*'Transmission Formula Rate (7)'!$B$27,0)</f>
        <v>0</v>
      </c>
      <c r="G14" s="27">
        <f>ROUND(G13*'Transmission Formula Rate (7)'!$B$27,0)</f>
        <v>0</v>
      </c>
      <c r="H14" s="27">
        <f>ROUND(H13*'Transmission Formula Rate (7)'!$B$27,0)</f>
        <v>0</v>
      </c>
      <c r="I14" s="27">
        <f>ROUND(I13*'Transmission Formula Rate (7)'!$B$27,0)</f>
        <v>0</v>
      </c>
      <c r="J14" s="27">
        <f>ROUND(J13*'Transmission Formula Rate (7)'!$B$27,0)</f>
        <v>0</v>
      </c>
      <c r="K14" s="27">
        <f>ROUND(K13*'Transmission Formula Rate (7)'!$B$27,0)</f>
        <v>0</v>
      </c>
      <c r="L14" s="27">
        <f>ROUND(L13*'Transmission Formula Rate (7)'!$B$27,0)</f>
        <v>0</v>
      </c>
      <c r="M14" s="27">
        <f>ROUND(M13*'Transmission Formula Rate (7)'!$B$27,0)</f>
        <v>0</v>
      </c>
      <c r="N14" s="20">
        <f>SUM(B14:M14)</f>
        <v>0</v>
      </c>
    </row>
    <row r="15" spans="1:16">
      <c r="A15" s="249" t="s">
        <v>282</v>
      </c>
      <c r="B15" s="27">
        <f t="shared" ref="B15:M15" si="1">B13+B14</f>
        <v>1</v>
      </c>
      <c r="C15" s="27">
        <f t="shared" si="1"/>
        <v>2</v>
      </c>
      <c r="D15" s="27">
        <f t="shared" si="1"/>
        <v>3</v>
      </c>
      <c r="E15" s="27">
        <f t="shared" si="1"/>
        <v>4</v>
      </c>
      <c r="F15" s="27">
        <f t="shared" si="1"/>
        <v>5</v>
      </c>
      <c r="G15" s="27">
        <f t="shared" si="1"/>
        <v>6</v>
      </c>
      <c r="H15" s="27">
        <f t="shared" si="1"/>
        <v>7</v>
      </c>
      <c r="I15" s="27">
        <f t="shared" si="1"/>
        <v>8</v>
      </c>
      <c r="J15" s="27">
        <f t="shared" si="1"/>
        <v>9</v>
      </c>
      <c r="K15" s="27">
        <f t="shared" si="1"/>
        <v>10</v>
      </c>
      <c r="L15" s="27">
        <f t="shared" si="1"/>
        <v>11</v>
      </c>
      <c r="M15" s="27">
        <f t="shared" si="1"/>
        <v>12</v>
      </c>
      <c r="N15" s="123">
        <f>SUM(B15:M15)</f>
        <v>78</v>
      </c>
    </row>
    <row r="16" spans="1:16">
      <c r="A16" s="247" t="s">
        <v>20</v>
      </c>
      <c r="B16" s="29">
        <f>'Transmission Formula Rate (7)'!B8</f>
        <v>1.59</v>
      </c>
      <c r="C16" s="29">
        <f>'Transmission Formula Rate (7)'!C8</f>
        <v>1.59</v>
      </c>
      <c r="D16" s="29">
        <f>'Transmission Formula Rate (7)'!D8</f>
        <v>1.59</v>
      </c>
      <c r="E16" s="29">
        <f>'Transmission Formula Rate (7)'!E8</f>
        <v>1.59</v>
      </c>
      <c r="F16" s="29">
        <f>'Transmission Formula Rate (7)'!F8</f>
        <v>1.59</v>
      </c>
      <c r="G16" s="29">
        <f>'Transmission Formula Rate (7)'!G8</f>
        <v>1.59</v>
      </c>
      <c r="H16" s="29">
        <f>'Transmission Formula Rate (7)'!H8</f>
        <v>1.59</v>
      </c>
      <c r="I16" s="29">
        <f>'Transmission Formula Rate (7)'!I8</f>
        <v>1.59</v>
      </c>
      <c r="J16" s="29">
        <f>'Transmission Formula Rate (7)'!J8</f>
        <v>1.59</v>
      </c>
      <c r="K16" s="29">
        <f>'Transmission Formula Rate (7)'!K8</f>
        <v>1.59</v>
      </c>
      <c r="L16" s="29">
        <f>'Transmission Formula Rate (7)'!L8</f>
        <v>1.59</v>
      </c>
      <c r="M16" s="29">
        <f>'Transmission Formula Rate (7)'!M8</f>
        <v>1.59</v>
      </c>
      <c r="N16" s="19"/>
    </row>
    <row r="17" spans="1:14">
      <c r="A17" s="247" t="s">
        <v>17</v>
      </c>
      <c r="B17" s="20">
        <f t="shared" ref="B17:M17" si="2">B15*B16</f>
        <v>1.59</v>
      </c>
      <c r="C17" s="20">
        <f t="shared" si="2"/>
        <v>3.18</v>
      </c>
      <c r="D17" s="20">
        <f t="shared" si="2"/>
        <v>4.7700000000000005</v>
      </c>
      <c r="E17" s="20">
        <f t="shared" si="2"/>
        <v>6.36</v>
      </c>
      <c r="F17" s="20">
        <f t="shared" si="2"/>
        <v>7.95</v>
      </c>
      <c r="G17" s="20">
        <f t="shared" si="2"/>
        <v>9.5400000000000009</v>
      </c>
      <c r="H17" s="20">
        <f t="shared" si="2"/>
        <v>11.13</v>
      </c>
      <c r="I17" s="20">
        <f t="shared" si="2"/>
        <v>12.72</v>
      </c>
      <c r="J17" s="20">
        <f t="shared" si="2"/>
        <v>14.31</v>
      </c>
      <c r="K17" s="20">
        <f t="shared" si="2"/>
        <v>15.9</v>
      </c>
      <c r="L17" s="20">
        <f t="shared" si="2"/>
        <v>17.490000000000002</v>
      </c>
      <c r="M17" s="20">
        <f t="shared" si="2"/>
        <v>19.080000000000002</v>
      </c>
      <c r="N17" s="20">
        <f>SUM(B17:M17)</f>
        <v>124.02</v>
      </c>
    </row>
    <row r="18" spans="1:14">
      <c r="A18" s="248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>
      <c r="A19" s="25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B20" s="23" t="s">
        <v>0</v>
      </c>
      <c r="C20" s="23" t="s">
        <v>1</v>
      </c>
      <c r="D20" s="23" t="s">
        <v>2</v>
      </c>
      <c r="E20" s="23" t="s">
        <v>3</v>
      </c>
      <c r="F20" s="23" t="s">
        <v>4</v>
      </c>
      <c r="G20" s="23" t="s">
        <v>5</v>
      </c>
      <c r="H20" s="23" t="s">
        <v>6</v>
      </c>
      <c r="I20" s="23" t="s">
        <v>7</v>
      </c>
      <c r="J20" s="23" t="s">
        <v>8</v>
      </c>
      <c r="K20" s="23" t="s">
        <v>9</v>
      </c>
      <c r="L20" s="23" t="s">
        <v>10</v>
      </c>
      <c r="M20" s="23" t="s">
        <v>11</v>
      </c>
      <c r="N20" s="23" t="s">
        <v>12</v>
      </c>
    </row>
    <row r="21" spans="1:14">
      <c r="A21" s="248">
        <f>+A11+1</f>
        <v>2015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>
      <c r="A22" s="247" t="s">
        <v>37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>
      <c r="A23" s="249" t="s">
        <v>282</v>
      </c>
      <c r="B23" s="232">
        <f>'Winter Park Forecast'!E11</f>
        <v>23000</v>
      </c>
      <c r="C23" s="232">
        <f>'Winter Park Forecast'!F11</f>
        <v>26000</v>
      </c>
      <c r="D23" s="232">
        <f>'Winter Park Forecast'!G11</f>
        <v>45000</v>
      </c>
      <c r="E23" s="232">
        <f>'Winter Park Forecast'!H11</f>
        <v>36000</v>
      </c>
      <c r="F23" s="232">
        <f>'Winter Park Forecast'!I11</f>
        <v>45000</v>
      </c>
      <c r="G23" s="232">
        <f>'Winter Park Forecast'!J11</f>
        <v>54000</v>
      </c>
      <c r="H23" s="232">
        <f>'Winter Park Forecast'!K11</f>
        <v>60000</v>
      </c>
      <c r="I23" s="232">
        <f>'Winter Park Forecast'!L11</f>
        <v>55000</v>
      </c>
      <c r="J23" s="232">
        <f>'Winter Park Forecast'!M11</f>
        <v>60000</v>
      </c>
      <c r="K23" s="232">
        <f>'Winter Park Forecast'!N11</f>
        <v>60000</v>
      </c>
      <c r="L23" s="232">
        <f>'Winter Park Forecast'!O11</f>
        <v>60000</v>
      </c>
      <c r="M23" s="232">
        <f>'Winter Park Forecast'!P11</f>
        <v>60000</v>
      </c>
      <c r="N23" s="20">
        <f>SUM(B23:M23)</f>
        <v>584000</v>
      </c>
    </row>
    <row r="24" spans="1:14">
      <c r="A24" s="249" t="s">
        <v>45</v>
      </c>
      <c r="B24" s="27">
        <f>B23-B25</f>
        <v>417.77123220422072</v>
      </c>
      <c r="C24" s="27">
        <f t="shared" ref="C24:M24" si="3">C23-C25</f>
        <v>472.26313205694532</v>
      </c>
      <c r="D24" s="27">
        <f t="shared" si="3"/>
        <v>817.37849779086537</v>
      </c>
      <c r="E24" s="27">
        <f t="shared" si="3"/>
        <v>653.9027982326952</v>
      </c>
      <c r="F24" s="27">
        <f t="shared" si="3"/>
        <v>817.37849779086537</v>
      </c>
      <c r="G24" s="27">
        <f t="shared" si="3"/>
        <v>980.85419734904281</v>
      </c>
      <c r="H24" s="27">
        <f t="shared" si="3"/>
        <v>1089.837997054492</v>
      </c>
      <c r="I24" s="27">
        <f t="shared" si="3"/>
        <v>999.01816396661889</v>
      </c>
      <c r="J24" s="27">
        <f t="shared" si="3"/>
        <v>1089.837997054492</v>
      </c>
      <c r="K24" s="27">
        <f t="shared" si="3"/>
        <v>1089.837997054492</v>
      </c>
      <c r="L24" s="27">
        <f t="shared" si="3"/>
        <v>1089.837997054492</v>
      </c>
      <c r="M24" s="27">
        <f t="shared" si="3"/>
        <v>1089.837997054492</v>
      </c>
      <c r="N24" s="20">
        <f>SUM(B24:M24)</f>
        <v>10607.756504663714</v>
      </c>
    </row>
    <row r="25" spans="1:14">
      <c r="A25" s="249" t="s">
        <v>47</v>
      </c>
      <c r="B25" s="27">
        <f>B23/(1+'Transmission Formula Rate (7)'!$B$27)</f>
        <v>22582.228767795779</v>
      </c>
      <c r="C25" s="27">
        <f>C23/(1+'Transmission Formula Rate (7)'!$B$27)</f>
        <v>25527.736867943055</v>
      </c>
      <c r="D25" s="27">
        <f>D23/(1+'Transmission Formula Rate (7)'!$B$27)</f>
        <v>44182.621502209135</v>
      </c>
      <c r="E25" s="27">
        <f>E23/(1+'Transmission Formula Rate (7)'!$B$27)</f>
        <v>35346.097201767305</v>
      </c>
      <c r="F25" s="27">
        <f>F23/(1+'Transmission Formula Rate (7)'!$B$27)</f>
        <v>44182.621502209135</v>
      </c>
      <c r="G25" s="27">
        <f>G23/(1+'Transmission Formula Rate (7)'!$B$27)</f>
        <v>53019.145802650957</v>
      </c>
      <c r="H25" s="27">
        <f>H23/(1+'Transmission Formula Rate (7)'!$B$27)</f>
        <v>58910.162002945508</v>
      </c>
      <c r="I25" s="27">
        <f>I23/(1+'Transmission Formula Rate (7)'!$B$27)</f>
        <v>54000.981836033381</v>
      </c>
      <c r="J25" s="27">
        <f>J23/(1+'Transmission Formula Rate (7)'!$B$27)</f>
        <v>58910.162002945508</v>
      </c>
      <c r="K25" s="27">
        <f>K23/(1+'Transmission Formula Rate (7)'!$B$27)</f>
        <v>58910.162002945508</v>
      </c>
      <c r="L25" s="27">
        <f>L23/(1+'Transmission Formula Rate (7)'!$B$27)</f>
        <v>58910.162002945508</v>
      </c>
      <c r="M25" s="27">
        <f>M23/(1+'Transmission Formula Rate (7)'!$B$27)</f>
        <v>58910.162002945508</v>
      </c>
      <c r="N25" s="123">
        <f>SUM(B25:M25)</f>
        <v>573392.24349533627</v>
      </c>
    </row>
    <row r="26" spans="1:14">
      <c r="A26" s="247" t="s">
        <v>20</v>
      </c>
      <c r="B26" s="29">
        <f>'Transmission Formula Rate (7)'!B10</f>
        <v>1.59</v>
      </c>
      <c r="C26" s="29">
        <f>'Transmission Formula Rate (7)'!C10</f>
        <v>1.59</v>
      </c>
      <c r="D26" s="29">
        <f>'Transmission Formula Rate (7)'!D10</f>
        <v>1.59</v>
      </c>
      <c r="E26" s="29">
        <f>'Transmission Formula Rate (7)'!E10</f>
        <v>1.59</v>
      </c>
      <c r="F26" s="29">
        <f>'Transmission Formula Rate (7)'!F10</f>
        <v>1.59</v>
      </c>
      <c r="G26" s="29">
        <f>'Transmission Formula Rate (7)'!G10</f>
        <v>1.59</v>
      </c>
      <c r="H26" s="29">
        <f>'Transmission Formula Rate (7)'!H10</f>
        <v>1.59</v>
      </c>
      <c r="I26" s="29">
        <f>'Transmission Formula Rate (7)'!I10</f>
        <v>1.59</v>
      </c>
      <c r="J26" s="29">
        <f>'Transmission Formula Rate (7)'!J10</f>
        <v>1.59</v>
      </c>
      <c r="K26" s="29">
        <f>'Transmission Formula Rate (7)'!K10</f>
        <v>1.59</v>
      </c>
      <c r="L26" s="29">
        <f>'Transmission Formula Rate (7)'!L10</f>
        <v>1.59</v>
      </c>
      <c r="M26" s="29">
        <f>'Transmission Formula Rate (7)'!M10</f>
        <v>1.59</v>
      </c>
      <c r="N26" s="19"/>
    </row>
    <row r="27" spans="1:14">
      <c r="A27" s="247" t="s">
        <v>17</v>
      </c>
      <c r="B27" s="20">
        <f>B23*B26</f>
        <v>36570</v>
      </c>
      <c r="C27" s="20">
        <f t="shared" ref="C27:M27" si="4">C23*C26</f>
        <v>41340</v>
      </c>
      <c r="D27" s="20">
        <f t="shared" si="4"/>
        <v>71550</v>
      </c>
      <c r="E27" s="20">
        <f t="shared" si="4"/>
        <v>57240</v>
      </c>
      <c r="F27" s="20">
        <f t="shared" si="4"/>
        <v>71550</v>
      </c>
      <c r="G27" s="20">
        <f t="shared" si="4"/>
        <v>85860</v>
      </c>
      <c r="H27" s="20">
        <f t="shared" si="4"/>
        <v>95400</v>
      </c>
      <c r="I27" s="20">
        <f t="shared" si="4"/>
        <v>87450</v>
      </c>
      <c r="J27" s="20">
        <f t="shared" si="4"/>
        <v>95400</v>
      </c>
      <c r="K27" s="20">
        <f t="shared" si="4"/>
        <v>95400</v>
      </c>
      <c r="L27" s="20">
        <f t="shared" si="4"/>
        <v>95400</v>
      </c>
      <c r="M27" s="20">
        <f t="shared" si="4"/>
        <v>95400</v>
      </c>
      <c r="N27" s="20">
        <f>SUM(B27:M27)</f>
        <v>928560</v>
      </c>
    </row>
    <row r="28" spans="1:14">
      <c r="A28" s="25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47" t="s">
        <v>135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249" t="s">
        <v>282</v>
      </c>
      <c r="B30" s="232">
        <f>B23</f>
        <v>23000</v>
      </c>
      <c r="C30" s="232">
        <f t="shared" ref="C30:M30" si="5">C23</f>
        <v>26000</v>
      </c>
      <c r="D30" s="232">
        <f t="shared" si="5"/>
        <v>45000</v>
      </c>
      <c r="E30" s="232">
        <f t="shared" si="5"/>
        <v>36000</v>
      </c>
      <c r="F30" s="232">
        <f t="shared" si="5"/>
        <v>45000</v>
      </c>
      <c r="G30" s="232">
        <f t="shared" si="5"/>
        <v>54000</v>
      </c>
      <c r="H30" s="232">
        <f t="shared" si="5"/>
        <v>60000</v>
      </c>
      <c r="I30" s="232">
        <f t="shared" si="5"/>
        <v>55000</v>
      </c>
      <c r="J30" s="232">
        <f t="shared" si="5"/>
        <v>60000</v>
      </c>
      <c r="K30" s="232">
        <f t="shared" si="5"/>
        <v>60000</v>
      </c>
      <c r="L30" s="232">
        <f t="shared" si="5"/>
        <v>60000</v>
      </c>
      <c r="M30" s="232">
        <f t="shared" si="5"/>
        <v>60000</v>
      </c>
      <c r="N30" s="20">
        <f>SUM(B30:M30)</f>
        <v>584000</v>
      </c>
    </row>
    <row r="31" spans="1:14">
      <c r="A31" s="249" t="s">
        <v>45</v>
      </c>
      <c r="B31" s="27">
        <f>B30-B32</f>
        <v>417.77123220422072</v>
      </c>
      <c r="C31" s="27">
        <f t="shared" ref="C31" si="6">C30-C32</f>
        <v>472.26313205694532</v>
      </c>
      <c r="D31" s="27">
        <f t="shared" ref="D31" si="7">D30-D32</f>
        <v>817.37849779086537</v>
      </c>
      <c r="E31" s="27">
        <f t="shared" ref="E31" si="8">E30-E32</f>
        <v>653.9027982326952</v>
      </c>
      <c r="F31" s="27">
        <f t="shared" ref="F31" si="9">F30-F32</f>
        <v>817.37849779086537</v>
      </c>
      <c r="G31" s="27">
        <f t="shared" ref="G31" si="10">G30-G32</f>
        <v>980.85419734904281</v>
      </c>
      <c r="H31" s="27">
        <f t="shared" ref="H31" si="11">H30-H32</f>
        <v>1089.837997054492</v>
      </c>
      <c r="I31" s="27">
        <f t="shared" ref="I31" si="12">I30-I32</f>
        <v>999.01816396661889</v>
      </c>
      <c r="J31" s="27">
        <f t="shared" ref="J31" si="13">J30-J32</f>
        <v>1089.837997054492</v>
      </c>
      <c r="K31" s="27">
        <f t="shared" ref="K31" si="14">K30-K32</f>
        <v>1089.837997054492</v>
      </c>
      <c r="L31" s="27">
        <f t="shared" ref="L31" si="15">L30-L32</f>
        <v>1089.837997054492</v>
      </c>
      <c r="M31" s="27">
        <f t="shared" ref="M31" si="16">M30-M32</f>
        <v>1089.837997054492</v>
      </c>
      <c r="N31" s="20">
        <f>SUM(B31:M31)</f>
        <v>10607.756504663714</v>
      </c>
    </row>
    <row r="32" spans="1:14">
      <c r="A32" s="249" t="s">
        <v>47</v>
      </c>
      <c r="B32" s="27">
        <f>B30/(1+'Transmission Formula Rate (7)'!$B$27)</f>
        <v>22582.228767795779</v>
      </c>
      <c r="C32" s="27">
        <f>C30/(1+'Transmission Formula Rate (7)'!$B$27)</f>
        <v>25527.736867943055</v>
      </c>
      <c r="D32" s="27">
        <f>D30/(1+'Transmission Formula Rate (7)'!$B$27)</f>
        <v>44182.621502209135</v>
      </c>
      <c r="E32" s="27">
        <f>E30/(1+'Transmission Formula Rate (7)'!$B$27)</f>
        <v>35346.097201767305</v>
      </c>
      <c r="F32" s="27">
        <f>F30/(1+'Transmission Formula Rate (7)'!$B$27)</f>
        <v>44182.621502209135</v>
      </c>
      <c r="G32" s="27">
        <f>G30/(1+'Transmission Formula Rate (7)'!$B$27)</f>
        <v>53019.145802650957</v>
      </c>
      <c r="H32" s="27">
        <f>H30/(1+'Transmission Formula Rate (7)'!$B$27)</f>
        <v>58910.162002945508</v>
      </c>
      <c r="I32" s="27">
        <f>I30/(1+'Transmission Formula Rate (7)'!$B$27)</f>
        <v>54000.981836033381</v>
      </c>
      <c r="J32" s="27">
        <f>J30/(1+'Transmission Formula Rate (7)'!$B$27)</f>
        <v>58910.162002945508</v>
      </c>
      <c r="K32" s="27">
        <f>K30/(1+'Transmission Formula Rate (7)'!$B$27)</f>
        <v>58910.162002945508</v>
      </c>
      <c r="L32" s="27">
        <f>L30/(1+'Transmission Formula Rate (7)'!$B$27)</f>
        <v>58910.162002945508</v>
      </c>
      <c r="M32" s="27">
        <f>M30/(1+'Transmission Formula Rate (7)'!$B$27)</f>
        <v>58910.162002945508</v>
      </c>
      <c r="N32" s="123">
        <f>SUM(B32:M32)</f>
        <v>573392.24349533627</v>
      </c>
    </row>
    <row r="33" spans="1:14">
      <c r="A33" s="247" t="s">
        <v>143</v>
      </c>
      <c r="B33" s="31">
        <f>'charges (1 &amp; 2)'!D11</f>
        <v>1.274E-2</v>
      </c>
      <c r="C33" s="31">
        <f>B33</f>
        <v>1.274E-2</v>
      </c>
      <c r="D33" s="31">
        <f t="shared" ref="D33:M33" si="17">C33</f>
        <v>1.274E-2</v>
      </c>
      <c r="E33" s="31">
        <f t="shared" si="17"/>
        <v>1.274E-2</v>
      </c>
      <c r="F33" s="31">
        <f t="shared" si="17"/>
        <v>1.274E-2</v>
      </c>
      <c r="G33" s="31">
        <f t="shared" si="17"/>
        <v>1.274E-2</v>
      </c>
      <c r="H33" s="31">
        <f t="shared" si="17"/>
        <v>1.274E-2</v>
      </c>
      <c r="I33" s="31">
        <f t="shared" si="17"/>
        <v>1.274E-2</v>
      </c>
      <c r="J33" s="31">
        <f t="shared" si="17"/>
        <v>1.274E-2</v>
      </c>
      <c r="K33" s="31">
        <f t="shared" si="17"/>
        <v>1.274E-2</v>
      </c>
      <c r="L33" s="31">
        <f t="shared" si="17"/>
        <v>1.274E-2</v>
      </c>
      <c r="M33" s="31">
        <f t="shared" si="17"/>
        <v>1.274E-2</v>
      </c>
      <c r="N33" s="19"/>
    </row>
    <row r="34" spans="1:14">
      <c r="A34" s="247" t="s">
        <v>17</v>
      </c>
      <c r="B34" s="20">
        <f>B30*B33</f>
        <v>293.02</v>
      </c>
      <c r="C34" s="20">
        <f t="shared" ref="C34" si="18">C30*C33</f>
        <v>331.24</v>
      </c>
      <c r="D34" s="20">
        <f t="shared" ref="D34" si="19">D30*D33</f>
        <v>573.29999999999995</v>
      </c>
      <c r="E34" s="20">
        <f t="shared" ref="E34" si="20">E30*E33</f>
        <v>458.64</v>
      </c>
      <c r="F34" s="20">
        <f t="shared" ref="F34" si="21">F30*F33</f>
        <v>573.29999999999995</v>
      </c>
      <c r="G34" s="20">
        <f t="shared" ref="G34" si="22">G30*G33</f>
        <v>687.95999999999992</v>
      </c>
      <c r="H34" s="20">
        <f t="shared" ref="H34" si="23">H30*H33</f>
        <v>764.4</v>
      </c>
      <c r="I34" s="20">
        <f t="shared" ref="I34" si="24">I30*I33</f>
        <v>700.69999999999993</v>
      </c>
      <c r="J34" s="20">
        <f t="shared" ref="J34" si="25">J30*J33</f>
        <v>764.4</v>
      </c>
      <c r="K34" s="20">
        <f t="shared" ref="K34" si="26">K30*K33</f>
        <v>764.4</v>
      </c>
      <c r="L34" s="20">
        <f t="shared" ref="L34" si="27">L30*L33</f>
        <v>764.4</v>
      </c>
      <c r="M34" s="20">
        <f t="shared" ref="M34" si="28">M30*M33</f>
        <v>764.4</v>
      </c>
      <c r="N34" s="20">
        <f>SUM(B34:M34)</f>
        <v>7440.1599999999989</v>
      </c>
    </row>
    <row r="35" spans="1:14">
      <c r="A35" s="247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247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B37" s="23" t="s">
        <v>0</v>
      </c>
      <c r="C37" s="23" t="s">
        <v>1</v>
      </c>
      <c r="D37" s="23" t="s">
        <v>2</v>
      </c>
      <c r="E37" s="23" t="s">
        <v>3</v>
      </c>
      <c r="F37" s="23" t="s">
        <v>4</v>
      </c>
      <c r="G37" s="23" t="s">
        <v>5</v>
      </c>
      <c r="H37" s="23" t="s">
        <v>6</v>
      </c>
      <c r="I37" s="23" t="s">
        <v>7</v>
      </c>
      <c r="J37" s="23" t="s">
        <v>8</v>
      </c>
      <c r="K37" s="23" t="s">
        <v>9</v>
      </c>
      <c r="L37" s="23" t="s">
        <v>10</v>
      </c>
      <c r="M37" s="23" t="s">
        <v>11</v>
      </c>
      <c r="N37" s="23" t="s">
        <v>12</v>
      </c>
    </row>
    <row r="38" spans="1:14">
      <c r="A38" s="248">
        <f>+A21+1</f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>
      <c r="A39" s="247" t="s">
        <v>37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249" t="s">
        <v>282</v>
      </c>
      <c r="B40" s="232">
        <f>'Winter Park Forecast'!E12</f>
        <v>60000</v>
      </c>
      <c r="C40" s="232">
        <f>'Winter Park Forecast'!F12</f>
        <v>60000</v>
      </c>
      <c r="D40" s="232">
        <f>'Winter Park Forecast'!G12</f>
        <v>60000</v>
      </c>
      <c r="E40" s="232">
        <f>'Winter Park Forecast'!H12</f>
        <v>60000</v>
      </c>
      <c r="F40" s="232">
        <f>'Winter Park Forecast'!I12</f>
        <v>60000</v>
      </c>
      <c r="G40" s="232">
        <f>'Winter Park Forecast'!J12</f>
        <v>60000</v>
      </c>
      <c r="H40" s="232">
        <f>'Winter Park Forecast'!K12</f>
        <v>60000</v>
      </c>
      <c r="I40" s="232">
        <f>'Winter Park Forecast'!L12</f>
        <v>60000</v>
      </c>
      <c r="J40" s="232">
        <f>'Winter Park Forecast'!M12</f>
        <v>60000</v>
      </c>
      <c r="K40" s="232">
        <f>'Winter Park Forecast'!N12</f>
        <v>60000</v>
      </c>
      <c r="L40" s="232">
        <f>'Winter Park Forecast'!O12</f>
        <v>60000</v>
      </c>
      <c r="M40" s="232">
        <f>'Winter Park Forecast'!P12</f>
        <v>60000</v>
      </c>
      <c r="N40" s="20">
        <f>SUM(B40:M40)</f>
        <v>720000</v>
      </c>
    </row>
    <row r="41" spans="1:14">
      <c r="A41" s="249" t="s">
        <v>45</v>
      </c>
      <c r="B41" s="27">
        <f>B40-B42</f>
        <v>1089.837997054492</v>
      </c>
      <c r="C41" s="27">
        <f t="shared" ref="C41" si="29">C40-C42</f>
        <v>1089.837997054492</v>
      </c>
      <c r="D41" s="27">
        <f t="shared" ref="D41" si="30">D40-D42</f>
        <v>1089.837997054492</v>
      </c>
      <c r="E41" s="27">
        <f t="shared" ref="E41" si="31">E40-E42</f>
        <v>1089.837997054492</v>
      </c>
      <c r="F41" s="27">
        <f t="shared" ref="F41" si="32">F40-F42</f>
        <v>1089.837997054492</v>
      </c>
      <c r="G41" s="27">
        <f t="shared" ref="G41" si="33">G40-G42</f>
        <v>1089.837997054492</v>
      </c>
      <c r="H41" s="27">
        <f t="shared" ref="H41" si="34">H40-H42</f>
        <v>1089.837997054492</v>
      </c>
      <c r="I41" s="27">
        <f t="shared" ref="I41" si="35">I40-I42</f>
        <v>1089.837997054492</v>
      </c>
      <c r="J41" s="27">
        <f t="shared" ref="J41" si="36">J40-J42</f>
        <v>1089.837997054492</v>
      </c>
      <c r="K41" s="27">
        <f t="shared" ref="K41" si="37">K40-K42</f>
        <v>1089.837997054492</v>
      </c>
      <c r="L41" s="27">
        <f t="shared" ref="L41" si="38">L40-L42</f>
        <v>1089.837997054492</v>
      </c>
      <c r="M41" s="27">
        <f t="shared" ref="M41" si="39">M40-M42</f>
        <v>1089.837997054492</v>
      </c>
      <c r="N41" s="20">
        <f>SUM(B41:M41)</f>
        <v>13078.055964653904</v>
      </c>
    </row>
    <row r="42" spans="1:14">
      <c r="A42" s="249" t="s">
        <v>47</v>
      </c>
      <c r="B42" s="27">
        <f>B40/(1+'Transmission Formula Rate (7)'!$B$27)</f>
        <v>58910.162002945508</v>
      </c>
      <c r="C42" s="27">
        <f>C40/(1+'Transmission Formula Rate (7)'!$B$27)</f>
        <v>58910.162002945508</v>
      </c>
      <c r="D42" s="27">
        <f>D40/(1+'Transmission Formula Rate (7)'!$B$27)</f>
        <v>58910.162002945508</v>
      </c>
      <c r="E42" s="27">
        <f>E40/(1+'Transmission Formula Rate (7)'!$B$27)</f>
        <v>58910.162002945508</v>
      </c>
      <c r="F42" s="27">
        <f>F40/(1+'Transmission Formula Rate (7)'!$B$27)</f>
        <v>58910.162002945508</v>
      </c>
      <c r="G42" s="27">
        <f>G40/(1+'Transmission Formula Rate (7)'!$B$27)</f>
        <v>58910.162002945508</v>
      </c>
      <c r="H42" s="27">
        <f>H40/(1+'Transmission Formula Rate (7)'!$B$27)</f>
        <v>58910.162002945508</v>
      </c>
      <c r="I42" s="27">
        <f>I40/(1+'Transmission Formula Rate (7)'!$B$27)</f>
        <v>58910.162002945508</v>
      </c>
      <c r="J42" s="27">
        <f>J40/(1+'Transmission Formula Rate (7)'!$B$27)</f>
        <v>58910.162002945508</v>
      </c>
      <c r="K42" s="27">
        <f>K40/(1+'Transmission Formula Rate (7)'!$B$27)</f>
        <v>58910.162002945508</v>
      </c>
      <c r="L42" s="27">
        <f>L40/(1+'Transmission Formula Rate (7)'!$B$27)</f>
        <v>58910.162002945508</v>
      </c>
      <c r="M42" s="27">
        <f>M40/(1+'Transmission Formula Rate (7)'!$B$27)</f>
        <v>58910.162002945508</v>
      </c>
      <c r="N42" s="123">
        <f>SUM(B42:M42)</f>
        <v>706921.94403534615</v>
      </c>
    </row>
    <row r="43" spans="1:14">
      <c r="A43" s="247" t="s">
        <v>20</v>
      </c>
      <c r="B43" s="29">
        <f>'Transmission Formula Rate (7)'!B12</f>
        <v>1.59</v>
      </c>
      <c r="C43" s="29">
        <f>'Transmission Formula Rate (7)'!C12</f>
        <v>1.59</v>
      </c>
      <c r="D43" s="29">
        <f>'Transmission Formula Rate (7)'!D12</f>
        <v>1.59</v>
      </c>
      <c r="E43" s="29">
        <f>'Transmission Formula Rate (7)'!E12</f>
        <v>1.59</v>
      </c>
      <c r="F43" s="29">
        <f>'Transmission Formula Rate (7)'!F12</f>
        <v>1.59</v>
      </c>
      <c r="G43" s="29">
        <f>'Transmission Formula Rate (7)'!G12</f>
        <v>1.59</v>
      </c>
      <c r="H43" s="29">
        <f>'Transmission Formula Rate (7)'!H12</f>
        <v>1.59</v>
      </c>
      <c r="I43" s="29">
        <f>'Transmission Formula Rate (7)'!I12</f>
        <v>1.59</v>
      </c>
      <c r="J43" s="29">
        <f>'Transmission Formula Rate (7)'!J12</f>
        <v>1.59</v>
      </c>
      <c r="K43" s="29">
        <f>'Transmission Formula Rate (7)'!K12</f>
        <v>1.59</v>
      </c>
      <c r="L43" s="29">
        <f>'Transmission Formula Rate (7)'!L12</f>
        <v>1.59</v>
      </c>
      <c r="M43" s="29">
        <f>'Transmission Formula Rate (7)'!M12</f>
        <v>1.59</v>
      </c>
      <c r="N43" s="19"/>
    </row>
    <row r="44" spans="1:14">
      <c r="A44" s="247" t="s">
        <v>17</v>
      </c>
      <c r="B44" s="20">
        <f>B40*B43</f>
        <v>95400</v>
      </c>
      <c r="C44" s="20">
        <f t="shared" ref="C44" si="40">C40*C43</f>
        <v>95400</v>
      </c>
      <c r="D44" s="20">
        <f t="shared" ref="D44" si="41">D40*D43</f>
        <v>95400</v>
      </c>
      <c r="E44" s="20">
        <f t="shared" ref="E44" si="42">E40*E43</f>
        <v>95400</v>
      </c>
      <c r="F44" s="20">
        <f t="shared" ref="F44" si="43">F40*F43</f>
        <v>95400</v>
      </c>
      <c r="G44" s="20">
        <f t="shared" ref="G44" si="44">G40*G43</f>
        <v>95400</v>
      </c>
      <c r="H44" s="20">
        <f t="shared" ref="H44" si="45">H40*H43</f>
        <v>95400</v>
      </c>
      <c r="I44" s="20">
        <f t="shared" ref="I44" si="46">I40*I43</f>
        <v>95400</v>
      </c>
      <c r="J44" s="20">
        <f t="shared" ref="J44" si="47">J40*J43</f>
        <v>95400</v>
      </c>
      <c r="K44" s="20">
        <f t="shared" ref="K44" si="48">K40*K43</f>
        <v>95400</v>
      </c>
      <c r="L44" s="20">
        <f t="shared" ref="L44" si="49">L40*L43</f>
        <v>95400</v>
      </c>
      <c r="M44" s="20">
        <f t="shared" ref="M44" si="50">M40*M43</f>
        <v>95400</v>
      </c>
      <c r="N44" s="20">
        <f>SUM(B44:M44)</f>
        <v>1144800</v>
      </c>
    </row>
    <row r="46" spans="1:14">
      <c r="A46" s="247" t="s">
        <v>135</v>
      </c>
    </row>
    <row r="47" spans="1:14">
      <c r="A47" s="249" t="s">
        <v>282</v>
      </c>
      <c r="B47" s="232">
        <f>B40</f>
        <v>60000</v>
      </c>
      <c r="C47" s="232">
        <f t="shared" ref="C47:M47" si="51">C40</f>
        <v>60000</v>
      </c>
      <c r="D47" s="232">
        <f t="shared" si="51"/>
        <v>60000</v>
      </c>
      <c r="E47" s="232">
        <f t="shared" si="51"/>
        <v>60000</v>
      </c>
      <c r="F47" s="232">
        <f t="shared" si="51"/>
        <v>60000</v>
      </c>
      <c r="G47" s="232">
        <f t="shared" si="51"/>
        <v>60000</v>
      </c>
      <c r="H47" s="232">
        <f t="shared" si="51"/>
        <v>60000</v>
      </c>
      <c r="I47" s="232">
        <f t="shared" si="51"/>
        <v>60000</v>
      </c>
      <c r="J47" s="232">
        <f t="shared" si="51"/>
        <v>60000</v>
      </c>
      <c r="K47" s="232">
        <f t="shared" si="51"/>
        <v>60000</v>
      </c>
      <c r="L47" s="232">
        <f t="shared" si="51"/>
        <v>60000</v>
      </c>
      <c r="M47" s="232">
        <f t="shared" si="51"/>
        <v>60000</v>
      </c>
      <c r="N47" s="20">
        <f>SUM(B47:M47)</f>
        <v>720000</v>
      </c>
    </row>
    <row r="48" spans="1:14">
      <c r="A48" s="249" t="s">
        <v>45</v>
      </c>
      <c r="B48" s="27">
        <f>B47-B49</f>
        <v>1089.837997054492</v>
      </c>
      <c r="C48" s="27">
        <f t="shared" ref="C48" si="52">C47-C49</f>
        <v>1089.837997054492</v>
      </c>
      <c r="D48" s="27">
        <f t="shared" ref="D48" si="53">D47-D49</f>
        <v>1089.837997054492</v>
      </c>
      <c r="E48" s="27">
        <f t="shared" ref="E48" si="54">E47-E49</f>
        <v>1089.837997054492</v>
      </c>
      <c r="F48" s="27">
        <f t="shared" ref="F48" si="55">F47-F49</f>
        <v>1089.837997054492</v>
      </c>
      <c r="G48" s="27">
        <f t="shared" ref="G48" si="56">G47-G49</f>
        <v>1089.837997054492</v>
      </c>
      <c r="H48" s="27">
        <f t="shared" ref="H48" si="57">H47-H49</f>
        <v>1089.837997054492</v>
      </c>
      <c r="I48" s="27">
        <f t="shared" ref="I48" si="58">I47-I49</f>
        <v>1089.837997054492</v>
      </c>
      <c r="J48" s="27">
        <f t="shared" ref="J48" si="59">J47-J49</f>
        <v>1089.837997054492</v>
      </c>
      <c r="K48" s="27">
        <f t="shared" ref="K48" si="60">K47-K49</f>
        <v>1089.837997054492</v>
      </c>
      <c r="L48" s="27">
        <f t="shared" ref="L48" si="61">L47-L49</f>
        <v>1089.837997054492</v>
      </c>
      <c r="M48" s="27">
        <f t="shared" ref="M48" si="62">M47-M49</f>
        <v>1089.837997054492</v>
      </c>
      <c r="N48" s="20">
        <f>SUM(B48:M48)</f>
        <v>13078.055964653904</v>
      </c>
    </row>
    <row r="49" spans="1:15">
      <c r="A49" s="249" t="s">
        <v>47</v>
      </c>
      <c r="B49" s="27">
        <f>B47/(1+'Transmission Formula Rate (7)'!$B$27)</f>
        <v>58910.162002945508</v>
      </c>
      <c r="C49" s="27">
        <f>C47/(1+'Transmission Formula Rate (7)'!$B$27)</f>
        <v>58910.162002945508</v>
      </c>
      <c r="D49" s="27">
        <f>D47/(1+'Transmission Formula Rate (7)'!$B$27)</f>
        <v>58910.162002945508</v>
      </c>
      <c r="E49" s="27">
        <f>E47/(1+'Transmission Formula Rate (7)'!$B$27)</f>
        <v>58910.162002945508</v>
      </c>
      <c r="F49" s="27">
        <f>F47/(1+'Transmission Formula Rate (7)'!$B$27)</f>
        <v>58910.162002945508</v>
      </c>
      <c r="G49" s="27">
        <f>G47/(1+'Transmission Formula Rate (7)'!$B$27)</f>
        <v>58910.162002945508</v>
      </c>
      <c r="H49" s="27">
        <f>H47/(1+'Transmission Formula Rate (7)'!$B$27)</f>
        <v>58910.162002945508</v>
      </c>
      <c r="I49" s="27">
        <f>I47/(1+'Transmission Formula Rate (7)'!$B$27)</f>
        <v>58910.162002945508</v>
      </c>
      <c r="J49" s="27">
        <f>J47/(1+'Transmission Formula Rate (7)'!$B$27)</f>
        <v>58910.162002945508</v>
      </c>
      <c r="K49" s="27">
        <f>K47/(1+'Transmission Formula Rate (7)'!$B$27)</f>
        <v>58910.162002945508</v>
      </c>
      <c r="L49" s="27">
        <f>L47/(1+'Transmission Formula Rate (7)'!$B$27)</f>
        <v>58910.162002945508</v>
      </c>
      <c r="M49" s="27">
        <f>M47/(1+'Transmission Formula Rate (7)'!$B$27)</f>
        <v>58910.162002945508</v>
      </c>
      <c r="N49" s="123">
        <f>SUM(B49:M49)</f>
        <v>706921.94403534615</v>
      </c>
    </row>
    <row r="50" spans="1:15">
      <c r="A50" s="247" t="s">
        <v>143</v>
      </c>
      <c r="B50" s="31">
        <f>'charges (1 &amp; 2)'!E11</f>
        <v>1.274E-2</v>
      </c>
      <c r="C50" s="31">
        <f>B50</f>
        <v>1.274E-2</v>
      </c>
      <c r="D50" s="31">
        <f t="shared" ref="D50:M50" si="63">C50</f>
        <v>1.274E-2</v>
      </c>
      <c r="E50" s="31">
        <f t="shared" si="63"/>
        <v>1.274E-2</v>
      </c>
      <c r="F50" s="31">
        <f t="shared" si="63"/>
        <v>1.274E-2</v>
      </c>
      <c r="G50" s="31">
        <f t="shared" si="63"/>
        <v>1.274E-2</v>
      </c>
      <c r="H50" s="31">
        <f t="shared" si="63"/>
        <v>1.274E-2</v>
      </c>
      <c r="I50" s="31">
        <f t="shared" si="63"/>
        <v>1.274E-2</v>
      </c>
      <c r="J50" s="31">
        <f t="shared" si="63"/>
        <v>1.274E-2</v>
      </c>
      <c r="K50" s="31">
        <f t="shared" si="63"/>
        <v>1.274E-2</v>
      </c>
      <c r="L50" s="31">
        <f t="shared" si="63"/>
        <v>1.274E-2</v>
      </c>
      <c r="M50" s="31">
        <f t="shared" si="63"/>
        <v>1.274E-2</v>
      </c>
      <c r="N50" s="19"/>
    </row>
    <row r="51" spans="1:15">
      <c r="A51" s="247" t="s">
        <v>17</v>
      </c>
      <c r="B51" s="20">
        <f>B47*B50</f>
        <v>764.4</v>
      </c>
      <c r="C51" s="20">
        <f t="shared" ref="C51" si="64">C47*C50</f>
        <v>764.4</v>
      </c>
      <c r="D51" s="20">
        <f t="shared" ref="D51" si="65">D47*D50</f>
        <v>764.4</v>
      </c>
      <c r="E51" s="20">
        <f t="shared" ref="E51" si="66">E47*E50</f>
        <v>764.4</v>
      </c>
      <c r="F51" s="20">
        <f t="shared" ref="F51" si="67">F47*F50</f>
        <v>764.4</v>
      </c>
      <c r="G51" s="20">
        <f t="shared" ref="G51" si="68">G47*G50</f>
        <v>764.4</v>
      </c>
      <c r="H51" s="20">
        <f t="shared" ref="H51" si="69">H47*H50</f>
        <v>764.4</v>
      </c>
      <c r="I51" s="20">
        <f t="shared" ref="I51" si="70">I47*I50</f>
        <v>764.4</v>
      </c>
      <c r="J51" s="20">
        <f t="shared" ref="J51" si="71">J47*J50</f>
        <v>764.4</v>
      </c>
      <c r="K51" s="20">
        <f t="shared" ref="K51" si="72">K47*K50</f>
        <v>764.4</v>
      </c>
      <c r="L51" s="20">
        <f t="shared" ref="L51" si="73">L47*L50</f>
        <v>764.4</v>
      </c>
      <c r="M51" s="20">
        <f t="shared" ref="M51" si="74">M47*M50</f>
        <v>764.4</v>
      </c>
      <c r="N51" s="20">
        <f>SUM(B51:M51)</f>
        <v>9172.7999999999975</v>
      </c>
    </row>
    <row r="54" spans="1:15">
      <c r="B54" s="23" t="s">
        <v>0</v>
      </c>
      <c r="C54" s="23" t="s">
        <v>1</v>
      </c>
      <c r="D54" s="23" t="s">
        <v>2</v>
      </c>
      <c r="E54" s="23" t="s">
        <v>3</v>
      </c>
      <c r="F54" s="23" t="s">
        <v>4</v>
      </c>
      <c r="G54" s="23" t="s">
        <v>5</v>
      </c>
      <c r="H54" s="23" t="s">
        <v>6</v>
      </c>
      <c r="I54" s="23" t="s">
        <v>7</v>
      </c>
      <c r="J54" s="23" t="s">
        <v>8</v>
      </c>
      <c r="K54" s="23" t="s">
        <v>9</v>
      </c>
      <c r="L54" s="23" t="s">
        <v>10</v>
      </c>
      <c r="M54" s="23" t="s">
        <v>11</v>
      </c>
      <c r="N54" s="23" t="s">
        <v>12</v>
      </c>
    </row>
    <row r="55" spans="1:15">
      <c r="A55" s="248">
        <f>+A38+1</f>
        <v>2017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5">
      <c r="A56" s="247" t="s">
        <v>37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5">
      <c r="A57" s="249" t="s">
        <v>282</v>
      </c>
      <c r="B57" s="232">
        <f>'Winter Park Forecast'!E13</f>
        <v>60000</v>
      </c>
      <c r="C57" s="232">
        <f>'Winter Park Forecast'!F13</f>
        <v>60000</v>
      </c>
      <c r="D57" s="232">
        <f>'Winter Park Forecast'!G13</f>
        <v>43965.872499999998</v>
      </c>
      <c r="E57" s="232">
        <f>'Winter Park Forecast'!H13</f>
        <v>47340.298499999997</v>
      </c>
      <c r="F57" s="232">
        <f>'Winter Park Forecast'!I13</f>
        <v>65056.034999999996</v>
      </c>
      <c r="G57" s="232">
        <f>'Winter Park Forecast'!J13</f>
        <v>66743.247999999992</v>
      </c>
      <c r="H57" s="232">
        <f>'Winter Park Forecast'!K13</f>
        <v>64212.428499999987</v>
      </c>
      <c r="I57" s="232">
        <f>'Winter Park Forecast'!L13</f>
        <v>71804.886999999988</v>
      </c>
      <c r="J57" s="232">
        <f>'Winter Park Forecast'!M13</f>
        <v>60000</v>
      </c>
      <c r="K57" s="232">
        <f>'Winter Park Forecast'!N13</f>
        <v>60838.002500000002</v>
      </c>
      <c r="L57" s="232">
        <f>'Winter Park Forecast'!O13</f>
        <v>43122.265999999996</v>
      </c>
      <c r="M57" s="232">
        <f>'Winter Park Forecast'!P13</f>
        <v>43122.265999999996</v>
      </c>
      <c r="N57" s="20">
        <f>SUM(B57:M57)</f>
        <v>686205.30399999977</v>
      </c>
    </row>
    <row r="58" spans="1:15">
      <c r="A58" s="249" t="s">
        <v>45</v>
      </c>
      <c r="B58" s="27">
        <f>B57-B59</f>
        <v>1089.837997054492</v>
      </c>
      <c r="C58" s="27">
        <f t="shared" ref="C58" si="75">C57-C59</f>
        <v>1089.837997054492</v>
      </c>
      <c r="D58" s="27">
        <f t="shared" ref="D58" si="76">D57-D59</f>
        <v>798.59464040255261</v>
      </c>
      <c r="E58" s="27">
        <f t="shared" ref="E58" si="77">E57-E59</f>
        <v>859.88760162003018</v>
      </c>
      <c r="F58" s="27">
        <f t="shared" ref="F58" si="78">F57-F59</f>
        <v>1181.6756480117765</v>
      </c>
      <c r="G58" s="27">
        <f t="shared" ref="G58" si="79">G57-G59</f>
        <v>1212.3221286205153</v>
      </c>
      <c r="H58" s="27">
        <f t="shared" ref="H58" si="80">H57-H59</f>
        <v>1166.3524077074107</v>
      </c>
      <c r="I58" s="27">
        <f t="shared" ref="I58" si="81">I57-I59</f>
        <v>1304.2615704467316</v>
      </c>
      <c r="J58" s="27">
        <f t="shared" ref="J58" si="82">J57-J59</f>
        <v>1089.837997054492</v>
      </c>
      <c r="K58" s="27">
        <f t="shared" ref="K58" si="83">K57-K59</f>
        <v>1105.0594464899332</v>
      </c>
      <c r="L58" s="27">
        <f t="shared" ref="L58" si="84">L57-L59</f>
        <v>783.27140009817958</v>
      </c>
      <c r="M58" s="27">
        <f t="shared" ref="M58" si="85">M57-M59</f>
        <v>783.27140009817958</v>
      </c>
      <c r="N58" s="20">
        <f>SUM(B58:M58)</f>
        <v>12464.210234658785</v>
      </c>
    </row>
    <row r="59" spans="1:15">
      <c r="A59" s="249" t="s">
        <v>47</v>
      </c>
      <c r="B59" s="27">
        <f>B57/(1+'Transmission Formula Rate (7)'!$B$27)</f>
        <v>58910.162002945508</v>
      </c>
      <c r="C59" s="27">
        <f>C57/(1+'Transmission Formula Rate (7)'!$B$27)</f>
        <v>58910.162002945508</v>
      </c>
      <c r="D59" s="27">
        <f>D57/(1+'Transmission Formula Rate (7)'!$B$27)</f>
        <v>43167.277859597445</v>
      </c>
      <c r="E59" s="27">
        <f>E57/(1+'Transmission Formula Rate (7)'!$B$27)</f>
        <v>46480.410898379967</v>
      </c>
      <c r="F59" s="27">
        <f>F57/(1+'Transmission Formula Rate (7)'!$B$27)</f>
        <v>63874.35935198822</v>
      </c>
      <c r="G59" s="27">
        <f>G57/(1+'Transmission Formula Rate (7)'!$B$27)</f>
        <v>65530.925871379477</v>
      </c>
      <c r="H59" s="27">
        <f>H57/(1+'Transmission Formula Rate (7)'!$B$27)</f>
        <v>63046.076092292577</v>
      </c>
      <c r="I59" s="27">
        <f>I57/(1+'Transmission Formula Rate (7)'!$B$27)</f>
        <v>70500.625429553256</v>
      </c>
      <c r="J59" s="27">
        <f>J57/(1+'Transmission Formula Rate (7)'!$B$27)</f>
        <v>58910.162002945508</v>
      </c>
      <c r="K59" s="27">
        <f>K57/(1+'Transmission Formula Rate (7)'!$B$27)</f>
        <v>59732.943053510069</v>
      </c>
      <c r="L59" s="27">
        <f>L57/(1+'Transmission Formula Rate (7)'!$B$27)</f>
        <v>42338.994599901816</v>
      </c>
      <c r="M59" s="27">
        <f>M57/(1+'Transmission Formula Rate (7)'!$B$27)</f>
        <v>42338.994599901816</v>
      </c>
      <c r="N59" s="123">
        <f>SUM(B59:M59)</f>
        <v>673741.09376534121</v>
      </c>
    </row>
    <row r="60" spans="1:15">
      <c r="A60" s="247" t="s">
        <v>20</v>
      </c>
      <c r="B60" s="29">
        <f>'Transmission Formula Rate (7)'!B14</f>
        <v>1.59</v>
      </c>
      <c r="C60" s="29">
        <f>'Transmission Formula Rate (7)'!C14</f>
        <v>1.59</v>
      </c>
      <c r="D60" s="29">
        <f>'Transmission Formula Rate (7)'!D14</f>
        <v>1.59</v>
      </c>
      <c r="E60" s="29">
        <f>'Transmission Formula Rate (7)'!E14</f>
        <v>1.59</v>
      </c>
      <c r="F60" s="29">
        <f>'Transmission Formula Rate (7)'!F14</f>
        <v>1.59</v>
      </c>
      <c r="G60" s="29">
        <f>'Transmission Formula Rate (7)'!G14</f>
        <v>1.59</v>
      </c>
      <c r="H60" s="29">
        <f>'Transmission Formula Rate (7)'!H14</f>
        <v>1.59</v>
      </c>
      <c r="I60" s="29">
        <f>'Transmission Formula Rate (7)'!I14</f>
        <v>1.59</v>
      </c>
      <c r="J60" s="29">
        <f>'Transmission Formula Rate (7)'!J14</f>
        <v>1.59</v>
      </c>
      <c r="K60" s="29">
        <f>'Transmission Formula Rate (7)'!K14</f>
        <v>1.59</v>
      </c>
      <c r="L60" s="29">
        <f>'Transmission Formula Rate (7)'!L14</f>
        <v>1.59</v>
      </c>
      <c r="M60" s="29">
        <f>'Transmission Formula Rate (7)'!M14</f>
        <v>1.59</v>
      </c>
      <c r="N60" s="19"/>
      <c r="O60" s="270"/>
    </row>
    <row r="61" spans="1:15">
      <c r="A61" s="247" t="s">
        <v>17</v>
      </c>
      <c r="B61" s="20">
        <f>B57*B60</f>
        <v>95400</v>
      </c>
      <c r="C61" s="20">
        <f t="shared" ref="C61" si="86">C57*C60</f>
        <v>95400</v>
      </c>
      <c r="D61" s="20">
        <f t="shared" ref="D61" si="87">D57*D60</f>
        <v>69905.737275000007</v>
      </c>
      <c r="E61" s="20">
        <f t="shared" ref="E61" si="88">E57*E60</f>
        <v>75271.074615000005</v>
      </c>
      <c r="F61" s="20">
        <f t="shared" ref="F61" si="89">F57*F60</f>
        <v>103439.09565</v>
      </c>
      <c r="G61" s="20">
        <f t="shared" ref="G61" si="90">G57*G60</f>
        <v>106121.76431999999</v>
      </c>
      <c r="H61" s="20">
        <f t="shared" ref="H61" si="91">H57*H60</f>
        <v>102097.76131499998</v>
      </c>
      <c r="I61" s="20">
        <f t="shared" ref="I61" si="92">I57*I60</f>
        <v>114169.77032999998</v>
      </c>
      <c r="J61" s="20">
        <f t="shared" ref="J61" si="93">J57*J60</f>
        <v>95400</v>
      </c>
      <c r="K61" s="20">
        <f t="shared" ref="K61" si="94">K57*K60</f>
        <v>96732.423975000012</v>
      </c>
      <c r="L61" s="20">
        <f t="shared" ref="L61" si="95">L57*L60</f>
        <v>68564.40294</v>
      </c>
      <c r="M61" s="20">
        <f t="shared" ref="M61" si="96">M57*M60</f>
        <v>68564.40294</v>
      </c>
      <c r="N61" s="20">
        <f>SUM(B61:M61)</f>
        <v>1091066.4333599999</v>
      </c>
    </row>
    <row r="63" spans="1:15">
      <c r="A63" s="247" t="s">
        <v>135</v>
      </c>
    </row>
    <row r="64" spans="1:15">
      <c r="A64" s="249" t="s">
        <v>282</v>
      </c>
      <c r="B64" s="232">
        <f>B57</f>
        <v>60000</v>
      </c>
      <c r="C64" s="232">
        <f t="shared" ref="C64:M64" si="97">C57</f>
        <v>60000</v>
      </c>
      <c r="D64" s="232">
        <f t="shared" si="97"/>
        <v>43965.872499999998</v>
      </c>
      <c r="E64" s="232">
        <f t="shared" si="97"/>
        <v>47340.298499999997</v>
      </c>
      <c r="F64" s="232">
        <f t="shared" si="97"/>
        <v>65056.034999999996</v>
      </c>
      <c r="G64" s="232">
        <f t="shared" si="97"/>
        <v>66743.247999999992</v>
      </c>
      <c r="H64" s="232">
        <f t="shared" si="97"/>
        <v>64212.428499999987</v>
      </c>
      <c r="I64" s="232">
        <f t="shared" si="97"/>
        <v>71804.886999999988</v>
      </c>
      <c r="J64" s="232">
        <f t="shared" si="97"/>
        <v>60000</v>
      </c>
      <c r="K64" s="232">
        <f t="shared" si="97"/>
        <v>60838.002500000002</v>
      </c>
      <c r="L64" s="232">
        <f t="shared" si="97"/>
        <v>43122.265999999996</v>
      </c>
      <c r="M64" s="232">
        <f t="shared" si="97"/>
        <v>43122.265999999996</v>
      </c>
      <c r="N64" s="20">
        <f>SUM(B64:M64)</f>
        <v>686205.30399999977</v>
      </c>
    </row>
    <row r="65" spans="1:14">
      <c r="A65" s="249" t="s">
        <v>45</v>
      </c>
      <c r="B65" s="27">
        <f>B64-B66</f>
        <v>1089.837997054492</v>
      </c>
      <c r="C65" s="27">
        <f t="shared" ref="C65" si="98">C64-C66</f>
        <v>1089.837997054492</v>
      </c>
      <c r="D65" s="27">
        <f t="shared" ref="D65" si="99">D64-D66</f>
        <v>798.59464040255261</v>
      </c>
      <c r="E65" s="27">
        <f t="shared" ref="E65" si="100">E64-E66</f>
        <v>859.88760162003018</v>
      </c>
      <c r="F65" s="27">
        <f t="shared" ref="F65" si="101">F64-F66</f>
        <v>1181.6756480117765</v>
      </c>
      <c r="G65" s="27">
        <f t="shared" ref="G65" si="102">G64-G66</f>
        <v>1212.3221286205153</v>
      </c>
      <c r="H65" s="27">
        <f t="shared" ref="H65" si="103">H64-H66</f>
        <v>1166.3524077074107</v>
      </c>
      <c r="I65" s="27">
        <f t="shared" ref="I65" si="104">I64-I66</f>
        <v>1304.2615704467316</v>
      </c>
      <c r="J65" s="27">
        <f t="shared" ref="J65" si="105">J64-J66</f>
        <v>1089.837997054492</v>
      </c>
      <c r="K65" s="27">
        <f t="shared" ref="K65" si="106">K64-K66</f>
        <v>1105.0594464899332</v>
      </c>
      <c r="L65" s="27">
        <f t="shared" ref="L65" si="107">L64-L66</f>
        <v>783.27140009817958</v>
      </c>
      <c r="M65" s="27">
        <f t="shared" ref="M65" si="108">M64-M66</f>
        <v>783.27140009817958</v>
      </c>
      <c r="N65" s="20">
        <f>SUM(B65:M65)</f>
        <v>12464.210234658785</v>
      </c>
    </row>
    <row r="66" spans="1:14">
      <c r="A66" s="249" t="s">
        <v>47</v>
      </c>
      <c r="B66" s="27">
        <f>B64/(1+'Transmission Formula Rate (7)'!$B$27)</f>
        <v>58910.162002945508</v>
      </c>
      <c r="C66" s="27">
        <f>C64/(1+'Transmission Formula Rate (7)'!$B$27)</f>
        <v>58910.162002945508</v>
      </c>
      <c r="D66" s="27">
        <f>D64/(1+'Transmission Formula Rate (7)'!$B$27)</f>
        <v>43167.277859597445</v>
      </c>
      <c r="E66" s="27">
        <f>E64/(1+'Transmission Formula Rate (7)'!$B$27)</f>
        <v>46480.410898379967</v>
      </c>
      <c r="F66" s="27">
        <f>F64/(1+'Transmission Formula Rate (7)'!$B$27)</f>
        <v>63874.35935198822</v>
      </c>
      <c r="G66" s="27">
        <f>G64/(1+'Transmission Formula Rate (7)'!$B$27)</f>
        <v>65530.925871379477</v>
      </c>
      <c r="H66" s="27">
        <f>H64/(1+'Transmission Formula Rate (7)'!$B$27)</f>
        <v>63046.076092292577</v>
      </c>
      <c r="I66" s="27">
        <f>I64/(1+'Transmission Formula Rate (7)'!$B$27)</f>
        <v>70500.625429553256</v>
      </c>
      <c r="J66" s="27">
        <f>J64/(1+'Transmission Formula Rate (7)'!$B$27)</f>
        <v>58910.162002945508</v>
      </c>
      <c r="K66" s="27">
        <f>K64/(1+'Transmission Formula Rate (7)'!$B$27)</f>
        <v>59732.943053510069</v>
      </c>
      <c r="L66" s="27">
        <f>L64/(1+'Transmission Formula Rate (7)'!$B$27)</f>
        <v>42338.994599901816</v>
      </c>
      <c r="M66" s="27">
        <f>M64/(1+'Transmission Formula Rate (7)'!$B$27)</f>
        <v>42338.994599901816</v>
      </c>
      <c r="N66" s="123">
        <f>SUM(B66:M66)</f>
        <v>673741.09376534121</v>
      </c>
    </row>
    <row r="67" spans="1:14">
      <c r="A67" s="247" t="s">
        <v>143</v>
      </c>
      <c r="B67" s="31">
        <f>'charges (1 &amp; 2)'!F11</f>
        <v>1.274E-2</v>
      </c>
      <c r="C67" s="31">
        <f>B67</f>
        <v>1.274E-2</v>
      </c>
      <c r="D67" s="31">
        <f t="shared" ref="D67:M67" si="109">C67</f>
        <v>1.274E-2</v>
      </c>
      <c r="E67" s="31">
        <f t="shared" si="109"/>
        <v>1.274E-2</v>
      </c>
      <c r="F67" s="31">
        <f t="shared" si="109"/>
        <v>1.274E-2</v>
      </c>
      <c r="G67" s="31">
        <f t="shared" si="109"/>
        <v>1.274E-2</v>
      </c>
      <c r="H67" s="31">
        <f t="shared" si="109"/>
        <v>1.274E-2</v>
      </c>
      <c r="I67" s="31">
        <f t="shared" si="109"/>
        <v>1.274E-2</v>
      </c>
      <c r="J67" s="31">
        <f t="shared" si="109"/>
        <v>1.274E-2</v>
      </c>
      <c r="K67" s="31">
        <f t="shared" si="109"/>
        <v>1.274E-2</v>
      </c>
      <c r="L67" s="31">
        <f t="shared" si="109"/>
        <v>1.274E-2</v>
      </c>
      <c r="M67" s="31">
        <f t="shared" si="109"/>
        <v>1.274E-2</v>
      </c>
      <c r="N67" s="19"/>
    </row>
    <row r="68" spans="1:14">
      <c r="A68" s="247" t="s">
        <v>17</v>
      </c>
      <c r="B68" s="20">
        <f>B64*B67</f>
        <v>764.4</v>
      </c>
      <c r="C68" s="20">
        <f t="shared" ref="C68" si="110">C64*C67</f>
        <v>764.4</v>
      </c>
      <c r="D68" s="20">
        <f t="shared" ref="D68" si="111">D64*D67</f>
        <v>560.12521564999997</v>
      </c>
      <c r="E68" s="20">
        <f t="shared" ref="E68" si="112">E64*E67</f>
        <v>603.11540288999993</v>
      </c>
      <c r="F68" s="20">
        <f t="shared" ref="F68" si="113">F64*F67</f>
        <v>828.81388589999995</v>
      </c>
      <c r="G68" s="20">
        <f t="shared" ref="G68" si="114">G64*G67</f>
        <v>850.30897951999987</v>
      </c>
      <c r="H68" s="20">
        <f t="shared" ref="H68" si="115">H64*H67</f>
        <v>818.06633908999981</v>
      </c>
      <c r="I68" s="20">
        <f t="shared" ref="I68" si="116">I64*I67</f>
        <v>914.79426037999986</v>
      </c>
      <c r="J68" s="20">
        <f t="shared" ref="J68" si="117">J64*J67</f>
        <v>764.4</v>
      </c>
      <c r="K68" s="20">
        <f t="shared" ref="K68" si="118">K64*K67</f>
        <v>775.07615184999997</v>
      </c>
      <c r="L68" s="20">
        <f t="shared" ref="L68" si="119">L64*L67</f>
        <v>549.37766883999996</v>
      </c>
      <c r="M68" s="20">
        <f t="shared" ref="M68" si="120">M64*M67</f>
        <v>549.37766883999996</v>
      </c>
      <c r="N68" s="20">
        <f>SUM(B68:M68)</f>
        <v>8742.255572959999</v>
      </c>
    </row>
    <row r="70" spans="1:14">
      <c r="B70" s="23" t="s">
        <v>0</v>
      </c>
      <c r="C70" s="23" t="s">
        <v>1</v>
      </c>
      <c r="D70" s="23" t="s">
        <v>2</v>
      </c>
      <c r="E70" s="23" t="s">
        <v>3</v>
      </c>
      <c r="F70" s="23" t="s">
        <v>4</v>
      </c>
      <c r="G70" s="23" t="s">
        <v>5</v>
      </c>
      <c r="H70" s="23" t="s">
        <v>6</v>
      </c>
      <c r="I70" s="23" t="s">
        <v>7</v>
      </c>
      <c r="J70" s="23" t="s">
        <v>8</v>
      </c>
      <c r="K70" s="23" t="s">
        <v>9</v>
      </c>
      <c r="L70" s="23" t="s">
        <v>10</v>
      </c>
      <c r="M70" s="23" t="s">
        <v>11</v>
      </c>
      <c r="N70" s="23" t="s">
        <v>12</v>
      </c>
    </row>
    <row r="71" spans="1:14">
      <c r="A71" s="248">
        <f>A55+1</f>
        <v>2018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>
      <c r="A72" s="247" t="s">
        <v>37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>
      <c r="A73" s="249" t="s">
        <v>282</v>
      </c>
      <c r="B73" s="232">
        <f>'Winter Park Forecast'!E14</f>
        <v>63368.821999999993</v>
      </c>
      <c r="C73" s="232">
        <f>'Winter Park Forecast'!F14</f>
        <v>60000</v>
      </c>
      <c r="D73" s="232">
        <f>'Winter Park Forecast'!G14</f>
        <v>43965.872499999998</v>
      </c>
      <c r="E73" s="232">
        <f>'Winter Park Forecast'!H14</f>
        <v>47340.298499999997</v>
      </c>
      <c r="F73" s="232">
        <f>'Winter Park Forecast'!I14</f>
        <v>65056.034999999996</v>
      </c>
      <c r="G73" s="232">
        <f>'Winter Park Forecast'!J14</f>
        <v>66743.247999999992</v>
      </c>
      <c r="H73" s="232">
        <f>'Winter Park Forecast'!K14</f>
        <v>64212.428499999987</v>
      </c>
      <c r="I73" s="232">
        <f>'Winter Park Forecast'!L14</f>
        <v>71804.886999999988</v>
      </c>
      <c r="J73" s="232">
        <f>'Winter Park Forecast'!M14</f>
        <v>60000</v>
      </c>
      <c r="K73" s="232">
        <f>'Winter Park Forecast'!N14</f>
        <v>60838.002500000002</v>
      </c>
      <c r="L73" s="232">
        <f>'Winter Park Forecast'!O14</f>
        <v>43122.265999999996</v>
      </c>
      <c r="M73" s="232">
        <f>'Winter Park Forecast'!P14</f>
        <v>43122.265999999996</v>
      </c>
      <c r="N73" s="20">
        <f>SUM(B73:M73)</f>
        <v>689574.1259999997</v>
      </c>
    </row>
    <row r="74" spans="1:14">
      <c r="A74" s="249" t="s">
        <v>45</v>
      </c>
      <c r="B74" s="27">
        <f>B73-B75</f>
        <v>1151.0291674030377</v>
      </c>
      <c r="C74" s="27">
        <f t="shared" ref="C74" si="121">C73-C75</f>
        <v>1089.837997054492</v>
      </c>
      <c r="D74" s="27">
        <f t="shared" ref="D74" si="122">D73-D75</f>
        <v>798.59464040255261</v>
      </c>
      <c r="E74" s="27">
        <f t="shared" ref="E74" si="123">E73-E75</f>
        <v>859.88760162003018</v>
      </c>
      <c r="F74" s="27">
        <f t="shared" ref="F74" si="124">F73-F75</f>
        <v>1181.6756480117765</v>
      </c>
      <c r="G74" s="27">
        <f t="shared" ref="G74" si="125">G73-G75</f>
        <v>1212.3221286205153</v>
      </c>
      <c r="H74" s="27">
        <f t="shared" ref="H74" si="126">H73-H75</f>
        <v>1166.3524077074107</v>
      </c>
      <c r="I74" s="27">
        <f t="shared" ref="I74" si="127">I73-I75</f>
        <v>1304.2615704467316</v>
      </c>
      <c r="J74" s="27">
        <f t="shared" ref="J74" si="128">J73-J75</f>
        <v>1089.837997054492</v>
      </c>
      <c r="K74" s="27">
        <f t="shared" ref="K74" si="129">K73-K75</f>
        <v>1105.0594464899332</v>
      </c>
      <c r="L74" s="27">
        <f t="shared" ref="L74" si="130">L73-L75</f>
        <v>783.27140009817958</v>
      </c>
      <c r="M74" s="27">
        <f t="shared" ref="M74" si="131">M73-M75</f>
        <v>783.27140009817958</v>
      </c>
      <c r="N74" s="20">
        <f>SUM(B74:M74)</f>
        <v>12525.401405007331</v>
      </c>
    </row>
    <row r="75" spans="1:14">
      <c r="A75" s="249" t="s">
        <v>47</v>
      </c>
      <c r="B75" s="27">
        <f>B73/(1+'Transmission Formula Rate (7)'!$B$27)</f>
        <v>62217.792832596955</v>
      </c>
      <c r="C75" s="27">
        <f>C73/(1+'Transmission Formula Rate (7)'!$B$27)</f>
        <v>58910.162002945508</v>
      </c>
      <c r="D75" s="27">
        <f>D73/(1+'Transmission Formula Rate (7)'!$B$27)</f>
        <v>43167.277859597445</v>
      </c>
      <c r="E75" s="27">
        <f>E73/(1+'Transmission Formula Rate (7)'!$B$27)</f>
        <v>46480.410898379967</v>
      </c>
      <c r="F75" s="27">
        <f>F73/(1+'Transmission Formula Rate (7)'!$B$27)</f>
        <v>63874.35935198822</v>
      </c>
      <c r="G75" s="27">
        <f>G73/(1+'Transmission Formula Rate (7)'!$B$27)</f>
        <v>65530.925871379477</v>
      </c>
      <c r="H75" s="27">
        <f>H73/(1+'Transmission Formula Rate (7)'!$B$27)</f>
        <v>63046.076092292577</v>
      </c>
      <c r="I75" s="27">
        <f>I73/(1+'Transmission Formula Rate (7)'!$B$27)</f>
        <v>70500.625429553256</v>
      </c>
      <c r="J75" s="27">
        <f>J73/(1+'Transmission Formula Rate (7)'!$B$27)</f>
        <v>58910.162002945508</v>
      </c>
      <c r="K75" s="27">
        <f>K73/(1+'Transmission Formula Rate (7)'!$B$27)</f>
        <v>59732.943053510069</v>
      </c>
      <c r="L75" s="27">
        <f>L73/(1+'Transmission Formula Rate (7)'!$B$27)</f>
        <v>42338.994599901816</v>
      </c>
      <c r="M75" s="27">
        <f>M73/(1+'Transmission Formula Rate (7)'!$B$27)</f>
        <v>42338.994599901816</v>
      </c>
      <c r="N75" s="123">
        <f>SUM(B75:M75)</f>
        <v>677048.7245949927</v>
      </c>
    </row>
    <row r="76" spans="1:14">
      <c r="A76" s="247" t="s">
        <v>20</v>
      </c>
      <c r="B76" s="29">
        <f>'Transmission Formula Rate (7)'!B16</f>
        <v>1.59</v>
      </c>
      <c r="C76" s="29">
        <f>'Transmission Formula Rate (7)'!C16</f>
        <v>1.59</v>
      </c>
      <c r="D76" s="29">
        <f>'Transmission Formula Rate (7)'!D16</f>
        <v>1.59</v>
      </c>
      <c r="E76" s="29">
        <f>'Transmission Formula Rate (7)'!E16</f>
        <v>1.59</v>
      </c>
      <c r="F76" s="29">
        <f>'Transmission Formula Rate (7)'!F16</f>
        <v>1.59</v>
      </c>
      <c r="G76" s="29">
        <f>'Transmission Formula Rate (7)'!G16</f>
        <v>1.59</v>
      </c>
      <c r="H76" s="29">
        <f>'Transmission Formula Rate (7)'!H16</f>
        <v>1.59</v>
      </c>
      <c r="I76" s="29">
        <f>'Transmission Formula Rate (7)'!I16</f>
        <v>1.59</v>
      </c>
      <c r="J76" s="29">
        <f>'Transmission Formula Rate (7)'!J16</f>
        <v>1.59</v>
      </c>
      <c r="K76" s="29">
        <f>'Transmission Formula Rate (7)'!K16</f>
        <v>1.59</v>
      </c>
      <c r="L76" s="29">
        <f>'Transmission Formula Rate (7)'!L16</f>
        <v>1.59</v>
      </c>
      <c r="M76" s="29">
        <f>'Transmission Formula Rate (7)'!M16</f>
        <v>1.59</v>
      </c>
      <c r="N76" s="19"/>
    </row>
    <row r="77" spans="1:14">
      <c r="A77" s="247" t="s">
        <v>17</v>
      </c>
      <c r="B77" s="20">
        <f>B73*B76</f>
        <v>100756.42697999999</v>
      </c>
      <c r="C77" s="20">
        <f t="shared" ref="C77" si="132">C73*C76</f>
        <v>95400</v>
      </c>
      <c r="D77" s="20">
        <f t="shared" ref="D77" si="133">D73*D76</f>
        <v>69905.737275000007</v>
      </c>
      <c r="E77" s="20">
        <f t="shared" ref="E77" si="134">E73*E76</f>
        <v>75271.074615000005</v>
      </c>
      <c r="F77" s="20">
        <f t="shared" ref="F77" si="135">F73*F76</f>
        <v>103439.09565</v>
      </c>
      <c r="G77" s="20">
        <f t="shared" ref="G77" si="136">G73*G76</f>
        <v>106121.76431999999</v>
      </c>
      <c r="H77" s="20">
        <f t="shared" ref="H77" si="137">H73*H76</f>
        <v>102097.76131499998</v>
      </c>
      <c r="I77" s="20">
        <f t="shared" ref="I77" si="138">I73*I76</f>
        <v>114169.77032999998</v>
      </c>
      <c r="J77" s="20">
        <f t="shared" ref="J77" si="139">J73*J76</f>
        <v>95400</v>
      </c>
      <c r="K77" s="20">
        <f t="shared" ref="K77" si="140">K73*K76</f>
        <v>96732.423975000012</v>
      </c>
      <c r="L77" s="20">
        <f t="shared" ref="L77" si="141">L73*L76</f>
        <v>68564.40294</v>
      </c>
      <c r="M77" s="20">
        <f t="shared" ref="M77" si="142">M73*M76</f>
        <v>68564.40294</v>
      </c>
      <c r="N77" s="20">
        <f>SUM(B77:M77)</f>
        <v>1096422.8603399999</v>
      </c>
    </row>
    <row r="79" spans="1:14">
      <c r="A79" s="247" t="s">
        <v>135</v>
      </c>
    </row>
    <row r="80" spans="1:14">
      <c r="A80" s="249" t="s">
        <v>282</v>
      </c>
      <c r="B80" s="232">
        <f>B73</f>
        <v>63368.821999999993</v>
      </c>
      <c r="C80" s="232">
        <f t="shared" ref="C80:M80" si="143">C73</f>
        <v>60000</v>
      </c>
      <c r="D80" s="232">
        <f t="shared" si="143"/>
        <v>43965.872499999998</v>
      </c>
      <c r="E80" s="232">
        <f t="shared" si="143"/>
        <v>47340.298499999997</v>
      </c>
      <c r="F80" s="232">
        <f t="shared" si="143"/>
        <v>65056.034999999996</v>
      </c>
      <c r="G80" s="232">
        <f t="shared" si="143"/>
        <v>66743.247999999992</v>
      </c>
      <c r="H80" s="232">
        <f t="shared" si="143"/>
        <v>64212.428499999987</v>
      </c>
      <c r="I80" s="232">
        <f t="shared" si="143"/>
        <v>71804.886999999988</v>
      </c>
      <c r="J80" s="232">
        <f t="shared" si="143"/>
        <v>60000</v>
      </c>
      <c r="K80" s="232">
        <f t="shared" si="143"/>
        <v>60838.002500000002</v>
      </c>
      <c r="L80" s="232">
        <f t="shared" si="143"/>
        <v>43122.265999999996</v>
      </c>
      <c r="M80" s="232">
        <f t="shared" si="143"/>
        <v>43122.265999999996</v>
      </c>
      <c r="N80" s="20">
        <f>SUM(B80:M80)</f>
        <v>689574.1259999997</v>
      </c>
    </row>
    <row r="81" spans="1:15">
      <c r="A81" s="249" t="s">
        <v>45</v>
      </c>
      <c r="B81" s="27">
        <f>B80-B82</f>
        <v>1151.0291674030377</v>
      </c>
      <c r="C81" s="27">
        <f t="shared" ref="C81" si="144">C80-C82</f>
        <v>1089.837997054492</v>
      </c>
      <c r="D81" s="27">
        <f t="shared" ref="D81" si="145">D80-D82</f>
        <v>798.59464040255261</v>
      </c>
      <c r="E81" s="27">
        <f t="shared" ref="E81" si="146">E80-E82</f>
        <v>859.88760162003018</v>
      </c>
      <c r="F81" s="27">
        <f t="shared" ref="F81" si="147">F80-F82</f>
        <v>1181.6756480117765</v>
      </c>
      <c r="G81" s="27">
        <f t="shared" ref="G81" si="148">G80-G82</f>
        <v>1212.3221286205153</v>
      </c>
      <c r="H81" s="27">
        <f t="shared" ref="H81" si="149">H80-H82</f>
        <v>1166.3524077074107</v>
      </c>
      <c r="I81" s="27">
        <f t="shared" ref="I81" si="150">I80-I82</f>
        <v>1304.2615704467316</v>
      </c>
      <c r="J81" s="27">
        <f t="shared" ref="J81" si="151">J80-J82</f>
        <v>1089.837997054492</v>
      </c>
      <c r="K81" s="27">
        <f t="shared" ref="K81" si="152">K80-K82</f>
        <v>1105.0594464899332</v>
      </c>
      <c r="L81" s="27">
        <f t="shared" ref="L81" si="153">L80-L82</f>
        <v>783.27140009817958</v>
      </c>
      <c r="M81" s="27">
        <f t="shared" ref="M81" si="154">M80-M82</f>
        <v>783.27140009817958</v>
      </c>
      <c r="N81" s="20">
        <f>SUM(B81:M81)</f>
        <v>12525.401405007331</v>
      </c>
    </row>
    <row r="82" spans="1:15">
      <c r="A82" s="249" t="s">
        <v>47</v>
      </c>
      <c r="B82" s="27">
        <f>B80/(1+'Transmission Formula Rate (7)'!$B$27)</f>
        <v>62217.792832596955</v>
      </c>
      <c r="C82" s="27">
        <f>C80/(1+'Transmission Formula Rate (7)'!$B$27)</f>
        <v>58910.162002945508</v>
      </c>
      <c r="D82" s="27">
        <f>D80/(1+'Transmission Formula Rate (7)'!$B$27)</f>
        <v>43167.277859597445</v>
      </c>
      <c r="E82" s="27">
        <f>E80/(1+'Transmission Formula Rate (7)'!$B$27)</f>
        <v>46480.410898379967</v>
      </c>
      <c r="F82" s="27">
        <f>F80/(1+'Transmission Formula Rate (7)'!$B$27)</f>
        <v>63874.35935198822</v>
      </c>
      <c r="G82" s="27">
        <f>G80/(1+'Transmission Formula Rate (7)'!$B$27)</f>
        <v>65530.925871379477</v>
      </c>
      <c r="H82" s="27">
        <f>H80/(1+'Transmission Formula Rate (7)'!$B$27)</f>
        <v>63046.076092292577</v>
      </c>
      <c r="I82" s="27">
        <f>I80/(1+'Transmission Formula Rate (7)'!$B$27)</f>
        <v>70500.625429553256</v>
      </c>
      <c r="J82" s="27">
        <f>J80/(1+'Transmission Formula Rate (7)'!$B$27)</f>
        <v>58910.162002945508</v>
      </c>
      <c r="K82" s="27">
        <f>K80/(1+'Transmission Formula Rate (7)'!$B$27)</f>
        <v>59732.943053510069</v>
      </c>
      <c r="L82" s="27">
        <f>L80/(1+'Transmission Formula Rate (7)'!$B$27)</f>
        <v>42338.994599901816</v>
      </c>
      <c r="M82" s="27">
        <f>M80/(1+'Transmission Formula Rate (7)'!$B$27)</f>
        <v>42338.994599901816</v>
      </c>
      <c r="N82" s="123">
        <f>SUM(B82:M82)</f>
        <v>677048.7245949927</v>
      </c>
    </row>
    <row r="83" spans="1:15">
      <c r="A83" s="247" t="s">
        <v>143</v>
      </c>
      <c r="B83" s="31">
        <f>'charges (1 &amp; 2)'!G11</f>
        <v>1.274E-2</v>
      </c>
      <c r="C83" s="31">
        <f>B83</f>
        <v>1.274E-2</v>
      </c>
      <c r="D83" s="31">
        <f t="shared" ref="D83:M83" si="155">C83</f>
        <v>1.274E-2</v>
      </c>
      <c r="E83" s="31">
        <f t="shared" si="155"/>
        <v>1.274E-2</v>
      </c>
      <c r="F83" s="31">
        <f t="shared" si="155"/>
        <v>1.274E-2</v>
      </c>
      <c r="G83" s="31">
        <f t="shared" si="155"/>
        <v>1.274E-2</v>
      </c>
      <c r="H83" s="31">
        <f t="shared" si="155"/>
        <v>1.274E-2</v>
      </c>
      <c r="I83" s="31">
        <f t="shared" si="155"/>
        <v>1.274E-2</v>
      </c>
      <c r="J83" s="31">
        <f t="shared" si="155"/>
        <v>1.274E-2</v>
      </c>
      <c r="K83" s="31">
        <f t="shared" si="155"/>
        <v>1.274E-2</v>
      </c>
      <c r="L83" s="31">
        <f t="shared" si="155"/>
        <v>1.274E-2</v>
      </c>
      <c r="M83" s="31">
        <f t="shared" si="155"/>
        <v>1.274E-2</v>
      </c>
      <c r="N83" s="19"/>
    </row>
    <row r="84" spans="1:15">
      <c r="A84" s="247" t="s">
        <v>17</v>
      </c>
      <c r="B84" s="20">
        <f>B80*B83</f>
        <v>807.31879227999991</v>
      </c>
      <c r="C84" s="20">
        <f t="shared" ref="C84" si="156">C80*C83</f>
        <v>764.4</v>
      </c>
      <c r="D84" s="20">
        <f t="shared" ref="D84" si="157">D80*D83</f>
        <v>560.12521564999997</v>
      </c>
      <c r="E84" s="20">
        <f t="shared" ref="E84" si="158">E80*E83</f>
        <v>603.11540288999993</v>
      </c>
      <c r="F84" s="20">
        <f t="shared" ref="F84" si="159">F80*F83</f>
        <v>828.81388589999995</v>
      </c>
      <c r="G84" s="20">
        <f t="shared" ref="G84" si="160">G80*G83</f>
        <v>850.30897951999987</v>
      </c>
      <c r="H84" s="20">
        <f t="shared" ref="H84" si="161">H80*H83</f>
        <v>818.06633908999981</v>
      </c>
      <c r="I84" s="20">
        <f t="shared" ref="I84" si="162">I80*I83</f>
        <v>914.79426037999986</v>
      </c>
      <c r="J84" s="20">
        <f t="shared" ref="J84" si="163">J80*J83</f>
        <v>764.4</v>
      </c>
      <c r="K84" s="20">
        <f t="shared" ref="K84" si="164">K80*K83</f>
        <v>775.07615184999997</v>
      </c>
      <c r="L84" s="20">
        <f t="shared" ref="L84" si="165">L80*L83</f>
        <v>549.37766883999996</v>
      </c>
      <c r="M84" s="20">
        <f t="shared" ref="M84" si="166">M80*M83</f>
        <v>549.37766883999996</v>
      </c>
      <c r="N84" s="20">
        <f>SUM(B84:M84)</f>
        <v>8785.17436524</v>
      </c>
    </row>
    <row r="86" spans="1:15">
      <c r="B86" s="23" t="s">
        <v>0</v>
      </c>
      <c r="C86" s="23" t="s">
        <v>1</v>
      </c>
      <c r="D86" s="23" t="s">
        <v>2</v>
      </c>
      <c r="E86" s="23" t="s">
        <v>3</v>
      </c>
      <c r="F86" s="23" t="s">
        <v>4</v>
      </c>
      <c r="G86" s="23" t="s">
        <v>5</v>
      </c>
      <c r="H86" s="23" t="s">
        <v>6</v>
      </c>
      <c r="I86" s="23" t="s">
        <v>7</v>
      </c>
      <c r="J86" s="23" t="s">
        <v>8</v>
      </c>
      <c r="K86" s="23" t="s">
        <v>9</v>
      </c>
      <c r="L86" s="23" t="s">
        <v>10</v>
      </c>
      <c r="M86" s="23" t="s">
        <v>11</v>
      </c>
      <c r="N86" s="23" t="s">
        <v>12</v>
      </c>
    </row>
    <row r="87" spans="1:15">
      <c r="A87" s="248">
        <f>A71+1</f>
        <v>2019</v>
      </c>
    </row>
    <row r="88" spans="1:15">
      <c r="A88" s="247" t="s">
        <v>37</v>
      </c>
    </row>
    <row r="89" spans="1:15">
      <c r="A89" s="249" t="s">
        <v>282</v>
      </c>
      <c r="B89" s="232">
        <f>'Winter Park Forecast'!E15</f>
        <v>63368.821999999993</v>
      </c>
      <c r="C89" s="232">
        <f>'Winter Park Forecast'!F15</f>
        <v>60000</v>
      </c>
      <c r="D89" s="232">
        <f>'Winter Park Forecast'!G15</f>
        <v>43965.872499999998</v>
      </c>
      <c r="E89" s="232">
        <f>'Winter Park Forecast'!H15</f>
        <v>47340.298499999997</v>
      </c>
      <c r="F89" s="232">
        <f>'Winter Park Forecast'!I15</f>
        <v>65056.034999999996</v>
      </c>
      <c r="G89" s="232">
        <f>'Winter Park Forecast'!J15</f>
        <v>66743.247999999992</v>
      </c>
      <c r="H89" s="232">
        <f>'Winter Park Forecast'!K15</f>
        <v>64212.428499999987</v>
      </c>
      <c r="I89" s="232">
        <f>'Winter Park Forecast'!L15</f>
        <v>71804.886999999988</v>
      </c>
      <c r="J89" s="232">
        <f>'Winter Park Forecast'!M15</f>
        <v>60000</v>
      </c>
      <c r="K89" s="232">
        <f>'Winter Park Forecast'!N15</f>
        <v>60838.002500000002</v>
      </c>
      <c r="L89" s="232">
        <f>'Winter Park Forecast'!O15</f>
        <v>43122.265999999996</v>
      </c>
      <c r="M89" s="232">
        <f>'Winter Park Forecast'!P15</f>
        <v>43122.265999999996</v>
      </c>
      <c r="N89" s="20">
        <f>SUM(B89:M89)</f>
        <v>689574.1259999997</v>
      </c>
    </row>
    <row r="90" spans="1:15">
      <c r="A90" s="249" t="s">
        <v>45</v>
      </c>
      <c r="B90" s="27">
        <f>B89-B91</f>
        <v>1151.0291674030377</v>
      </c>
      <c r="C90" s="27">
        <f t="shared" ref="C90" si="167">C89-C91</f>
        <v>1089.837997054492</v>
      </c>
      <c r="D90" s="27">
        <f t="shared" ref="D90" si="168">D89-D91</f>
        <v>798.59464040255261</v>
      </c>
      <c r="E90" s="27">
        <f t="shared" ref="E90" si="169">E89-E91</f>
        <v>859.88760162003018</v>
      </c>
      <c r="F90" s="27">
        <f t="shared" ref="F90" si="170">F89-F91</f>
        <v>1181.6756480117765</v>
      </c>
      <c r="G90" s="27">
        <f t="shared" ref="G90" si="171">G89-G91</f>
        <v>1212.3221286205153</v>
      </c>
      <c r="H90" s="27">
        <f t="shared" ref="H90" si="172">H89-H91</f>
        <v>1166.3524077074107</v>
      </c>
      <c r="I90" s="27">
        <f t="shared" ref="I90" si="173">I89-I91</f>
        <v>1304.2615704467316</v>
      </c>
      <c r="J90" s="27">
        <f t="shared" ref="J90" si="174">J89-J91</f>
        <v>1089.837997054492</v>
      </c>
      <c r="K90" s="27">
        <f t="shared" ref="K90" si="175">K89-K91</f>
        <v>1105.0594464899332</v>
      </c>
      <c r="L90" s="27">
        <f t="shared" ref="L90" si="176">L89-L91</f>
        <v>783.27140009817958</v>
      </c>
      <c r="M90" s="27">
        <f t="shared" ref="M90" si="177">M89-M91</f>
        <v>783.27140009817958</v>
      </c>
      <c r="N90" s="20">
        <f>SUM(B90:M90)</f>
        <v>12525.401405007331</v>
      </c>
    </row>
    <row r="91" spans="1:15">
      <c r="A91" s="249" t="s">
        <v>47</v>
      </c>
      <c r="B91" s="27">
        <f>B89/(1+'Transmission Formula Rate (7)'!$B$27)</f>
        <v>62217.792832596955</v>
      </c>
      <c r="C91" s="27">
        <f>C89/(1+'Transmission Formula Rate (7)'!$B$27)</f>
        <v>58910.162002945508</v>
      </c>
      <c r="D91" s="27">
        <f>D89/(1+'Transmission Formula Rate (7)'!$B$27)</f>
        <v>43167.277859597445</v>
      </c>
      <c r="E91" s="27">
        <f>E89/(1+'Transmission Formula Rate (7)'!$B$27)</f>
        <v>46480.410898379967</v>
      </c>
      <c r="F91" s="27">
        <f>F89/(1+'Transmission Formula Rate (7)'!$B$27)</f>
        <v>63874.35935198822</v>
      </c>
      <c r="G91" s="27">
        <f>G89/(1+'Transmission Formula Rate (7)'!$B$27)</f>
        <v>65530.925871379477</v>
      </c>
      <c r="H91" s="27">
        <f>H89/(1+'Transmission Formula Rate (7)'!$B$27)</f>
        <v>63046.076092292577</v>
      </c>
      <c r="I91" s="27">
        <f>I89/(1+'Transmission Formula Rate (7)'!$B$27)</f>
        <v>70500.625429553256</v>
      </c>
      <c r="J91" s="27">
        <f>J89/(1+'Transmission Formula Rate (7)'!$B$27)</f>
        <v>58910.162002945508</v>
      </c>
      <c r="K91" s="27">
        <f>K89/(1+'Transmission Formula Rate (7)'!$B$27)</f>
        <v>59732.943053510069</v>
      </c>
      <c r="L91" s="27">
        <f>L89/(1+'Transmission Formula Rate (7)'!$B$27)</f>
        <v>42338.994599901816</v>
      </c>
      <c r="M91" s="27">
        <f>M89/(1+'Transmission Formula Rate (7)'!$B$27)</f>
        <v>42338.994599901816</v>
      </c>
      <c r="N91" s="123">
        <f>SUM(B91:M91)</f>
        <v>677048.7245949927</v>
      </c>
    </row>
    <row r="92" spans="1:15">
      <c r="A92" s="247" t="s">
        <v>20</v>
      </c>
      <c r="B92" s="29">
        <f>'Transmission Formula Rate (7)'!B20</f>
        <v>1.59</v>
      </c>
      <c r="C92" s="29">
        <f>'Transmission Formula Rate (7)'!C20</f>
        <v>1.59</v>
      </c>
      <c r="D92" s="29">
        <f>'Transmission Formula Rate (7)'!D20</f>
        <v>1.59</v>
      </c>
      <c r="E92" s="29">
        <f>'Transmission Formula Rate (7)'!E20</f>
        <v>1.59</v>
      </c>
      <c r="F92" s="29">
        <f>'Transmission Formula Rate (7)'!F20</f>
        <v>1.59</v>
      </c>
      <c r="G92" s="29">
        <f>'Transmission Formula Rate (7)'!G20</f>
        <v>1.59</v>
      </c>
      <c r="H92" s="29">
        <f>'Transmission Formula Rate (7)'!H20</f>
        <v>1.59</v>
      </c>
      <c r="I92" s="29">
        <f>'Transmission Formula Rate (7)'!I20</f>
        <v>1.59</v>
      </c>
      <c r="J92" s="29">
        <f>'Transmission Formula Rate (7)'!J20</f>
        <v>1.59</v>
      </c>
      <c r="K92" s="29">
        <f>'Transmission Formula Rate (7)'!K20</f>
        <v>1.59</v>
      </c>
      <c r="L92" s="29">
        <f>'Transmission Formula Rate (7)'!L20</f>
        <v>1.59</v>
      </c>
      <c r="M92" s="29">
        <f>'Transmission Formula Rate (7)'!M20</f>
        <v>1.59</v>
      </c>
      <c r="N92" s="19"/>
    </row>
    <row r="93" spans="1:15">
      <c r="A93" s="247" t="s">
        <v>17</v>
      </c>
      <c r="B93" s="20">
        <f>B89*B92</f>
        <v>100756.42697999999</v>
      </c>
      <c r="C93" s="20">
        <f t="shared" ref="C93" si="178">C89*C92</f>
        <v>95400</v>
      </c>
      <c r="D93" s="20">
        <f t="shared" ref="D93" si="179">D89*D92</f>
        <v>69905.737275000007</v>
      </c>
      <c r="E93" s="20">
        <f t="shared" ref="E93" si="180">E89*E92</f>
        <v>75271.074615000005</v>
      </c>
      <c r="F93" s="20">
        <f t="shared" ref="F93" si="181">F89*F92</f>
        <v>103439.09565</v>
      </c>
      <c r="G93" s="20">
        <f t="shared" ref="G93" si="182">G89*G92</f>
        <v>106121.76431999999</v>
      </c>
      <c r="H93" s="20">
        <f t="shared" ref="H93" si="183">H89*H92</f>
        <v>102097.76131499998</v>
      </c>
      <c r="I93" s="20">
        <f t="shared" ref="I93" si="184">I89*I92</f>
        <v>114169.77032999998</v>
      </c>
      <c r="J93" s="20">
        <f t="shared" ref="J93" si="185">J89*J92</f>
        <v>95400</v>
      </c>
      <c r="K93" s="20">
        <f t="shared" ref="K93" si="186">K89*K92</f>
        <v>96732.423975000012</v>
      </c>
      <c r="L93" s="20">
        <f t="shared" ref="L93" si="187">L89*L92</f>
        <v>68564.40294</v>
      </c>
      <c r="M93" s="20">
        <f t="shared" ref="M93" si="188">M89*M92</f>
        <v>68564.40294</v>
      </c>
      <c r="N93" s="20">
        <f>SUM(B93:M93)</f>
        <v>1096422.8603399999</v>
      </c>
    </row>
    <row r="95" spans="1:15">
      <c r="A95" s="247" t="s">
        <v>135</v>
      </c>
    </row>
    <row r="96" spans="1:15">
      <c r="A96" s="249" t="s">
        <v>282</v>
      </c>
      <c r="B96" s="232">
        <f>B89</f>
        <v>63368.821999999993</v>
      </c>
      <c r="C96" s="232">
        <f t="shared" ref="C96:M96" si="189">C89</f>
        <v>60000</v>
      </c>
      <c r="D96" s="232">
        <f t="shared" si="189"/>
        <v>43965.872499999998</v>
      </c>
      <c r="E96" s="232">
        <f t="shared" si="189"/>
        <v>47340.298499999997</v>
      </c>
      <c r="F96" s="232">
        <f t="shared" si="189"/>
        <v>65056.034999999996</v>
      </c>
      <c r="G96" s="232">
        <f t="shared" si="189"/>
        <v>66743.247999999992</v>
      </c>
      <c r="H96" s="232">
        <f t="shared" si="189"/>
        <v>64212.428499999987</v>
      </c>
      <c r="I96" s="232">
        <f t="shared" si="189"/>
        <v>71804.886999999988</v>
      </c>
      <c r="J96" s="232">
        <f t="shared" si="189"/>
        <v>60000</v>
      </c>
      <c r="K96" s="232">
        <f t="shared" si="189"/>
        <v>60838.002500000002</v>
      </c>
      <c r="L96" s="232">
        <f t="shared" si="189"/>
        <v>43122.265999999996</v>
      </c>
      <c r="M96" s="232">
        <f t="shared" si="189"/>
        <v>43122.265999999996</v>
      </c>
      <c r="N96" s="20">
        <f>SUM(B96:M96)</f>
        <v>689574.1259999997</v>
      </c>
      <c r="O96" s="270" t="s">
        <v>409</v>
      </c>
    </row>
    <row r="97" spans="1:14">
      <c r="A97" s="249" t="s">
        <v>45</v>
      </c>
      <c r="B97" s="27">
        <f>B96-B98</f>
        <v>1151.0291674030377</v>
      </c>
      <c r="C97" s="27">
        <f t="shared" ref="C97" si="190">C96-C98</f>
        <v>1089.837997054492</v>
      </c>
      <c r="D97" s="27">
        <f t="shared" ref="D97" si="191">D96-D98</f>
        <v>798.59464040255261</v>
      </c>
      <c r="E97" s="27">
        <f t="shared" ref="E97" si="192">E96-E98</f>
        <v>859.88760162003018</v>
      </c>
      <c r="F97" s="27">
        <f t="shared" ref="F97" si="193">F96-F98</f>
        <v>1181.6756480117765</v>
      </c>
      <c r="G97" s="27">
        <f t="shared" ref="G97" si="194">G96-G98</f>
        <v>1212.3221286205153</v>
      </c>
      <c r="H97" s="27">
        <f t="shared" ref="H97" si="195">H96-H98</f>
        <v>1166.3524077074107</v>
      </c>
      <c r="I97" s="27">
        <f t="shared" ref="I97" si="196">I96-I98</f>
        <v>1304.2615704467316</v>
      </c>
      <c r="J97" s="27">
        <f t="shared" ref="J97" si="197">J96-J98</f>
        <v>1089.837997054492</v>
      </c>
      <c r="K97" s="27">
        <f t="shared" ref="K97" si="198">K96-K98</f>
        <v>1105.0594464899332</v>
      </c>
      <c r="L97" s="27">
        <f t="shared" ref="L97" si="199">L96-L98</f>
        <v>783.27140009817958</v>
      </c>
      <c r="M97" s="27">
        <f t="shared" ref="M97" si="200">M96-M98</f>
        <v>783.27140009817958</v>
      </c>
      <c r="N97" s="20">
        <f>SUM(B97:M97)</f>
        <v>12525.401405007331</v>
      </c>
    </row>
    <row r="98" spans="1:14">
      <c r="A98" s="249" t="s">
        <v>47</v>
      </c>
      <c r="B98" s="27">
        <f>B96/(1+'Transmission Formula Rate (7)'!$B$27)</f>
        <v>62217.792832596955</v>
      </c>
      <c r="C98" s="27">
        <f>C96/(1+'Transmission Formula Rate (7)'!$B$27)</f>
        <v>58910.162002945508</v>
      </c>
      <c r="D98" s="27">
        <f>D96/(1+'Transmission Formula Rate (7)'!$B$27)</f>
        <v>43167.277859597445</v>
      </c>
      <c r="E98" s="27">
        <f>E96/(1+'Transmission Formula Rate (7)'!$B$27)</f>
        <v>46480.410898379967</v>
      </c>
      <c r="F98" s="27">
        <f>F96/(1+'Transmission Formula Rate (7)'!$B$27)</f>
        <v>63874.35935198822</v>
      </c>
      <c r="G98" s="27">
        <f>G96/(1+'Transmission Formula Rate (7)'!$B$27)</f>
        <v>65530.925871379477</v>
      </c>
      <c r="H98" s="27">
        <f>H96/(1+'Transmission Formula Rate (7)'!$B$27)</f>
        <v>63046.076092292577</v>
      </c>
      <c r="I98" s="27">
        <f>I96/(1+'Transmission Formula Rate (7)'!$B$27)</f>
        <v>70500.625429553256</v>
      </c>
      <c r="J98" s="27">
        <f>J96/(1+'Transmission Formula Rate (7)'!$B$27)</f>
        <v>58910.162002945508</v>
      </c>
      <c r="K98" s="27">
        <f>K96/(1+'Transmission Formula Rate (7)'!$B$27)</f>
        <v>59732.943053510069</v>
      </c>
      <c r="L98" s="27">
        <f>L96/(1+'Transmission Formula Rate (7)'!$B$27)</f>
        <v>42338.994599901816</v>
      </c>
      <c r="M98" s="27">
        <f>M96/(1+'Transmission Formula Rate (7)'!$B$27)</f>
        <v>42338.994599901816</v>
      </c>
      <c r="N98" s="123">
        <f>SUM(B98:M98)</f>
        <v>677048.7245949927</v>
      </c>
    </row>
    <row r="99" spans="1:14">
      <c r="A99" s="247" t="s">
        <v>143</v>
      </c>
      <c r="B99" s="31">
        <f>'charges (1 &amp; 2)'!H11</f>
        <v>1.274E-2</v>
      </c>
      <c r="C99" s="31">
        <f>B99</f>
        <v>1.274E-2</v>
      </c>
      <c r="D99" s="31">
        <f t="shared" ref="D99:M99" si="201">C99</f>
        <v>1.274E-2</v>
      </c>
      <c r="E99" s="31">
        <f t="shared" si="201"/>
        <v>1.274E-2</v>
      </c>
      <c r="F99" s="31">
        <f t="shared" si="201"/>
        <v>1.274E-2</v>
      </c>
      <c r="G99" s="31">
        <f t="shared" si="201"/>
        <v>1.274E-2</v>
      </c>
      <c r="H99" s="31">
        <f t="shared" si="201"/>
        <v>1.274E-2</v>
      </c>
      <c r="I99" s="31">
        <f t="shared" si="201"/>
        <v>1.274E-2</v>
      </c>
      <c r="J99" s="31">
        <f t="shared" si="201"/>
        <v>1.274E-2</v>
      </c>
      <c r="K99" s="31">
        <f t="shared" si="201"/>
        <v>1.274E-2</v>
      </c>
      <c r="L99" s="31">
        <f t="shared" si="201"/>
        <v>1.274E-2</v>
      </c>
      <c r="M99" s="31">
        <f t="shared" si="201"/>
        <v>1.274E-2</v>
      </c>
      <c r="N99" s="19"/>
    </row>
    <row r="100" spans="1:14">
      <c r="A100" s="247" t="s">
        <v>17</v>
      </c>
      <c r="B100" s="20">
        <f>B96*B99</f>
        <v>807.31879227999991</v>
      </c>
      <c r="C100" s="20">
        <f t="shared" ref="C100" si="202">C96*C99</f>
        <v>764.4</v>
      </c>
      <c r="D100" s="20">
        <f t="shared" ref="D100" si="203">D96*D99</f>
        <v>560.12521564999997</v>
      </c>
      <c r="E100" s="20">
        <f t="shared" ref="E100" si="204">E96*E99</f>
        <v>603.11540288999993</v>
      </c>
      <c r="F100" s="20">
        <f t="shared" ref="F100" si="205">F96*F99</f>
        <v>828.81388589999995</v>
      </c>
      <c r="G100" s="20">
        <f t="shared" ref="G100" si="206">G96*G99</f>
        <v>850.30897951999987</v>
      </c>
      <c r="H100" s="20">
        <f t="shared" ref="H100" si="207">H96*H99</f>
        <v>818.06633908999981</v>
      </c>
      <c r="I100" s="20">
        <f t="shared" ref="I100" si="208">I96*I99</f>
        <v>914.79426037999986</v>
      </c>
      <c r="J100" s="20">
        <f t="shared" ref="J100" si="209">J96*J99</f>
        <v>764.4</v>
      </c>
      <c r="K100" s="20">
        <f t="shared" ref="K100" si="210">K96*K99</f>
        <v>775.07615184999997</v>
      </c>
      <c r="L100" s="20">
        <f t="shared" ref="L100" si="211">L96*L99</f>
        <v>549.37766883999996</v>
      </c>
      <c r="M100" s="20">
        <f t="shared" ref="M100" si="212">M96*M99</f>
        <v>549.37766883999996</v>
      </c>
      <c r="N100" s="20">
        <f>SUM(B100:M100)</f>
        <v>8785.17436524</v>
      </c>
    </row>
    <row r="103" spans="1:14">
      <c r="A103" s="243" t="s">
        <v>262</v>
      </c>
      <c r="B103" s="361" t="s">
        <v>284</v>
      </c>
    </row>
  </sheetData>
  <hyperlinks>
    <hyperlink ref="B103" r:id="rId1"/>
  </hyperlinks>
  <pageMargins left="0.7" right="0.7" top="0.75" bottom="0.75" header="0.3" footer="0.3"/>
  <pageSetup scale="74" orientation="landscape" r:id="rId2"/>
  <rowBreaks count="2" manualBreakCount="2">
    <brk id="35" max="16383" man="1"/>
    <brk id="6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34" customWidth="1"/>
    <col min="2" max="2" width="10.88671875" style="234" customWidth="1"/>
    <col min="3" max="3" width="1.6640625" style="251" customWidth="1"/>
    <col min="4" max="16384" width="9" style="234"/>
  </cols>
  <sheetData>
    <row r="1" spans="2:18">
      <c r="B1" s="481" t="s">
        <v>476</v>
      </c>
    </row>
    <row r="2" spans="2:18">
      <c r="B2" s="481" t="s">
        <v>458</v>
      </c>
    </row>
    <row r="4" spans="2:18">
      <c r="B4" s="279" t="s">
        <v>280</v>
      </c>
    </row>
    <row r="5" spans="2:18">
      <c r="B5" s="234" t="s">
        <v>183</v>
      </c>
    </row>
    <row r="6" spans="2:18">
      <c r="B6" s="234" t="s">
        <v>330</v>
      </c>
    </row>
    <row r="9" spans="2:18">
      <c r="B9" s="234" t="s">
        <v>190</v>
      </c>
      <c r="E9" s="283" t="s">
        <v>0</v>
      </c>
      <c r="F9" s="283" t="s">
        <v>1</v>
      </c>
      <c r="G9" s="283" t="s">
        <v>2</v>
      </c>
      <c r="H9" s="283" t="s">
        <v>3</v>
      </c>
      <c r="I9" s="283" t="s">
        <v>4</v>
      </c>
      <c r="J9" s="283" t="s">
        <v>5</v>
      </c>
      <c r="K9" s="283" t="s">
        <v>6</v>
      </c>
      <c r="L9" s="283" t="s">
        <v>7</v>
      </c>
      <c r="M9" s="283" t="s">
        <v>8</v>
      </c>
      <c r="N9" s="283" t="s">
        <v>9</v>
      </c>
      <c r="O9" s="283" t="s">
        <v>10</v>
      </c>
      <c r="P9" s="283" t="s">
        <v>11</v>
      </c>
      <c r="Q9" s="284" t="s">
        <v>12</v>
      </c>
    </row>
    <row r="10" spans="2:18">
      <c r="D10" s="236"/>
      <c r="E10" s="237">
        <v>1</v>
      </c>
      <c r="F10" s="237">
        <v>2</v>
      </c>
      <c r="G10" s="237">
        <v>3</v>
      </c>
      <c r="H10" s="237">
        <v>4</v>
      </c>
      <c r="I10" s="237">
        <v>5</v>
      </c>
      <c r="J10" s="237">
        <v>6</v>
      </c>
      <c r="K10" s="237">
        <v>7</v>
      </c>
      <c r="L10" s="237">
        <v>8</v>
      </c>
      <c r="M10" s="237">
        <v>9</v>
      </c>
      <c r="N10" s="237">
        <v>10</v>
      </c>
      <c r="O10" s="237">
        <v>11</v>
      </c>
      <c r="P10" s="237">
        <v>12</v>
      </c>
      <c r="Q10" s="235"/>
    </row>
    <row r="11" spans="2:18">
      <c r="D11" s="236">
        <f>2015</f>
        <v>2015</v>
      </c>
      <c r="E11" s="237">
        <v>23000</v>
      </c>
      <c r="F11" s="237">
        <v>26000</v>
      </c>
      <c r="G11" s="237">
        <v>45000</v>
      </c>
      <c r="H11" s="237">
        <v>36000</v>
      </c>
      <c r="I11" s="237">
        <v>45000</v>
      </c>
      <c r="J11" s="237">
        <v>54000</v>
      </c>
      <c r="K11" s="237">
        <v>60000</v>
      </c>
      <c r="L11" s="237">
        <v>55000</v>
      </c>
      <c r="M11" s="237">
        <v>60000</v>
      </c>
      <c r="N11" s="237">
        <v>60000</v>
      </c>
      <c r="O11" s="237">
        <v>60000</v>
      </c>
      <c r="P11" s="237">
        <v>60000</v>
      </c>
      <c r="Q11" s="235">
        <f>SUM(E11:P11)</f>
        <v>584000</v>
      </c>
      <c r="R11" s="234" t="s">
        <v>377</v>
      </c>
    </row>
    <row r="12" spans="2:18">
      <c r="D12" s="236">
        <f>1+D11</f>
        <v>2016</v>
      </c>
      <c r="E12" s="237">
        <v>60000</v>
      </c>
      <c r="F12" s="237">
        <v>60000</v>
      </c>
      <c r="G12" s="237">
        <v>60000</v>
      </c>
      <c r="H12" s="237">
        <v>60000</v>
      </c>
      <c r="I12" s="237">
        <v>60000</v>
      </c>
      <c r="J12" s="237">
        <v>60000</v>
      </c>
      <c r="K12" s="237">
        <v>60000</v>
      </c>
      <c r="L12" s="237">
        <v>60000</v>
      </c>
      <c r="M12" s="237">
        <v>60000</v>
      </c>
      <c r="N12" s="237">
        <v>60000</v>
      </c>
      <c r="O12" s="237">
        <v>60000</v>
      </c>
      <c r="P12" s="237">
        <v>60000</v>
      </c>
      <c r="Q12" s="235">
        <f>SUM(E12:P12)</f>
        <v>720000</v>
      </c>
    </row>
    <row r="13" spans="2:18">
      <c r="D13" s="236">
        <f>1+D12</f>
        <v>2017</v>
      </c>
      <c r="E13" s="237">
        <v>60000</v>
      </c>
      <c r="F13" s="237">
        <v>60000</v>
      </c>
      <c r="G13" s="237">
        <v>43965.872499999998</v>
      </c>
      <c r="H13" s="237">
        <v>47340.298499999997</v>
      </c>
      <c r="I13" s="237">
        <v>65056.034999999996</v>
      </c>
      <c r="J13" s="237">
        <v>66743.247999999992</v>
      </c>
      <c r="K13" s="237">
        <v>64212.428499999987</v>
      </c>
      <c r="L13" s="237">
        <v>71804.886999999988</v>
      </c>
      <c r="M13" s="237">
        <v>60000</v>
      </c>
      <c r="N13" s="237">
        <v>60838.002500000002</v>
      </c>
      <c r="O13" s="237">
        <v>43122.265999999996</v>
      </c>
      <c r="P13" s="237">
        <v>43122.265999999996</v>
      </c>
      <c r="Q13" s="235">
        <f t="shared" ref="Q13:Q15" si="0">SUM(E13:P13)</f>
        <v>686205.30399999977</v>
      </c>
    </row>
    <row r="14" spans="2:18">
      <c r="D14" s="236">
        <f>1+D13</f>
        <v>2018</v>
      </c>
      <c r="E14" s="237">
        <v>63368.821999999993</v>
      </c>
      <c r="F14" s="237">
        <v>60000</v>
      </c>
      <c r="G14" s="237">
        <v>43965.872499999998</v>
      </c>
      <c r="H14" s="237">
        <v>47340.298499999997</v>
      </c>
      <c r="I14" s="237">
        <v>65056.034999999996</v>
      </c>
      <c r="J14" s="237">
        <v>66743.247999999992</v>
      </c>
      <c r="K14" s="237">
        <v>64212.428499999987</v>
      </c>
      <c r="L14" s="237">
        <v>71804.886999999988</v>
      </c>
      <c r="M14" s="237">
        <v>60000</v>
      </c>
      <c r="N14" s="237">
        <v>60838.002500000002</v>
      </c>
      <c r="O14" s="237">
        <v>43122.265999999996</v>
      </c>
      <c r="P14" s="237">
        <v>43122.265999999996</v>
      </c>
      <c r="Q14" s="235">
        <f t="shared" si="0"/>
        <v>689574.1259999997</v>
      </c>
      <c r="R14" s="335" t="s">
        <v>415</v>
      </c>
    </row>
    <row r="15" spans="2:18">
      <c r="D15" s="236">
        <f>1+D14</f>
        <v>2019</v>
      </c>
      <c r="E15" s="237">
        <v>63368.821999999993</v>
      </c>
      <c r="F15" s="237">
        <v>60000</v>
      </c>
      <c r="G15" s="237">
        <v>43965.872499999998</v>
      </c>
      <c r="H15" s="237">
        <v>47340.298499999997</v>
      </c>
      <c r="I15" s="237">
        <v>65056.034999999996</v>
      </c>
      <c r="J15" s="237">
        <v>66743.247999999992</v>
      </c>
      <c r="K15" s="237">
        <v>64212.428499999987</v>
      </c>
      <c r="L15" s="237">
        <v>71804.886999999988</v>
      </c>
      <c r="M15" s="237">
        <v>60000</v>
      </c>
      <c r="N15" s="237">
        <v>60838.002500000002</v>
      </c>
      <c r="O15" s="237">
        <v>43122.265999999996</v>
      </c>
      <c r="P15" s="237">
        <v>43122.265999999996</v>
      </c>
      <c r="Q15" s="235">
        <f t="shared" si="0"/>
        <v>689574.1259999997</v>
      </c>
    </row>
    <row r="16" spans="2:18">
      <c r="C16" s="252"/>
      <c r="D16" s="236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</row>
    <row r="17" spans="3:8">
      <c r="C17" s="252"/>
      <c r="D17" s="237"/>
      <c r="E17" s="237"/>
      <c r="F17" s="237"/>
      <c r="G17" s="237"/>
      <c r="H17" s="237"/>
    </row>
    <row r="18" spans="3:8">
      <c r="C18" s="252"/>
      <c r="D18" s="279" t="s">
        <v>436</v>
      </c>
      <c r="E18" s="237"/>
      <c r="F18" s="237"/>
      <c r="G18" s="237"/>
      <c r="H18" s="237"/>
    </row>
    <row r="19" spans="3:8">
      <c r="C19" s="252"/>
      <c r="D19" s="279" t="s">
        <v>425</v>
      </c>
      <c r="E19" s="237"/>
      <c r="F19" s="237"/>
      <c r="G19" s="237"/>
      <c r="H19" s="237"/>
    </row>
    <row r="20" spans="3:8">
      <c r="C20" s="252"/>
      <c r="D20" s="237"/>
      <c r="E20" s="237"/>
      <c r="F20" s="237"/>
      <c r="G20" s="237"/>
      <c r="H20" s="237"/>
    </row>
    <row r="21" spans="3:8">
      <c r="C21" s="252"/>
      <c r="D21" s="237"/>
      <c r="E21" s="237"/>
      <c r="F21" s="237"/>
      <c r="G21" s="237"/>
      <c r="H21" s="237"/>
    </row>
    <row r="22" spans="3:8">
      <c r="C22" s="252"/>
      <c r="D22" s="237"/>
      <c r="E22" s="237"/>
      <c r="F22" s="237"/>
      <c r="G22" s="237"/>
      <c r="H22" s="237"/>
    </row>
    <row r="24" spans="3:8">
      <c r="C24" s="252"/>
      <c r="D24" s="237"/>
      <c r="E24" s="237"/>
      <c r="F24" s="237"/>
      <c r="G24" s="237"/>
      <c r="H24" s="237"/>
    </row>
    <row r="25" spans="3:8">
      <c r="C25" s="252"/>
      <c r="D25" s="237"/>
      <c r="E25" s="237"/>
      <c r="F25" s="237"/>
      <c r="G25" s="237"/>
      <c r="H25" s="237"/>
    </row>
    <row r="26" spans="3:8">
      <c r="C26" s="252"/>
      <c r="D26" s="237"/>
      <c r="E26" s="237"/>
      <c r="F26" s="237"/>
      <c r="G26" s="237"/>
      <c r="H26" s="237"/>
    </row>
    <row r="27" spans="3:8">
      <c r="C27" s="252"/>
      <c r="D27" s="237"/>
      <c r="E27" s="237"/>
      <c r="F27" s="237"/>
      <c r="G27" s="237"/>
      <c r="H27" s="237"/>
    </row>
    <row r="28" spans="3:8">
      <c r="C28" s="252"/>
      <c r="D28" s="237"/>
      <c r="E28" s="237"/>
      <c r="F28" s="237"/>
      <c r="G28" s="237"/>
      <c r="H28" s="237"/>
    </row>
    <row r="29" spans="3:8">
      <c r="C29" s="252"/>
      <c r="D29" s="237"/>
      <c r="E29" s="237"/>
      <c r="F29" s="237"/>
      <c r="G29" s="237"/>
      <c r="H29" s="237"/>
    </row>
    <row r="30" spans="3:8">
      <c r="C30" s="252"/>
      <c r="D30" s="237"/>
      <c r="E30" s="237"/>
      <c r="F30" s="237"/>
      <c r="G30" s="237"/>
      <c r="H30" s="237"/>
    </row>
    <row r="31" spans="3:8">
      <c r="C31" s="252"/>
      <c r="D31" s="237"/>
      <c r="E31" s="237"/>
      <c r="F31" s="237"/>
      <c r="G31" s="237"/>
      <c r="H31" s="237"/>
    </row>
    <row r="32" spans="3:8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0" spans="3:8">
      <c r="C40" s="252"/>
      <c r="D40" s="237"/>
      <c r="E40" s="237"/>
      <c r="F40" s="237"/>
      <c r="G40" s="237"/>
      <c r="H40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0" customWidth="1"/>
    <col min="2" max="2" width="10.77734375" style="460" bestFit="1" customWidth="1"/>
    <col min="3" max="13" width="9.33203125" style="460" bestFit="1" customWidth="1"/>
    <col min="14" max="14" width="10.109375" style="460" bestFit="1" customWidth="1"/>
    <col min="15" max="15" width="9.21875" style="460" bestFit="1" customWidth="1"/>
    <col min="16" max="16384" width="9" style="460"/>
  </cols>
  <sheetData>
    <row r="1" spans="1:15">
      <c r="A1" s="471" t="s">
        <v>459</v>
      </c>
    </row>
    <row r="2" spans="1:15">
      <c r="A2" s="471" t="s">
        <v>458</v>
      </c>
    </row>
    <row r="3" spans="1:15" ht="17.399999999999999">
      <c r="A3" s="483" t="s">
        <v>378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5.6">
      <c r="A4" s="484" t="s">
        <v>402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</row>
    <row r="5" spans="1:15" ht="15.6">
      <c r="A5" s="461"/>
    </row>
    <row r="6" spans="1:15" ht="13.8" thickBot="1"/>
    <row r="7" spans="1:15" ht="13.8" thickBot="1">
      <c r="O7" s="462"/>
    </row>
    <row r="8" spans="1:15" ht="13.8" thickBot="1">
      <c r="A8" s="463"/>
      <c r="B8" s="464">
        <v>42370</v>
      </c>
      <c r="C8" s="464">
        <v>42401</v>
      </c>
      <c r="D8" s="464">
        <v>42430</v>
      </c>
      <c r="E8" s="464">
        <v>42461</v>
      </c>
      <c r="F8" s="464">
        <v>42491</v>
      </c>
      <c r="G8" s="464">
        <v>42522</v>
      </c>
      <c r="H8" s="464">
        <v>42552</v>
      </c>
      <c r="I8" s="464">
        <v>42583</v>
      </c>
      <c r="J8" s="464">
        <v>42614</v>
      </c>
      <c r="K8" s="464">
        <v>42644</v>
      </c>
      <c r="L8" s="464">
        <v>42675</v>
      </c>
      <c r="M8" s="464">
        <v>42705</v>
      </c>
      <c r="N8" s="465" t="s">
        <v>33</v>
      </c>
      <c r="O8" s="466" t="s">
        <v>379</v>
      </c>
    </row>
    <row r="9" spans="1:15">
      <c r="A9" s="467" t="s">
        <v>380</v>
      </c>
      <c r="O9" s="468"/>
    </row>
    <row r="10" spans="1:15">
      <c r="A10" s="460" t="s">
        <v>381</v>
      </c>
      <c r="B10" s="469">
        <f>'Blountstown Network'!B46/(1+'Transmission Formula Rate (7)'!$B$27)</f>
        <v>8836.5243004418262</v>
      </c>
      <c r="C10" s="469">
        <f>'Blountstown Network'!C46/(1+'Transmission Formula Rate (7)'!$B$27)</f>
        <v>8836.5243004418262</v>
      </c>
      <c r="D10" s="469">
        <f>'Blountstown Network'!D46/(1+'Transmission Formula Rate (7)'!$B$27)</f>
        <v>8836.5243004418262</v>
      </c>
      <c r="E10" s="469">
        <f>'Blountstown Network'!E46/(1+'Transmission Formula Rate (7)'!$B$27)</f>
        <v>8836.5243004418262</v>
      </c>
      <c r="F10" s="469">
        <f>'Blountstown Network'!F46/(1+'Transmission Formula Rate (7)'!$B$27)</f>
        <v>8836.5243004418262</v>
      </c>
      <c r="G10" s="469">
        <f>'Blountstown Network'!G46/(1+'Transmission Formula Rate (7)'!$B$27)</f>
        <v>8836.5243004418262</v>
      </c>
      <c r="H10" s="469">
        <f>'Blountstown Network'!H46/(1+'Transmission Formula Rate (7)'!$B$27)</f>
        <v>8836.5243004418262</v>
      </c>
      <c r="I10" s="469">
        <f>'Blountstown Network'!I46/(1+'Transmission Formula Rate (7)'!$B$27)</f>
        <v>8836.5243004418262</v>
      </c>
      <c r="J10" s="469">
        <f>'Blountstown Network'!J46/(1+'Transmission Formula Rate (7)'!$B$27)</f>
        <v>8836.5243004418262</v>
      </c>
      <c r="K10" s="469">
        <f>'Blountstown Network'!K46/(1+'Transmission Formula Rate (7)'!$B$27)</f>
        <v>8836.5243004418262</v>
      </c>
      <c r="L10" s="469">
        <f>'Blountstown Network'!L46/(1+'Transmission Formula Rate (7)'!$B$27)</f>
        <v>8836.5243004418262</v>
      </c>
      <c r="M10" s="469">
        <f>'Blountstown Network'!M46/(1+'Transmission Formula Rate (7)'!$B$27)</f>
        <v>8836.5243004418262</v>
      </c>
      <c r="N10" s="469">
        <f t="shared" ref="N10:N21" si="0">SUM(B10:M10)</f>
        <v>106038.29160530194</v>
      </c>
      <c r="O10" s="470">
        <f t="shared" ref="O10:O22" si="1">AVERAGE(B10:M10)</f>
        <v>8836.524300441828</v>
      </c>
    </row>
    <row r="11" spans="1:15">
      <c r="A11" s="460" t="s">
        <v>382</v>
      </c>
      <c r="B11" s="469">
        <f>'Winter Park Network'!B40/(1+'Transmission Formula Rate (7)'!$B$27)</f>
        <v>58910.162002945508</v>
      </c>
      <c r="C11" s="469">
        <f>'Winter Park Network'!C40/(1+'Transmission Formula Rate (7)'!$B$27)</f>
        <v>58910.162002945508</v>
      </c>
      <c r="D11" s="469">
        <f>'Winter Park Network'!D40/(1+'Transmission Formula Rate (7)'!$B$27)</f>
        <v>58910.162002945508</v>
      </c>
      <c r="E11" s="469">
        <f>'Winter Park Network'!E40/(1+'Transmission Formula Rate (7)'!$B$27)</f>
        <v>58910.162002945508</v>
      </c>
      <c r="F11" s="469">
        <f>'Winter Park Network'!F40/(1+'Transmission Formula Rate (7)'!$B$27)</f>
        <v>58910.162002945508</v>
      </c>
      <c r="G11" s="469">
        <f>'Winter Park Network'!G40/(1+'Transmission Formula Rate (7)'!$B$27)</f>
        <v>58910.162002945508</v>
      </c>
      <c r="H11" s="469">
        <f>'Winter Park Network'!H40/(1+'Transmission Formula Rate (7)'!$B$27)</f>
        <v>58910.162002945508</v>
      </c>
      <c r="I11" s="469">
        <f>'Winter Park Network'!I40/(1+'Transmission Formula Rate (7)'!$B$27)</f>
        <v>58910.162002945508</v>
      </c>
      <c r="J11" s="469">
        <f>'Winter Park Network'!J40/(1+'Transmission Formula Rate (7)'!$B$27)</f>
        <v>58910.162002945508</v>
      </c>
      <c r="K11" s="469">
        <f>'Winter Park Network'!K40/(1+'Transmission Formula Rate (7)'!$B$27)</f>
        <v>58910.162002945508</v>
      </c>
      <c r="L11" s="469">
        <f>'Winter Park Network'!L40/(1+'Transmission Formula Rate (7)'!$B$27)</f>
        <v>58910.162002945508</v>
      </c>
      <c r="M11" s="469">
        <f>'Winter Park Network'!M40/(1+'Transmission Formula Rate (7)'!$B$27)</f>
        <v>58910.162002945508</v>
      </c>
      <c r="N11" s="469">
        <f t="shared" si="0"/>
        <v>706921.94403534615</v>
      </c>
      <c r="O11" s="470">
        <f t="shared" si="1"/>
        <v>58910.162002945515</v>
      </c>
    </row>
    <row r="12" spans="1:15">
      <c r="A12" s="460" t="s">
        <v>383</v>
      </c>
      <c r="B12" s="469">
        <f>'LCEC Network'!B47/(1+'Transmission Formula Rate (7)'!$B$27)</f>
        <v>604666.48356481141</v>
      </c>
      <c r="C12" s="469">
        <f>'LCEC Network'!C47/(1+'Transmission Formula Rate (7)'!$B$27)</f>
        <v>730902.10467019409</v>
      </c>
      <c r="D12" s="469">
        <f>'LCEC Network'!D47/(1+'Transmission Formula Rate (7)'!$B$27)</f>
        <v>656140.91124334896</v>
      </c>
      <c r="E12" s="469">
        <f>'LCEC Network'!E47/(1+'Transmission Formula Rate (7)'!$B$27)</f>
        <v>604586.62104356859</v>
      </c>
      <c r="F12" s="469">
        <f>'LCEC Network'!F47/(1+'Transmission Formula Rate (7)'!$B$27)</f>
        <v>589253.34790319449</v>
      </c>
      <c r="G12" s="469">
        <f>'LCEC Network'!G47/(1+'Transmission Formula Rate (7)'!$B$27)</f>
        <v>683666.29049572954</v>
      </c>
      <c r="H12" s="469">
        <f>'LCEC Network'!H47/(1+'Transmission Formula Rate (7)'!$B$27)</f>
        <v>751936.57299891196</v>
      </c>
      <c r="I12" s="469">
        <f>'LCEC Network'!I47/(1+'Transmission Formula Rate (7)'!$B$27)</f>
        <v>731373.61706429848</v>
      </c>
      <c r="J12" s="469">
        <f>'LCEC Network'!J47/(1+'Transmission Formula Rate (7)'!$B$27)</f>
        <v>764891.8540632379</v>
      </c>
      <c r="K12" s="469">
        <f>'LCEC Network'!K47/(1+'Transmission Formula Rate (7)'!$B$27)</f>
        <v>656848.02736058715</v>
      </c>
      <c r="L12" s="469">
        <f>'LCEC Network'!L47/(1+'Transmission Formula Rate (7)'!$B$27)</f>
        <v>693441.76219116722</v>
      </c>
      <c r="M12" s="469">
        <f>'LCEC Network'!M47/(1+'Transmission Formula Rate (7)'!$B$27)</f>
        <v>570382.42749441648</v>
      </c>
      <c r="N12" s="469">
        <f t="shared" si="0"/>
        <v>8038090.0200934652</v>
      </c>
      <c r="O12" s="470">
        <f t="shared" si="1"/>
        <v>669840.83500778873</v>
      </c>
    </row>
    <row r="13" spans="1:15">
      <c r="A13" s="460" t="s">
        <v>384</v>
      </c>
      <c r="B13" s="469">
        <f>'FKEC Network'!B47/(1+'Transmission Formula Rate (7)'!$B$27)</f>
        <v>109141.76754871321</v>
      </c>
      <c r="C13" s="469">
        <f>'FKEC Network'!C47/(1+'Transmission Formula Rate (7)'!$B$27)</f>
        <v>109331.18631981057</v>
      </c>
      <c r="D13" s="469">
        <f>'FKEC Network'!D47/(1+'Transmission Formula Rate (7)'!$B$27)</f>
        <v>116332.30655689255</v>
      </c>
      <c r="E13" s="469">
        <f>'FKEC Network'!E47/(1+'Transmission Formula Rate (7)'!$B$27)</f>
        <v>110395.92581526309</v>
      </c>
      <c r="F13" s="469">
        <f>'FKEC Network'!F47/(1+'Transmission Formula Rate (7)'!$B$27)</f>
        <v>131100.97674055884</v>
      </c>
      <c r="G13" s="469">
        <f>'FKEC Network'!G47/(1+'Transmission Formula Rate (7)'!$B$27)</f>
        <v>139358.99953087882</v>
      </c>
      <c r="H13" s="469">
        <f>'FKEC Network'!H47/(1+'Transmission Formula Rate (7)'!$B$27)</f>
        <v>143422.03948947214</v>
      </c>
      <c r="I13" s="469">
        <f>'FKEC Network'!I47/(1+'Transmission Formula Rate (7)'!$B$27)</f>
        <v>155362.17910494964</v>
      </c>
      <c r="J13" s="469">
        <f>'FKEC Network'!J47/(1+'Transmission Formula Rate (7)'!$B$27)</f>
        <v>151554.51945123429</v>
      </c>
      <c r="K13" s="469">
        <f>'FKEC Network'!K47/(1+'Transmission Formula Rate (7)'!$B$27)</f>
        <v>139815.40354760288</v>
      </c>
      <c r="L13" s="469">
        <f>'FKEC Network'!L47/(1+'Transmission Formula Rate (7)'!$B$27)</f>
        <v>133674.8765799609</v>
      </c>
      <c r="M13" s="469">
        <f>'FKEC Network'!M47/(1+'Transmission Formula Rate (7)'!$B$27)</f>
        <v>118593.13849608427</v>
      </c>
      <c r="N13" s="469">
        <f t="shared" si="0"/>
        <v>1558083.3191814213</v>
      </c>
      <c r="O13" s="470">
        <f t="shared" si="1"/>
        <v>129840.27659845178</v>
      </c>
    </row>
    <row r="14" spans="1:15">
      <c r="A14" s="460" t="s">
        <v>385</v>
      </c>
      <c r="B14" s="469">
        <f>'Wauchula Network'!B47/(1+'Transmission Formula Rate (7)'!$B$27)</f>
        <v>12763.868433971527</v>
      </c>
      <c r="C14" s="469">
        <f>'Wauchula Network'!C47/(1+'Transmission Formula Rate (7)'!$B$27)</f>
        <v>12763.868433971527</v>
      </c>
      <c r="D14" s="469">
        <f>'Wauchula Network'!D47/(1+'Transmission Formula Rate (7)'!$B$27)</f>
        <v>12763.868433971527</v>
      </c>
      <c r="E14" s="469">
        <f>'Wauchula Network'!E47/(1+'Transmission Formula Rate (7)'!$B$27)</f>
        <v>12763.868433971527</v>
      </c>
      <c r="F14" s="469">
        <f>'Wauchula Network'!F47/(1+'Transmission Formula Rate (7)'!$B$27)</f>
        <v>12763.868433971527</v>
      </c>
      <c r="G14" s="469">
        <f>'Wauchula Network'!G47/(1+'Transmission Formula Rate (7)'!$B$27)</f>
        <v>12763.868433971527</v>
      </c>
      <c r="H14" s="469">
        <f>'Wauchula Network'!H47/(1+'Transmission Formula Rate (7)'!$B$27)</f>
        <v>12763.868433971527</v>
      </c>
      <c r="I14" s="469">
        <f>'Wauchula Network'!I47/(1+'Transmission Formula Rate (7)'!$B$27)</f>
        <v>12763.868433971527</v>
      </c>
      <c r="J14" s="469">
        <f>'Wauchula Network'!J47/(1+'Transmission Formula Rate (7)'!$B$27)</f>
        <v>12763.868433971527</v>
      </c>
      <c r="K14" s="469">
        <f>'Wauchula Network'!K47/(1+'Transmission Formula Rate (7)'!$B$27)</f>
        <v>12763.868433971527</v>
      </c>
      <c r="L14" s="469">
        <f>'Wauchula Network'!L47/(1+'Transmission Formula Rate (7)'!$B$27)</f>
        <v>12763.868433971527</v>
      </c>
      <c r="M14" s="469">
        <f>'Wauchula Network'!M47/(1+'Transmission Formula Rate (7)'!$B$27)</f>
        <v>12763.868433971527</v>
      </c>
      <c r="N14" s="469">
        <f t="shared" si="0"/>
        <v>153166.42120765834</v>
      </c>
      <c r="O14" s="470">
        <f t="shared" si="1"/>
        <v>12763.868433971527</v>
      </c>
    </row>
    <row r="15" spans="1:15">
      <c r="A15" s="460" t="s">
        <v>386</v>
      </c>
      <c r="B15" s="469">
        <f>'Vero Beach Network'!B59</f>
        <v>177000</v>
      </c>
      <c r="C15" s="469">
        <f>'Vero Beach Network'!C59</f>
        <v>154000</v>
      </c>
      <c r="D15" s="469">
        <f>'Vero Beach Network'!D59</f>
        <v>123000</v>
      </c>
      <c r="E15" s="469">
        <f>'Vero Beach Network'!E59</f>
        <v>127000</v>
      </c>
      <c r="F15" s="469">
        <f>'Vero Beach Network'!F59</f>
        <v>140000</v>
      </c>
      <c r="G15" s="469">
        <f>'Vero Beach Network'!G59</f>
        <v>154000</v>
      </c>
      <c r="H15" s="469">
        <f>'Vero Beach Network'!H59</f>
        <v>152000</v>
      </c>
      <c r="I15" s="469">
        <f>'Vero Beach Network'!I59</f>
        <v>164000</v>
      </c>
      <c r="J15" s="469">
        <f>'Vero Beach Network'!J59</f>
        <v>154000</v>
      </c>
      <c r="K15" s="469">
        <f>'Vero Beach Network'!K59</f>
        <v>145000</v>
      </c>
      <c r="L15" s="469">
        <f>'Vero Beach Network'!L59</f>
        <v>124000</v>
      </c>
      <c r="M15" s="469">
        <f>'Vero Beach Network'!M59</f>
        <v>139000</v>
      </c>
      <c r="N15" s="469">
        <f t="shared" si="0"/>
        <v>1753000</v>
      </c>
      <c r="O15" s="470">
        <f t="shared" si="1"/>
        <v>146083.33333333334</v>
      </c>
    </row>
    <row r="16" spans="1:15">
      <c r="A16" s="460" t="s">
        <v>277</v>
      </c>
      <c r="B16" s="469">
        <f>'FMPA Network'!B61</f>
        <v>420200</v>
      </c>
      <c r="C16" s="469">
        <f>'FMPA Network'!C61</f>
        <v>391600</v>
      </c>
      <c r="D16" s="469">
        <f>'FMPA Network'!D61</f>
        <v>342500</v>
      </c>
      <c r="E16" s="469">
        <f>'FMPA Network'!E61</f>
        <v>368000</v>
      </c>
      <c r="F16" s="469">
        <f>'FMPA Network'!F61</f>
        <v>415200</v>
      </c>
      <c r="G16" s="469">
        <f>'FMPA Network'!G61</f>
        <v>451600</v>
      </c>
      <c r="H16" s="469">
        <f>'FMPA Network'!H61</f>
        <v>467200</v>
      </c>
      <c r="I16" s="469">
        <f>'FMPA Network'!I61</f>
        <v>475200.00000000006</v>
      </c>
      <c r="J16" s="469">
        <f>'FMPA Network'!J61</f>
        <v>433500</v>
      </c>
      <c r="K16" s="469">
        <f>'FMPA Network'!K61</f>
        <v>400600</v>
      </c>
      <c r="L16" s="469">
        <f>'FMPA Network'!L61</f>
        <v>358600</v>
      </c>
      <c r="M16" s="469">
        <f>'FMPA Network'!M61</f>
        <v>344200</v>
      </c>
      <c r="N16" s="469">
        <f t="shared" si="0"/>
        <v>4868400</v>
      </c>
      <c r="O16" s="470">
        <f t="shared" si="1"/>
        <v>405700</v>
      </c>
    </row>
    <row r="17" spans="1:15">
      <c r="A17" s="460" t="s">
        <v>387</v>
      </c>
      <c r="B17" s="469">
        <f>'SECI Network'!B61</f>
        <v>521466</v>
      </c>
      <c r="C17" s="469">
        <f>'SECI Network'!C61</f>
        <v>427422</v>
      </c>
      <c r="D17" s="469">
        <f>'SECI Network'!D61</f>
        <v>381260</v>
      </c>
      <c r="E17" s="469">
        <f>'SECI Network'!E61</f>
        <v>360521</v>
      </c>
      <c r="F17" s="469">
        <f>'SECI Network'!F61</f>
        <v>409183</v>
      </c>
      <c r="G17" s="469">
        <f>'SECI Network'!G61</f>
        <v>442770</v>
      </c>
      <c r="H17" s="469">
        <f>'SECI Network'!H61</f>
        <v>439071</v>
      </c>
      <c r="I17" s="469">
        <f>'SECI Network'!I61</f>
        <v>438159</v>
      </c>
      <c r="J17" s="469">
        <f>'SECI Network'!J61</f>
        <v>443170</v>
      </c>
      <c r="K17" s="469">
        <f>'SECI Network'!K61</f>
        <v>384147</v>
      </c>
      <c r="L17" s="469">
        <f>'SECI Network'!L61</f>
        <v>371047</v>
      </c>
      <c r="M17" s="469">
        <f>'SECI Network'!M61</f>
        <v>401928</v>
      </c>
      <c r="N17" s="469">
        <f t="shared" si="0"/>
        <v>5020144</v>
      </c>
      <c r="O17" s="470">
        <f t="shared" si="1"/>
        <v>418345.33333333331</v>
      </c>
    </row>
    <row r="18" spans="1:15">
      <c r="A18" s="460" t="s">
        <v>44</v>
      </c>
      <c r="B18" s="469">
        <f>'Georgia Trans Network'!B53</f>
        <v>18000</v>
      </c>
      <c r="C18" s="469">
        <f>'Georgia Trans Network'!C53</f>
        <v>18000</v>
      </c>
      <c r="D18" s="469">
        <f>'Georgia Trans Network'!D53</f>
        <v>18000</v>
      </c>
      <c r="E18" s="469">
        <f>'Georgia Trans Network'!E53</f>
        <v>18000</v>
      </c>
      <c r="F18" s="469">
        <f>'Georgia Trans Network'!F53</f>
        <v>18000</v>
      </c>
      <c r="G18" s="469">
        <f>'Georgia Trans Network'!G53</f>
        <v>15450</v>
      </c>
      <c r="H18" s="469">
        <f>'Georgia Trans Network'!H53</f>
        <v>15450</v>
      </c>
      <c r="I18" s="469">
        <f>'Georgia Trans Network'!I53</f>
        <v>15450</v>
      </c>
      <c r="J18" s="469">
        <f>'Georgia Trans Network'!J53</f>
        <v>15450</v>
      </c>
      <c r="K18" s="469">
        <f>'Georgia Trans Network'!K53</f>
        <v>18450</v>
      </c>
      <c r="L18" s="469">
        <f>'Georgia Trans Network'!L53</f>
        <v>18450</v>
      </c>
      <c r="M18" s="469">
        <f>'Georgia Trans Network'!M53</f>
        <v>18450</v>
      </c>
      <c r="N18" s="469">
        <f t="shared" si="0"/>
        <v>207150</v>
      </c>
      <c r="O18" s="470">
        <f t="shared" si="1"/>
        <v>17262.5</v>
      </c>
    </row>
    <row r="19" spans="1:15">
      <c r="A19" s="460" t="s">
        <v>388</v>
      </c>
      <c r="B19" s="469">
        <f>'Lake Worth Forecast'!E12</f>
        <v>68926.315071512086</v>
      </c>
      <c r="C19" s="469">
        <f>'Lake Worth Forecast'!F12</f>
        <v>67308.563800946999</v>
      </c>
      <c r="D19" s="469">
        <f>'Lake Worth Forecast'!G12</f>
        <v>70321.625542374401</v>
      </c>
      <c r="E19" s="469">
        <f>'Lake Worth Forecast'!H12</f>
        <v>73587.460919827601</v>
      </c>
      <c r="F19" s="469">
        <f>'Lake Worth Forecast'!I12</f>
        <v>82333.428726319893</v>
      </c>
      <c r="G19" s="469">
        <f>'Lake Worth Forecast'!J12</f>
        <v>86478.916357142822</v>
      </c>
      <c r="H19" s="469">
        <f>'Lake Worth Forecast'!K12</f>
        <v>89926.748752534579</v>
      </c>
      <c r="I19" s="469">
        <f>'Lake Worth Forecast'!L12</f>
        <v>90452.517915468212</v>
      </c>
      <c r="J19" s="469">
        <f>'Lake Worth Forecast'!M12</f>
        <v>87318.124828748434</v>
      </c>
      <c r="K19" s="469">
        <f>'Lake Worth Forecast'!N12</f>
        <v>81969.434690442737</v>
      </c>
      <c r="L19" s="469">
        <f>'Lake Worth Forecast'!O12</f>
        <v>73102.135538658069</v>
      </c>
      <c r="M19" s="469">
        <f>'Lake Worth Forecast'!P12</f>
        <v>69401.529507240542</v>
      </c>
      <c r="N19" s="469">
        <f t="shared" si="0"/>
        <v>941126.80165121634</v>
      </c>
      <c r="O19" s="470">
        <f t="shared" si="1"/>
        <v>78427.233470934691</v>
      </c>
    </row>
    <row r="20" spans="1:15">
      <c r="A20" s="460" t="s">
        <v>111</v>
      </c>
      <c r="B20" s="469">
        <f>'Homestead Network Transmission'!B52/(1+'Transmission Formula Rate (7)'!$B$27)</f>
        <v>17673.048600883652</v>
      </c>
      <c r="C20" s="469">
        <f>'Homestead Network Transmission'!C52/(1+'Transmission Formula Rate (7)'!$B$27)</f>
        <v>5891.0162002945508</v>
      </c>
      <c r="D20" s="469">
        <f>'Homestead Network Transmission'!D52/(1+'Transmission Formula Rate (7)'!$B$27)</f>
        <v>0</v>
      </c>
      <c r="E20" s="469">
        <f>'Homestead Network Transmission'!E52/(1+'Transmission Formula Rate (7)'!$B$27)</f>
        <v>2945.5081001472754</v>
      </c>
      <c r="F20" s="469">
        <f>'Homestead Network Transmission'!F52/(1+'Transmission Formula Rate (7)'!$B$27)</f>
        <v>11782.032400589102</v>
      </c>
      <c r="G20" s="469">
        <f>'Homestead Network Transmission'!G52/(1+'Transmission Formula Rate (7)'!$B$27)</f>
        <v>19636.720667648504</v>
      </c>
      <c r="H20" s="469">
        <f>'Homestead Network Transmission'!H52/(1+'Transmission Formula Rate (7)'!$B$27)</f>
        <v>24545.900834560631</v>
      </c>
      <c r="I20" s="469">
        <f>'Homestead Network Transmission'!I52/(1+'Transmission Formula Rate (7)'!$B$27)</f>
        <v>17673.048600883652</v>
      </c>
      <c r="J20" s="469">
        <f>'Homestead Network Transmission'!J52/(1+'Transmission Formula Rate (7)'!$B$27)</f>
        <v>20618.556701030928</v>
      </c>
      <c r="K20" s="469">
        <f>'Homestead Network Transmission'!K52/(1+'Transmission Formula Rate (7)'!$B$27)</f>
        <v>7854.6882670594014</v>
      </c>
      <c r="L20" s="469">
        <f>'Homestead Network Transmission'!L52/(1+'Transmission Formula Rate (7)'!$B$27)</f>
        <v>0</v>
      </c>
      <c r="M20" s="469">
        <f>'Homestead Network Transmission'!M52/(1+'Transmission Formula Rate (7)'!$B$27)</f>
        <v>0</v>
      </c>
      <c r="N20" s="469">
        <f>'Homestead Network Transmission'!N52/(1+'Transmission Formula Rate (7)'!$B$27)</f>
        <v>128620.52037309769</v>
      </c>
      <c r="O20" s="470">
        <f t="shared" si="1"/>
        <v>10718.376697758142</v>
      </c>
    </row>
    <row r="21" spans="1:15">
      <c r="A21" s="460" t="s">
        <v>393</v>
      </c>
      <c r="B21" s="469">
        <f>'New Smyrna Network'!B52/(1+'Transmission Formula Rate (7)'!$B$27)</f>
        <v>19636.720667648504</v>
      </c>
      <c r="C21" s="469">
        <f>'New Smyrna Network'!C52/(1+'Transmission Formula Rate (7)'!$B$27)</f>
        <v>39273.441335297008</v>
      </c>
      <c r="D21" s="469">
        <f>'New Smyrna Network'!D52/(1+'Transmission Formula Rate (7)'!$B$27)</f>
        <v>39273.441335297008</v>
      </c>
      <c r="E21" s="469">
        <f>'New Smyrna Network'!E52/(1+'Transmission Formula Rate (7)'!$B$27)</f>
        <v>24545.900834560631</v>
      </c>
      <c r="F21" s="469">
        <f>'New Smyrna Network'!F52/(1+'Transmission Formula Rate (7)'!$B$27)</f>
        <v>19636.720667648504</v>
      </c>
      <c r="G21" s="469">
        <f>'New Smyrna Network'!G52/(1+'Transmission Formula Rate (7)'!$B$27)</f>
        <v>29455.081001472754</v>
      </c>
      <c r="H21" s="469">
        <f>'New Smyrna Network'!H52/(1+'Transmission Formula Rate (7)'!$B$27)</f>
        <v>39273.441335297008</v>
      </c>
      <c r="I21" s="469">
        <f>'New Smyrna Network'!I52/(1+'Transmission Formula Rate (7)'!$B$27)</f>
        <v>44182.621502209135</v>
      </c>
      <c r="J21" s="469">
        <f>'New Smyrna Network'!J52/(1+'Transmission Formula Rate (7)'!$B$27)</f>
        <v>44182.621502209135</v>
      </c>
      <c r="K21" s="469">
        <f>'New Smyrna Network'!K52/(1+'Transmission Formula Rate (7)'!$B$27)</f>
        <v>34364.261168384881</v>
      </c>
      <c r="L21" s="469">
        <f>'New Smyrna Network'!L52/(1+'Transmission Formula Rate (7)'!$B$27)</f>
        <v>24545.900834560631</v>
      </c>
      <c r="M21" s="469">
        <f>'New Smyrna Network'!M52/(1+'Transmission Formula Rate (7)'!$B$27)</f>
        <v>19636.720667648504</v>
      </c>
      <c r="N21" s="469">
        <f t="shared" si="0"/>
        <v>378006.87285223365</v>
      </c>
      <c r="O21" s="470">
        <f t="shared" si="1"/>
        <v>31500.572737686136</v>
      </c>
    </row>
    <row r="22" spans="1:15">
      <c r="A22" s="460" t="s">
        <v>435</v>
      </c>
      <c r="B22" s="469">
        <f>'Quincy Transmission'!B39/(1+'Transmission Formula Rate (7)'!$B$27)</f>
        <v>18654.88463426608</v>
      </c>
      <c r="C22" s="469">
        <f>'Quincy Transmission'!C39/(1+'Transmission Formula Rate (7)'!$B$27)</f>
        <v>23342.474226804126</v>
      </c>
      <c r="D22" s="469">
        <f>'Quincy Transmission'!D39/(1+'Transmission Formula Rate (7)'!$B$27)</f>
        <v>21369.366715758471</v>
      </c>
      <c r="E22" s="469">
        <f>'Quincy Transmission'!E39/(1+'Transmission Formula Rate (7)'!$B$27)</f>
        <v>19162.444771723123</v>
      </c>
      <c r="F22" s="469">
        <f>'Quincy Transmission'!F39/(1+'Transmission Formula Rate (7)'!$B$27)</f>
        <v>22637.054491899853</v>
      </c>
      <c r="G22" s="469">
        <f>'Quincy Transmission'!G39/(1+'Transmission Formula Rate (7)'!$B$27)</f>
        <v>27179.73490427099</v>
      </c>
      <c r="H22" s="469">
        <f>'Quincy Transmission'!H39/(1+'Transmission Formula Rate (7)'!$B$27)</f>
        <v>26867.982326951402</v>
      </c>
      <c r="I22" s="469">
        <f>'Quincy Transmission'!I39/(1+'Transmission Formula Rate (7)'!$B$27)</f>
        <v>18654.88463426608</v>
      </c>
      <c r="J22" s="469">
        <f>'Quincy Transmission'!J39/(1+'Transmission Formula Rate (7)'!$B$27)</f>
        <v>24822.503681885126</v>
      </c>
      <c r="K22" s="469">
        <f>'Quincy Transmission'!K39/(1+'Transmission Formula Rate (7)'!$B$27)</f>
        <v>21870.397643593522</v>
      </c>
      <c r="L22" s="469">
        <f>'Quincy Transmission'!L39/(1+'Transmission Formula Rate (7)'!$B$27)</f>
        <v>25166.863033873346</v>
      </c>
      <c r="M22" s="469">
        <f>'Quincy Transmission'!M39/(1+'Transmission Formula Rate (7)'!$B$27)</f>
        <v>22615.581737849781</v>
      </c>
      <c r="N22" s="469">
        <f>'Quincy Transmission'!N39/(1+'Transmission Formula Rate (7)'!$B$27)</f>
        <v>272344.17280314193</v>
      </c>
      <c r="O22" s="470">
        <f t="shared" si="1"/>
        <v>22695.347733595161</v>
      </c>
    </row>
    <row r="23" spans="1:15">
      <c r="A23" s="471" t="s">
        <v>389</v>
      </c>
      <c r="B23" s="472">
        <f>SUM(B10:B22)</f>
        <v>2055875.7748251939</v>
      </c>
      <c r="C23" s="472">
        <f t="shared" ref="C23:N23" si="2">SUM(C10:C22)</f>
        <v>2047581.3412907063</v>
      </c>
      <c r="D23" s="472">
        <f t="shared" si="2"/>
        <v>1848708.2061310301</v>
      </c>
      <c r="E23" s="472">
        <f t="shared" si="2"/>
        <v>1789255.4162224494</v>
      </c>
      <c r="F23" s="472">
        <f t="shared" si="2"/>
        <v>1919637.1156675699</v>
      </c>
      <c r="G23" s="472">
        <f t="shared" si="2"/>
        <v>2130106.2976945024</v>
      </c>
      <c r="H23" s="472">
        <f t="shared" si="2"/>
        <v>2230204.240475087</v>
      </c>
      <c r="I23" s="472">
        <f t="shared" si="2"/>
        <v>2231018.4235594338</v>
      </c>
      <c r="J23" s="472">
        <f t="shared" si="2"/>
        <v>2220018.7349657044</v>
      </c>
      <c r="K23" s="472">
        <f t="shared" si="2"/>
        <v>1971429.7674150295</v>
      </c>
      <c r="L23" s="472">
        <f t="shared" si="2"/>
        <v>1902539.092915579</v>
      </c>
      <c r="M23" s="472">
        <f t="shared" si="2"/>
        <v>1784717.9526405986</v>
      </c>
      <c r="N23" s="472">
        <f t="shared" si="2"/>
        <v>24131092.363802884</v>
      </c>
      <c r="O23" s="473">
        <f>SUM(O10:O22)</f>
        <v>2010924.36365024</v>
      </c>
    </row>
    <row r="24" spans="1:15">
      <c r="O24" s="468"/>
    </row>
    <row r="25" spans="1:15">
      <c r="A25" s="467" t="s">
        <v>390</v>
      </c>
      <c r="O25" s="468"/>
    </row>
    <row r="26" spans="1:15">
      <c r="A26" s="460" t="s">
        <v>23</v>
      </c>
      <c r="B26" s="469">
        <f>'TSAS Demand Revenues (7)'!B156</f>
        <v>37056</v>
      </c>
      <c r="C26" s="469">
        <f>'TSAS Demand Revenues (7)'!C156</f>
        <v>37056</v>
      </c>
      <c r="D26" s="469">
        <f>'TSAS Demand Revenues (7)'!D156</f>
        <v>37056</v>
      </c>
      <c r="E26" s="469">
        <f>'TSAS Demand Revenues (7)'!E156</f>
        <v>37056</v>
      </c>
      <c r="F26" s="469">
        <f>'TSAS Demand Revenues (7)'!F156</f>
        <v>37056</v>
      </c>
      <c r="G26" s="469">
        <f>'TSAS Demand Revenues (7)'!G156</f>
        <v>37056</v>
      </c>
      <c r="H26" s="469">
        <f>'TSAS Demand Revenues (7)'!H156</f>
        <v>37056</v>
      </c>
      <c r="I26" s="469">
        <f>'TSAS Demand Revenues (7)'!I156</f>
        <v>37056</v>
      </c>
      <c r="J26" s="469">
        <f>'TSAS Demand Revenues (7)'!J156</f>
        <v>37056</v>
      </c>
      <c r="K26" s="469">
        <f>'TSAS Demand Revenues (7)'!K156</f>
        <v>37056</v>
      </c>
      <c r="L26" s="469">
        <f>'TSAS Demand Revenues (7)'!L156</f>
        <v>37056</v>
      </c>
      <c r="M26" s="469">
        <f>'TSAS Demand Revenues (7)'!M156</f>
        <v>37056</v>
      </c>
      <c r="N26" s="480">
        <f>SUM(B26:M26)</f>
        <v>444672</v>
      </c>
      <c r="O26" s="470">
        <f t="shared" ref="O26:O30" si="3">AVERAGE(B26:M26)</f>
        <v>37056</v>
      </c>
    </row>
    <row r="27" spans="1:15">
      <c r="A27" s="460" t="s">
        <v>24</v>
      </c>
      <c r="B27" s="469">
        <f>'TSAS Demand Revenues (7)'!B161</f>
        <v>62000</v>
      </c>
      <c r="C27" s="469">
        <f>'TSAS Demand Revenues (7)'!C161</f>
        <v>62000</v>
      </c>
      <c r="D27" s="469">
        <f>'TSAS Demand Revenues (7)'!D161</f>
        <v>62000</v>
      </c>
      <c r="E27" s="469">
        <f>'TSAS Demand Revenues (7)'!E161</f>
        <v>62000</v>
      </c>
      <c r="F27" s="469">
        <f>'TSAS Demand Revenues (7)'!F161</f>
        <v>62000</v>
      </c>
      <c r="G27" s="469">
        <f>'TSAS Demand Revenues (7)'!G161</f>
        <v>62000</v>
      </c>
      <c r="H27" s="469">
        <f>'TSAS Demand Revenues (7)'!H161</f>
        <v>62000</v>
      </c>
      <c r="I27" s="469">
        <f>'TSAS Demand Revenues (7)'!I161</f>
        <v>62000</v>
      </c>
      <c r="J27" s="469">
        <f>'TSAS Demand Revenues (7)'!J161</f>
        <v>62000</v>
      </c>
      <c r="K27" s="469">
        <f>'TSAS Demand Revenues (7)'!K161</f>
        <v>62000</v>
      </c>
      <c r="L27" s="469">
        <f>'TSAS Demand Revenues (7)'!L161</f>
        <v>62000</v>
      </c>
      <c r="M27" s="469">
        <f>'TSAS Demand Revenues (7)'!M161</f>
        <v>62000</v>
      </c>
      <c r="N27" s="480">
        <f t="shared" ref="N27:N30" si="4">SUM(B27:M27)</f>
        <v>744000</v>
      </c>
      <c r="O27" s="470">
        <f t="shared" si="3"/>
        <v>62000</v>
      </c>
    </row>
    <row r="28" spans="1:15">
      <c r="A28" s="460" t="s">
        <v>111</v>
      </c>
      <c r="B28" s="469">
        <f>'TSAS Demand Revenues (7)'!B166</f>
        <v>40000</v>
      </c>
      <c r="C28" s="469">
        <f>'TSAS Demand Revenues (7)'!C166</f>
        <v>40000</v>
      </c>
      <c r="D28" s="469">
        <f>'TSAS Demand Revenues (7)'!D166</f>
        <v>40000</v>
      </c>
      <c r="E28" s="469">
        <f>'TSAS Demand Revenues (7)'!E166</f>
        <v>40000</v>
      </c>
      <c r="F28" s="469">
        <f>'TSAS Demand Revenues (7)'!F166</f>
        <v>40000</v>
      </c>
      <c r="G28" s="469">
        <f>'TSAS Demand Revenues (7)'!G166</f>
        <v>40000</v>
      </c>
      <c r="H28" s="469">
        <f>'TSAS Demand Revenues (7)'!H166</f>
        <v>40000</v>
      </c>
      <c r="I28" s="469">
        <f>'TSAS Demand Revenues (7)'!I166</f>
        <v>40000</v>
      </c>
      <c r="J28" s="469">
        <f>'TSAS Demand Revenues (7)'!J166</f>
        <v>40000</v>
      </c>
      <c r="K28" s="469">
        <f>'TSAS Demand Revenues (7)'!K166</f>
        <v>40000</v>
      </c>
      <c r="L28" s="469">
        <f>'TSAS Demand Revenues (7)'!L166</f>
        <v>40000</v>
      </c>
      <c r="M28" s="469">
        <f>'TSAS Demand Revenues (7)'!M166</f>
        <v>40000</v>
      </c>
      <c r="N28" s="480">
        <f t="shared" si="4"/>
        <v>480000</v>
      </c>
      <c r="O28" s="470">
        <f t="shared" si="3"/>
        <v>40000</v>
      </c>
    </row>
    <row r="29" spans="1:15">
      <c r="A29" s="460" t="s">
        <v>222</v>
      </c>
      <c r="B29" s="469">
        <f>'TSAS Demand Revenues (7)'!B171</f>
        <v>4000</v>
      </c>
      <c r="C29" s="469">
        <f>'TSAS Demand Revenues (7)'!C171</f>
        <v>4000</v>
      </c>
      <c r="D29" s="469">
        <f>'TSAS Demand Revenues (7)'!D171</f>
        <v>4000</v>
      </c>
      <c r="E29" s="469">
        <f>'TSAS Demand Revenues (7)'!E171</f>
        <v>4000</v>
      </c>
      <c r="F29" s="469">
        <f>'TSAS Demand Revenues (7)'!F171</f>
        <v>4000</v>
      </c>
      <c r="G29" s="469">
        <f>'TSAS Demand Revenues (7)'!G171</f>
        <v>4000</v>
      </c>
      <c r="H29" s="469">
        <f>'TSAS Demand Revenues (7)'!H171</f>
        <v>4000</v>
      </c>
      <c r="I29" s="469">
        <f>'TSAS Demand Revenues (7)'!I171</f>
        <v>4000</v>
      </c>
      <c r="J29" s="469">
        <f>'TSAS Demand Revenues (7)'!J171</f>
        <v>4000</v>
      </c>
      <c r="K29" s="469">
        <f>'TSAS Demand Revenues (7)'!K171</f>
        <v>4000</v>
      </c>
      <c r="L29" s="469">
        <f>'TSAS Demand Revenues (7)'!L171</f>
        <v>3000</v>
      </c>
      <c r="M29" s="469">
        <f>'TSAS Demand Revenues (7)'!M171</f>
        <v>3000</v>
      </c>
      <c r="N29" s="480">
        <f t="shared" si="4"/>
        <v>46000</v>
      </c>
      <c r="O29" s="470">
        <f t="shared" si="3"/>
        <v>3833.3333333333335</v>
      </c>
    </row>
    <row r="30" spans="1:15">
      <c r="A30" s="460" t="s">
        <v>112</v>
      </c>
      <c r="B30" s="469">
        <f>'TSAS Demand Revenues (7)'!B186</f>
        <v>150000</v>
      </c>
      <c r="C30" s="469">
        <f>'TSAS Demand Revenues (7)'!C186</f>
        <v>150000</v>
      </c>
      <c r="D30" s="469">
        <f>'TSAS Demand Revenues (7)'!D186</f>
        <v>150000</v>
      </c>
      <c r="E30" s="469">
        <f>'TSAS Demand Revenues (7)'!E186</f>
        <v>150000</v>
      </c>
      <c r="F30" s="469">
        <f>'TSAS Demand Revenues (7)'!F186</f>
        <v>150000</v>
      </c>
      <c r="G30" s="469">
        <f>'TSAS Demand Revenues (7)'!G186</f>
        <v>150000</v>
      </c>
      <c r="H30" s="469">
        <f>'TSAS Demand Revenues (7)'!H186</f>
        <v>150000</v>
      </c>
      <c r="I30" s="469">
        <f>'TSAS Demand Revenues (7)'!I186</f>
        <v>150000</v>
      </c>
      <c r="J30" s="469">
        <f>'TSAS Demand Revenues (7)'!J186</f>
        <v>150000</v>
      </c>
      <c r="K30" s="469">
        <f>'TSAS Demand Revenues (7)'!K186</f>
        <v>150000</v>
      </c>
      <c r="L30" s="469">
        <f>'TSAS Demand Revenues (7)'!L186</f>
        <v>150000</v>
      </c>
      <c r="M30" s="469">
        <f>'TSAS Demand Revenues (7)'!M186</f>
        <v>150000</v>
      </c>
      <c r="N30" s="480">
        <f t="shared" si="4"/>
        <v>1800000</v>
      </c>
      <c r="O30" s="470">
        <f t="shared" si="3"/>
        <v>150000</v>
      </c>
    </row>
    <row r="31" spans="1:15">
      <c r="A31" s="460" t="s">
        <v>395</v>
      </c>
      <c r="B31" s="469">
        <f>'TSAS Demand Revenues (7)'!B196</f>
        <v>160000</v>
      </c>
      <c r="C31" s="469">
        <f>'TSAS Demand Revenues (7)'!C196</f>
        <v>160000</v>
      </c>
      <c r="D31" s="469">
        <f>'TSAS Demand Revenues (7)'!D196</f>
        <v>0</v>
      </c>
      <c r="E31" s="469">
        <f>'TSAS Demand Revenues (7)'!E196</f>
        <v>0</v>
      </c>
      <c r="F31" s="469">
        <f>'TSAS Demand Revenues (7)'!F196</f>
        <v>0</v>
      </c>
      <c r="G31" s="469">
        <f>'TSAS Demand Revenues (7)'!G196</f>
        <v>0</v>
      </c>
      <c r="H31" s="469">
        <f>'TSAS Demand Revenues (7)'!H196</f>
        <v>0</v>
      </c>
      <c r="I31" s="469">
        <f>'TSAS Demand Revenues (7)'!I196</f>
        <v>0</v>
      </c>
      <c r="J31" s="469">
        <f>'TSAS Demand Revenues (7)'!J196</f>
        <v>0</v>
      </c>
      <c r="K31" s="469">
        <f>'TSAS Demand Revenues (7)'!K196</f>
        <v>0</v>
      </c>
      <c r="L31" s="469">
        <f>'TSAS Demand Revenues (7)'!L196</f>
        <v>0</v>
      </c>
      <c r="M31" s="469">
        <f>'TSAS Demand Revenues (7)'!M196</f>
        <v>0</v>
      </c>
      <c r="N31" s="480">
        <f t="shared" ref="N31:N32" si="5">SUM(B31:M31)</f>
        <v>320000</v>
      </c>
      <c r="O31" s="470">
        <f t="shared" ref="O31:O32" si="6">AVERAGE(B31:M31)</f>
        <v>26666.666666666668</v>
      </c>
    </row>
    <row r="32" spans="1:15">
      <c r="A32" s="460" t="s">
        <v>391</v>
      </c>
      <c r="B32" s="469">
        <f>'TSAS Demand Revenues (7)'!B141</f>
        <v>5000</v>
      </c>
      <c r="C32" s="469">
        <f>'TSAS Demand Revenues (7)'!C141</f>
        <v>5000</v>
      </c>
      <c r="D32" s="469">
        <f>'TSAS Demand Revenues (7)'!D141</f>
        <v>5000</v>
      </c>
      <c r="E32" s="469">
        <f>'TSAS Demand Revenues (7)'!E141</f>
        <v>5000</v>
      </c>
      <c r="F32" s="469">
        <f>'TSAS Demand Revenues (7)'!F141</f>
        <v>5000</v>
      </c>
      <c r="G32" s="469">
        <f>'TSAS Demand Revenues (7)'!G141</f>
        <v>5000</v>
      </c>
      <c r="H32" s="469">
        <f>'TSAS Demand Revenues (7)'!H141</f>
        <v>5000</v>
      </c>
      <c r="I32" s="469">
        <f>'TSAS Demand Revenues (7)'!I141</f>
        <v>5000</v>
      </c>
      <c r="J32" s="469">
        <f>'TSAS Demand Revenues (7)'!J141</f>
        <v>5000</v>
      </c>
      <c r="K32" s="469">
        <f>'TSAS Demand Revenues (7)'!K141</f>
        <v>5000</v>
      </c>
      <c r="L32" s="469">
        <f>'TSAS Demand Revenues (7)'!L141</f>
        <v>5000</v>
      </c>
      <c r="M32" s="469">
        <f>'TSAS Demand Revenues (7)'!M141</f>
        <v>5000</v>
      </c>
      <c r="N32" s="480">
        <f t="shared" si="5"/>
        <v>60000</v>
      </c>
      <c r="O32" s="470">
        <f t="shared" si="6"/>
        <v>5000</v>
      </c>
    </row>
    <row r="33" spans="1:15">
      <c r="A33" s="471" t="s">
        <v>392</v>
      </c>
      <c r="B33" s="472">
        <f t="shared" ref="B33:O33" si="7">SUM(B26:B32)</f>
        <v>458056</v>
      </c>
      <c r="C33" s="472">
        <f t="shared" si="7"/>
        <v>458056</v>
      </c>
      <c r="D33" s="472">
        <f t="shared" si="7"/>
        <v>298056</v>
      </c>
      <c r="E33" s="472">
        <f t="shared" si="7"/>
        <v>298056</v>
      </c>
      <c r="F33" s="472">
        <f t="shared" si="7"/>
        <v>298056</v>
      </c>
      <c r="G33" s="472">
        <f t="shared" si="7"/>
        <v>298056</v>
      </c>
      <c r="H33" s="472">
        <f t="shared" si="7"/>
        <v>298056</v>
      </c>
      <c r="I33" s="472">
        <f t="shared" si="7"/>
        <v>298056</v>
      </c>
      <c r="J33" s="472">
        <f t="shared" si="7"/>
        <v>298056</v>
      </c>
      <c r="K33" s="472">
        <f t="shared" si="7"/>
        <v>298056</v>
      </c>
      <c r="L33" s="472">
        <f t="shared" si="7"/>
        <v>297056</v>
      </c>
      <c r="M33" s="472">
        <f t="shared" si="7"/>
        <v>297056</v>
      </c>
      <c r="N33" s="472">
        <f t="shared" si="7"/>
        <v>3894672</v>
      </c>
      <c r="O33" s="473">
        <f t="shared" si="7"/>
        <v>324556.00000000006</v>
      </c>
    </row>
    <row r="34" spans="1:15">
      <c r="O34" s="468"/>
    </row>
    <row r="35" spans="1:15">
      <c r="O35" s="468"/>
    </row>
    <row r="36" spans="1:15" ht="13.8" thickBot="1">
      <c r="A36" s="471" t="s">
        <v>394</v>
      </c>
      <c r="B36" s="474">
        <f t="shared" ref="B36:O36" si="8">+B23+B33</f>
        <v>2513931.7748251939</v>
      </c>
      <c r="C36" s="474">
        <f t="shared" si="8"/>
        <v>2505637.3412907063</v>
      </c>
      <c r="D36" s="474">
        <f t="shared" si="8"/>
        <v>2146764.2061310299</v>
      </c>
      <c r="E36" s="474">
        <f t="shared" si="8"/>
        <v>2087311.4162224494</v>
      </c>
      <c r="F36" s="474">
        <f t="shared" si="8"/>
        <v>2217693.1156675699</v>
      </c>
      <c r="G36" s="474">
        <f t="shared" si="8"/>
        <v>2428162.2976945024</v>
      </c>
      <c r="H36" s="474">
        <f t="shared" si="8"/>
        <v>2528260.240475087</v>
      </c>
      <c r="I36" s="474">
        <f t="shared" si="8"/>
        <v>2529074.4235594338</v>
      </c>
      <c r="J36" s="474">
        <f t="shared" si="8"/>
        <v>2518074.7349657044</v>
      </c>
      <c r="K36" s="474">
        <f t="shared" si="8"/>
        <v>2269485.7674150295</v>
      </c>
      <c r="L36" s="474">
        <f t="shared" si="8"/>
        <v>2199595.0929155787</v>
      </c>
      <c r="M36" s="474">
        <f t="shared" si="8"/>
        <v>2081773.9526405986</v>
      </c>
      <c r="N36" s="474">
        <f t="shared" si="8"/>
        <v>28025764.363802884</v>
      </c>
      <c r="O36" s="475">
        <f t="shared" si="8"/>
        <v>2335480.36365024</v>
      </c>
    </row>
    <row r="37" spans="1:15" ht="14.4" thickTop="1" thickBot="1">
      <c r="O37" s="476"/>
    </row>
  </sheetData>
  <mergeCells count="2">
    <mergeCell ref="A3:O3"/>
    <mergeCell ref="A4:O4"/>
  </mergeCells>
  <pageMargins left="0.7" right="0.7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14"/>
  <sheetViews>
    <sheetView zoomScaleNormal="100" workbookViewId="0">
      <selection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477</v>
      </c>
    </row>
    <row r="2" spans="1:16" s="15" customFormat="1" ht="13.8">
      <c r="A2" s="481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5" customFormat="1" ht="13.8">
      <c r="A3" s="244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5" t="s">
        <v>430</v>
      </c>
      <c r="B4" s="14"/>
      <c r="C4" s="14"/>
      <c r="D4" s="14"/>
      <c r="G4" s="14"/>
      <c r="H4" s="14"/>
      <c r="I4" s="14"/>
      <c r="J4" s="14"/>
      <c r="K4" s="14"/>
      <c r="L4" s="14"/>
      <c r="M4" s="14"/>
      <c r="O4" s="14"/>
      <c r="P4" s="14"/>
    </row>
    <row r="5" spans="1:16" s="15" customFormat="1" ht="13.8">
      <c r="A5" s="246"/>
      <c r="B5" s="238">
        <v>1</v>
      </c>
      <c r="C5" s="238">
        <f>1+B5</f>
        <v>2</v>
      </c>
      <c r="D5" s="238">
        <f t="shared" ref="D5:M5" si="0">1+C5</f>
        <v>3</v>
      </c>
      <c r="E5" s="238">
        <f t="shared" si="0"/>
        <v>4</v>
      </c>
      <c r="F5" s="238">
        <f t="shared" si="0"/>
        <v>5</v>
      </c>
      <c r="G5" s="238">
        <f t="shared" si="0"/>
        <v>6</v>
      </c>
      <c r="H5" s="238">
        <f t="shared" si="0"/>
        <v>7</v>
      </c>
      <c r="I5" s="238">
        <f t="shared" si="0"/>
        <v>8</v>
      </c>
      <c r="J5" s="238">
        <f t="shared" si="0"/>
        <v>9</v>
      </c>
      <c r="K5" s="238">
        <f t="shared" si="0"/>
        <v>10</v>
      </c>
      <c r="L5" s="238">
        <f t="shared" si="0"/>
        <v>11</v>
      </c>
      <c r="M5" s="238">
        <f t="shared" si="0"/>
        <v>12</v>
      </c>
    </row>
    <row r="6" spans="1:16" s="19" customFormat="1" ht="10.199999999999999">
      <c r="A6" s="246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</row>
    <row r="7" spans="1:16" s="19" customFormat="1" ht="10.199999999999999">
      <c r="A7" s="247"/>
    </row>
    <row r="8" spans="1:16" s="19" customFormat="1" ht="10.199999999999999">
      <c r="A8" s="24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6">
      <c r="B9" s="23" t="s">
        <v>0</v>
      </c>
      <c r="C9" s="23" t="s">
        <v>1</v>
      </c>
      <c r="D9" s="23" t="s">
        <v>2</v>
      </c>
      <c r="E9" s="23" t="s">
        <v>3</v>
      </c>
      <c r="F9" s="23" t="s">
        <v>4</v>
      </c>
      <c r="G9" s="23" t="s">
        <v>5</v>
      </c>
      <c r="H9" s="23" t="s">
        <v>6</v>
      </c>
      <c r="I9" s="23" t="s">
        <v>7</v>
      </c>
      <c r="J9" s="23" t="s">
        <v>8</v>
      </c>
      <c r="K9" s="23" t="s">
        <v>9</v>
      </c>
      <c r="L9" s="23" t="s">
        <v>10</v>
      </c>
      <c r="M9" s="23" t="s">
        <v>11</v>
      </c>
      <c r="N9" s="23" t="s">
        <v>12</v>
      </c>
    </row>
    <row r="10" spans="1:16">
      <c r="A10" s="248">
        <v>2014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6">
      <c r="A11" s="247" t="s">
        <v>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6">
      <c r="A12" s="249" t="s">
        <v>47</v>
      </c>
      <c r="B12" s="232">
        <f>'Quincy Forecast'!E10</f>
        <v>0</v>
      </c>
      <c r="C12" s="232">
        <f>'Quincy Forecast'!F10</f>
        <v>0</v>
      </c>
      <c r="D12" s="232">
        <f>'Quincy Forecast'!G10</f>
        <v>0</v>
      </c>
      <c r="E12" s="232">
        <f>'Quincy Forecast'!H10</f>
        <v>0</v>
      </c>
      <c r="F12" s="232">
        <f>'Quincy Forecast'!I10</f>
        <v>0</v>
      </c>
      <c r="G12" s="232">
        <f>'Quincy Forecast'!J10</f>
        <v>0</v>
      </c>
      <c r="H12" s="232">
        <f>'Quincy Forecast'!K10</f>
        <v>0</v>
      </c>
      <c r="I12" s="232">
        <f>'Quincy Forecast'!L10</f>
        <v>0</v>
      </c>
      <c r="J12" s="232">
        <f>'Quincy Forecast'!M10</f>
        <v>0</v>
      </c>
      <c r="K12" s="232">
        <f>'Quincy Forecast'!N10</f>
        <v>0</v>
      </c>
      <c r="L12" s="232">
        <f>'Quincy Forecast'!O10</f>
        <v>0</v>
      </c>
      <c r="M12" s="232">
        <f>'Quincy Forecast'!P10</f>
        <v>0</v>
      </c>
      <c r="N12" s="20">
        <f>SUM(B12:M12)</f>
        <v>0</v>
      </c>
    </row>
    <row r="13" spans="1:16">
      <c r="A13" s="249" t="s">
        <v>45</v>
      </c>
      <c r="B13" s="27">
        <f>ROUND(B12*'Transmission Formula Rate (7)'!$B$27,0)</f>
        <v>0</v>
      </c>
      <c r="C13" s="27">
        <f>ROUND(C12*'Transmission Formula Rate (7)'!$B$27,0)</f>
        <v>0</v>
      </c>
      <c r="D13" s="27">
        <f>ROUND(D12*'Transmission Formula Rate (7)'!$B$27,0)</f>
        <v>0</v>
      </c>
      <c r="E13" s="27">
        <f>ROUND(E12*'Transmission Formula Rate (7)'!$B$27,0)</f>
        <v>0</v>
      </c>
      <c r="F13" s="27">
        <f>ROUND(F12*'Transmission Formula Rate (7)'!$B$27,0)</f>
        <v>0</v>
      </c>
      <c r="G13" s="27">
        <f>ROUND(G12*'Transmission Formula Rate (7)'!$B$27,0)</f>
        <v>0</v>
      </c>
      <c r="H13" s="27">
        <f>ROUND(H12*'Transmission Formula Rate (7)'!$B$27,0)</f>
        <v>0</v>
      </c>
      <c r="I13" s="27">
        <f>ROUND(I12*'Transmission Formula Rate (7)'!$B$27,0)</f>
        <v>0</v>
      </c>
      <c r="J13" s="27">
        <f>ROUND(J12*'Transmission Formula Rate (7)'!$B$27,0)</f>
        <v>0</v>
      </c>
      <c r="K13" s="27">
        <f>ROUND(K12*'Transmission Formula Rate (7)'!$B$27,0)</f>
        <v>0</v>
      </c>
      <c r="L13" s="27">
        <f>ROUND(L12*'Transmission Formula Rate (7)'!$B$27,0)</f>
        <v>0</v>
      </c>
      <c r="M13" s="27">
        <f>ROUND(M12*'Transmission Formula Rate (7)'!$B$27,0)</f>
        <v>0</v>
      </c>
      <c r="N13" s="20">
        <f>SUM(B13:M13)</f>
        <v>0</v>
      </c>
    </row>
    <row r="14" spans="1:16">
      <c r="A14" s="249" t="s">
        <v>431</v>
      </c>
      <c r="B14" s="27">
        <f t="shared" ref="B14:M14" si="1">B12+B13</f>
        <v>0</v>
      </c>
      <c r="C14" s="27">
        <f t="shared" si="1"/>
        <v>0</v>
      </c>
      <c r="D14" s="27">
        <f t="shared" si="1"/>
        <v>0</v>
      </c>
      <c r="E14" s="27">
        <f t="shared" si="1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123">
        <f>SUM(B14:M14)</f>
        <v>0</v>
      </c>
    </row>
    <row r="15" spans="1:16">
      <c r="A15" s="247" t="s">
        <v>20</v>
      </c>
      <c r="B15" s="29">
        <f>'Transmission Formula Rate (7)'!B8</f>
        <v>1.59</v>
      </c>
      <c r="C15" s="29">
        <f>'Transmission Formula Rate (7)'!C8</f>
        <v>1.59</v>
      </c>
      <c r="D15" s="29">
        <f>'Transmission Formula Rate (7)'!D8</f>
        <v>1.59</v>
      </c>
      <c r="E15" s="29">
        <f>'Transmission Formula Rate (7)'!E8</f>
        <v>1.59</v>
      </c>
      <c r="F15" s="29">
        <f>'Transmission Formula Rate (7)'!F8</f>
        <v>1.59</v>
      </c>
      <c r="G15" s="29">
        <f>'Transmission Formula Rate (7)'!G8</f>
        <v>1.59</v>
      </c>
      <c r="H15" s="29">
        <f>'Transmission Formula Rate (7)'!H8</f>
        <v>1.59</v>
      </c>
      <c r="I15" s="29">
        <f>'Transmission Formula Rate (7)'!I8</f>
        <v>1.59</v>
      </c>
      <c r="J15" s="29">
        <f>'Transmission Formula Rate (7)'!J8</f>
        <v>1.59</v>
      </c>
      <c r="K15" s="29">
        <f>'Transmission Formula Rate (7)'!K8</f>
        <v>1.59</v>
      </c>
      <c r="L15" s="29">
        <f>'Transmission Formula Rate (7)'!L8</f>
        <v>1.59</v>
      </c>
      <c r="M15" s="29">
        <f>'Transmission Formula Rate (7)'!M8</f>
        <v>1.59</v>
      </c>
      <c r="N15" s="19"/>
    </row>
    <row r="16" spans="1:16">
      <c r="A16" s="247" t="s">
        <v>17</v>
      </c>
      <c r="B16" s="20">
        <f t="shared" ref="B16:M16" si="2">B14*B15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>SUM(B16:M16)</f>
        <v>0</v>
      </c>
    </row>
    <row r="17" spans="1:14">
      <c r="A17" s="24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>
      <c r="A18" s="25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B19" s="23" t="s">
        <v>0</v>
      </c>
      <c r="C19" s="23" t="s">
        <v>1</v>
      </c>
      <c r="D19" s="23" t="s">
        <v>2</v>
      </c>
      <c r="E19" s="23" t="s">
        <v>3</v>
      </c>
      <c r="F19" s="23" t="s">
        <v>4</v>
      </c>
      <c r="G19" s="23" t="s">
        <v>5</v>
      </c>
      <c r="H19" s="23" t="s">
        <v>6</v>
      </c>
      <c r="I19" s="23" t="s">
        <v>7</v>
      </c>
      <c r="J19" s="23" t="s">
        <v>8</v>
      </c>
      <c r="K19" s="23" t="s">
        <v>9</v>
      </c>
      <c r="L19" s="23" t="s">
        <v>10</v>
      </c>
      <c r="M19" s="23" t="s">
        <v>11</v>
      </c>
      <c r="N19" s="23" t="s">
        <v>12</v>
      </c>
    </row>
    <row r="20" spans="1:14">
      <c r="A20" s="248">
        <f>+A10+1</f>
        <v>2015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>
      <c r="A21" s="247" t="s">
        <v>37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249" t="s">
        <v>431</v>
      </c>
      <c r="B22" s="232">
        <f>'Quincy Forecast'!E11</f>
        <v>1</v>
      </c>
      <c r="C22" s="232">
        <f>'Quincy Forecast'!F11</f>
        <v>2</v>
      </c>
      <c r="D22" s="232">
        <f>'Quincy Forecast'!G11</f>
        <v>3</v>
      </c>
      <c r="E22" s="232">
        <f>'Quincy Forecast'!H11</f>
        <v>4</v>
      </c>
      <c r="F22" s="232">
        <f>'Quincy Forecast'!I11</f>
        <v>5</v>
      </c>
      <c r="G22" s="232">
        <f>'Quincy Forecast'!J11</f>
        <v>6</v>
      </c>
      <c r="H22" s="232">
        <f>'Quincy Forecast'!K11</f>
        <v>7</v>
      </c>
      <c r="I22" s="232">
        <f>'Quincy Forecast'!L11</f>
        <v>8</v>
      </c>
      <c r="J22" s="232">
        <f>'Quincy Forecast'!M11</f>
        <v>9</v>
      </c>
      <c r="K22" s="232">
        <f>'Quincy Forecast'!N11</f>
        <v>10</v>
      </c>
      <c r="L22" s="232">
        <f>'Quincy Forecast'!O11</f>
        <v>11</v>
      </c>
      <c r="M22" s="232">
        <f>'Quincy Forecast'!P11</f>
        <v>12</v>
      </c>
      <c r="N22" s="20">
        <f>SUM(B22:M22)</f>
        <v>78</v>
      </c>
    </row>
    <row r="23" spans="1:14">
      <c r="A23" s="249" t="s">
        <v>45</v>
      </c>
      <c r="B23" s="27">
        <f>B22-B24</f>
        <v>1.81639666175748E-2</v>
      </c>
      <c r="C23" s="27">
        <f t="shared" ref="C23:M23" si="3">C22-C24</f>
        <v>3.6327933235149601E-2</v>
      </c>
      <c r="D23" s="27">
        <f t="shared" si="3"/>
        <v>5.4491899852724401E-2</v>
      </c>
      <c r="E23" s="27">
        <f t="shared" si="3"/>
        <v>7.2655866470299202E-2</v>
      </c>
      <c r="F23" s="27">
        <f t="shared" si="3"/>
        <v>9.0819833087874002E-2</v>
      </c>
      <c r="G23" s="27">
        <f t="shared" si="3"/>
        <v>0.1089837997054488</v>
      </c>
      <c r="H23" s="27">
        <f t="shared" si="3"/>
        <v>0.1271477663230236</v>
      </c>
      <c r="I23" s="27">
        <f t="shared" si="3"/>
        <v>0.1453117329405984</v>
      </c>
      <c r="J23" s="27">
        <f t="shared" si="3"/>
        <v>0.1634756995581732</v>
      </c>
      <c r="K23" s="27">
        <f t="shared" si="3"/>
        <v>0.181639666175748</v>
      </c>
      <c r="L23" s="27">
        <f t="shared" si="3"/>
        <v>0.19980363279332281</v>
      </c>
      <c r="M23" s="27">
        <f t="shared" si="3"/>
        <v>0.21796759941089761</v>
      </c>
      <c r="N23" s="20">
        <f>SUM(B23:M23)</f>
        <v>1.4167893961708344</v>
      </c>
    </row>
    <row r="24" spans="1:14">
      <c r="A24" s="249" t="s">
        <v>47</v>
      </c>
      <c r="B24" s="27">
        <f>B22/(1+'Transmission Formula Rate (7)'!$B$27)</f>
        <v>0.9818360333824252</v>
      </c>
      <c r="C24" s="27">
        <f>C22/(1+'Transmission Formula Rate (7)'!$B$27)</f>
        <v>1.9636720667648504</v>
      </c>
      <c r="D24" s="27">
        <f>D22/(1+'Transmission Formula Rate (7)'!$B$27)</f>
        <v>2.9455081001472756</v>
      </c>
      <c r="E24" s="27">
        <f>E22/(1+'Transmission Formula Rate (7)'!$B$27)</f>
        <v>3.9273441335297008</v>
      </c>
      <c r="F24" s="27">
        <f>F22/(1+'Transmission Formula Rate (7)'!$B$27)</f>
        <v>4.909180166912126</v>
      </c>
      <c r="G24" s="27">
        <f>G22/(1+'Transmission Formula Rate (7)'!$B$27)</f>
        <v>5.8910162002945512</v>
      </c>
      <c r="H24" s="27">
        <f>H22/(1+'Transmission Formula Rate (7)'!$B$27)</f>
        <v>6.8728522336769764</v>
      </c>
      <c r="I24" s="27">
        <f>I22/(1+'Transmission Formula Rate (7)'!$B$27)</f>
        <v>7.8546882670594016</v>
      </c>
      <c r="J24" s="27">
        <f>J22/(1+'Transmission Formula Rate (7)'!$B$27)</f>
        <v>8.8365243004418268</v>
      </c>
      <c r="K24" s="27">
        <f>K22/(1+'Transmission Formula Rate (7)'!$B$27)</f>
        <v>9.818360333824252</v>
      </c>
      <c r="L24" s="27">
        <f>L22/(1+'Transmission Formula Rate (7)'!$B$27)</f>
        <v>10.800196367206677</v>
      </c>
      <c r="M24" s="27">
        <f>M22/(1+'Transmission Formula Rate (7)'!$B$27)</f>
        <v>11.782032400589102</v>
      </c>
      <c r="N24" s="123">
        <f>SUM(B24:M24)</f>
        <v>76.583210603829158</v>
      </c>
    </row>
    <row r="25" spans="1:14">
      <c r="A25" s="247" t="s">
        <v>20</v>
      </c>
      <c r="B25" s="29">
        <f>'Transmission Formula Rate (7)'!B10</f>
        <v>1.59</v>
      </c>
      <c r="C25" s="29">
        <f>'Transmission Formula Rate (7)'!C10</f>
        <v>1.59</v>
      </c>
      <c r="D25" s="29">
        <f>'Transmission Formula Rate (7)'!D10</f>
        <v>1.59</v>
      </c>
      <c r="E25" s="29">
        <f>'Transmission Formula Rate (7)'!E10</f>
        <v>1.59</v>
      </c>
      <c r="F25" s="29">
        <f>'Transmission Formula Rate (7)'!F10</f>
        <v>1.59</v>
      </c>
      <c r="G25" s="29">
        <f>'Transmission Formula Rate (7)'!G10</f>
        <v>1.59</v>
      </c>
      <c r="H25" s="29">
        <f>'Transmission Formula Rate (7)'!H10</f>
        <v>1.59</v>
      </c>
      <c r="I25" s="29">
        <f>'Transmission Formula Rate (7)'!I10</f>
        <v>1.59</v>
      </c>
      <c r="J25" s="29">
        <f>'Transmission Formula Rate (7)'!J10</f>
        <v>1.59</v>
      </c>
      <c r="K25" s="29">
        <f>'Transmission Formula Rate (7)'!K10</f>
        <v>1.59</v>
      </c>
      <c r="L25" s="29">
        <f>'Transmission Formula Rate (7)'!L10</f>
        <v>1.59</v>
      </c>
      <c r="M25" s="29">
        <f>'Transmission Formula Rate (7)'!M10</f>
        <v>1.59</v>
      </c>
      <c r="N25" s="19"/>
    </row>
    <row r="26" spans="1:14">
      <c r="A26" s="247" t="s">
        <v>17</v>
      </c>
      <c r="B26" s="20">
        <f>B22*B25</f>
        <v>1.59</v>
      </c>
      <c r="C26" s="20">
        <f t="shared" ref="C26:M26" si="4">C22*C25</f>
        <v>3.18</v>
      </c>
      <c r="D26" s="20">
        <f t="shared" si="4"/>
        <v>4.7700000000000005</v>
      </c>
      <c r="E26" s="20">
        <f t="shared" si="4"/>
        <v>6.36</v>
      </c>
      <c r="F26" s="20">
        <f t="shared" si="4"/>
        <v>7.95</v>
      </c>
      <c r="G26" s="20">
        <f t="shared" si="4"/>
        <v>9.5400000000000009</v>
      </c>
      <c r="H26" s="20">
        <f t="shared" si="4"/>
        <v>11.13</v>
      </c>
      <c r="I26" s="20">
        <f t="shared" si="4"/>
        <v>12.72</v>
      </c>
      <c r="J26" s="20">
        <f t="shared" si="4"/>
        <v>14.31</v>
      </c>
      <c r="K26" s="20">
        <f t="shared" si="4"/>
        <v>15.9</v>
      </c>
      <c r="L26" s="20">
        <f t="shared" si="4"/>
        <v>17.490000000000002</v>
      </c>
      <c r="M26" s="20">
        <f t="shared" si="4"/>
        <v>19.080000000000002</v>
      </c>
      <c r="N26" s="20">
        <f>SUM(B26:M26)</f>
        <v>124.02</v>
      </c>
    </row>
    <row r="27" spans="1:14">
      <c r="A27" s="25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>
      <c r="A28" s="247" t="s">
        <v>135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49" t="s">
        <v>431</v>
      </c>
      <c r="B29" s="232">
        <f>B22</f>
        <v>1</v>
      </c>
      <c r="C29" s="232">
        <f t="shared" ref="C29:M29" si="5">C22</f>
        <v>2</v>
      </c>
      <c r="D29" s="232">
        <f t="shared" si="5"/>
        <v>3</v>
      </c>
      <c r="E29" s="232">
        <f t="shared" si="5"/>
        <v>4</v>
      </c>
      <c r="F29" s="232">
        <f t="shared" si="5"/>
        <v>5</v>
      </c>
      <c r="G29" s="232">
        <f t="shared" si="5"/>
        <v>6</v>
      </c>
      <c r="H29" s="232">
        <f t="shared" si="5"/>
        <v>7</v>
      </c>
      <c r="I29" s="232">
        <f t="shared" si="5"/>
        <v>8</v>
      </c>
      <c r="J29" s="232">
        <f t="shared" si="5"/>
        <v>9</v>
      </c>
      <c r="K29" s="232">
        <f t="shared" si="5"/>
        <v>10</v>
      </c>
      <c r="L29" s="232">
        <f t="shared" si="5"/>
        <v>11</v>
      </c>
      <c r="M29" s="232">
        <f t="shared" si="5"/>
        <v>12</v>
      </c>
      <c r="N29" s="20">
        <f>SUM(B29:M29)</f>
        <v>78</v>
      </c>
    </row>
    <row r="30" spans="1:14">
      <c r="A30" s="249" t="s">
        <v>45</v>
      </c>
      <c r="B30" s="27">
        <f>B29-B31</f>
        <v>1.81639666175748E-2</v>
      </c>
      <c r="C30" s="27">
        <f t="shared" ref="C30:M30" si="6">C29-C31</f>
        <v>3.6327933235149601E-2</v>
      </c>
      <c r="D30" s="27">
        <f t="shared" si="6"/>
        <v>5.4491899852724401E-2</v>
      </c>
      <c r="E30" s="27">
        <f t="shared" si="6"/>
        <v>7.2655866470299202E-2</v>
      </c>
      <c r="F30" s="27">
        <f t="shared" si="6"/>
        <v>9.0819833087874002E-2</v>
      </c>
      <c r="G30" s="27">
        <f t="shared" si="6"/>
        <v>0.1089837997054488</v>
      </c>
      <c r="H30" s="27">
        <f t="shared" si="6"/>
        <v>0.1271477663230236</v>
      </c>
      <c r="I30" s="27">
        <f t="shared" si="6"/>
        <v>0.1453117329405984</v>
      </c>
      <c r="J30" s="27">
        <f t="shared" si="6"/>
        <v>0.1634756995581732</v>
      </c>
      <c r="K30" s="27">
        <f t="shared" si="6"/>
        <v>0.181639666175748</v>
      </c>
      <c r="L30" s="27">
        <f t="shared" si="6"/>
        <v>0.19980363279332281</v>
      </c>
      <c r="M30" s="27">
        <f t="shared" si="6"/>
        <v>0.21796759941089761</v>
      </c>
      <c r="N30" s="20">
        <f>SUM(B30:M30)</f>
        <v>1.4167893961708344</v>
      </c>
    </row>
    <row r="31" spans="1:14">
      <c r="A31" s="249" t="s">
        <v>47</v>
      </c>
      <c r="B31" s="27">
        <f>B29/(1+'Transmission Formula Rate (7)'!$B$27)</f>
        <v>0.9818360333824252</v>
      </c>
      <c r="C31" s="27">
        <f>C29/(1+'Transmission Formula Rate (7)'!$B$27)</f>
        <v>1.9636720667648504</v>
      </c>
      <c r="D31" s="27">
        <f>D29/(1+'Transmission Formula Rate (7)'!$B$27)</f>
        <v>2.9455081001472756</v>
      </c>
      <c r="E31" s="27">
        <f>E29/(1+'Transmission Formula Rate (7)'!$B$27)</f>
        <v>3.9273441335297008</v>
      </c>
      <c r="F31" s="27">
        <f>F29/(1+'Transmission Formula Rate (7)'!$B$27)</f>
        <v>4.909180166912126</v>
      </c>
      <c r="G31" s="27">
        <f>G29/(1+'Transmission Formula Rate (7)'!$B$27)</f>
        <v>5.8910162002945512</v>
      </c>
      <c r="H31" s="27">
        <f>H29/(1+'Transmission Formula Rate (7)'!$B$27)</f>
        <v>6.8728522336769764</v>
      </c>
      <c r="I31" s="27">
        <f>I29/(1+'Transmission Formula Rate (7)'!$B$27)</f>
        <v>7.8546882670594016</v>
      </c>
      <c r="J31" s="27">
        <f>J29/(1+'Transmission Formula Rate (7)'!$B$27)</f>
        <v>8.8365243004418268</v>
      </c>
      <c r="K31" s="27">
        <f>K29/(1+'Transmission Formula Rate (7)'!$B$27)</f>
        <v>9.818360333824252</v>
      </c>
      <c r="L31" s="27">
        <f>L29/(1+'Transmission Formula Rate (7)'!$B$27)</f>
        <v>10.800196367206677</v>
      </c>
      <c r="M31" s="27">
        <f>M29/(1+'Transmission Formula Rate (7)'!$B$27)</f>
        <v>11.782032400589102</v>
      </c>
      <c r="N31" s="123">
        <f>SUM(B31:M31)</f>
        <v>76.583210603829158</v>
      </c>
    </row>
    <row r="32" spans="1:14">
      <c r="A32" s="247" t="s">
        <v>143</v>
      </c>
      <c r="B32" s="31">
        <f>'charges (1 &amp; 2)'!D11</f>
        <v>1.274E-2</v>
      </c>
      <c r="C32" s="31">
        <f>B32</f>
        <v>1.274E-2</v>
      </c>
      <c r="D32" s="31">
        <f t="shared" ref="D32:M32" si="7">C32</f>
        <v>1.274E-2</v>
      </c>
      <c r="E32" s="31">
        <f t="shared" si="7"/>
        <v>1.274E-2</v>
      </c>
      <c r="F32" s="31">
        <f t="shared" si="7"/>
        <v>1.274E-2</v>
      </c>
      <c r="G32" s="31">
        <f t="shared" si="7"/>
        <v>1.274E-2</v>
      </c>
      <c r="H32" s="31">
        <f t="shared" si="7"/>
        <v>1.274E-2</v>
      </c>
      <c r="I32" s="31">
        <f t="shared" si="7"/>
        <v>1.274E-2</v>
      </c>
      <c r="J32" s="31">
        <f t="shared" si="7"/>
        <v>1.274E-2</v>
      </c>
      <c r="K32" s="31">
        <f t="shared" si="7"/>
        <v>1.274E-2</v>
      </c>
      <c r="L32" s="31">
        <f t="shared" si="7"/>
        <v>1.274E-2</v>
      </c>
      <c r="M32" s="31">
        <f t="shared" si="7"/>
        <v>1.274E-2</v>
      </c>
      <c r="N32" s="19"/>
    </row>
    <row r="33" spans="1:14">
      <c r="A33" s="247" t="s">
        <v>17</v>
      </c>
      <c r="B33" s="20">
        <f>B29*B32</f>
        <v>1.274E-2</v>
      </c>
      <c r="C33" s="20">
        <f t="shared" ref="C33:M33" si="8">C29*C32</f>
        <v>2.5479999999999999E-2</v>
      </c>
      <c r="D33" s="20">
        <f t="shared" si="8"/>
        <v>3.8219999999999997E-2</v>
      </c>
      <c r="E33" s="20">
        <f t="shared" si="8"/>
        <v>5.0959999999999998E-2</v>
      </c>
      <c r="F33" s="20">
        <f t="shared" si="8"/>
        <v>6.3699999999999993E-2</v>
      </c>
      <c r="G33" s="20">
        <f t="shared" si="8"/>
        <v>7.6439999999999994E-2</v>
      </c>
      <c r="H33" s="20">
        <f t="shared" si="8"/>
        <v>8.9179999999999995E-2</v>
      </c>
      <c r="I33" s="20">
        <f t="shared" si="8"/>
        <v>0.10192</v>
      </c>
      <c r="J33" s="20">
        <f t="shared" si="8"/>
        <v>0.11466</v>
      </c>
      <c r="K33" s="20">
        <f t="shared" si="8"/>
        <v>0.12739999999999999</v>
      </c>
      <c r="L33" s="20">
        <f t="shared" si="8"/>
        <v>0.14013999999999999</v>
      </c>
      <c r="M33" s="20">
        <f t="shared" si="8"/>
        <v>0.15287999999999999</v>
      </c>
      <c r="N33" s="20">
        <f>SUM(B33:M33)</f>
        <v>0.99372000000000005</v>
      </c>
    </row>
    <row r="34" spans="1:14">
      <c r="A34" s="247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>
      <c r="A35" s="247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B36" s="23" t="s">
        <v>0</v>
      </c>
      <c r="C36" s="23" t="s">
        <v>1</v>
      </c>
      <c r="D36" s="23" t="s">
        <v>2</v>
      </c>
      <c r="E36" s="23" t="s">
        <v>3</v>
      </c>
      <c r="F36" s="23" t="s">
        <v>4</v>
      </c>
      <c r="G36" s="23" t="s">
        <v>5</v>
      </c>
      <c r="H36" s="23" t="s">
        <v>6</v>
      </c>
      <c r="I36" s="23" t="s">
        <v>7</v>
      </c>
      <c r="J36" s="23" t="s">
        <v>8</v>
      </c>
      <c r="K36" s="23" t="s">
        <v>9</v>
      </c>
      <c r="L36" s="23" t="s">
        <v>10</v>
      </c>
      <c r="M36" s="23" t="s">
        <v>11</v>
      </c>
      <c r="N36" s="23" t="s">
        <v>12</v>
      </c>
    </row>
    <row r="37" spans="1:14">
      <c r="A37" s="248">
        <f>+A20+1</f>
        <v>2016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247" t="s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>
      <c r="A39" s="249" t="s">
        <v>431</v>
      </c>
      <c r="B39" s="232">
        <f>'Quincy Forecast'!E12</f>
        <v>19000</v>
      </c>
      <c r="C39" s="232">
        <f>'Quincy Forecast'!F12</f>
        <v>23774.31</v>
      </c>
      <c r="D39" s="232">
        <f>'Quincy Forecast'!G12</f>
        <v>21764.7</v>
      </c>
      <c r="E39" s="232">
        <f>'Quincy Forecast'!H12</f>
        <v>19516.95</v>
      </c>
      <c r="F39" s="232">
        <f>'Quincy Forecast'!I12</f>
        <v>23055.84</v>
      </c>
      <c r="G39" s="232">
        <f>'Quincy Forecast'!J12</f>
        <v>27682.560000000001</v>
      </c>
      <c r="H39" s="232">
        <f>'Quincy Forecast'!K12</f>
        <v>27365.040000000001</v>
      </c>
      <c r="I39" s="232">
        <f>'Quincy Forecast'!L12</f>
        <v>19000</v>
      </c>
      <c r="J39" s="232">
        <f>'Quincy Forecast'!M12</f>
        <v>25281.72</v>
      </c>
      <c r="K39" s="232">
        <f>'Quincy Forecast'!N12</f>
        <v>22275</v>
      </c>
      <c r="L39" s="232">
        <f>'Quincy Forecast'!O12</f>
        <v>25632.45</v>
      </c>
      <c r="M39" s="232">
        <f>'Quincy Forecast'!P12</f>
        <v>23033.97</v>
      </c>
      <c r="N39" s="20">
        <f>SUM(B39:M39)</f>
        <v>277382.54000000004</v>
      </c>
    </row>
    <row r="40" spans="1:14">
      <c r="A40" s="249" t="s">
        <v>45</v>
      </c>
      <c r="B40" s="27">
        <f>B39-B41</f>
        <v>345.11536573392004</v>
      </c>
      <c r="C40" s="27">
        <f t="shared" ref="C40:M40" si="9">C39-C41</f>
        <v>431.83577319587494</v>
      </c>
      <c r="D40" s="27">
        <f t="shared" si="9"/>
        <v>395.33328424152933</v>
      </c>
      <c r="E40" s="27">
        <f t="shared" si="9"/>
        <v>354.50522827687746</v>
      </c>
      <c r="F40" s="27">
        <f t="shared" si="9"/>
        <v>418.78550810014713</v>
      </c>
      <c r="G40" s="27">
        <f t="shared" si="9"/>
        <v>502.82509572901108</v>
      </c>
      <c r="H40" s="27">
        <f t="shared" si="9"/>
        <v>497.0576730485991</v>
      </c>
      <c r="I40" s="27">
        <f t="shared" si="9"/>
        <v>345.11536573392004</v>
      </c>
      <c r="J40" s="27">
        <f t="shared" si="9"/>
        <v>459.21631811487532</v>
      </c>
      <c r="K40" s="27">
        <f t="shared" si="9"/>
        <v>404.60235640647807</v>
      </c>
      <c r="L40" s="27">
        <f t="shared" si="9"/>
        <v>465.58696612665517</v>
      </c>
      <c r="M40" s="27">
        <f t="shared" si="9"/>
        <v>418.38826215021982</v>
      </c>
      <c r="N40" s="20">
        <f>SUM(B40:M40)</f>
        <v>5038.3671968581075</v>
      </c>
    </row>
    <row r="41" spans="1:14">
      <c r="A41" s="249" t="s">
        <v>47</v>
      </c>
      <c r="B41" s="27">
        <f>B39/(1+'Transmission Formula Rate (7)'!$B$27)</f>
        <v>18654.88463426608</v>
      </c>
      <c r="C41" s="27">
        <f>C39/(1+'Transmission Formula Rate (7)'!$B$27)</f>
        <v>23342.474226804126</v>
      </c>
      <c r="D41" s="27">
        <f>D39/(1+'Transmission Formula Rate (7)'!$B$27)</f>
        <v>21369.366715758471</v>
      </c>
      <c r="E41" s="27">
        <f>E39/(1+'Transmission Formula Rate (7)'!$B$27)</f>
        <v>19162.444771723123</v>
      </c>
      <c r="F41" s="27">
        <f>F39/(1+'Transmission Formula Rate (7)'!$B$27)</f>
        <v>22637.054491899853</v>
      </c>
      <c r="G41" s="27">
        <f>G39/(1+'Transmission Formula Rate (7)'!$B$27)</f>
        <v>27179.73490427099</v>
      </c>
      <c r="H41" s="27">
        <f>H39/(1+'Transmission Formula Rate (7)'!$B$27)</f>
        <v>26867.982326951402</v>
      </c>
      <c r="I41" s="27">
        <f>I39/(1+'Transmission Formula Rate (7)'!$B$27)</f>
        <v>18654.88463426608</v>
      </c>
      <c r="J41" s="27">
        <f>J39/(1+'Transmission Formula Rate (7)'!$B$27)</f>
        <v>24822.503681885126</v>
      </c>
      <c r="K41" s="27">
        <f>K39/(1+'Transmission Formula Rate (7)'!$B$27)</f>
        <v>21870.397643593522</v>
      </c>
      <c r="L41" s="27">
        <f>L39/(1+'Transmission Formula Rate (7)'!$B$27)</f>
        <v>25166.863033873346</v>
      </c>
      <c r="M41" s="27">
        <f>M39/(1+'Transmission Formula Rate (7)'!$B$27)</f>
        <v>22615.581737849781</v>
      </c>
      <c r="N41" s="123">
        <f>SUM(B41:M41)</f>
        <v>272344.17280314193</v>
      </c>
    </row>
    <row r="42" spans="1:14">
      <c r="A42" s="247" t="s">
        <v>20</v>
      </c>
      <c r="B42" s="29">
        <f>'Transmission Formula Rate (7)'!B12</f>
        <v>1.59</v>
      </c>
      <c r="C42" s="29">
        <f>'Transmission Formula Rate (7)'!C12</f>
        <v>1.59</v>
      </c>
      <c r="D42" s="29">
        <f>'Transmission Formula Rate (7)'!D12</f>
        <v>1.59</v>
      </c>
      <c r="E42" s="29">
        <f>'Transmission Formula Rate (7)'!E12</f>
        <v>1.59</v>
      </c>
      <c r="F42" s="29">
        <f>'Transmission Formula Rate (7)'!F12</f>
        <v>1.59</v>
      </c>
      <c r="G42" s="29">
        <f>'Transmission Formula Rate (7)'!G12</f>
        <v>1.59</v>
      </c>
      <c r="H42" s="29">
        <f>'Transmission Formula Rate (7)'!H12</f>
        <v>1.59</v>
      </c>
      <c r="I42" s="29">
        <f>'Transmission Formula Rate (7)'!I12</f>
        <v>1.59</v>
      </c>
      <c r="J42" s="29">
        <f>'Transmission Formula Rate (7)'!J12</f>
        <v>1.59</v>
      </c>
      <c r="K42" s="29">
        <f>'Transmission Formula Rate (7)'!K12</f>
        <v>1.59</v>
      </c>
      <c r="L42" s="29">
        <f>'Transmission Formula Rate (7)'!L12</f>
        <v>1.59</v>
      </c>
      <c r="M42" s="29">
        <f>'Transmission Formula Rate (7)'!M12</f>
        <v>1.59</v>
      </c>
      <c r="N42" s="19"/>
    </row>
    <row r="43" spans="1:14">
      <c r="A43" s="247" t="s">
        <v>17</v>
      </c>
      <c r="B43" s="20">
        <f>B39*B42</f>
        <v>30210</v>
      </c>
      <c r="C43" s="20">
        <f t="shared" ref="C43:M43" si="10">C39*C42</f>
        <v>37801.152900000001</v>
      </c>
      <c r="D43" s="20">
        <f t="shared" si="10"/>
        <v>34605.873</v>
      </c>
      <c r="E43" s="20">
        <f t="shared" si="10"/>
        <v>31031.950500000003</v>
      </c>
      <c r="F43" s="20">
        <f t="shared" si="10"/>
        <v>36658.785600000003</v>
      </c>
      <c r="G43" s="20">
        <f t="shared" si="10"/>
        <v>44015.270400000001</v>
      </c>
      <c r="H43" s="20">
        <f t="shared" si="10"/>
        <v>43510.413600000007</v>
      </c>
      <c r="I43" s="20">
        <f t="shared" si="10"/>
        <v>30210</v>
      </c>
      <c r="J43" s="20">
        <f t="shared" si="10"/>
        <v>40197.934800000003</v>
      </c>
      <c r="K43" s="20">
        <f t="shared" si="10"/>
        <v>35417.25</v>
      </c>
      <c r="L43" s="20">
        <f t="shared" si="10"/>
        <v>40755.595500000003</v>
      </c>
      <c r="M43" s="20">
        <f t="shared" si="10"/>
        <v>36624.012300000002</v>
      </c>
      <c r="N43" s="20">
        <f>SUM(B43:M43)</f>
        <v>441038.23859999998</v>
      </c>
    </row>
    <row r="45" spans="1:14">
      <c r="A45" s="247" t="s">
        <v>135</v>
      </c>
    </row>
    <row r="46" spans="1:14">
      <c r="A46" s="249" t="s">
        <v>431</v>
      </c>
      <c r="B46" s="232">
        <f>B39</f>
        <v>19000</v>
      </c>
      <c r="C46" s="232">
        <f t="shared" ref="C46:M46" si="11">C39</f>
        <v>23774.31</v>
      </c>
      <c r="D46" s="232">
        <f t="shared" si="11"/>
        <v>21764.7</v>
      </c>
      <c r="E46" s="232">
        <f t="shared" si="11"/>
        <v>19516.95</v>
      </c>
      <c r="F46" s="232">
        <f t="shared" si="11"/>
        <v>23055.84</v>
      </c>
      <c r="G46" s="232">
        <f t="shared" si="11"/>
        <v>27682.560000000001</v>
      </c>
      <c r="H46" s="232">
        <f t="shared" si="11"/>
        <v>27365.040000000001</v>
      </c>
      <c r="I46" s="232">
        <f t="shared" si="11"/>
        <v>19000</v>
      </c>
      <c r="J46" s="232">
        <f t="shared" si="11"/>
        <v>25281.72</v>
      </c>
      <c r="K46" s="232">
        <f t="shared" si="11"/>
        <v>22275</v>
      </c>
      <c r="L46" s="232">
        <f t="shared" si="11"/>
        <v>25632.45</v>
      </c>
      <c r="M46" s="232">
        <f t="shared" si="11"/>
        <v>23033.97</v>
      </c>
      <c r="N46" s="20">
        <f>SUM(B46:M46)</f>
        <v>277382.54000000004</v>
      </c>
    </row>
    <row r="47" spans="1:14">
      <c r="A47" s="249" t="s">
        <v>45</v>
      </c>
      <c r="B47" s="27">
        <f>B46-B48</f>
        <v>345.11536573392004</v>
      </c>
      <c r="C47" s="27">
        <f t="shared" ref="C47:M47" si="12">C46-C48</f>
        <v>431.83577319587494</v>
      </c>
      <c r="D47" s="27">
        <f t="shared" si="12"/>
        <v>395.33328424152933</v>
      </c>
      <c r="E47" s="27">
        <f t="shared" si="12"/>
        <v>354.50522827687746</v>
      </c>
      <c r="F47" s="27">
        <f t="shared" si="12"/>
        <v>418.78550810014713</v>
      </c>
      <c r="G47" s="27">
        <f t="shared" si="12"/>
        <v>502.82509572901108</v>
      </c>
      <c r="H47" s="27">
        <f t="shared" si="12"/>
        <v>497.0576730485991</v>
      </c>
      <c r="I47" s="27">
        <f t="shared" si="12"/>
        <v>345.11536573392004</v>
      </c>
      <c r="J47" s="27">
        <f t="shared" si="12"/>
        <v>459.21631811487532</v>
      </c>
      <c r="K47" s="27">
        <f t="shared" si="12"/>
        <v>404.60235640647807</v>
      </c>
      <c r="L47" s="27">
        <f t="shared" si="12"/>
        <v>465.58696612665517</v>
      </c>
      <c r="M47" s="27">
        <f t="shared" si="12"/>
        <v>418.38826215021982</v>
      </c>
      <c r="N47" s="20">
        <f>SUM(B47:M47)</f>
        <v>5038.3671968581075</v>
      </c>
    </row>
    <row r="48" spans="1:14">
      <c r="A48" s="249" t="s">
        <v>47</v>
      </c>
      <c r="B48" s="27">
        <f>B46/(1+'Transmission Formula Rate (7)'!$B$27)</f>
        <v>18654.88463426608</v>
      </c>
      <c r="C48" s="27">
        <f>C46/(1+'Transmission Formula Rate (7)'!$B$27)</f>
        <v>23342.474226804126</v>
      </c>
      <c r="D48" s="27">
        <f>D46/(1+'Transmission Formula Rate (7)'!$B$27)</f>
        <v>21369.366715758471</v>
      </c>
      <c r="E48" s="27">
        <f>E46/(1+'Transmission Formula Rate (7)'!$B$27)</f>
        <v>19162.444771723123</v>
      </c>
      <c r="F48" s="27">
        <f>F46/(1+'Transmission Formula Rate (7)'!$B$27)</f>
        <v>22637.054491899853</v>
      </c>
      <c r="G48" s="27">
        <f>G46/(1+'Transmission Formula Rate (7)'!$B$27)</f>
        <v>27179.73490427099</v>
      </c>
      <c r="H48" s="27">
        <f>H46/(1+'Transmission Formula Rate (7)'!$B$27)</f>
        <v>26867.982326951402</v>
      </c>
      <c r="I48" s="27">
        <f>I46/(1+'Transmission Formula Rate (7)'!$B$27)</f>
        <v>18654.88463426608</v>
      </c>
      <c r="J48" s="27">
        <f>J46/(1+'Transmission Formula Rate (7)'!$B$27)</f>
        <v>24822.503681885126</v>
      </c>
      <c r="K48" s="27">
        <f>K46/(1+'Transmission Formula Rate (7)'!$B$27)</f>
        <v>21870.397643593522</v>
      </c>
      <c r="L48" s="27">
        <f>L46/(1+'Transmission Formula Rate (7)'!$B$27)</f>
        <v>25166.863033873346</v>
      </c>
      <c r="M48" s="27">
        <f>M46/(1+'Transmission Formula Rate (7)'!$B$27)</f>
        <v>22615.581737849781</v>
      </c>
      <c r="N48" s="123">
        <f>SUM(B48:M48)</f>
        <v>272344.17280314193</v>
      </c>
    </row>
    <row r="49" spans="1:15">
      <c r="A49" s="247" t="s">
        <v>143</v>
      </c>
      <c r="B49" s="31">
        <f>'charges (1 &amp; 2)'!E11</f>
        <v>1.274E-2</v>
      </c>
      <c r="C49" s="31">
        <f>B49</f>
        <v>1.274E-2</v>
      </c>
      <c r="D49" s="31">
        <f t="shared" ref="D49:M49" si="13">C49</f>
        <v>1.274E-2</v>
      </c>
      <c r="E49" s="31">
        <f t="shared" si="13"/>
        <v>1.274E-2</v>
      </c>
      <c r="F49" s="31">
        <f t="shared" si="13"/>
        <v>1.274E-2</v>
      </c>
      <c r="G49" s="31">
        <f t="shared" si="13"/>
        <v>1.274E-2</v>
      </c>
      <c r="H49" s="31">
        <f t="shared" si="13"/>
        <v>1.274E-2</v>
      </c>
      <c r="I49" s="31">
        <f t="shared" si="13"/>
        <v>1.274E-2</v>
      </c>
      <c r="J49" s="31">
        <f t="shared" si="13"/>
        <v>1.274E-2</v>
      </c>
      <c r="K49" s="31">
        <f t="shared" si="13"/>
        <v>1.274E-2</v>
      </c>
      <c r="L49" s="31">
        <f t="shared" si="13"/>
        <v>1.274E-2</v>
      </c>
      <c r="M49" s="31">
        <f t="shared" si="13"/>
        <v>1.274E-2</v>
      </c>
      <c r="N49" s="19"/>
    </row>
    <row r="50" spans="1:15">
      <c r="A50" s="247" t="s">
        <v>17</v>
      </c>
      <c r="B50" s="20">
        <f>B46*B49</f>
        <v>242.06</v>
      </c>
      <c r="C50" s="20">
        <f t="shared" ref="C50:M50" si="14">C46*C49</f>
        <v>302.88470940000002</v>
      </c>
      <c r="D50" s="20">
        <f t="shared" si="14"/>
        <v>277.28227800000002</v>
      </c>
      <c r="E50" s="20">
        <f t="shared" si="14"/>
        <v>248.64594299999999</v>
      </c>
      <c r="F50" s="20">
        <f t="shared" si="14"/>
        <v>293.73140159999997</v>
      </c>
      <c r="G50" s="20">
        <f t="shared" si="14"/>
        <v>352.67581439999998</v>
      </c>
      <c r="H50" s="20">
        <f t="shared" si="14"/>
        <v>348.63060960000001</v>
      </c>
      <c r="I50" s="20">
        <f t="shared" si="14"/>
        <v>242.06</v>
      </c>
      <c r="J50" s="20">
        <f t="shared" si="14"/>
        <v>322.08911280000001</v>
      </c>
      <c r="K50" s="20">
        <f t="shared" si="14"/>
        <v>283.7835</v>
      </c>
      <c r="L50" s="20">
        <f t="shared" si="14"/>
        <v>326.557413</v>
      </c>
      <c r="M50" s="20">
        <f t="shared" si="14"/>
        <v>293.45277779999998</v>
      </c>
      <c r="N50" s="20">
        <f>SUM(B50:M50)</f>
        <v>3533.8535595999997</v>
      </c>
    </row>
    <row r="53" spans="1:15">
      <c r="B53" s="23" t="s">
        <v>0</v>
      </c>
      <c r="C53" s="23" t="s">
        <v>1</v>
      </c>
      <c r="D53" s="23" t="s">
        <v>2</v>
      </c>
      <c r="E53" s="23" t="s">
        <v>3</v>
      </c>
      <c r="F53" s="23" t="s">
        <v>4</v>
      </c>
      <c r="G53" s="23" t="s">
        <v>5</v>
      </c>
      <c r="H53" s="23" t="s">
        <v>6</v>
      </c>
      <c r="I53" s="23" t="s">
        <v>7</v>
      </c>
      <c r="J53" s="23" t="s">
        <v>8</v>
      </c>
      <c r="K53" s="23" t="s">
        <v>9</v>
      </c>
      <c r="L53" s="23" t="s">
        <v>10</v>
      </c>
      <c r="M53" s="23" t="s">
        <v>11</v>
      </c>
      <c r="N53" s="23" t="s">
        <v>12</v>
      </c>
    </row>
    <row r="54" spans="1:15">
      <c r="A54" s="248">
        <f>+A37+1</f>
        <v>2017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5">
      <c r="A55" s="247" t="s">
        <v>37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5">
      <c r="A56" s="249" t="s">
        <v>431</v>
      </c>
      <c r="B56" s="232">
        <f>'Quincy Forecast'!E13</f>
        <v>19000</v>
      </c>
      <c r="C56" s="232">
        <f>'Quincy Forecast'!F13</f>
        <v>23774.31</v>
      </c>
      <c r="D56" s="232">
        <f>'Quincy Forecast'!G13</f>
        <v>21764.7</v>
      </c>
      <c r="E56" s="232">
        <f>'Quincy Forecast'!H13</f>
        <v>19516.95</v>
      </c>
      <c r="F56" s="232">
        <f>'Quincy Forecast'!I13</f>
        <v>23055.84</v>
      </c>
      <c r="G56" s="232">
        <f>'Quincy Forecast'!J13</f>
        <v>27682.560000000001</v>
      </c>
      <c r="H56" s="232">
        <f>'Quincy Forecast'!K13</f>
        <v>27365.040000000001</v>
      </c>
      <c r="I56" s="232">
        <f>'Quincy Forecast'!L13</f>
        <v>19000</v>
      </c>
      <c r="J56" s="232">
        <f>'Quincy Forecast'!M13</f>
        <v>25281.72</v>
      </c>
      <c r="K56" s="232">
        <f>'Quincy Forecast'!N13</f>
        <v>22275</v>
      </c>
      <c r="L56" s="232">
        <f>'Quincy Forecast'!O13</f>
        <v>25632.45</v>
      </c>
      <c r="M56" s="232">
        <f>'Quincy Forecast'!P13</f>
        <v>23033.97</v>
      </c>
      <c r="N56" s="20">
        <f>SUM(B56:M56)</f>
        <v>277382.54000000004</v>
      </c>
    </row>
    <row r="57" spans="1:15">
      <c r="A57" s="249" t="s">
        <v>45</v>
      </c>
      <c r="B57" s="27">
        <f>B56-B58</f>
        <v>345.11536573392004</v>
      </c>
      <c r="C57" s="27">
        <f t="shared" ref="C57:M57" si="15">C56-C58</f>
        <v>431.83577319587494</v>
      </c>
      <c r="D57" s="27">
        <f t="shared" si="15"/>
        <v>395.33328424152933</v>
      </c>
      <c r="E57" s="27">
        <f t="shared" si="15"/>
        <v>354.50522827687746</v>
      </c>
      <c r="F57" s="27">
        <f t="shared" si="15"/>
        <v>418.78550810014713</v>
      </c>
      <c r="G57" s="27">
        <f t="shared" si="15"/>
        <v>502.82509572901108</v>
      </c>
      <c r="H57" s="27">
        <f t="shared" si="15"/>
        <v>497.0576730485991</v>
      </c>
      <c r="I57" s="27">
        <f t="shared" si="15"/>
        <v>345.11536573392004</v>
      </c>
      <c r="J57" s="27">
        <f t="shared" si="15"/>
        <v>459.21631811487532</v>
      </c>
      <c r="K57" s="27">
        <f t="shared" si="15"/>
        <v>404.60235640647807</v>
      </c>
      <c r="L57" s="27">
        <f t="shared" si="15"/>
        <v>465.58696612665517</v>
      </c>
      <c r="M57" s="27">
        <f t="shared" si="15"/>
        <v>418.38826215021982</v>
      </c>
      <c r="N57" s="20">
        <f>SUM(B57:M57)</f>
        <v>5038.3671968581075</v>
      </c>
    </row>
    <row r="58" spans="1:15">
      <c r="A58" s="249" t="s">
        <v>47</v>
      </c>
      <c r="B58" s="27">
        <f>B56/(1+'Transmission Formula Rate (7)'!$B$27)</f>
        <v>18654.88463426608</v>
      </c>
      <c r="C58" s="27">
        <f>C56/(1+'Transmission Formula Rate (7)'!$B$27)</f>
        <v>23342.474226804126</v>
      </c>
      <c r="D58" s="27">
        <f>D56/(1+'Transmission Formula Rate (7)'!$B$27)</f>
        <v>21369.366715758471</v>
      </c>
      <c r="E58" s="27">
        <f>E56/(1+'Transmission Formula Rate (7)'!$B$27)</f>
        <v>19162.444771723123</v>
      </c>
      <c r="F58" s="27">
        <f>F56/(1+'Transmission Formula Rate (7)'!$B$27)</f>
        <v>22637.054491899853</v>
      </c>
      <c r="G58" s="27">
        <f>G56/(1+'Transmission Formula Rate (7)'!$B$27)</f>
        <v>27179.73490427099</v>
      </c>
      <c r="H58" s="27">
        <f>H56/(1+'Transmission Formula Rate (7)'!$B$27)</f>
        <v>26867.982326951402</v>
      </c>
      <c r="I58" s="27">
        <f>I56/(1+'Transmission Formula Rate (7)'!$B$27)</f>
        <v>18654.88463426608</v>
      </c>
      <c r="J58" s="27">
        <f>J56/(1+'Transmission Formula Rate (7)'!$B$27)</f>
        <v>24822.503681885126</v>
      </c>
      <c r="K58" s="27">
        <f>K56/(1+'Transmission Formula Rate (7)'!$B$27)</f>
        <v>21870.397643593522</v>
      </c>
      <c r="L58" s="27">
        <f>L56/(1+'Transmission Formula Rate (7)'!$B$27)</f>
        <v>25166.863033873346</v>
      </c>
      <c r="M58" s="27">
        <f>M56/(1+'Transmission Formula Rate (7)'!$B$27)</f>
        <v>22615.581737849781</v>
      </c>
      <c r="N58" s="123">
        <f>SUM(B58:M58)</f>
        <v>272344.17280314193</v>
      </c>
    </row>
    <row r="59" spans="1:15">
      <c r="A59" s="247" t="s">
        <v>20</v>
      </c>
      <c r="B59" s="29">
        <f>'Transmission Formula Rate (7)'!B14</f>
        <v>1.59</v>
      </c>
      <c r="C59" s="29">
        <f>'Transmission Formula Rate (7)'!C14</f>
        <v>1.59</v>
      </c>
      <c r="D59" s="29">
        <f>'Transmission Formula Rate (7)'!D14</f>
        <v>1.59</v>
      </c>
      <c r="E59" s="29">
        <f>'Transmission Formula Rate (7)'!E14</f>
        <v>1.59</v>
      </c>
      <c r="F59" s="29">
        <f>'Transmission Formula Rate (7)'!F14</f>
        <v>1.59</v>
      </c>
      <c r="G59" s="29">
        <f>'Transmission Formula Rate (7)'!G14</f>
        <v>1.59</v>
      </c>
      <c r="H59" s="29">
        <f>'Transmission Formula Rate (7)'!H14</f>
        <v>1.59</v>
      </c>
      <c r="I59" s="29">
        <f>'Transmission Formula Rate (7)'!I14</f>
        <v>1.59</v>
      </c>
      <c r="J59" s="29">
        <f>'Transmission Formula Rate (7)'!J14</f>
        <v>1.59</v>
      </c>
      <c r="K59" s="29">
        <f>'Transmission Formula Rate (7)'!K14</f>
        <v>1.59</v>
      </c>
      <c r="L59" s="29">
        <f>'Transmission Formula Rate (7)'!L14</f>
        <v>1.59</v>
      </c>
      <c r="M59" s="29">
        <f>'Transmission Formula Rate (7)'!M14</f>
        <v>1.59</v>
      </c>
      <c r="N59" s="19"/>
      <c r="O59" s="270"/>
    </row>
    <row r="60" spans="1:15">
      <c r="A60" s="247" t="s">
        <v>17</v>
      </c>
      <c r="B60" s="20">
        <f>B56*B59</f>
        <v>30210</v>
      </c>
      <c r="C60" s="20">
        <f t="shared" ref="C60:M60" si="16">C56*C59</f>
        <v>37801.152900000001</v>
      </c>
      <c r="D60" s="20">
        <f t="shared" si="16"/>
        <v>34605.873</v>
      </c>
      <c r="E60" s="20">
        <f t="shared" si="16"/>
        <v>31031.950500000003</v>
      </c>
      <c r="F60" s="20">
        <f t="shared" si="16"/>
        <v>36658.785600000003</v>
      </c>
      <c r="G60" s="20">
        <f t="shared" si="16"/>
        <v>44015.270400000001</v>
      </c>
      <c r="H60" s="20">
        <f t="shared" si="16"/>
        <v>43510.413600000007</v>
      </c>
      <c r="I60" s="20">
        <f t="shared" si="16"/>
        <v>30210</v>
      </c>
      <c r="J60" s="20">
        <f t="shared" si="16"/>
        <v>40197.934800000003</v>
      </c>
      <c r="K60" s="20">
        <f t="shared" si="16"/>
        <v>35417.25</v>
      </c>
      <c r="L60" s="20">
        <f t="shared" si="16"/>
        <v>40755.595500000003</v>
      </c>
      <c r="M60" s="20">
        <f t="shared" si="16"/>
        <v>36624.012300000002</v>
      </c>
      <c r="N60" s="20">
        <f>SUM(B60:M60)</f>
        <v>441038.23859999998</v>
      </c>
    </row>
    <row r="62" spans="1:15">
      <c r="A62" s="247" t="s">
        <v>135</v>
      </c>
    </row>
    <row r="63" spans="1:15">
      <c r="A63" s="249" t="s">
        <v>431</v>
      </c>
      <c r="B63" s="232">
        <f>B56</f>
        <v>19000</v>
      </c>
      <c r="C63" s="232">
        <f t="shared" ref="C63:M63" si="17">C56</f>
        <v>23774.31</v>
      </c>
      <c r="D63" s="232">
        <f t="shared" si="17"/>
        <v>21764.7</v>
      </c>
      <c r="E63" s="232">
        <f t="shared" si="17"/>
        <v>19516.95</v>
      </c>
      <c r="F63" s="232">
        <f t="shared" si="17"/>
        <v>23055.84</v>
      </c>
      <c r="G63" s="232">
        <f t="shared" si="17"/>
        <v>27682.560000000001</v>
      </c>
      <c r="H63" s="232">
        <f t="shared" si="17"/>
        <v>27365.040000000001</v>
      </c>
      <c r="I63" s="232">
        <f t="shared" si="17"/>
        <v>19000</v>
      </c>
      <c r="J63" s="232">
        <f t="shared" si="17"/>
        <v>25281.72</v>
      </c>
      <c r="K63" s="232">
        <f t="shared" si="17"/>
        <v>22275</v>
      </c>
      <c r="L63" s="232">
        <f t="shared" si="17"/>
        <v>25632.45</v>
      </c>
      <c r="M63" s="232">
        <f t="shared" si="17"/>
        <v>23033.97</v>
      </c>
      <c r="N63" s="20">
        <f>SUM(B63:M63)</f>
        <v>277382.54000000004</v>
      </c>
    </row>
    <row r="64" spans="1:15">
      <c r="A64" s="249" t="s">
        <v>45</v>
      </c>
      <c r="B64" s="27">
        <f>B63-B65</f>
        <v>345.11536573392004</v>
      </c>
      <c r="C64" s="27">
        <f t="shared" ref="C64:M64" si="18">C63-C65</f>
        <v>431.83577319587494</v>
      </c>
      <c r="D64" s="27">
        <f t="shared" si="18"/>
        <v>395.33328424152933</v>
      </c>
      <c r="E64" s="27">
        <f t="shared" si="18"/>
        <v>354.50522827687746</v>
      </c>
      <c r="F64" s="27">
        <f t="shared" si="18"/>
        <v>418.78550810014713</v>
      </c>
      <c r="G64" s="27">
        <f t="shared" si="18"/>
        <v>502.82509572901108</v>
      </c>
      <c r="H64" s="27">
        <f t="shared" si="18"/>
        <v>497.0576730485991</v>
      </c>
      <c r="I64" s="27">
        <f t="shared" si="18"/>
        <v>345.11536573392004</v>
      </c>
      <c r="J64" s="27">
        <f t="shared" si="18"/>
        <v>459.21631811487532</v>
      </c>
      <c r="K64" s="27">
        <f t="shared" si="18"/>
        <v>404.60235640647807</v>
      </c>
      <c r="L64" s="27">
        <f t="shared" si="18"/>
        <v>465.58696612665517</v>
      </c>
      <c r="M64" s="27">
        <f t="shared" si="18"/>
        <v>418.38826215021982</v>
      </c>
      <c r="N64" s="20">
        <f>SUM(B64:M64)</f>
        <v>5038.3671968581075</v>
      </c>
    </row>
    <row r="65" spans="1:14">
      <c r="A65" s="249" t="s">
        <v>47</v>
      </c>
      <c r="B65" s="27">
        <f>B63/(1+'Transmission Formula Rate (7)'!$B$27)</f>
        <v>18654.88463426608</v>
      </c>
      <c r="C65" s="27">
        <f>C63/(1+'Transmission Formula Rate (7)'!$B$27)</f>
        <v>23342.474226804126</v>
      </c>
      <c r="D65" s="27">
        <f>D63/(1+'Transmission Formula Rate (7)'!$B$27)</f>
        <v>21369.366715758471</v>
      </c>
      <c r="E65" s="27">
        <f>E63/(1+'Transmission Formula Rate (7)'!$B$27)</f>
        <v>19162.444771723123</v>
      </c>
      <c r="F65" s="27">
        <f>F63/(1+'Transmission Formula Rate (7)'!$B$27)</f>
        <v>22637.054491899853</v>
      </c>
      <c r="G65" s="27">
        <f>G63/(1+'Transmission Formula Rate (7)'!$B$27)</f>
        <v>27179.73490427099</v>
      </c>
      <c r="H65" s="27">
        <f>H63/(1+'Transmission Formula Rate (7)'!$B$27)</f>
        <v>26867.982326951402</v>
      </c>
      <c r="I65" s="27">
        <f>I63/(1+'Transmission Formula Rate (7)'!$B$27)</f>
        <v>18654.88463426608</v>
      </c>
      <c r="J65" s="27">
        <f>J63/(1+'Transmission Formula Rate (7)'!$B$27)</f>
        <v>24822.503681885126</v>
      </c>
      <c r="K65" s="27">
        <f>K63/(1+'Transmission Formula Rate (7)'!$B$27)</f>
        <v>21870.397643593522</v>
      </c>
      <c r="L65" s="27">
        <f>L63/(1+'Transmission Formula Rate (7)'!$B$27)</f>
        <v>25166.863033873346</v>
      </c>
      <c r="M65" s="27">
        <f>M63/(1+'Transmission Formula Rate (7)'!$B$27)</f>
        <v>22615.581737849781</v>
      </c>
      <c r="N65" s="123">
        <f>SUM(B65:M65)</f>
        <v>272344.17280314193</v>
      </c>
    </row>
    <row r="66" spans="1:14">
      <c r="A66" s="247" t="s">
        <v>143</v>
      </c>
      <c r="B66" s="31">
        <f>'charges (1 &amp; 2)'!F11</f>
        <v>1.274E-2</v>
      </c>
      <c r="C66" s="31">
        <f>B66</f>
        <v>1.274E-2</v>
      </c>
      <c r="D66" s="31">
        <f t="shared" ref="D66:M66" si="19">C66</f>
        <v>1.274E-2</v>
      </c>
      <c r="E66" s="31">
        <f t="shared" si="19"/>
        <v>1.274E-2</v>
      </c>
      <c r="F66" s="31">
        <f t="shared" si="19"/>
        <v>1.274E-2</v>
      </c>
      <c r="G66" s="31">
        <f t="shared" si="19"/>
        <v>1.274E-2</v>
      </c>
      <c r="H66" s="31">
        <f t="shared" si="19"/>
        <v>1.274E-2</v>
      </c>
      <c r="I66" s="31">
        <f t="shared" si="19"/>
        <v>1.274E-2</v>
      </c>
      <c r="J66" s="31">
        <f t="shared" si="19"/>
        <v>1.274E-2</v>
      </c>
      <c r="K66" s="31">
        <f t="shared" si="19"/>
        <v>1.274E-2</v>
      </c>
      <c r="L66" s="31">
        <f t="shared" si="19"/>
        <v>1.274E-2</v>
      </c>
      <c r="M66" s="31">
        <f t="shared" si="19"/>
        <v>1.274E-2</v>
      </c>
      <c r="N66" s="19"/>
    </row>
    <row r="67" spans="1:14">
      <c r="A67" s="247" t="s">
        <v>17</v>
      </c>
      <c r="B67" s="20">
        <f>B63*B66</f>
        <v>242.06</v>
      </c>
      <c r="C67" s="20">
        <f t="shared" ref="C67:M67" si="20">C63*C66</f>
        <v>302.88470940000002</v>
      </c>
      <c r="D67" s="20">
        <f t="shared" si="20"/>
        <v>277.28227800000002</v>
      </c>
      <c r="E67" s="20">
        <f t="shared" si="20"/>
        <v>248.64594299999999</v>
      </c>
      <c r="F67" s="20">
        <f t="shared" si="20"/>
        <v>293.73140159999997</v>
      </c>
      <c r="G67" s="20">
        <f t="shared" si="20"/>
        <v>352.67581439999998</v>
      </c>
      <c r="H67" s="20">
        <f t="shared" si="20"/>
        <v>348.63060960000001</v>
      </c>
      <c r="I67" s="20">
        <f t="shared" si="20"/>
        <v>242.06</v>
      </c>
      <c r="J67" s="20">
        <f t="shared" si="20"/>
        <v>322.08911280000001</v>
      </c>
      <c r="K67" s="20">
        <f t="shared" si="20"/>
        <v>283.7835</v>
      </c>
      <c r="L67" s="20">
        <f t="shared" si="20"/>
        <v>326.557413</v>
      </c>
      <c r="M67" s="20">
        <f t="shared" si="20"/>
        <v>293.45277779999998</v>
      </c>
      <c r="N67" s="20">
        <f>SUM(B67:M67)</f>
        <v>3533.8535595999997</v>
      </c>
    </row>
    <row r="69" spans="1:14">
      <c r="B69" s="23" t="s">
        <v>0</v>
      </c>
      <c r="C69" s="23" t="s">
        <v>1</v>
      </c>
      <c r="D69" s="23" t="s">
        <v>2</v>
      </c>
      <c r="E69" s="23" t="s">
        <v>3</v>
      </c>
      <c r="F69" s="23" t="s">
        <v>4</v>
      </c>
      <c r="G69" s="23" t="s">
        <v>5</v>
      </c>
      <c r="H69" s="23" t="s">
        <v>6</v>
      </c>
      <c r="I69" s="23" t="s">
        <v>7</v>
      </c>
      <c r="J69" s="23" t="s">
        <v>8</v>
      </c>
      <c r="K69" s="23" t="s">
        <v>9</v>
      </c>
      <c r="L69" s="23" t="s">
        <v>10</v>
      </c>
      <c r="M69" s="23" t="s">
        <v>11</v>
      </c>
      <c r="N69" s="23" t="s">
        <v>12</v>
      </c>
    </row>
    <row r="70" spans="1:14">
      <c r="A70" s="248">
        <f>A54+1</f>
        <v>2018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>
      <c r="A71" s="247" t="s">
        <v>37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>
      <c r="A72" s="249" t="s">
        <v>431</v>
      </c>
      <c r="B72" s="232">
        <f>'Quincy Forecast'!E14</f>
        <v>19000</v>
      </c>
      <c r="C72" s="232">
        <f>'Quincy Forecast'!F14</f>
        <v>23774.31</v>
      </c>
      <c r="D72" s="232">
        <f>'Quincy Forecast'!G14</f>
        <v>21764.7</v>
      </c>
      <c r="E72" s="232">
        <f>'Quincy Forecast'!H14</f>
        <v>19516.95</v>
      </c>
      <c r="F72" s="232">
        <f>'Quincy Forecast'!I14</f>
        <v>23055.84</v>
      </c>
      <c r="G72" s="232">
        <f>'Quincy Forecast'!J14</f>
        <v>27682.560000000001</v>
      </c>
      <c r="H72" s="232">
        <f>'Quincy Forecast'!K14</f>
        <v>27365.040000000001</v>
      </c>
      <c r="I72" s="232">
        <f>'Quincy Forecast'!L14</f>
        <v>19000</v>
      </c>
      <c r="J72" s="232">
        <f>'Quincy Forecast'!M14</f>
        <v>25281.72</v>
      </c>
      <c r="K72" s="232">
        <f>'Quincy Forecast'!N14</f>
        <v>22275</v>
      </c>
      <c r="L72" s="232">
        <f>'Quincy Forecast'!O14</f>
        <v>25632.45</v>
      </c>
      <c r="M72" s="232">
        <f>'Quincy Forecast'!P14</f>
        <v>23033.97</v>
      </c>
      <c r="N72" s="20">
        <f>SUM(B72:M72)</f>
        <v>277382.54000000004</v>
      </c>
    </row>
    <row r="73" spans="1:14">
      <c r="A73" s="249" t="s">
        <v>45</v>
      </c>
      <c r="B73" s="27">
        <f>B72-B74</f>
        <v>345.11536573392004</v>
      </c>
      <c r="C73" s="27">
        <f t="shared" ref="C73:M73" si="21">C72-C74</f>
        <v>431.83577319587494</v>
      </c>
      <c r="D73" s="27">
        <f t="shared" si="21"/>
        <v>395.33328424152933</v>
      </c>
      <c r="E73" s="27">
        <f t="shared" si="21"/>
        <v>354.50522827687746</v>
      </c>
      <c r="F73" s="27">
        <f t="shared" si="21"/>
        <v>418.78550810014713</v>
      </c>
      <c r="G73" s="27">
        <f t="shared" si="21"/>
        <v>502.82509572901108</v>
      </c>
      <c r="H73" s="27">
        <f t="shared" si="21"/>
        <v>497.0576730485991</v>
      </c>
      <c r="I73" s="27">
        <f t="shared" si="21"/>
        <v>345.11536573392004</v>
      </c>
      <c r="J73" s="27">
        <f t="shared" si="21"/>
        <v>459.21631811487532</v>
      </c>
      <c r="K73" s="27">
        <f t="shared" si="21"/>
        <v>404.60235640647807</v>
      </c>
      <c r="L73" s="27">
        <f t="shared" si="21"/>
        <v>465.58696612665517</v>
      </c>
      <c r="M73" s="27">
        <f t="shared" si="21"/>
        <v>418.38826215021982</v>
      </c>
      <c r="N73" s="20">
        <f>SUM(B73:M73)</f>
        <v>5038.3671968581075</v>
      </c>
    </row>
    <row r="74" spans="1:14">
      <c r="A74" s="249" t="s">
        <v>47</v>
      </c>
      <c r="B74" s="27">
        <f>B72/(1+'Transmission Formula Rate (7)'!$B$27)</f>
        <v>18654.88463426608</v>
      </c>
      <c r="C74" s="27">
        <f>C72/(1+'Transmission Formula Rate (7)'!$B$27)</f>
        <v>23342.474226804126</v>
      </c>
      <c r="D74" s="27">
        <f>D72/(1+'Transmission Formula Rate (7)'!$B$27)</f>
        <v>21369.366715758471</v>
      </c>
      <c r="E74" s="27">
        <f>E72/(1+'Transmission Formula Rate (7)'!$B$27)</f>
        <v>19162.444771723123</v>
      </c>
      <c r="F74" s="27">
        <f>F72/(1+'Transmission Formula Rate (7)'!$B$27)</f>
        <v>22637.054491899853</v>
      </c>
      <c r="G74" s="27">
        <f>G72/(1+'Transmission Formula Rate (7)'!$B$27)</f>
        <v>27179.73490427099</v>
      </c>
      <c r="H74" s="27">
        <f>H72/(1+'Transmission Formula Rate (7)'!$B$27)</f>
        <v>26867.982326951402</v>
      </c>
      <c r="I74" s="27">
        <f>I72/(1+'Transmission Formula Rate (7)'!$B$27)</f>
        <v>18654.88463426608</v>
      </c>
      <c r="J74" s="27">
        <f>J72/(1+'Transmission Formula Rate (7)'!$B$27)</f>
        <v>24822.503681885126</v>
      </c>
      <c r="K74" s="27">
        <f>K72/(1+'Transmission Formula Rate (7)'!$B$27)</f>
        <v>21870.397643593522</v>
      </c>
      <c r="L74" s="27">
        <f>L72/(1+'Transmission Formula Rate (7)'!$B$27)</f>
        <v>25166.863033873346</v>
      </c>
      <c r="M74" s="27">
        <f>M72/(1+'Transmission Formula Rate (7)'!$B$27)</f>
        <v>22615.581737849781</v>
      </c>
      <c r="N74" s="123">
        <f>SUM(B74:M74)</f>
        <v>272344.17280314193</v>
      </c>
    </row>
    <row r="75" spans="1:14">
      <c r="A75" s="247" t="s">
        <v>20</v>
      </c>
      <c r="B75" s="29">
        <f>'Transmission Formula Rate (7)'!B16</f>
        <v>1.59</v>
      </c>
      <c r="C75" s="29">
        <f>'Transmission Formula Rate (7)'!C16</f>
        <v>1.59</v>
      </c>
      <c r="D75" s="29">
        <f>'Transmission Formula Rate (7)'!D16</f>
        <v>1.59</v>
      </c>
      <c r="E75" s="29">
        <f>'Transmission Formula Rate (7)'!E16</f>
        <v>1.59</v>
      </c>
      <c r="F75" s="29">
        <f>'Transmission Formula Rate (7)'!F16</f>
        <v>1.59</v>
      </c>
      <c r="G75" s="29">
        <f>'Transmission Formula Rate (7)'!G16</f>
        <v>1.59</v>
      </c>
      <c r="H75" s="29">
        <f>'Transmission Formula Rate (7)'!H16</f>
        <v>1.59</v>
      </c>
      <c r="I75" s="29">
        <f>'Transmission Formula Rate (7)'!I16</f>
        <v>1.59</v>
      </c>
      <c r="J75" s="29">
        <f>'Transmission Formula Rate (7)'!J16</f>
        <v>1.59</v>
      </c>
      <c r="K75" s="29">
        <f>'Transmission Formula Rate (7)'!K16</f>
        <v>1.59</v>
      </c>
      <c r="L75" s="29">
        <f>'Transmission Formula Rate (7)'!L16</f>
        <v>1.59</v>
      </c>
      <c r="M75" s="29">
        <f>'Transmission Formula Rate (7)'!M16</f>
        <v>1.59</v>
      </c>
      <c r="N75" s="19"/>
    </row>
    <row r="76" spans="1:14">
      <c r="A76" s="247" t="s">
        <v>17</v>
      </c>
      <c r="B76" s="20">
        <f>B72*B75</f>
        <v>30210</v>
      </c>
      <c r="C76" s="20">
        <f t="shared" ref="C76:M76" si="22">C72*C75</f>
        <v>37801.152900000001</v>
      </c>
      <c r="D76" s="20">
        <f t="shared" si="22"/>
        <v>34605.873</v>
      </c>
      <c r="E76" s="20">
        <f t="shared" si="22"/>
        <v>31031.950500000003</v>
      </c>
      <c r="F76" s="20">
        <f t="shared" si="22"/>
        <v>36658.785600000003</v>
      </c>
      <c r="G76" s="20">
        <f t="shared" si="22"/>
        <v>44015.270400000001</v>
      </c>
      <c r="H76" s="20">
        <f t="shared" si="22"/>
        <v>43510.413600000007</v>
      </c>
      <c r="I76" s="20">
        <f t="shared" si="22"/>
        <v>30210</v>
      </c>
      <c r="J76" s="20">
        <f t="shared" si="22"/>
        <v>40197.934800000003</v>
      </c>
      <c r="K76" s="20">
        <f t="shared" si="22"/>
        <v>35417.25</v>
      </c>
      <c r="L76" s="20">
        <f t="shared" si="22"/>
        <v>40755.595500000003</v>
      </c>
      <c r="M76" s="20">
        <f t="shared" si="22"/>
        <v>36624.012300000002</v>
      </c>
      <c r="N76" s="20">
        <f>SUM(B76:M76)</f>
        <v>441038.23859999998</v>
      </c>
    </row>
    <row r="78" spans="1:14">
      <c r="A78" s="247" t="s">
        <v>135</v>
      </c>
    </row>
    <row r="79" spans="1:14">
      <c r="A79" s="249" t="s">
        <v>431</v>
      </c>
      <c r="B79" s="232">
        <f>B72</f>
        <v>19000</v>
      </c>
      <c r="C79" s="232">
        <f t="shared" ref="C79:M79" si="23">C72</f>
        <v>23774.31</v>
      </c>
      <c r="D79" s="232">
        <f t="shared" si="23"/>
        <v>21764.7</v>
      </c>
      <c r="E79" s="232">
        <f t="shared" si="23"/>
        <v>19516.95</v>
      </c>
      <c r="F79" s="232">
        <f t="shared" si="23"/>
        <v>23055.84</v>
      </c>
      <c r="G79" s="232">
        <f t="shared" si="23"/>
        <v>27682.560000000001</v>
      </c>
      <c r="H79" s="232">
        <f t="shared" si="23"/>
        <v>27365.040000000001</v>
      </c>
      <c r="I79" s="232">
        <f t="shared" si="23"/>
        <v>19000</v>
      </c>
      <c r="J79" s="232">
        <f t="shared" si="23"/>
        <v>25281.72</v>
      </c>
      <c r="K79" s="232">
        <f t="shared" si="23"/>
        <v>22275</v>
      </c>
      <c r="L79" s="232">
        <f t="shared" si="23"/>
        <v>25632.45</v>
      </c>
      <c r="M79" s="232">
        <f t="shared" si="23"/>
        <v>23033.97</v>
      </c>
      <c r="N79" s="20">
        <f>SUM(B79:M79)</f>
        <v>277382.54000000004</v>
      </c>
    </row>
    <row r="80" spans="1:14">
      <c r="A80" s="249" t="s">
        <v>45</v>
      </c>
      <c r="B80" s="27">
        <f>B79-B81</f>
        <v>345.11536573392004</v>
      </c>
      <c r="C80" s="27">
        <f t="shared" ref="C80:M80" si="24">C79-C81</f>
        <v>431.83577319587494</v>
      </c>
      <c r="D80" s="27">
        <f t="shared" si="24"/>
        <v>395.33328424152933</v>
      </c>
      <c r="E80" s="27">
        <f t="shared" si="24"/>
        <v>354.50522827687746</v>
      </c>
      <c r="F80" s="27">
        <f t="shared" si="24"/>
        <v>418.78550810014713</v>
      </c>
      <c r="G80" s="27">
        <f t="shared" si="24"/>
        <v>502.82509572901108</v>
      </c>
      <c r="H80" s="27">
        <f t="shared" si="24"/>
        <v>497.0576730485991</v>
      </c>
      <c r="I80" s="27">
        <f t="shared" si="24"/>
        <v>345.11536573392004</v>
      </c>
      <c r="J80" s="27">
        <f t="shared" si="24"/>
        <v>459.21631811487532</v>
      </c>
      <c r="K80" s="27">
        <f t="shared" si="24"/>
        <v>404.60235640647807</v>
      </c>
      <c r="L80" s="27">
        <f t="shared" si="24"/>
        <v>465.58696612665517</v>
      </c>
      <c r="M80" s="27">
        <f t="shared" si="24"/>
        <v>418.38826215021982</v>
      </c>
      <c r="N80" s="20">
        <f>SUM(B80:M80)</f>
        <v>5038.3671968581075</v>
      </c>
    </row>
    <row r="81" spans="1:15">
      <c r="A81" s="249" t="s">
        <v>47</v>
      </c>
      <c r="B81" s="27">
        <f>B79/(1+'Transmission Formula Rate (7)'!$B$27)</f>
        <v>18654.88463426608</v>
      </c>
      <c r="C81" s="27">
        <f>C79/(1+'Transmission Formula Rate (7)'!$B$27)</f>
        <v>23342.474226804126</v>
      </c>
      <c r="D81" s="27">
        <f>D79/(1+'Transmission Formula Rate (7)'!$B$27)</f>
        <v>21369.366715758471</v>
      </c>
      <c r="E81" s="27">
        <f>E79/(1+'Transmission Formula Rate (7)'!$B$27)</f>
        <v>19162.444771723123</v>
      </c>
      <c r="F81" s="27">
        <f>F79/(1+'Transmission Formula Rate (7)'!$B$27)</f>
        <v>22637.054491899853</v>
      </c>
      <c r="G81" s="27">
        <f>G79/(1+'Transmission Formula Rate (7)'!$B$27)</f>
        <v>27179.73490427099</v>
      </c>
      <c r="H81" s="27">
        <f>H79/(1+'Transmission Formula Rate (7)'!$B$27)</f>
        <v>26867.982326951402</v>
      </c>
      <c r="I81" s="27">
        <f>I79/(1+'Transmission Formula Rate (7)'!$B$27)</f>
        <v>18654.88463426608</v>
      </c>
      <c r="J81" s="27">
        <f>J79/(1+'Transmission Formula Rate (7)'!$B$27)</f>
        <v>24822.503681885126</v>
      </c>
      <c r="K81" s="27">
        <f>K79/(1+'Transmission Formula Rate (7)'!$B$27)</f>
        <v>21870.397643593522</v>
      </c>
      <c r="L81" s="27">
        <f>L79/(1+'Transmission Formula Rate (7)'!$B$27)</f>
        <v>25166.863033873346</v>
      </c>
      <c r="M81" s="27">
        <f>M79/(1+'Transmission Formula Rate (7)'!$B$27)</f>
        <v>22615.581737849781</v>
      </c>
      <c r="N81" s="123">
        <f>SUM(B81:M81)</f>
        <v>272344.17280314193</v>
      </c>
    </row>
    <row r="82" spans="1:15">
      <c r="A82" s="247" t="s">
        <v>143</v>
      </c>
      <c r="B82" s="31">
        <f>'charges (1 &amp; 2)'!G11</f>
        <v>1.274E-2</v>
      </c>
      <c r="C82" s="31">
        <f>B82</f>
        <v>1.274E-2</v>
      </c>
      <c r="D82" s="31">
        <f t="shared" ref="D82:M82" si="25">C82</f>
        <v>1.274E-2</v>
      </c>
      <c r="E82" s="31">
        <f t="shared" si="25"/>
        <v>1.274E-2</v>
      </c>
      <c r="F82" s="31">
        <f t="shared" si="25"/>
        <v>1.274E-2</v>
      </c>
      <c r="G82" s="31">
        <f t="shared" si="25"/>
        <v>1.274E-2</v>
      </c>
      <c r="H82" s="31">
        <f t="shared" si="25"/>
        <v>1.274E-2</v>
      </c>
      <c r="I82" s="31">
        <f t="shared" si="25"/>
        <v>1.274E-2</v>
      </c>
      <c r="J82" s="31">
        <f t="shared" si="25"/>
        <v>1.274E-2</v>
      </c>
      <c r="K82" s="31">
        <f t="shared" si="25"/>
        <v>1.274E-2</v>
      </c>
      <c r="L82" s="31">
        <f t="shared" si="25"/>
        <v>1.274E-2</v>
      </c>
      <c r="M82" s="31">
        <f t="shared" si="25"/>
        <v>1.274E-2</v>
      </c>
      <c r="N82" s="19"/>
    </row>
    <row r="83" spans="1:15">
      <c r="A83" s="247" t="s">
        <v>17</v>
      </c>
      <c r="B83" s="20">
        <f>B79*B82</f>
        <v>242.06</v>
      </c>
      <c r="C83" s="20">
        <f t="shared" ref="C83:M83" si="26">C79*C82</f>
        <v>302.88470940000002</v>
      </c>
      <c r="D83" s="20">
        <f t="shared" si="26"/>
        <v>277.28227800000002</v>
      </c>
      <c r="E83" s="20">
        <f t="shared" si="26"/>
        <v>248.64594299999999</v>
      </c>
      <c r="F83" s="20">
        <f t="shared" si="26"/>
        <v>293.73140159999997</v>
      </c>
      <c r="G83" s="20">
        <f t="shared" si="26"/>
        <v>352.67581439999998</v>
      </c>
      <c r="H83" s="20">
        <f t="shared" si="26"/>
        <v>348.63060960000001</v>
      </c>
      <c r="I83" s="20">
        <f t="shared" si="26"/>
        <v>242.06</v>
      </c>
      <c r="J83" s="20">
        <f t="shared" si="26"/>
        <v>322.08911280000001</v>
      </c>
      <c r="K83" s="20">
        <f t="shared" si="26"/>
        <v>283.7835</v>
      </c>
      <c r="L83" s="20">
        <f t="shared" si="26"/>
        <v>326.557413</v>
      </c>
      <c r="M83" s="20">
        <f t="shared" si="26"/>
        <v>293.45277779999998</v>
      </c>
      <c r="N83" s="20">
        <f>SUM(B83:M83)</f>
        <v>3533.8535595999997</v>
      </c>
    </row>
    <row r="85" spans="1:15">
      <c r="B85" s="23" t="s">
        <v>0</v>
      </c>
      <c r="C85" s="23" t="s">
        <v>1</v>
      </c>
      <c r="D85" s="23" t="s">
        <v>2</v>
      </c>
      <c r="E85" s="23" t="s">
        <v>3</v>
      </c>
      <c r="F85" s="23" t="s">
        <v>4</v>
      </c>
      <c r="G85" s="23" t="s">
        <v>5</v>
      </c>
      <c r="H85" s="23" t="s">
        <v>6</v>
      </c>
      <c r="I85" s="23" t="s">
        <v>7</v>
      </c>
      <c r="J85" s="23" t="s">
        <v>8</v>
      </c>
      <c r="K85" s="23" t="s">
        <v>9</v>
      </c>
      <c r="L85" s="23" t="s">
        <v>10</v>
      </c>
      <c r="M85" s="23" t="s">
        <v>11</v>
      </c>
      <c r="N85" s="23" t="s">
        <v>12</v>
      </c>
    </row>
    <row r="86" spans="1:15">
      <c r="A86" s="248">
        <f>A70+1</f>
        <v>2019</v>
      </c>
    </row>
    <row r="87" spans="1:15">
      <c r="A87" s="247" t="s">
        <v>37</v>
      </c>
    </row>
    <row r="88" spans="1:15">
      <c r="A88" s="249" t="s">
        <v>431</v>
      </c>
      <c r="B88" s="232">
        <f>'Quincy Forecast'!E15</f>
        <v>19000</v>
      </c>
      <c r="C88" s="232">
        <f>'Quincy Forecast'!F15</f>
        <v>23774.31</v>
      </c>
      <c r="D88" s="232">
        <f>'Quincy Forecast'!G15</f>
        <v>21764.7</v>
      </c>
      <c r="E88" s="232">
        <f>'Quincy Forecast'!H15</f>
        <v>19516.95</v>
      </c>
      <c r="F88" s="232">
        <f>'Quincy Forecast'!I15</f>
        <v>23055.84</v>
      </c>
      <c r="G88" s="232">
        <f>'Quincy Forecast'!J15</f>
        <v>27682.560000000001</v>
      </c>
      <c r="H88" s="232">
        <f>'Quincy Forecast'!K15</f>
        <v>27365.040000000001</v>
      </c>
      <c r="I88" s="232">
        <f>'Quincy Forecast'!L15</f>
        <v>19000</v>
      </c>
      <c r="J88" s="232">
        <f>'Quincy Forecast'!M15</f>
        <v>25281.72</v>
      </c>
      <c r="K88" s="232">
        <f>'Quincy Forecast'!N15</f>
        <v>22275</v>
      </c>
      <c r="L88" s="232">
        <f>'Quincy Forecast'!O15</f>
        <v>25632.45</v>
      </c>
      <c r="M88" s="232">
        <f>'Quincy Forecast'!P15</f>
        <v>23033.97</v>
      </c>
      <c r="N88" s="20">
        <f>SUM(B88:M88)</f>
        <v>277382.54000000004</v>
      </c>
    </row>
    <row r="89" spans="1:15">
      <c r="A89" s="249" t="s">
        <v>45</v>
      </c>
      <c r="B89" s="27">
        <f>B88-B90</f>
        <v>345.11536573392004</v>
      </c>
      <c r="C89" s="27">
        <f t="shared" ref="C89:M89" si="27">C88-C90</f>
        <v>431.83577319587494</v>
      </c>
      <c r="D89" s="27">
        <f t="shared" si="27"/>
        <v>395.33328424152933</v>
      </c>
      <c r="E89" s="27">
        <f t="shared" si="27"/>
        <v>354.50522827687746</v>
      </c>
      <c r="F89" s="27">
        <f t="shared" si="27"/>
        <v>418.78550810014713</v>
      </c>
      <c r="G89" s="27">
        <f t="shared" si="27"/>
        <v>502.82509572901108</v>
      </c>
      <c r="H89" s="27">
        <f t="shared" si="27"/>
        <v>497.0576730485991</v>
      </c>
      <c r="I89" s="27">
        <f t="shared" si="27"/>
        <v>345.11536573392004</v>
      </c>
      <c r="J89" s="27">
        <f t="shared" si="27"/>
        <v>459.21631811487532</v>
      </c>
      <c r="K89" s="27">
        <f t="shared" si="27"/>
        <v>404.60235640647807</v>
      </c>
      <c r="L89" s="27">
        <f t="shared" si="27"/>
        <v>465.58696612665517</v>
      </c>
      <c r="M89" s="27">
        <f t="shared" si="27"/>
        <v>418.38826215021982</v>
      </c>
      <c r="N89" s="20">
        <f>SUM(B89:M89)</f>
        <v>5038.3671968581075</v>
      </c>
    </row>
    <row r="90" spans="1:15">
      <c r="A90" s="249" t="s">
        <v>47</v>
      </c>
      <c r="B90" s="27">
        <f>B88/(1+'Transmission Formula Rate (7)'!$B$27)</f>
        <v>18654.88463426608</v>
      </c>
      <c r="C90" s="27">
        <f>C88/(1+'Transmission Formula Rate (7)'!$B$27)</f>
        <v>23342.474226804126</v>
      </c>
      <c r="D90" s="27">
        <f>D88/(1+'Transmission Formula Rate (7)'!$B$27)</f>
        <v>21369.366715758471</v>
      </c>
      <c r="E90" s="27">
        <f>E88/(1+'Transmission Formula Rate (7)'!$B$27)</f>
        <v>19162.444771723123</v>
      </c>
      <c r="F90" s="27">
        <f>F88/(1+'Transmission Formula Rate (7)'!$B$27)</f>
        <v>22637.054491899853</v>
      </c>
      <c r="G90" s="27">
        <f>G88/(1+'Transmission Formula Rate (7)'!$B$27)</f>
        <v>27179.73490427099</v>
      </c>
      <c r="H90" s="27">
        <f>H88/(1+'Transmission Formula Rate (7)'!$B$27)</f>
        <v>26867.982326951402</v>
      </c>
      <c r="I90" s="27">
        <f>I88/(1+'Transmission Formula Rate (7)'!$B$27)</f>
        <v>18654.88463426608</v>
      </c>
      <c r="J90" s="27">
        <f>J88/(1+'Transmission Formula Rate (7)'!$B$27)</f>
        <v>24822.503681885126</v>
      </c>
      <c r="K90" s="27">
        <f>K88/(1+'Transmission Formula Rate (7)'!$B$27)</f>
        <v>21870.397643593522</v>
      </c>
      <c r="L90" s="27">
        <f>L88/(1+'Transmission Formula Rate (7)'!$B$27)</f>
        <v>25166.863033873346</v>
      </c>
      <c r="M90" s="27">
        <f>M88/(1+'Transmission Formula Rate (7)'!$B$27)</f>
        <v>22615.581737849781</v>
      </c>
      <c r="N90" s="123">
        <f>SUM(B90:M90)</f>
        <v>272344.17280314193</v>
      </c>
    </row>
    <row r="91" spans="1:15">
      <c r="A91" s="247" t="s">
        <v>20</v>
      </c>
      <c r="B91" s="29">
        <f>'Transmission Formula Rate (7)'!B20</f>
        <v>1.59</v>
      </c>
      <c r="C91" s="29">
        <f>'Transmission Formula Rate (7)'!C20</f>
        <v>1.59</v>
      </c>
      <c r="D91" s="29">
        <f>'Transmission Formula Rate (7)'!D20</f>
        <v>1.59</v>
      </c>
      <c r="E91" s="29">
        <f>'Transmission Formula Rate (7)'!E20</f>
        <v>1.59</v>
      </c>
      <c r="F91" s="29">
        <f>'Transmission Formula Rate (7)'!F20</f>
        <v>1.59</v>
      </c>
      <c r="G91" s="29">
        <f>'Transmission Formula Rate (7)'!G20</f>
        <v>1.59</v>
      </c>
      <c r="H91" s="29">
        <f>'Transmission Formula Rate (7)'!H20</f>
        <v>1.59</v>
      </c>
      <c r="I91" s="29">
        <f>'Transmission Formula Rate (7)'!I20</f>
        <v>1.59</v>
      </c>
      <c r="J91" s="29">
        <f>'Transmission Formula Rate (7)'!J20</f>
        <v>1.59</v>
      </c>
      <c r="K91" s="29">
        <f>'Transmission Formula Rate (7)'!K20</f>
        <v>1.59</v>
      </c>
      <c r="L91" s="29">
        <f>'Transmission Formula Rate (7)'!L20</f>
        <v>1.59</v>
      </c>
      <c r="M91" s="29">
        <f>'Transmission Formula Rate (7)'!M20</f>
        <v>1.59</v>
      </c>
      <c r="N91" s="19"/>
    </row>
    <row r="92" spans="1:15">
      <c r="A92" s="247" t="s">
        <v>17</v>
      </c>
      <c r="B92" s="20">
        <f>B88*B91</f>
        <v>30210</v>
      </c>
      <c r="C92" s="20">
        <f t="shared" ref="C92:M92" si="28">C88*C91</f>
        <v>37801.152900000001</v>
      </c>
      <c r="D92" s="20">
        <f t="shared" si="28"/>
        <v>34605.873</v>
      </c>
      <c r="E92" s="20">
        <f t="shared" si="28"/>
        <v>31031.950500000003</v>
      </c>
      <c r="F92" s="20">
        <f t="shared" si="28"/>
        <v>36658.785600000003</v>
      </c>
      <c r="G92" s="20">
        <f t="shared" si="28"/>
        <v>44015.270400000001</v>
      </c>
      <c r="H92" s="20">
        <f t="shared" si="28"/>
        <v>43510.413600000007</v>
      </c>
      <c r="I92" s="20">
        <f t="shared" si="28"/>
        <v>30210</v>
      </c>
      <c r="J92" s="20">
        <f t="shared" si="28"/>
        <v>40197.934800000003</v>
      </c>
      <c r="K92" s="20">
        <f t="shared" si="28"/>
        <v>35417.25</v>
      </c>
      <c r="L92" s="20">
        <f t="shared" si="28"/>
        <v>40755.595500000003</v>
      </c>
      <c r="M92" s="20">
        <f t="shared" si="28"/>
        <v>36624.012300000002</v>
      </c>
      <c r="N92" s="20">
        <f>SUM(B92:M92)</f>
        <v>441038.23859999998</v>
      </c>
    </row>
    <row r="94" spans="1:15">
      <c r="A94" s="247" t="s">
        <v>135</v>
      </c>
    </row>
    <row r="95" spans="1:15">
      <c r="A95" s="249" t="s">
        <v>431</v>
      </c>
      <c r="B95" s="232">
        <f>B88</f>
        <v>19000</v>
      </c>
      <c r="C95" s="232">
        <f t="shared" ref="C95:M95" si="29">C88</f>
        <v>23774.31</v>
      </c>
      <c r="D95" s="232">
        <f t="shared" si="29"/>
        <v>21764.7</v>
      </c>
      <c r="E95" s="232">
        <f t="shared" si="29"/>
        <v>19516.95</v>
      </c>
      <c r="F95" s="232">
        <f t="shared" si="29"/>
        <v>23055.84</v>
      </c>
      <c r="G95" s="232">
        <f t="shared" si="29"/>
        <v>27682.560000000001</v>
      </c>
      <c r="H95" s="232">
        <f t="shared" si="29"/>
        <v>27365.040000000001</v>
      </c>
      <c r="I95" s="232">
        <f t="shared" si="29"/>
        <v>19000</v>
      </c>
      <c r="J95" s="232">
        <f t="shared" si="29"/>
        <v>25281.72</v>
      </c>
      <c r="K95" s="232">
        <f t="shared" si="29"/>
        <v>22275</v>
      </c>
      <c r="L95" s="232">
        <f t="shared" si="29"/>
        <v>25632.45</v>
      </c>
      <c r="M95" s="232">
        <f t="shared" si="29"/>
        <v>23033.97</v>
      </c>
      <c r="N95" s="20">
        <f>SUM(B95:M95)</f>
        <v>277382.54000000004</v>
      </c>
      <c r="O95" s="270" t="s">
        <v>432</v>
      </c>
    </row>
    <row r="96" spans="1:15">
      <c r="A96" s="249" t="s">
        <v>45</v>
      </c>
      <c r="B96" s="27">
        <f>B95-B97</f>
        <v>345.11536573392004</v>
      </c>
      <c r="C96" s="27">
        <f t="shared" ref="C96:M96" si="30">C95-C97</f>
        <v>431.83577319587494</v>
      </c>
      <c r="D96" s="27">
        <f t="shared" si="30"/>
        <v>395.33328424152933</v>
      </c>
      <c r="E96" s="27">
        <f t="shared" si="30"/>
        <v>354.50522827687746</v>
      </c>
      <c r="F96" s="27">
        <f t="shared" si="30"/>
        <v>418.78550810014713</v>
      </c>
      <c r="G96" s="27">
        <f t="shared" si="30"/>
        <v>502.82509572901108</v>
      </c>
      <c r="H96" s="27">
        <f t="shared" si="30"/>
        <v>497.0576730485991</v>
      </c>
      <c r="I96" s="27">
        <f t="shared" si="30"/>
        <v>345.11536573392004</v>
      </c>
      <c r="J96" s="27">
        <f t="shared" si="30"/>
        <v>459.21631811487532</v>
      </c>
      <c r="K96" s="27">
        <f t="shared" si="30"/>
        <v>404.60235640647807</v>
      </c>
      <c r="L96" s="27">
        <f t="shared" si="30"/>
        <v>465.58696612665517</v>
      </c>
      <c r="M96" s="27">
        <f t="shared" si="30"/>
        <v>418.38826215021982</v>
      </c>
      <c r="N96" s="20">
        <f>SUM(B96:M96)</f>
        <v>5038.3671968581075</v>
      </c>
    </row>
    <row r="97" spans="1:14">
      <c r="A97" s="249" t="s">
        <v>47</v>
      </c>
      <c r="B97" s="27">
        <f>B95/(1+'Transmission Formula Rate (7)'!$B$27)</f>
        <v>18654.88463426608</v>
      </c>
      <c r="C97" s="27">
        <f>C95/(1+'Transmission Formula Rate (7)'!$B$27)</f>
        <v>23342.474226804126</v>
      </c>
      <c r="D97" s="27">
        <f>D95/(1+'Transmission Formula Rate (7)'!$B$27)</f>
        <v>21369.366715758471</v>
      </c>
      <c r="E97" s="27">
        <f>E95/(1+'Transmission Formula Rate (7)'!$B$27)</f>
        <v>19162.444771723123</v>
      </c>
      <c r="F97" s="27">
        <f>F95/(1+'Transmission Formula Rate (7)'!$B$27)</f>
        <v>22637.054491899853</v>
      </c>
      <c r="G97" s="27">
        <f>G95/(1+'Transmission Formula Rate (7)'!$B$27)</f>
        <v>27179.73490427099</v>
      </c>
      <c r="H97" s="27">
        <f>H95/(1+'Transmission Formula Rate (7)'!$B$27)</f>
        <v>26867.982326951402</v>
      </c>
      <c r="I97" s="27">
        <f>I95/(1+'Transmission Formula Rate (7)'!$B$27)</f>
        <v>18654.88463426608</v>
      </c>
      <c r="J97" s="27">
        <f>J95/(1+'Transmission Formula Rate (7)'!$B$27)</f>
        <v>24822.503681885126</v>
      </c>
      <c r="K97" s="27">
        <f>K95/(1+'Transmission Formula Rate (7)'!$B$27)</f>
        <v>21870.397643593522</v>
      </c>
      <c r="L97" s="27">
        <f>L95/(1+'Transmission Formula Rate (7)'!$B$27)</f>
        <v>25166.863033873346</v>
      </c>
      <c r="M97" s="27">
        <f>M95/(1+'Transmission Formula Rate (7)'!$B$27)</f>
        <v>22615.581737849781</v>
      </c>
      <c r="N97" s="123">
        <f>SUM(B97:M97)</f>
        <v>272344.17280314193</v>
      </c>
    </row>
    <row r="98" spans="1:14">
      <c r="A98" s="247" t="s">
        <v>143</v>
      </c>
      <c r="B98" s="31">
        <f>'charges (1 &amp; 2)'!H11</f>
        <v>1.274E-2</v>
      </c>
      <c r="C98" s="31">
        <f>B98</f>
        <v>1.274E-2</v>
      </c>
      <c r="D98" s="31">
        <f t="shared" ref="D98:M98" si="31">C98</f>
        <v>1.274E-2</v>
      </c>
      <c r="E98" s="31">
        <f t="shared" si="31"/>
        <v>1.274E-2</v>
      </c>
      <c r="F98" s="31">
        <f t="shared" si="31"/>
        <v>1.274E-2</v>
      </c>
      <c r="G98" s="31">
        <f t="shared" si="31"/>
        <v>1.274E-2</v>
      </c>
      <c r="H98" s="31">
        <f t="shared" si="31"/>
        <v>1.274E-2</v>
      </c>
      <c r="I98" s="31">
        <f t="shared" si="31"/>
        <v>1.274E-2</v>
      </c>
      <c r="J98" s="31">
        <f t="shared" si="31"/>
        <v>1.274E-2</v>
      </c>
      <c r="K98" s="31">
        <f t="shared" si="31"/>
        <v>1.274E-2</v>
      </c>
      <c r="L98" s="31">
        <f t="shared" si="31"/>
        <v>1.274E-2</v>
      </c>
      <c r="M98" s="31">
        <f t="shared" si="31"/>
        <v>1.274E-2</v>
      </c>
      <c r="N98" s="19"/>
    </row>
    <row r="99" spans="1:14">
      <c r="A99" s="247" t="s">
        <v>17</v>
      </c>
      <c r="B99" s="20">
        <f>B95*B98</f>
        <v>242.06</v>
      </c>
      <c r="C99" s="20">
        <f t="shared" ref="C99:M99" si="32">C95*C98</f>
        <v>302.88470940000002</v>
      </c>
      <c r="D99" s="20">
        <f t="shared" si="32"/>
        <v>277.28227800000002</v>
      </c>
      <c r="E99" s="20">
        <f t="shared" si="32"/>
        <v>248.64594299999999</v>
      </c>
      <c r="F99" s="20">
        <f t="shared" si="32"/>
        <v>293.73140159999997</v>
      </c>
      <c r="G99" s="20">
        <f t="shared" si="32"/>
        <v>352.67581439999998</v>
      </c>
      <c r="H99" s="20">
        <f t="shared" si="32"/>
        <v>348.63060960000001</v>
      </c>
      <c r="I99" s="20">
        <f t="shared" si="32"/>
        <v>242.06</v>
      </c>
      <c r="J99" s="20">
        <f t="shared" si="32"/>
        <v>322.08911280000001</v>
      </c>
      <c r="K99" s="20">
        <f t="shared" si="32"/>
        <v>283.7835</v>
      </c>
      <c r="L99" s="20">
        <f t="shared" si="32"/>
        <v>326.557413</v>
      </c>
      <c r="M99" s="20">
        <f t="shared" si="32"/>
        <v>293.45277779999998</v>
      </c>
      <c r="N99" s="20">
        <f>SUM(B99:M99)</f>
        <v>3533.8535595999997</v>
      </c>
    </row>
    <row r="101" spans="1:14">
      <c r="A101" s="248">
        <f>A86+1</f>
        <v>2020</v>
      </c>
    </row>
    <row r="102" spans="1:14">
      <c r="A102" s="247" t="s">
        <v>37</v>
      </c>
    </row>
    <row r="103" spans="1:14">
      <c r="A103" s="249" t="s">
        <v>431</v>
      </c>
      <c r="B103" s="232">
        <f>'Quincy Forecast'!E16</f>
        <v>19000</v>
      </c>
      <c r="C103" s="232">
        <f>'Quincy Forecast'!F16</f>
        <v>23774.31</v>
      </c>
      <c r="D103" s="232">
        <f>'Quincy Forecast'!G16</f>
        <v>21764.7</v>
      </c>
      <c r="E103" s="232">
        <f>'Quincy Forecast'!H16</f>
        <v>19516.95</v>
      </c>
      <c r="F103" s="232">
        <f>'Quincy Forecast'!I16</f>
        <v>23055.84</v>
      </c>
      <c r="G103" s="232">
        <f>'Quincy Forecast'!J16</f>
        <v>27682.560000000001</v>
      </c>
      <c r="H103" s="232">
        <f>'Quincy Forecast'!K16</f>
        <v>27365.040000000001</v>
      </c>
      <c r="I103" s="232">
        <f>'Quincy Forecast'!L16</f>
        <v>19000</v>
      </c>
      <c r="J103" s="232">
        <f>'Quincy Forecast'!M16</f>
        <v>25281.72</v>
      </c>
      <c r="K103" s="232">
        <f>'Quincy Forecast'!N16</f>
        <v>22275</v>
      </c>
      <c r="L103" s="232">
        <f>'Quincy Forecast'!O16</f>
        <v>25632.45</v>
      </c>
      <c r="M103" s="232">
        <f>'Quincy Forecast'!P16</f>
        <v>23033.97</v>
      </c>
      <c r="N103" s="20">
        <f>SUM(B103:M103)</f>
        <v>277382.54000000004</v>
      </c>
    </row>
    <row r="104" spans="1:14">
      <c r="A104" s="249" t="s">
        <v>45</v>
      </c>
      <c r="B104" s="27">
        <f>B103-B105</f>
        <v>345.11536573392004</v>
      </c>
      <c r="C104" s="27">
        <f t="shared" ref="C104" si="33">C103-C105</f>
        <v>431.83577319587494</v>
      </c>
      <c r="D104" s="27">
        <f t="shared" ref="D104" si="34">D103-D105</f>
        <v>395.33328424152933</v>
      </c>
      <c r="E104" s="27">
        <f t="shared" ref="E104" si="35">E103-E105</f>
        <v>354.50522827687746</v>
      </c>
      <c r="F104" s="27">
        <f t="shared" ref="F104" si="36">F103-F105</f>
        <v>418.78550810014713</v>
      </c>
      <c r="G104" s="27">
        <f t="shared" ref="G104" si="37">G103-G105</f>
        <v>502.82509572901108</v>
      </c>
      <c r="H104" s="27">
        <f t="shared" ref="H104" si="38">H103-H105</f>
        <v>497.0576730485991</v>
      </c>
      <c r="I104" s="27">
        <f t="shared" ref="I104" si="39">I103-I105</f>
        <v>345.11536573392004</v>
      </c>
      <c r="J104" s="27">
        <f t="shared" ref="J104" si="40">J103-J105</f>
        <v>459.21631811487532</v>
      </c>
      <c r="K104" s="27">
        <f t="shared" ref="K104" si="41">K103-K105</f>
        <v>404.60235640647807</v>
      </c>
      <c r="L104" s="27">
        <f t="shared" ref="L104" si="42">L103-L105</f>
        <v>465.58696612665517</v>
      </c>
      <c r="M104" s="27">
        <f t="shared" ref="M104" si="43">M103-M105</f>
        <v>418.38826215021982</v>
      </c>
      <c r="N104" s="20">
        <f>SUM(B104:M104)</f>
        <v>5038.3671968581075</v>
      </c>
    </row>
    <row r="105" spans="1:14">
      <c r="A105" s="249" t="s">
        <v>47</v>
      </c>
      <c r="B105" s="27">
        <f>B103/(1+'Transmission Formula Rate (7)'!$B$27)</f>
        <v>18654.88463426608</v>
      </c>
      <c r="C105" s="27">
        <f>C103/(1+'Transmission Formula Rate (7)'!$B$27)</f>
        <v>23342.474226804126</v>
      </c>
      <c r="D105" s="27">
        <f>D103/(1+'Transmission Formula Rate (7)'!$B$27)</f>
        <v>21369.366715758471</v>
      </c>
      <c r="E105" s="27">
        <f>E103/(1+'Transmission Formula Rate (7)'!$B$27)</f>
        <v>19162.444771723123</v>
      </c>
      <c r="F105" s="27">
        <f>F103/(1+'Transmission Formula Rate (7)'!$B$27)</f>
        <v>22637.054491899853</v>
      </c>
      <c r="G105" s="27">
        <f>G103/(1+'Transmission Formula Rate (7)'!$B$27)</f>
        <v>27179.73490427099</v>
      </c>
      <c r="H105" s="27">
        <f>H103/(1+'Transmission Formula Rate (7)'!$B$27)</f>
        <v>26867.982326951402</v>
      </c>
      <c r="I105" s="27">
        <f>I103/(1+'Transmission Formula Rate (7)'!$B$27)</f>
        <v>18654.88463426608</v>
      </c>
      <c r="J105" s="27">
        <f>J103/(1+'Transmission Formula Rate (7)'!$B$27)</f>
        <v>24822.503681885126</v>
      </c>
      <c r="K105" s="27">
        <f>K103/(1+'Transmission Formula Rate (7)'!$B$27)</f>
        <v>21870.397643593522</v>
      </c>
      <c r="L105" s="27">
        <f>L103/(1+'Transmission Formula Rate (7)'!$B$27)</f>
        <v>25166.863033873346</v>
      </c>
      <c r="M105" s="27">
        <f>M103/(1+'Transmission Formula Rate (7)'!$B$27)</f>
        <v>22615.581737849781</v>
      </c>
      <c r="N105" s="123">
        <f>SUM(B105:M105)</f>
        <v>272344.17280314193</v>
      </c>
    </row>
    <row r="106" spans="1:14">
      <c r="A106" s="247" t="s">
        <v>20</v>
      </c>
      <c r="B106" s="29">
        <f>'Transmission Formula Rate (7)'!B22</f>
        <v>1.59</v>
      </c>
      <c r="C106" s="29">
        <f>'Transmission Formula Rate (7)'!C22</f>
        <v>1.59</v>
      </c>
      <c r="D106" s="29">
        <f>'Transmission Formula Rate (7)'!D22</f>
        <v>1.59</v>
      </c>
      <c r="E106" s="29">
        <f>'Transmission Formula Rate (7)'!E22</f>
        <v>1.59</v>
      </c>
      <c r="F106" s="29">
        <f>'Transmission Formula Rate (7)'!F22</f>
        <v>1.59</v>
      </c>
      <c r="G106" s="29">
        <f>'Transmission Formula Rate (7)'!G22</f>
        <v>1.59</v>
      </c>
      <c r="H106" s="29">
        <f>'Transmission Formula Rate (7)'!H22</f>
        <v>1.59</v>
      </c>
      <c r="I106" s="29">
        <f>'Transmission Formula Rate (7)'!I22</f>
        <v>1.59</v>
      </c>
      <c r="J106" s="29">
        <f>'Transmission Formula Rate (7)'!J22</f>
        <v>1.59</v>
      </c>
      <c r="K106" s="29">
        <f>'Transmission Formula Rate (7)'!K22</f>
        <v>1.59</v>
      </c>
      <c r="L106" s="29">
        <f>'Transmission Formula Rate (7)'!L22</f>
        <v>1.59</v>
      </c>
      <c r="M106" s="29">
        <f>'Transmission Formula Rate (7)'!M22</f>
        <v>1.59</v>
      </c>
      <c r="N106" s="19"/>
    </row>
    <row r="107" spans="1:14">
      <c r="A107" s="247" t="s">
        <v>17</v>
      </c>
      <c r="B107" s="20">
        <f>B103*B106</f>
        <v>30210</v>
      </c>
      <c r="C107" s="20">
        <f t="shared" ref="C107" si="44">C103*C106</f>
        <v>37801.152900000001</v>
      </c>
      <c r="D107" s="20">
        <f t="shared" ref="D107" si="45">D103*D106</f>
        <v>34605.873</v>
      </c>
      <c r="E107" s="20">
        <f t="shared" ref="E107" si="46">E103*E106</f>
        <v>31031.950500000003</v>
      </c>
      <c r="F107" s="20">
        <f t="shared" ref="F107" si="47">F103*F106</f>
        <v>36658.785600000003</v>
      </c>
      <c r="G107" s="20">
        <f t="shared" ref="G107" si="48">G103*G106</f>
        <v>44015.270400000001</v>
      </c>
      <c r="H107" s="20">
        <f t="shared" ref="H107" si="49">H103*H106</f>
        <v>43510.413600000007</v>
      </c>
      <c r="I107" s="20">
        <f t="shared" ref="I107" si="50">I103*I106</f>
        <v>30210</v>
      </c>
      <c r="J107" s="20">
        <f t="shared" ref="J107" si="51">J103*J106</f>
        <v>40197.934800000003</v>
      </c>
      <c r="K107" s="20">
        <f t="shared" ref="K107" si="52">K103*K106</f>
        <v>35417.25</v>
      </c>
      <c r="L107" s="20">
        <f t="shared" ref="L107" si="53">L103*L106</f>
        <v>40755.595500000003</v>
      </c>
      <c r="M107" s="20">
        <f t="shared" ref="M107" si="54">M103*M106</f>
        <v>36624.012300000002</v>
      </c>
      <c r="N107" s="20">
        <f>SUM(B107:M107)</f>
        <v>441038.23859999998</v>
      </c>
    </row>
    <row r="109" spans="1:14">
      <c r="A109" s="247" t="s">
        <v>135</v>
      </c>
    </row>
    <row r="110" spans="1:14">
      <c r="A110" s="249" t="s">
        <v>431</v>
      </c>
      <c r="B110" s="232">
        <f>B103</f>
        <v>19000</v>
      </c>
      <c r="C110" s="232">
        <f t="shared" ref="C110:M110" si="55">C103</f>
        <v>23774.31</v>
      </c>
      <c r="D110" s="232">
        <f t="shared" si="55"/>
        <v>21764.7</v>
      </c>
      <c r="E110" s="232">
        <f t="shared" si="55"/>
        <v>19516.95</v>
      </c>
      <c r="F110" s="232">
        <f t="shared" si="55"/>
        <v>23055.84</v>
      </c>
      <c r="G110" s="232">
        <f t="shared" si="55"/>
        <v>27682.560000000001</v>
      </c>
      <c r="H110" s="232">
        <f t="shared" si="55"/>
        <v>27365.040000000001</v>
      </c>
      <c r="I110" s="232">
        <f t="shared" si="55"/>
        <v>19000</v>
      </c>
      <c r="J110" s="232">
        <f t="shared" si="55"/>
        <v>25281.72</v>
      </c>
      <c r="K110" s="232">
        <f t="shared" si="55"/>
        <v>22275</v>
      </c>
      <c r="L110" s="232">
        <f t="shared" si="55"/>
        <v>25632.45</v>
      </c>
      <c r="M110" s="232">
        <f t="shared" si="55"/>
        <v>23033.97</v>
      </c>
      <c r="N110" s="20">
        <f>SUM(B110:M110)</f>
        <v>277382.54000000004</v>
      </c>
    </row>
    <row r="111" spans="1:14">
      <c r="A111" s="249" t="s">
        <v>45</v>
      </c>
      <c r="B111" s="27">
        <f>B110-B112</f>
        <v>345.11536573392004</v>
      </c>
      <c r="C111" s="27">
        <f t="shared" ref="C111" si="56">C110-C112</f>
        <v>431.83577319587494</v>
      </c>
      <c r="D111" s="27">
        <f t="shared" ref="D111" si="57">D110-D112</f>
        <v>395.33328424152933</v>
      </c>
      <c r="E111" s="27">
        <f t="shared" ref="E111" si="58">E110-E112</f>
        <v>354.50522827687746</v>
      </c>
      <c r="F111" s="27">
        <f t="shared" ref="F111" si="59">F110-F112</f>
        <v>418.78550810014713</v>
      </c>
      <c r="G111" s="27">
        <f t="shared" ref="G111" si="60">G110-G112</f>
        <v>502.82509572901108</v>
      </c>
      <c r="H111" s="27">
        <f t="shared" ref="H111" si="61">H110-H112</f>
        <v>497.0576730485991</v>
      </c>
      <c r="I111" s="27">
        <f t="shared" ref="I111" si="62">I110-I112</f>
        <v>345.11536573392004</v>
      </c>
      <c r="J111" s="27">
        <f t="shared" ref="J111" si="63">J110-J112</f>
        <v>459.21631811487532</v>
      </c>
      <c r="K111" s="27">
        <f t="shared" ref="K111" si="64">K110-K112</f>
        <v>404.60235640647807</v>
      </c>
      <c r="L111" s="27">
        <f t="shared" ref="L111" si="65">L110-L112</f>
        <v>465.58696612665517</v>
      </c>
      <c r="M111" s="27">
        <f t="shared" ref="M111" si="66">M110-M112</f>
        <v>418.38826215021982</v>
      </c>
      <c r="N111" s="20">
        <f>SUM(B111:M111)</f>
        <v>5038.3671968581075</v>
      </c>
    </row>
    <row r="112" spans="1:14">
      <c r="A112" s="249" t="s">
        <v>47</v>
      </c>
      <c r="B112" s="27">
        <f>B110/(1+'Transmission Formula Rate (7)'!$B$27)</f>
        <v>18654.88463426608</v>
      </c>
      <c r="C112" s="27">
        <f>C110/(1+'Transmission Formula Rate (7)'!$B$27)</f>
        <v>23342.474226804126</v>
      </c>
      <c r="D112" s="27">
        <f>D110/(1+'Transmission Formula Rate (7)'!$B$27)</f>
        <v>21369.366715758471</v>
      </c>
      <c r="E112" s="27">
        <f>E110/(1+'Transmission Formula Rate (7)'!$B$27)</f>
        <v>19162.444771723123</v>
      </c>
      <c r="F112" s="27">
        <f>F110/(1+'Transmission Formula Rate (7)'!$B$27)</f>
        <v>22637.054491899853</v>
      </c>
      <c r="G112" s="27">
        <f>G110/(1+'Transmission Formula Rate (7)'!$B$27)</f>
        <v>27179.73490427099</v>
      </c>
      <c r="H112" s="27">
        <f>H110/(1+'Transmission Formula Rate (7)'!$B$27)</f>
        <v>26867.982326951402</v>
      </c>
      <c r="I112" s="27">
        <f>I110/(1+'Transmission Formula Rate (7)'!$B$27)</f>
        <v>18654.88463426608</v>
      </c>
      <c r="J112" s="27">
        <f>J110/(1+'Transmission Formula Rate (7)'!$B$27)</f>
        <v>24822.503681885126</v>
      </c>
      <c r="K112" s="27">
        <f>K110/(1+'Transmission Formula Rate (7)'!$B$27)</f>
        <v>21870.397643593522</v>
      </c>
      <c r="L112" s="27">
        <f>L110/(1+'Transmission Formula Rate (7)'!$B$27)</f>
        <v>25166.863033873346</v>
      </c>
      <c r="M112" s="27">
        <f>M110/(1+'Transmission Formula Rate (7)'!$B$27)</f>
        <v>22615.581737849781</v>
      </c>
      <c r="N112" s="123">
        <f>SUM(B112:M112)</f>
        <v>272344.17280314193</v>
      </c>
    </row>
    <row r="113" spans="1:14">
      <c r="A113" s="247" t="s">
        <v>143</v>
      </c>
      <c r="B113" s="31">
        <f>'charges (1 &amp; 2)'!I11</f>
        <v>1.274E-2</v>
      </c>
      <c r="C113" s="31">
        <f>B113</f>
        <v>1.274E-2</v>
      </c>
      <c r="D113" s="31">
        <f t="shared" ref="D113:M113" si="67">C113</f>
        <v>1.274E-2</v>
      </c>
      <c r="E113" s="31">
        <f t="shared" si="67"/>
        <v>1.274E-2</v>
      </c>
      <c r="F113" s="31">
        <f t="shared" si="67"/>
        <v>1.274E-2</v>
      </c>
      <c r="G113" s="31">
        <f t="shared" si="67"/>
        <v>1.274E-2</v>
      </c>
      <c r="H113" s="31">
        <f t="shared" si="67"/>
        <v>1.274E-2</v>
      </c>
      <c r="I113" s="31">
        <f t="shared" si="67"/>
        <v>1.274E-2</v>
      </c>
      <c r="J113" s="31">
        <f t="shared" si="67"/>
        <v>1.274E-2</v>
      </c>
      <c r="K113" s="31">
        <f t="shared" si="67"/>
        <v>1.274E-2</v>
      </c>
      <c r="L113" s="31">
        <f t="shared" si="67"/>
        <v>1.274E-2</v>
      </c>
      <c r="M113" s="31">
        <f t="shared" si="67"/>
        <v>1.274E-2</v>
      </c>
      <c r="N113" s="19"/>
    </row>
    <row r="114" spans="1:14">
      <c r="A114" s="247" t="s">
        <v>17</v>
      </c>
      <c r="B114" s="20">
        <f>B110*B113</f>
        <v>242.06</v>
      </c>
      <c r="C114" s="20">
        <f t="shared" ref="C114" si="68">C110*C113</f>
        <v>302.88470940000002</v>
      </c>
      <c r="D114" s="20">
        <f t="shared" ref="D114" si="69">D110*D113</f>
        <v>277.28227800000002</v>
      </c>
      <c r="E114" s="20">
        <f t="shared" ref="E114" si="70">E110*E113</f>
        <v>248.64594299999999</v>
      </c>
      <c r="F114" s="20">
        <f t="shared" ref="F114" si="71">F110*F113</f>
        <v>293.73140159999997</v>
      </c>
      <c r="G114" s="20">
        <f t="shared" ref="G114" si="72">G110*G113</f>
        <v>352.67581439999998</v>
      </c>
      <c r="H114" s="20">
        <f t="shared" ref="H114" si="73">H110*H113</f>
        <v>348.63060960000001</v>
      </c>
      <c r="I114" s="20">
        <f t="shared" ref="I114" si="74">I110*I113</f>
        <v>242.06</v>
      </c>
      <c r="J114" s="20">
        <f t="shared" ref="J114" si="75">J110*J113</f>
        <v>322.08911280000001</v>
      </c>
      <c r="K114" s="20">
        <f t="shared" ref="K114" si="76">K110*K113</f>
        <v>283.7835</v>
      </c>
      <c r="L114" s="20">
        <f t="shared" ref="L114" si="77">L110*L113</f>
        <v>326.557413</v>
      </c>
      <c r="M114" s="20">
        <f t="shared" ref="M114" si="78">M110*M113</f>
        <v>293.45277779999998</v>
      </c>
      <c r="N114" s="20">
        <f>SUM(B114:M114)</f>
        <v>3533.8535595999997</v>
      </c>
    </row>
  </sheetData>
  <pageMargins left="0.7" right="0.7" top="0.75" bottom="0.75" header="0.3" footer="0.3"/>
  <pageSetup scale="74" orientation="landscape" r:id="rId1"/>
  <rowBreaks count="2" manualBreakCount="2">
    <brk id="34" max="16383" man="1"/>
    <brk id="6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34" customWidth="1"/>
    <col min="2" max="2" width="10.88671875" style="234" customWidth="1"/>
    <col min="3" max="3" width="1.6640625" style="251" customWidth="1"/>
    <col min="4" max="16384" width="9" style="234"/>
  </cols>
  <sheetData>
    <row r="1" spans="2:18">
      <c r="B1" s="481" t="s">
        <v>478</v>
      </c>
    </row>
    <row r="2" spans="2:18">
      <c r="B2" s="481" t="s">
        <v>458</v>
      </c>
    </row>
    <row r="4" spans="2:18">
      <c r="B4" s="279" t="s">
        <v>429</v>
      </c>
    </row>
    <row r="5" spans="2:18">
      <c r="B5" s="234" t="s">
        <v>427</v>
      </c>
    </row>
    <row r="9" spans="2:18">
      <c r="B9" s="234" t="s">
        <v>190</v>
      </c>
      <c r="E9" s="283" t="s">
        <v>0</v>
      </c>
      <c r="F9" s="283" t="s">
        <v>1</v>
      </c>
      <c r="G9" s="283" t="s">
        <v>2</v>
      </c>
      <c r="H9" s="283" t="s">
        <v>3</v>
      </c>
      <c r="I9" s="283" t="s">
        <v>4</v>
      </c>
      <c r="J9" s="283" t="s">
        <v>5</v>
      </c>
      <c r="K9" s="283" t="s">
        <v>6</v>
      </c>
      <c r="L9" s="283" t="s">
        <v>7</v>
      </c>
      <c r="M9" s="283" t="s">
        <v>8</v>
      </c>
      <c r="N9" s="283" t="s">
        <v>9</v>
      </c>
      <c r="O9" s="283" t="s">
        <v>10</v>
      </c>
      <c r="P9" s="283" t="s">
        <v>11</v>
      </c>
      <c r="Q9" s="284" t="s">
        <v>12</v>
      </c>
    </row>
    <row r="10" spans="2:18">
      <c r="D10" s="236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5"/>
    </row>
    <row r="11" spans="2:18">
      <c r="D11" s="236"/>
      <c r="E11" s="237">
        <v>1</v>
      </c>
      <c r="F11" s="237">
        <v>2</v>
      </c>
      <c r="G11" s="237">
        <v>3</v>
      </c>
      <c r="H11" s="237">
        <v>4</v>
      </c>
      <c r="I11" s="237">
        <v>5</v>
      </c>
      <c r="J11" s="237">
        <v>6</v>
      </c>
      <c r="K11" s="237">
        <v>7</v>
      </c>
      <c r="L11" s="237">
        <v>8</v>
      </c>
      <c r="M11" s="237">
        <v>9</v>
      </c>
      <c r="N11" s="237">
        <v>10</v>
      </c>
      <c r="O11" s="237">
        <v>11</v>
      </c>
      <c r="P11" s="237">
        <v>12</v>
      </c>
      <c r="Q11" s="235"/>
    </row>
    <row r="12" spans="2:18">
      <c r="D12" s="236">
        <f>2016</f>
        <v>2016</v>
      </c>
      <c r="E12" s="237">
        <v>19000</v>
      </c>
      <c r="F12" s="237">
        <v>23774.31</v>
      </c>
      <c r="G12" s="237">
        <v>21764.7</v>
      </c>
      <c r="H12" s="237">
        <v>19516.95</v>
      </c>
      <c r="I12" s="237">
        <v>23055.84</v>
      </c>
      <c r="J12" s="237">
        <v>27682.560000000001</v>
      </c>
      <c r="K12" s="237">
        <v>27365.040000000001</v>
      </c>
      <c r="L12" s="237">
        <v>19000</v>
      </c>
      <c r="M12" s="237">
        <v>25281.72</v>
      </c>
      <c r="N12" s="237">
        <v>22275</v>
      </c>
      <c r="O12" s="237">
        <v>25632.45</v>
      </c>
      <c r="P12" s="237">
        <v>23033.97</v>
      </c>
      <c r="Q12" s="235">
        <f>SUM(E12:P12)</f>
        <v>277382.54000000004</v>
      </c>
    </row>
    <row r="13" spans="2:18">
      <c r="D13" s="236">
        <f>1+D12</f>
        <v>2017</v>
      </c>
      <c r="E13" s="237">
        <v>19000</v>
      </c>
      <c r="F13" s="237">
        <v>23774.31</v>
      </c>
      <c r="G13" s="237">
        <v>21764.7</v>
      </c>
      <c r="H13" s="237">
        <v>19516.95</v>
      </c>
      <c r="I13" s="237">
        <v>23055.84</v>
      </c>
      <c r="J13" s="237">
        <v>27682.560000000001</v>
      </c>
      <c r="K13" s="237">
        <v>27365.040000000001</v>
      </c>
      <c r="L13" s="237">
        <v>19000</v>
      </c>
      <c r="M13" s="237">
        <v>25281.72</v>
      </c>
      <c r="N13" s="237">
        <v>22275</v>
      </c>
      <c r="O13" s="237">
        <v>25632.45</v>
      </c>
      <c r="P13" s="237">
        <v>23033.97</v>
      </c>
      <c r="Q13" s="235">
        <f t="shared" ref="Q13:Q15" si="0">SUM(E13:P13)</f>
        <v>277382.54000000004</v>
      </c>
    </row>
    <row r="14" spans="2:18">
      <c r="D14" s="236">
        <f>1+D13</f>
        <v>2018</v>
      </c>
      <c r="E14" s="237">
        <v>19000</v>
      </c>
      <c r="F14" s="237">
        <v>23774.31</v>
      </c>
      <c r="G14" s="237">
        <v>21764.7</v>
      </c>
      <c r="H14" s="237">
        <v>19516.95</v>
      </c>
      <c r="I14" s="237">
        <v>23055.84</v>
      </c>
      <c r="J14" s="237">
        <v>27682.560000000001</v>
      </c>
      <c r="K14" s="237">
        <v>27365.040000000001</v>
      </c>
      <c r="L14" s="237">
        <v>19000</v>
      </c>
      <c r="M14" s="237">
        <v>25281.72</v>
      </c>
      <c r="N14" s="237">
        <v>22275</v>
      </c>
      <c r="O14" s="237">
        <v>25632.45</v>
      </c>
      <c r="P14" s="237">
        <v>23033.97</v>
      </c>
      <c r="Q14" s="235">
        <f t="shared" si="0"/>
        <v>277382.54000000004</v>
      </c>
      <c r="R14" s="335" t="s">
        <v>426</v>
      </c>
    </row>
    <row r="15" spans="2:18">
      <c r="D15" s="236">
        <f>1+D14</f>
        <v>2019</v>
      </c>
      <c r="E15" s="237">
        <v>19000</v>
      </c>
      <c r="F15" s="237">
        <v>23774.31</v>
      </c>
      <c r="G15" s="237">
        <v>21764.7</v>
      </c>
      <c r="H15" s="237">
        <v>19516.95</v>
      </c>
      <c r="I15" s="237">
        <v>23055.84</v>
      </c>
      <c r="J15" s="237">
        <v>27682.560000000001</v>
      </c>
      <c r="K15" s="237">
        <v>27365.040000000001</v>
      </c>
      <c r="L15" s="237">
        <v>19000</v>
      </c>
      <c r="M15" s="237">
        <v>25281.72</v>
      </c>
      <c r="N15" s="237">
        <v>22275</v>
      </c>
      <c r="O15" s="237">
        <v>25632.45</v>
      </c>
      <c r="P15" s="237">
        <v>23033.97</v>
      </c>
      <c r="Q15" s="235">
        <f t="shared" si="0"/>
        <v>277382.54000000004</v>
      </c>
    </row>
    <row r="16" spans="2:18">
      <c r="C16" s="252"/>
      <c r="D16" s="236">
        <f t="shared" ref="D16" si="1">1+D15</f>
        <v>2020</v>
      </c>
      <c r="E16" s="237">
        <v>19000</v>
      </c>
      <c r="F16" s="237">
        <v>23774.31</v>
      </c>
      <c r="G16" s="237">
        <v>21764.7</v>
      </c>
      <c r="H16" s="237">
        <v>19516.95</v>
      </c>
      <c r="I16" s="237">
        <v>23055.84</v>
      </c>
      <c r="J16" s="237">
        <v>27682.560000000001</v>
      </c>
      <c r="K16" s="237">
        <v>27365.040000000001</v>
      </c>
      <c r="L16" s="237">
        <v>19000</v>
      </c>
      <c r="M16" s="237">
        <v>25281.72</v>
      </c>
      <c r="N16" s="237">
        <v>22275</v>
      </c>
      <c r="O16" s="237">
        <v>25632.45</v>
      </c>
      <c r="P16" s="237">
        <v>23033.97</v>
      </c>
    </row>
    <row r="17" spans="3:8">
      <c r="C17" s="252"/>
      <c r="D17" s="236"/>
      <c r="E17" s="237"/>
      <c r="F17" s="237"/>
      <c r="G17" s="237"/>
      <c r="H17" s="237"/>
    </row>
    <row r="18" spans="3:8">
      <c r="C18" s="252"/>
      <c r="D18" s="279" t="s">
        <v>424</v>
      </c>
      <c r="E18" s="237"/>
      <c r="F18" s="237"/>
      <c r="G18" s="237"/>
      <c r="H18" s="237"/>
    </row>
    <row r="19" spans="3:8">
      <c r="C19" s="252"/>
      <c r="D19" s="279" t="s">
        <v>425</v>
      </c>
      <c r="E19" s="237"/>
      <c r="F19" s="237"/>
      <c r="G19" s="237"/>
      <c r="H19" s="237"/>
    </row>
    <row r="20" spans="3:8">
      <c r="C20" s="252"/>
      <c r="D20" s="237"/>
      <c r="E20" s="237"/>
      <c r="F20" s="237"/>
      <c r="G20" s="237"/>
      <c r="H20" s="237"/>
    </row>
    <row r="21" spans="3:8">
      <c r="C21" s="252"/>
      <c r="D21" s="237"/>
      <c r="E21" s="237"/>
      <c r="F21" s="237"/>
      <c r="G21" s="237"/>
      <c r="H21" s="237"/>
    </row>
    <row r="22" spans="3:8">
      <c r="C22" s="252"/>
      <c r="D22" s="237"/>
      <c r="E22" s="237"/>
      <c r="F22" s="237"/>
      <c r="G22" s="237"/>
      <c r="H22" s="237"/>
    </row>
    <row r="24" spans="3:8">
      <c r="C24" s="252"/>
      <c r="D24" s="237"/>
      <c r="E24" s="237"/>
      <c r="F24" s="237"/>
      <c r="G24" s="237"/>
      <c r="H24" s="237"/>
    </row>
    <row r="25" spans="3:8">
      <c r="C25" s="252"/>
      <c r="D25" s="237"/>
      <c r="E25" s="237"/>
      <c r="F25" s="237"/>
      <c r="G25" s="237"/>
      <c r="H25" s="237"/>
    </row>
    <row r="26" spans="3:8">
      <c r="C26" s="252"/>
      <c r="D26" s="237"/>
      <c r="E26" s="237"/>
      <c r="F26" s="237"/>
      <c r="G26" s="237"/>
      <c r="H26" s="237"/>
    </row>
    <row r="27" spans="3:8">
      <c r="C27" s="252"/>
      <c r="D27" s="237"/>
      <c r="E27" s="237"/>
      <c r="F27" s="237"/>
      <c r="G27" s="237"/>
      <c r="H27" s="237"/>
    </row>
    <row r="28" spans="3:8">
      <c r="C28" s="252"/>
      <c r="D28" s="237"/>
      <c r="E28" s="237"/>
      <c r="F28" s="237"/>
      <c r="G28" s="237"/>
      <c r="H28" s="237"/>
    </row>
    <row r="29" spans="3:8">
      <c r="C29" s="252"/>
      <c r="D29" s="237"/>
      <c r="E29" s="237"/>
      <c r="F29" s="237"/>
      <c r="G29" s="237"/>
      <c r="H29" s="237"/>
    </row>
    <row r="30" spans="3:8">
      <c r="C30" s="252"/>
      <c r="D30" s="237"/>
      <c r="E30" s="237"/>
      <c r="F30" s="237"/>
      <c r="G30" s="237"/>
      <c r="H30" s="237"/>
    </row>
    <row r="31" spans="3:8">
      <c r="C31" s="252"/>
      <c r="D31" s="237"/>
      <c r="E31" s="237"/>
      <c r="F31" s="237"/>
      <c r="G31" s="237"/>
      <c r="H31" s="237"/>
    </row>
    <row r="32" spans="3:8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0" spans="3:8">
      <c r="C40" s="252"/>
      <c r="D40" s="237"/>
      <c r="E40" s="237"/>
      <c r="F40" s="237"/>
      <c r="G40" s="237"/>
      <c r="H40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Q126"/>
  <sheetViews>
    <sheetView zoomScale="85" zoomScaleNormal="85" zoomScaleSheetLayoutView="100" workbookViewId="0">
      <selection activeCell="A2" sqref="A1:A2"/>
    </sheetView>
  </sheetViews>
  <sheetFormatPr defaultColWidth="9" defaultRowHeight="12"/>
  <cols>
    <col min="1" max="1" width="16.44140625" style="21" customWidth="1"/>
    <col min="2" max="2" width="11.21875" style="21" customWidth="1"/>
    <col min="3" max="3" width="9.77734375" style="21" customWidth="1"/>
    <col min="4" max="4" width="8.88671875" style="21" customWidth="1"/>
    <col min="5" max="5" width="9" style="21" customWidth="1"/>
    <col min="6" max="6" width="8.77734375" style="21" customWidth="1"/>
    <col min="7" max="7" width="9.21875" style="21" customWidth="1"/>
    <col min="8" max="8" width="9.33203125" style="21" customWidth="1"/>
    <col min="9" max="9" width="9" style="21" customWidth="1"/>
    <col min="10" max="10" width="9.21875" style="21" customWidth="1"/>
    <col min="11" max="11" width="11.21875" style="21" customWidth="1"/>
    <col min="12" max="12" width="9.109375" style="21" customWidth="1"/>
    <col min="13" max="13" width="9" style="21" customWidth="1"/>
    <col min="14" max="14" width="9.77734375" style="21" customWidth="1"/>
    <col min="15" max="16384" width="9" style="21"/>
  </cols>
  <sheetData>
    <row r="1" spans="1:16">
      <c r="A1" s="481" t="s">
        <v>479</v>
      </c>
    </row>
    <row r="2" spans="1:16">
      <c r="A2" s="481" t="s">
        <v>458</v>
      </c>
    </row>
    <row r="3" spans="1:16" s="15" customFormat="1" ht="13.8">
      <c r="A3" s="21"/>
      <c r="B3" s="13">
        <f ca="1">TRUNC(NOW())</f>
        <v>42476</v>
      </c>
      <c r="C3" s="14"/>
      <c r="D3" s="16" t="s">
        <v>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16"/>
      <c r="B4" s="17">
        <f ca="1">NOW()</f>
        <v>42476.370215393516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4"/>
      <c r="O4" s="14"/>
      <c r="P4" s="14"/>
    </row>
    <row r="5" spans="1:16" s="15" customFormat="1" ht="13.8">
      <c r="A5" s="33" t="s">
        <v>181</v>
      </c>
      <c r="B5" s="14"/>
      <c r="C5" s="14"/>
      <c r="D5" s="14"/>
      <c r="G5" s="14"/>
      <c r="H5" s="14"/>
      <c r="I5" s="14"/>
      <c r="J5" s="14"/>
      <c r="K5" s="14"/>
      <c r="L5" s="14"/>
      <c r="M5" s="14"/>
      <c r="O5" s="14"/>
      <c r="P5" s="14"/>
    </row>
    <row r="6" spans="1:16" s="15" customFormat="1" ht="13.8">
      <c r="A6" s="22"/>
      <c r="B6" s="238">
        <v>1</v>
      </c>
      <c r="C6" s="238">
        <f>1+B6</f>
        <v>2</v>
      </c>
      <c r="D6" s="238">
        <f t="shared" ref="D6:M6" si="0">1+C6</f>
        <v>3</v>
      </c>
      <c r="E6" s="238">
        <f t="shared" si="0"/>
        <v>4</v>
      </c>
      <c r="F6" s="238">
        <f t="shared" si="0"/>
        <v>5</v>
      </c>
      <c r="G6" s="238">
        <f t="shared" si="0"/>
        <v>6</v>
      </c>
      <c r="H6" s="238">
        <f t="shared" si="0"/>
        <v>7</v>
      </c>
      <c r="I6" s="238">
        <f t="shared" si="0"/>
        <v>8</v>
      </c>
      <c r="J6" s="238">
        <f t="shared" si="0"/>
        <v>9</v>
      </c>
      <c r="K6" s="238">
        <f t="shared" si="0"/>
        <v>10</v>
      </c>
      <c r="L6" s="238">
        <f t="shared" si="0"/>
        <v>11</v>
      </c>
      <c r="M6" s="238">
        <f t="shared" si="0"/>
        <v>12</v>
      </c>
    </row>
    <row r="7" spans="1:16" s="19" customFormat="1" ht="10.199999999999999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s="19" customFormat="1" ht="10.199999999999999">
      <c r="A8" s="25"/>
      <c r="B8" s="23" t="s">
        <v>0</v>
      </c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  <c r="J8" s="23" t="s">
        <v>8</v>
      </c>
      <c r="K8" s="23" t="s">
        <v>9</v>
      </c>
      <c r="L8" s="23" t="s">
        <v>10</v>
      </c>
      <c r="M8" s="23" t="s">
        <v>11</v>
      </c>
      <c r="N8" s="23" t="s">
        <v>12</v>
      </c>
    </row>
    <row r="9" spans="1:16" s="19" customFormat="1" ht="10.199999999999999">
      <c r="A9" s="24">
        <v>2014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6" s="19" customFormat="1" ht="10.199999999999999">
      <c r="A10" s="25" t="s">
        <v>37</v>
      </c>
    </row>
    <row r="11" spans="1:16" s="28" customFormat="1" ht="10.199999999999999">
      <c r="A11" s="26" t="s">
        <v>47</v>
      </c>
      <c r="B11" s="266">
        <f>'LCEC Forecast'!D8</f>
        <v>180000</v>
      </c>
      <c r="C11" s="266">
        <f>'LCEC Forecast'!D9</f>
        <v>760000</v>
      </c>
      <c r="D11" s="266">
        <f>'LCEC Forecast'!D10</f>
        <v>556000</v>
      </c>
      <c r="E11" s="266">
        <f>'LCEC Forecast'!D11</f>
        <v>586000</v>
      </c>
      <c r="F11" s="266">
        <f>'LCEC Forecast'!D12</f>
        <v>711000</v>
      </c>
      <c r="G11" s="266">
        <f>'LCEC Forecast'!D13</f>
        <v>728000</v>
      </c>
      <c r="H11" s="266">
        <f>'LCEC Forecast'!D14</f>
        <v>781000</v>
      </c>
      <c r="I11" s="266">
        <f>'LCEC Forecast'!D15</f>
        <v>725000</v>
      </c>
      <c r="J11" s="266">
        <f>'LCEC Forecast'!D16</f>
        <v>829000</v>
      </c>
      <c r="K11" s="266">
        <f>'LCEC Forecast'!D17</f>
        <v>701000</v>
      </c>
      <c r="L11" s="266">
        <f>'LCEC Forecast'!D18</f>
        <v>760000</v>
      </c>
      <c r="M11" s="266">
        <f>'LCEC Forecast'!D19</f>
        <v>598000</v>
      </c>
      <c r="N11" s="20">
        <f>SUM(B11:M11)</f>
        <v>7915000</v>
      </c>
    </row>
    <row r="12" spans="1:16" s="28" customFormat="1" ht="10.199999999999999">
      <c r="A12" s="26" t="s">
        <v>45</v>
      </c>
      <c r="B12" s="27">
        <f>ROUND(B11*'Transmission Formula Rate (7)'!$B$27,0)</f>
        <v>3330</v>
      </c>
      <c r="C12" s="27">
        <f>ROUND(C11*'Transmission Formula Rate (7)'!$B$27,0)</f>
        <v>14060</v>
      </c>
      <c r="D12" s="27">
        <f>ROUND(D11*'Transmission Formula Rate (7)'!$B$27,0)</f>
        <v>10286</v>
      </c>
      <c r="E12" s="27">
        <f>ROUND(E11*'Transmission Formula Rate (7)'!$B$27,0)</f>
        <v>10841</v>
      </c>
      <c r="F12" s="27">
        <f>ROUND(F11*'Transmission Formula Rate (7)'!$B$27,0)</f>
        <v>13154</v>
      </c>
      <c r="G12" s="27">
        <f>ROUND(G11*'Transmission Formula Rate (7)'!$B$27,0)</f>
        <v>13468</v>
      </c>
      <c r="H12" s="27">
        <f>ROUND(H11*'Transmission Formula Rate (7)'!$B$27,0)</f>
        <v>14449</v>
      </c>
      <c r="I12" s="27">
        <f>ROUND(I11*'Transmission Formula Rate (7)'!$B$27,0)</f>
        <v>13413</v>
      </c>
      <c r="J12" s="27">
        <f>ROUND(J11*'Transmission Formula Rate (7)'!$B$27,0)</f>
        <v>15337</v>
      </c>
      <c r="K12" s="27">
        <f>ROUND(K11*'Transmission Formula Rate (7)'!$B$27,0)</f>
        <v>12969</v>
      </c>
      <c r="L12" s="27">
        <f>ROUND(L11*'Transmission Formula Rate (7)'!$B$27,0)</f>
        <v>14060</v>
      </c>
      <c r="M12" s="27">
        <f>ROUND(M11*'Transmission Formula Rate (7)'!$B$27,0)</f>
        <v>11063</v>
      </c>
      <c r="N12" s="20">
        <f>SUM(B12:M12)</f>
        <v>146430</v>
      </c>
    </row>
    <row r="13" spans="1:16" s="28" customFormat="1" ht="10.199999999999999">
      <c r="A13" s="26" t="s">
        <v>80</v>
      </c>
      <c r="B13" s="27">
        <f>B11+B12</f>
        <v>183330</v>
      </c>
      <c r="C13" s="27">
        <f t="shared" ref="C13:L13" si="1">C11+C12</f>
        <v>774060</v>
      </c>
      <c r="D13" s="27">
        <f t="shared" si="1"/>
        <v>566286</v>
      </c>
      <c r="E13" s="27">
        <f t="shared" si="1"/>
        <v>596841</v>
      </c>
      <c r="F13" s="27">
        <f t="shared" si="1"/>
        <v>724154</v>
      </c>
      <c r="G13" s="27">
        <f t="shared" si="1"/>
        <v>741468</v>
      </c>
      <c r="H13" s="27">
        <f t="shared" si="1"/>
        <v>795449</v>
      </c>
      <c r="I13" s="27">
        <f t="shared" si="1"/>
        <v>738413</v>
      </c>
      <c r="J13" s="27">
        <f t="shared" si="1"/>
        <v>844337</v>
      </c>
      <c r="K13" s="27">
        <f t="shared" si="1"/>
        <v>713969</v>
      </c>
      <c r="L13" s="27">
        <f t="shared" si="1"/>
        <v>774060</v>
      </c>
      <c r="M13" s="27">
        <f>M11+M12</f>
        <v>609063</v>
      </c>
      <c r="N13" s="123">
        <f>SUM(B13:M13)</f>
        <v>8061430</v>
      </c>
    </row>
    <row r="14" spans="1:16" s="19" customFormat="1" ht="10.199999999999999">
      <c r="A14" s="25" t="s">
        <v>20</v>
      </c>
      <c r="B14" s="29">
        <f>'Transmission Formula Rate (7)'!B8</f>
        <v>1.59</v>
      </c>
      <c r="C14" s="29">
        <f>'Transmission Formula Rate (7)'!C8</f>
        <v>1.59</v>
      </c>
      <c r="D14" s="29">
        <f>'Transmission Formula Rate (7)'!D8</f>
        <v>1.59</v>
      </c>
      <c r="E14" s="29">
        <f>'Transmission Formula Rate (7)'!E8</f>
        <v>1.59</v>
      </c>
      <c r="F14" s="29">
        <f>'Transmission Formula Rate (7)'!F8</f>
        <v>1.59</v>
      </c>
      <c r="G14" s="29">
        <f>'Transmission Formula Rate (7)'!G8</f>
        <v>1.59</v>
      </c>
      <c r="H14" s="29">
        <f>'Transmission Formula Rate (7)'!H8</f>
        <v>1.59</v>
      </c>
      <c r="I14" s="29">
        <f>'Transmission Formula Rate (7)'!I8</f>
        <v>1.59</v>
      </c>
      <c r="J14" s="29">
        <f>'Transmission Formula Rate (7)'!J8</f>
        <v>1.59</v>
      </c>
      <c r="K14" s="29">
        <f>'Transmission Formula Rate (7)'!K8</f>
        <v>1.59</v>
      </c>
      <c r="L14" s="29">
        <f>'Transmission Formula Rate (7)'!L8</f>
        <v>1.59</v>
      </c>
      <c r="M14" s="29">
        <f>'Transmission Formula Rate (7)'!M8</f>
        <v>1.59</v>
      </c>
    </row>
    <row r="15" spans="1:16" s="19" customFormat="1" ht="10.199999999999999">
      <c r="A15" s="25" t="s">
        <v>17</v>
      </c>
      <c r="B15" s="20">
        <f t="shared" ref="B15:M15" si="2">B13*B14</f>
        <v>291494.7</v>
      </c>
      <c r="C15" s="20">
        <f t="shared" si="2"/>
        <v>1230755.4000000001</v>
      </c>
      <c r="D15" s="20">
        <f t="shared" si="2"/>
        <v>900394.74</v>
      </c>
      <c r="E15" s="20">
        <f t="shared" si="2"/>
        <v>948977.19000000006</v>
      </c>
      <c r="F15" s="20">
        <f t="shared" si="2"/>
        <v>1151404.8600000001</v>
      </c>
      <c r="G15" s="20">
        <f t="shared" si="2"/>
        <v>1178934.1200000001</v>
      </c>
      <c r="H15" s="20">
        <f t="shared" si="2"/>
        <v>1264763.9100000001</v>
      </c>
      <c r="I15" s="20">
        <f t="shared" si="2"/>
        <v>1174076.6700000002</v>
      </c>
      <c r="J15" s="20">
        <f t="shared" si="2"/>
        <v>1342495.83</v>
      </c>
      <c r="K15" s="20">
        <f t="shared" si="2"/>
        <v>1135210.71</v>
      </c>
      <c r="L15" s="20">
        <f t="shared" si="2"/>
        <v>1230755.4000000001</v>
      </c>
      <c r="M15" s="20">
        <f t="shared" si="2"/>
        <v>968410.17</v>
      </c>
      <c r="N15" s="20">
        <f>SUM(B15:M15)</f>
        <v>12817673.699999999</v>
      </c>
    </row>
    <row r="16" spans="1:16" s="19" customFormat="1" ht="10.199999999999999">
      <c r="O16" s="269"/>
    </row>
    <row r="17" spans="1:17" s="19" customFormat="1" ht="10.199999999999999">
      <c r="A17" s="25"/>
      <c r="B17" s="23" t="s">
        <v>0</v>
      </c>
      <c r="C17" s="23" t="s">
        <v>1</v>
      </c>
      <c r="D17" s="23" t="s">
        <v>2</v>
      </c>
      <c r="E17" s="23" t="s">
        <v>3</v>
      </c>
      <c r="F17" s="23" t="s">
        <v>4</v>
      </c>
      <c r="G17" s="23" t="s">
        <v>5</v>
      </c>
      <c r="H17" s="23" t="s">
        <v>6</v>
      </c>
      <c r="I17" s="23" t="s">
        <v>7</v>
      </c>
      <c r="J17" s="23" t="s">
        <v>8</v>
      </c>
      <c r="K17" s="23" t="s">
        <v>9</v>
      </c>
      <c r="L17" s="23" t="s">
        <v>10</v>
      </c>
      <c r="M17" s="23" t="s">
        <v>11</v>
      </c>
      <c r="N17" s="23" t="s">
        <v>12</v>
      </c>
      <c r="Q17" s="267"/>
    </row>
    <row r="18" spans="1:17" s="19" customFormat="1" ht="10.199999999999999">
      <c r="A18" s="24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7" s="19" customFormat="1" ht="10.199999999999999">
      <c r="A19" s="25" t="s">
        <v>135</v>
      </c>
    </row>
    <row r="20" spans="1:17" s="19" customFormat="1" ht="10.199999999999999">
      <c r="A20" s="26" t="s">
        <v>47</v>
      </c>
      <c r="B20" s="266">
        <f>B11</f>
        <v>180000</v>
      </c>
      <c r="C20" s="266">
        <f t="shared" ref="C20:M20" si="3">C11</f>
        <v>760000</v>
      </c>
      <c r="D20" s="266">
        <f t="shared" si="3"/>
        <v>556000</v>
      </c>
      <c r="E20" s="266">
        <f t="shared" si="3"/>
        <v>586000</v>
      </c>
      <c r="F20" s="266">
        <f t="shared" si="3"/>
        <v>711000</v>
      </c>
      <c r="G20" s="266">
        <f t="shared" si="3"/>
        <v>728000</v>
      </c>
      <c r="H20" s="266">
        <f t="shared" si="3"/>
        <v>781000</v>
      </c>
      <c r="I20" s="266">
        <f t="shared" si="3"/>
        <v>725000</v>
      </c>
      <c r="J20" s="266">
        <f t="shared" si="3"/>
        <v>829000</v>
      </c>
      <c r="K20" s="266">
        <f t="shared" si="3"/>
        <v>701000</v>
      </c>
      <c r="L20" s="266">
        <f t="shared" si="3"/>
        <v>760000</v>
      </c>
      <c r="M20" s="266">
        <f t="shared" si="3"/>
        <v>598000</v>
      </c>
      <c r="N20" s="20">
        <f>SUM(B20:M20)</f>
        <v>7915000</v>
      </c>
    </row>
    <row r="21" spans="1:17" s="19" customFormat="1" ht="10.199999999999999">
      <c r="A21" s="26" t="s">
        <v>45</v>
      </c>
      <c r="B21" s="27">
        <f>ROUND(B20*'Transmission Formula Rate (7)'!$B$27,0)</f>
        <v>3330</v>
      </c>
      <c r="C21" s="27">
        <f>ROUND(C20*'Transmission Formula Rate (7)'!$B$27,0)</f>
        <v>14060</v>
      </c>
      <c r="D21" s="27">
        <f>ROUND(D20*'Transmission Formula Rate (7)'!$B$27,0)</f>
        <v>10286</v>
      </c>
      <c r="E21" s="27">
        <f>ROUND(E20*'Transmission Formula Rate (7)'!$B$27,0)</f>
        <v>10841</v>
      </c>
      <c r="F21" s="27">
        <f>ROUND(F20*'Transmission Formula Rate (7)'!$B$27,0)</f>
        <v>13154</v>
      </c>
      <c r="G21" s="27">
        <f>ROUND(G20*'Transmission Formula Rate (7)'!$B$27,0)</f>
        <v>13468</v>
      </c>
      <c r="H21" s="27">
        <f>ROUND(H20*'Transmission Formula Rate (7)'!$B$27,0)</f>
        <v>14449</v>
      </c>
      <c r="I21" s="27">
        <f>ROUND(I20*'Transmission Formula Rate (7)'!$B$27,0)</f>
        <v>13413</v>
      </c>
      <c r="J21" s="27">
        <f>ROUND(J20*'Transmission Formula Rate (7)'!$B$27,0)</f>
        <v>15337</v>
      </c>
      <c r="K21" s="27">
        <f>ROUND(K20*'Transmission Formula Rate (7)'!$B$27,0)</f>
        <v>12969</v>
      </c>
      <c r="L21" s="27">
        <f>ROUND(L20*'Transmission Formula Rate (7)'!$B$27,0)</f>
        <v>14060</v>
      </c>
      <c r="M21" s="27">
        <f>ROUND(M20*'Transmission Formula Rate (7)'!$B$27,0)</f>
        <v>11063</v>
      </c>
      <c r="N21" s="20">
        <f>SUM(B21:M21)</f>
        <v>146430</v>
      </c>
    </row>
    <row r="22" spans="1:17" s="19" customFormat="1" ht="10.199999999999999">
      <c r="A22" s="26" t="s">
        <v>80</v>
      </c>
      <c r="B22" s="27">
        <f t="shared" ref="B22:M22" si="4">B20+B21</f>
        <v>183330</v>
      </c>
      <c r="C22" s="27">
        <f t="shared" si="4"/>
        <v>774060</v>
      </c>
      <c r="D22" s="27">
        <f t="shared" si="4"/>
        <v>566286</v>
      </c>
      <c r="E22" s="27">
        <f t="shared" si="4"/>
        <v>596841</v>
      </c>
      <c r="F22" s="27">
        <f t="shared" si="4"/>
        <v>724154</v>
      </c>
      <c r="G22" s="27">
        <f t="shared" si="4"/>
        <v>741468</v>
      </c>
      <c r="H22" s="27">
        <f t="shared" si="4"/>
        <v>795449</v>
      </c>
      <c r="I22" s="27">
        <f t="shared" si="4"/>
        <v>738413</v>
      </c>
      <c r="J22" s="27">
        <f t="shared" si="4"/>
        <v>844337</v>
      </c>
      <c r="K22" s="27">
        <f t="shared" si="4"/>
        <v>713969</v>
      </c>
      <c r="L22" s="27">
        <f t="shared" si="4"/>
        <v>774060</v>
      </c>
      <c r="M22" s="27">
        <f t="shared" si="4"/>
        <v>609063</v>
      </c>
      <c r="N22" s="123">
        <f>SUM(B22:M22)</f>
        <v>8061430</v>
      </c>
    </row>
    <row r="23" spans="1:17" s="19" customFormat="1" ht="10.199999999999999">
      <c r="A23" s="25" t="s">
        <v>143</v>
      </c>
      <c r="B23" s="31">
        <f>'charges (1 &amp; 2)'!$D$32</f>
        <v>1.274E-2</v>
      </c>
      <c r="C23" s="31">
        <f>'charges (1 &amp; 2)'!$D$32</f>
        <v>1.274E-2</v>
      </c>
      <c r="D23" s="31">
        <f>'charges (1 &amp; 2)'!$D$32</f>
        <v>1.274E-2</v>
      </c>
      <c r="E23" s="31">
        <f>'charges (1 &amp; 2)'!$D$32</f>
        <v>1.274E-2</v>
      </c>
      <c r="F23" s="31">
        <f>'charges (1 &amp; 2)'!$D$32</f>
        <v>1.274E-2</v>
      </c>
      <c r="G23" s="31">
        <f>'charges (1 &amp; 2)'!$D$32</f>
        <v>1.274E-2</v>
      </c>
      <c r="H23" s="31">
        <f>'charges (1 &amp; 2)'!$D$32</f>
        <v>1.274E-2</v>
      </c>
      <c r="I23" s="31">
        <f>'charges (1 &amp; 2)'!$D$32</f>
        <v>1.274E-2</v>
      </c>
      <c r="J23" s="31">
        <f>'charges (1 &amp; 2)'!$D$32</f>
        <v>1.274E-2</v>
      </c>
      <c r="K23" s="31">
        <f>'charges (1 &amp; 2)'!$D$32</f>
        <v>1.274E-2</v>
      </c>
      <c r="L23" s="31">
        <f>'charges (1 &amp; 2)'!$D$32</f>
        <v>1.274E-2</v>
      </c>
      <c r="M23" s="31">
        <f>'charges (1 &amp; 2)'!$D$32</f>
        <v>1.274E-2</v>
      </c>
    </row>
    <row r="24" spans="1:17" s="19" customFormat="1" ht="10.199999999999999">
      <c r="A24" s="25" t="s">
        <v>17</v>
      </c>
      <c r="B24" s="20">
        <f t="shared" ref="B24:M24" si="5">B22*B23</f>
        <v>2335.6241999999997</v>
      </c>
      <c r="C24" s="20">
        <f t="shared" si="5"/>
        <v>9861.5244000000002</v>
      </c>
      <c r="D24" s="20">
        <f t="shared" si="5"/>
        <v>7214.4836399999995</v>
      </c>
      <c r="E24" s="20">
        <f t="shared" si="5"/>
        <v>7603.7543399999995</v>
      </c>
      <c r="F24" s="20">
        <f t="shared" si="5"/>
        <v>9225.7219599999989</v>
      </c>
      <c r="G24" s="20">
        <f t="shared" si="5"/>
        <v>9446.3023199999989</v>
      </c>
      <c r="H24" s="20">
        <f t="shared" si="5"/>
        <v>10134.020259999999</v>
      </c>
      <c r="I24" s="20">
        <f t="shared" si="5"/>
        <v>9407.3816200000001</v>
      </c>
      <c r="J24" s="20">
        <f t="shared" si="5"/>
        <v>10756.85338</v>
      </c>
      <c r="K24" s="20">
        <f t="shared" si="5"/>
        <v>9095.9650600000004</v>
      </c>
      <c r="L24" s="20">
        <f t="shared" si="5"/>
        <v>9861.5244000000002</v>
      </c>
      <c r="M24" s="20">
        <f t="shared" si="5"/>
        <v>7759.4626199999993</v>
      </c>
      <c r="N24" s="20">
        <f>SUM(B24:M24)</f>
        <v>102702.61820000001</v>
      </c>
    </row>
    <row r="25" spans="1:17" s="19" customFormat="1" ht="10.199999999999999"/>
    <row r="26" spans="1:17" s="19" customFormat="1" ht="10.199999999999999">
      <c r="A26" s="25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7" s="19" customFormat="1" ht="10.199999999999999">
      <c r="A27" s="25"/>
      <c r="B27" s="23" t="s">
        <v>0</v>
      </c>
      <c r="C27" s="23" t="s">
        <v>1</v>
      </c>
      <c r="D27" s="23" t="s">
        <v>2</v>
      </c>
      <c r="E27" s="23" t="s">
        <v>3</v>
      </c>
      <c r="F27" s="23" t="s">
        <v>4</v>
      </c>
      <c r="G27" s="23" t="s">
        <v>5</v>
      </c>
      <c r="H27" s="23" t="s">
        <v>6</v>
      </c>
      <c r="I27" s="23" t="s">
        <v>7</v>
      </c>
      <c r="J27" s="23" t="s">
        <v>8</v>
      </c>
      <c r="K27" s="23" t="s">
        <v>9</v>
      </c>
      <c r="L27" s="23" t="s">
        <v>10</v>
      </c>
      <c r="M27" s="23" t="s">
        <v>11</v>
      </c>
      <c r="N27" s="23" t="s">
        <v>12</v>
      </c>
    </row>
    <row r="28" spans="1:17" s="19" customFormat="1" ht="10.199999999999999">
      <c r="A28" s="24">
        <f>+A9+1</f>
        <v>2015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19" customFormat="1" ht="10.199999999999999">
      <c r="A29" s="25" t="s">
        <v>37</v>
      </c>
    </row>
    <row r="30" spans="1:17" s="28" customFormat="1" ht="10.199999999999999">
      <c r="A30" s="26" t="s">
        <v>80</v>
      </c>
      <c r="B30" s="266">
        <f>'LCEC Forecast'!E8</f>
        <v>557000</v>
      </c>
      <c r="C30" s="266">
        <f>'LCEC Forecast'!E9</f>
        <v>586000</v>
      </c>
      <c r="D30" s="266">
        <f>'LCEC Forecast'!E10</f>
        <v>907000</v>
      </c>
      <c r="E30" s="266">
        <f>'LCEC Forecast'!E11</f>
        <v>688000</v>
      </c>
      <c r="F30" s="266">
        <f>'LCEC Forecast'!E12</f>
        <v>787000</v>
      </c>
      <c r="G30" s="266">
        <f>'LCEC Forecast'!E13</f>
        <v>761000</v>
      </c>
      <c r="H30" s="266">
        <f>'LCEC Forecast'!E14</f>
        <v>836000</v>
      </c>
      <c r="I30" s="266">
        <f>'LCEC Forecast'!E15</f>
        <v>746000</v>
      </c>
      <c r="J30" s="266">
        <f>'LCEC Forecast'!E16</f>
        <v>768413.22194028518</v>
      </c>
      <c r="K30" s="266">
        <f>'LCEC Forecast'!E17</f>
        <v>659508.4951388113</v>
      </c>
      <c r="L30" s="266">
        <f>'LCEC Forecast'!E18</f>
        <v>681279.73337934481</v>
      </c>
      <c r="M30" s="266">
        <f>'LCEC Forecast'!E19</f>
        <v>607859.771666824</v>
      </c>
      <c r="N30" s="20">
        <f>SUM(B30:M30)</f>
        <v>8585061.2221252657</v>
      </c>
    </row>
    <row r="31" spans="1:17" s="28" customFormat="1" ht="10.199999999999999">
      <c r="A31" s="26" t="s">
        <v>45</v>
      </c>
      <c r="B31" s="27">
        <f>B30-B32</f>
        <v>10117.329405989149</v>
      </c>
      <c r="C31" s="27">
        <f t="shared" ref="C31:M31" si="6">C30-C32</f>
        <v>10644.084437898826</v>
      </c>
      <c r="D31" s="27">
        <f t="shared" si="6"/>
        <v>16474.717722140369</v>
      </c>
      <c r="E31" s="27">
        <f t="shared" si="6"/>
        <v>12496.809032891528</v>
      </c>
      <c r="F31" s="27">
        <f t="shared" si="6"/>
        <v>14295.041728031356</v>
      </c>
      <c r="G31" s="27">
        <f t="shared" si="6"/>
        <v>13822.778595974436</v>
      </c>
      <c r="H31" s="27">
        <f t="shared" si="6"/>
        <v>15185.076092292555</v>
      </c>
      <c r="I31" s="27">
        <f t="shared" si="6"/>
        <v>13550.319096710766</v>
      </c>
      <c r="J31" s="27">
        <f t="shared" si="6"/>
        <v>13957.432111826492</v>
      </c>
      <c r="K31" s="27">
        <f t="shared" si="6"/>
        <v>11979.290289708413</v>
      </c>
      <c r="L31" s="27">
        <f t="shared" si="6"/>
        <v>12374.742334332666</v>
      </c>
      <c r="M31" s="27">
        <f t="shared" si="6"/>
        <v>11041.144600722822</v>
      </c>
      <c r="N31" s="20">
        <f>SUM(B31:M31)</f>
        <v>155938.76544851938</v>
      </c>
    </row>
    <row r="32" spans="1:17" s="28" customFormat="1" ht="10.199999999999999">
      <c r="A32" s="26" t="s">
        <v>47</v>
      </c>
      <c r="B32" s="27">
        <f>B30/(1+'Transmission Formula Rate (7)'!$B$27)</f>
        <v>546882.67059401085</v>
      </c>
      <c r="C32" s="27">
        <f>C30/(1+'Transmission Formula Rate (7)'!$B$27)</f>
        <v>575355.91556210117</v>
      </c>
      <c r="D32" s="27">
        <f>D30/(1+'Transmission Formula Rate (7)'!$B$27)</f>
        <v>890525.28227785963</v>
      </c>
      <c r="E32" s="27">
        <f>E30/(1+'Transmission Formula Rate (7)'!$B$27)</f>
        <v>675503.19096710847</v>
      </c>
      <c r="F32" s="27">
        <f>F30/(1+'Transmission Formula Rate (7)'!$B$27)</f>
        <v>772704.95827196864</v>
      </c>
      <c r="G32" s="27">
        <f>G30/(1+'Transmission Formula Rate (7)'!$B$27)</f>
        <v>747177.22140402556</v>
      </c>
      <c r="H32" s="27">
        <f>H30/(1+'Transmission Formula Rate (7)'!$B$27)</f>
        <v>820814.92390770745</v>
      </c>
      <c r="I32" s="27">
        <f>I30/(1+'Transmission Formula Rate (7)'!$B$27)</f>
        <v>732449.68090328923</v>
      </c>
      <c r="J32" s="27">
        <f>J30/(1+'Transmission Formula Rate (7)'!$B$27)</f>
        <v>754455.78982845868</v>
      </c>
      <c r="K32" s="27">
        <f>K30/(1+'Transmission Formula Rate (7)'!$B$27)</f>
        <v>647529.20484910288</v>
      </c>
      <c r="L32" s="27">
        <f>L30/(1+'Transmission Formula Rate (7)'!$B$27)</f>
        <v>668904.99104501214</v>
      </c>
      <c r="M32" s="27">
        <f>M30/(1+'Transmission Formula Rate (7)'!$B$27)</f>
        <v>596818.62706610118</v>
      </c>
      <c r="N32" s="123">
        <f>SUM(B32:M32)</f>
        <v>8429122.4566767458</v>
      </c>
    </row>
    <row r="33" spans="1:14" s="19" customFormat="1" ht="10.199999999999999">
      <c r="A33" s="25" t="s">
        <v>20</v>
      </c>
      <c r="B33" s="29">
        <f>'Transmission Formula Rate (7)'!B10</f>
        <v>1.59</v>
      </c>
      <c r="C33" s="29">
        <f>'Transmission Formula Rate (7)'!C10</f>
        <v>1.59</v>
      </c>
      <c r="D33" s="29">
        <f>'Transmission Formula Rate (7)'!D10</f>
        <v>1.59</v>
      </c>
      <c r="E33" s="29">
        <f>'Transmission Formula Rate (7)'!E10</f>
        <v>1.59</v>
      </c>
      <c r="F33" s="29">
        <f>'Transmission Formula Rate (7)'!F10</f>
        <v>1.59</v>
      </c>
      <c r="G33" s="29">
        <f>'Transmission Formula Rate (7)'!G10</f>
        <v>1.59</v>
      </c>
      <c r="H33" s="29">
        <f>'Transmission Formula Rate (7)'!H10</f>
        <v>1.59</v>
      </c>
      <c r="I33" s="29">
        <f>'Transmission Formula Rate (7)'!I10</f>
        <v>1.59</v>
      </c>
      <c r="J33" s="29">
        <f>'Transmission Formula Rate (7)'!J10</f>
        <v>1.59</v>
      </c>
      <c r="K33" s="29">
        <f>'Transmission Formula Rate (7)'!K10</f>
        <v>1.59</v>
      </c>
      <c r="L33" s="29">
        <f>'Transmission Formula Rate (7)'!L10</f>
        <v>1.59</v>
      </c>
      <c r="M33" s="29">
        <f>'Transmission Formula Rate (7)'!M10</f>
        <v>1.59</v>
      </c>
    </row>
    <row r="34" spans="1:14" s="19" customFormat="1" ht="10.199999999999999">
      <c r="A34" s="25" t="s">
        <v>17</v>
      </c>
      <c r="B34" s="20">
        <f>B30*B33</f>
        <v>885630</v>
      </c>
      <c r="C34" s="20">
        <f t="shared" ref="C34:M34" si="7">C30*C33</f>
        <v>931740</v>
      </c>
      <c r="D34" s="20">
        <f t="shared" si="7"/>
        <v>1442130</v>
      </c>
      <c r="E34" s="20">
        <f t="shared" si="7"/>
        <v>1093920</v>
      </c>
      <c r="F34" s="20">
        <f t="shared" si="7"/>
        <v>1251330</v>
      </c>
      <c r="G34" s="20">
        <f t="shared" si="7"/>
        <v>1209990</v>
      </c>
      <c r="H34" s="20">
        <f t="shared" si="7"/>
        <v>1329240</v>
      </c>
      <c r="I34" s="20">
        <f t="shared" si="7"/>
        <v>1186140</v>
      </c>
      <c r="J34" s="20">
        <f t="shared" si="7"/>
        <v>1221777.0228850534</v>
      </c>
      <c r="K34" s="20">
        <f t="shared" si="7"/>
        <v>1048618.5072707101</v>
      </c>
      <c r="L34" s="20">
        <f t="shared" si="7"/>
        <v>1083234.7760731583</v>
      </c>
      <c r="M34" s="20">
        <f t="shared" si="7"/>
        <v>966497.03695025016</v>
      </c>
      <c r="N34" s="20">
        <f>SUM(B34:M34)</f>
        <v>13650247.343179174</v>
      </c>
    </row>
    <row r="35" spans="1:14" s="19" customFormat="1" ht="10.199999999999999"/>
    <row r="36" spans="1:14" s="19" customFormat="1" ht="10.199999999999999">
      <c r="A36" s="25" t="s">
        <v>135</v>
      </c>
    </row>
    <row r="37" spans="1:14" s="19" customFormat="1" ht="10.199999999999999">
      <c r="A37" s="26" t="s">
        <v>80</v>
      </c>
      <c r="B37" s="266">
        <f>B30</f>
        <v>557000</v>
      </c>
      <c r="C37" s="266">
        <f t="shared" ref="C37:M37" si="8">C30</f>
        <v>586000</v>
      </c>
      <c r="D37" s="266">
        <f t="shared" si="8"/>
        <v>907000</v>
      </c>
      <c r="E37" s="266">
        <f t="shared" si="8"/>
        <v>688000</v>
      </c>
      <c r="F37" s="266">
        <f t="shared" si="8"/>
        <v>787000</v>
      </c>
      <c r="G37" s="266">
        <f t="shared" si="8"/>
        <v>761000</v>
      </c>
      <c r="H37" s="266">
        <f t="shared" si="8"/>
        <v>836000</v>
      </c>
      <c r="I37" s="266">
        <f t="shared" si="8"/>
        <v>746000</v>
      </c>
      <c r="J37" s="266">
        <f t="shared" si="8"/>
        <v>768413.22194028518</v>
      </c>
      <c r="K37" s="266">
        <f t="shared" si="8"/>
        <v>659508.4951388113</v>
      </c>
      <c r="L37" s="266">
        <f t="shared" si="8"/>
        <v>681279.73337934481</v>
      </c>
      <c r="M37" s="266">
        <f t="shared" si="8"/>
        <v>607859.771666824</v>
      </c>
      <c r="N37" s="20">
        <f>SUM(B37:M37)</f>
        <v>8585061.2221252657</v>
      </c>
    </row>
    <row r="38" spans="1:14" s="19" customFormat="1" ht="10.199999999999999">
      <c r="A38" s="26" t="s">
        <v>45</v>
      </c>
      <c r="B38" s="27">
        <f>B37-B39</f>
        <v>10117.329405989149</v>
      </c>
      <c r="C38" s="27">
        <f t="shared" ref="C38" si="9">C37-C39</f>
        <v>10644.084437898826</v>
      </c>
      <c r="D38" s="27">
        <f t="shared" ref="D38" si="10">D37-D39</f>
        <v>16474.717722140369</v>
      </c>
      <c r="E38" s="27">
        <f t="shared" ref="E38" si="11">E37-E39</f>
        <v>12496.809032891528</v>
      </c>
      <c r="F38" s="27">
        <f t="shared" ref="F38" si="12">F37-F39</f>
        <v>14295.041728031356</v>
      </c>
      <c r="G38" s="27">
        <f t="shared" ref="G38" si="13">G37-G39</f>
        <v>13822.778595974436</v>
      </c>
      <c r="H38" s="27">
        <f t="shared" ref="H38" si="14">H37-H39</f>
        <v>15185.076092292555</v>
      </c>
      <c r="I38" s="27">
        <f t="shared" ref="I38" si="15">I37-I39</f>
        <v>13550.319096710766</v>
      </c>
      <c r="J38" s="27">
        <f t="shared" ref="J38" si="16">J37-J39</f>
        <v>13957.432111826492</v>
      </c>
      <c r="K38" s="27">
        <f t="shared" ref="K38" si="17">K37-K39</f>
        <v>11979.290289708413</v>
      </c>
      <c r="L38" s="27">
        <f t="shared" ref="L38" si="18">L37-L39</f>
        <v>12374.742334332666</v>
      </c>
      <c r="M38" s="27">
        <f t="shared" ref="M38" si="19">M37-M39</f>
        <v>11041.144600722822</v>
      </c>
      <c r="N38" s="20">
        <f>SUM(B38:M38)</f>
        <v>155938.76544851938</v>
      </c>
    </row>
    <row r="39" spans="1:14" s="19" customFormat="1" ht="10.199999999999999">
      <c r="A39" s="26" t="s">
        <v>47</v>
      </c>
      <c r="B39" s="27">
        <f>B37/(1+'Transmission Formula Rate (7)'!$B$27)</f>
        <v>546882.67059401085</v>
      </c>
      <c r="C39" s="27">
        <f>C37/(1+'Transmission Formula Rate (7)'!$B$27)</f>
        <v>575355.91556210117</v>
      </c>
      <c r="D39" s="27">
        <f>D37/(1+'Transmission Formula Rate (7)'!$B$27)</f>
        <v>890525.28227785963</v>
      </c>
      <c r="E39" s="27">
        <f>E37/(1+'Transmission Formula Rate (7)'!$B$27)</f>
        <v>675503.19096710847</v>
      </c>
      <c r="F39" s="27">
        <f>F37/(1+'Transmission Formula Rate (7)'!$B$27)</f>
        <v>772704.95827196864</v>
      </c>
      <c r="G39" s="27">
        <f>G37/(1+'Transmission Formula Rate (7)'!$B$27)</f>
        <v>747177.22140402556</v>
      </c>
      <c r="H39" s="27">
        <f>H37/(1+'Transmission Formula Rate (7)'!$B$27)</f>
        <v>820814.92390770745</v>
      </c>
      <c r="I39" s="27">
        <f>I37/(1+'Transmission Formula Rate (7)'!$B$27)</f>
        <v>732449.68090328923</v>
      </c>
      <c r="J39" s="27">
        <f>J37/(1+'Transmission Formula Rate (7)'!$B$27)</f>
        <v>754455.78982845868</v>
      </c>
      <c r="K39" s="27">
        <f>K37/(1+'Transmission Formula Rate (7)'!$B$27)</f>
        <v>647529.20484910288</v>
      </c>
      <c r="L39" s="27">
        <f>L37/(1+'Transmission Formula Rate (7)'!$B$27)</f>
        <v>668904.99104501214</v>
      </c>
      <c r="M39" s="27">
        <f>M37/(1+'Transmission Formula Rate (7)'!$B$27)</f>
        <v>596818.62706610118</v>
      </c>
      <c r="N39" s="123">
        <f>SUM(B39:M39)</f>
        <v>8429122.4566767458</v>
      </c>
    </row>
    <row r="40" spans="1:14" s="19" customFormat="1" ht="10.199999999999999">
      <c r="A40" s="25" t="s">
        <v>143</v>
      </c>
      <c r="B40" s="31">
        <f>'charges (1 &amp; 2)'!$D$32</f>
        <v>1.274E-2</v>
      </c>
      <c r="C40" s="31">
        <f>'charges (1 &amp; 2)'!$D$32</f>
        <v>1.274E-2</v>
      </c>
      <c r="D40" s="31">
        <f>'charges (1 &amp; 2)'!$D$32</f>
        <v>1.274E-2</v>
      </c>
      <c r="E40" s="31">
        <f>'charges (1 &amp; 2)'!$D$32</f>
        <v>1.274E-2</v>
      </c>
      <c r="F40" s="31">
        <f>'charges (1 &amp; 2)'!$D$32</f>
        <v>1.274E-2</v>
      </c>
      <c r="G40" s="31">
        <f>'charges (1 &amp; 2)'!$D$32</f>
        <v>1.274E-2</v>
      </c>
      <c r="H40" s="31">
        <f>'charges (1 &amp; 2)'!$D$32</f>
        <v>1.274E-2</v>
      </c>
      <c r="I40" s="31">
        <f>'charges (1 &amp; 2)'!$D$32</f>
        <v>1.274E-2</v>
      </c>
      <c r="J40" s="31">
        <f>'charges (1 &amp; 2)'!$D$32</f>
        <v>1.274E-2</v>
      </c>
      <c r="K40" s="31">
        <f>'charges (1 &amp; 2)'!$D$32</f>
        <v>1.274E-2</v>
      </c>
      <c r="L40" s="31">
        <f>'charges (1 &amp; 2)'!$D$32</f>
        <v>1.274E-2</v>
      </c>
      <c r="M40" s="31">
        <f>'charges (1 &amp; 2)'!$D$32</f>
        <v>1.274E-2</v>
      </c>
    </row>
    <row r="41" spans="1:14" s="19" customFormat="1" ht="10.199999999999999">
      <c r="A41" s="25" t="s">
        <v>17</v>
      </c>
      <c r="B41" s="20">
        <f>B37*B40</f>
        <v>7096.1799999999994</v>
      </c>
      <c r="C41" s="20">
        <f t="shared" ref="C41" si="20">C37*C40</f>
        <v>7465.6399999999994</v>
      </c>
      <c r="D41" s="20">
        <f t="shared" ref="D41" si="21">D37*D40</f>
        <v>11555.18</v>
      </c>
      <c r="E41" s="20">
        <f t="shared" ref="E41" si="22">E37*E40</f>
        <v>8765.119999999999</v>
      </c>
      <c r="F41" s="20">
        <f t="shared" ref="F41" si="23">F37*F40</f>
        <v>10026.379999999999</v>
      </c>
      <c r="G41" s="20">
        <f t="shared" ref="G41" si="24">G37*G40</f>
        <v>9695.14</v>
      </c>
      <c r="H41" s="20">
        <f t="shared" ref="H41" si="25">H37*H40</f>
        <v>10650.64</v>
      </c>
      <c r="I41" s="20">
        <f t="shared" ref="I41" si="26">I37*I40</f>
        <v>9504.0399999999991</v>
      </c>
      <c r="J41" s="20">
        <f t="shared" ref="J41" si="27">J37*J40</f>
        <v>9789.5844475192334</v>
      </c>
      <c r="K41" s="20">
        <f t="shared" ref="K41" si="28">K37*K40</f>
        <v>8402.1382280684556</v>
      </c>
      <c r="L41" s="20">
        <f t="shared" ref="L41" si="29">L37*L40</f>
        <v>8679.5038032528519</v>
      </c>
      <c r="M41" s="20">
        <f t="shared" ref="M41" si="30">M37*M40</f>
        <v>7744.1334910353371</v>
      </c>
      <c r="N41" s="20">
        <f>SUM(B41:M41)</f>
        <v>109373.67996987586</v>
      </c>
    </row>
    <row r="42" spans="1:14" s="19" customFormat="1" ht="10.199999999999999"/>
    <row r="43" spans="1:14" s="19" customFormat="1" ht="10.199999999999999"/>
    <row r="44" spans="1:14">
      <c r="B44" s="23" t="s">
        <v>0</v>
      </c>
      <c r="C44" s="23" t="s">
        <v>1</v>
      </c>
      <c r="D44" s="23" t="s">
        <v>2</v>
      </c>
      <c r="E44" s="23" t="s">
        <v>3</v>
      </c>
      <c r="F44" s="23" t="s">
        <v>4</v>
      </c>
      <c r="G44" s="23" t="s">
        <v>5</v>
      </c>
      <c r="H44" s="23" t="s">
        <v>6</v>
      </c>
      <c r="I44" s="23" t="s">
        <v>7</v>
      </c>
      <c r="J44" s="23" t="s">
        <v>8</v>
      </c>
      <c r="K44" s="23" t="s">
        <v>9</v>
      </c>
      <c r="L44" s="23" t="s">
        <v>10</v>
      </c>
      <c r="M44" s="23" t="s">
        <v>11</v>
      </c>
      <c r="N44" s="23" t="s">
        <v>12</v>
      </c>
    </row>
    <row r="45" spans="1:14">
      <c r="A45" s="24">
        <f>+A28+1</f>
        <v>2016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>
      <c r="A46" s="25" t="s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>
      <c r="A47" s="26" t="s">
        <v>80</v>
      </c>
      <c r="B47" s="266">
        <f>'LCEC Forecast'!F8</f>
        <v>615852.81351076043</v>
      </c>
      <c r="C47" s="266">
        <f>'LCEC Forecast'!F9</f>
        <v>744423.79360659269</v>
      </c>
      <c r="D47" s="266">
        <f>'LCEC Forecast'!F10</f>
        <v>668279.51810135087</v>
      </c>
      <c r="E47" s="266">
        <f>'LCEC Forecast'!F11</f>
        <v>615771.4735328746</v>
      </c>
      <c r="F47" s="266">
        <f>'LCEC Forecast'!F12</f>
        <v>600154.53483940358</v>
      </c>
      <c r="G47" s="266">
        <f>'LCEC Forecast'!F13</f>
        <v>696314.11686990049</v>
      </c>
      <c r="H47" s="266">
        <f>'LCEC Forecast'!F14</f>
        <v>765847.39959939185</v>
      </c>
      <c r="I47" s="266">
        <f>'LCEC Forecast'!F15</f>
        <v>744904.02897998795</v>
      </c>
      <c r="J47" s="266">
        <f>'LCEC Forecast'!F16</f>
        <v>779042.35336340778</v>
      </c>
      <c r="K47" s="266">
        <f>'LCEC Forecast'!F17</f>
        <v>668999.71586675802</v>
      </c>
      <c r="L47" s="266">
        <f>'LCEC Forecast'!F18</f>
        <v>706270.43479170382</v>
      </c>
      <c r="M47" s="266">
        <f>'LCEC Forecast'!F19</f>
        <v>580934.50240306312</v>
      </c>
      <c r="N47" s="20">
        <f>SUM(B47:M47)</f>
        <v>8186794.6854651943</v>
      </c>
    </row>
    <row r="48" spans="1:14">
      <c r="A48" s="26" t="s">
        <v>45</v>
      </c>
      <c r="B48" s="27">
        <f>B47-B49</f>
        <v>11186.329945949023</v>
      </c>
      <c r="C48" s="27">
        <f t="shared" ref="C48" si="31">C47-C49</f>
        <v>13521.688936398597</v>
      </c>
      <c r="D48" s="27">
        <f t="shared" ref="D48" si="32">D47-D49</f>
        <v>12138.606858001905</v>
      </c>
      <c r="E48" s="27">
        <f t="shared" ref="E48" si="33">E47-E49</f>
        <v>11184.852489306009</v>
      </c>
      <c r="F48" s="27">
        <f t="shared" ref="F48" si="34">F47-F49</f>
        <v>10901.186936209095</v>
      </c>
      <c r="G48" s="27">
        <f t="shared" ref="G48" si="35">G47-G49</f>
        <v>12647.826374170952</v>
      </c>
      <c r="H48" s="27">
        <f t="shared" ref="H48" si="36">H47-H49</f>
        <v>13910.826600479893</v>
      </c>
      <c r="I48" s="27">
        <f t="shared" ref="I48" si="37">I47-I49</f>
        <v>13530.411915689474</v>
      </c>
      <c r="J48" s="27">
        <f t="shared" ref="J48" si="38">J47-J49</f>
        <v>14150.499300169875</v>
      </c>
      <c r="K48" s="27">
        <f t="shared" ref="K48" si="39">K47-K49</f>
        <v>12151.688506170874</v>
      </c>
      <c r="L48" s="27">
        <f t="shared" ref="L48" si="40">L47-L49</f>
        <v>12828.672600536607</v>
      </c>
      <c r="M48" s="27">
        <f t="shared" ref="M48" si="41">M47-M49</f>
        <v>10552.074908646639</v>
      </c>
      <c r="N48" s="20">
        <f>SUM(B48:M48)</f>
        <v>148704.66537172894</v>
      </c>
    </row>
    <row r="49" spans="1:14">
      <c r="A49" s="26" t="s">
        <v>47</v>
      </c>
      <c r="B49" s="27">
        <f>B47/(1+'Transmission Formula Rate (7)'!$B$27)</f>
        <v>604666.48356481141</v>
      </c>
      <c r="C49" s="27">
        <f>C47/(1+'Transmission Formula Rate (7)'!$B$27)</f>
        <v>730902.10467019409</v>
      </c>
      <c r="D49" s="27">
        <f>D47/(1+'Transmission Formula Rate (7)'!$B$27)</f>
        <v>656140.91124334896</v>
      </c>
      <c r="E49" s="27">
        <f>E47/(1+'Transmission Formula Rate (7)'!$B$27)</f>
        <v>604586.62104356859</v>
      </c>
      <c r="F49" s="27">
        <f>F47/(1+'Transmission Formula Rate (7)'!$B$27)</f>
        <v>589253.34790319449</v>
      </c>
      <c r="G49" s="27">
        <f>G47/(1+'Transmission Formula Rate (7)'!$B$27)</f>
        <v>683666.29049572954</v>
      </c>
      <c r="H49" s="27">
        <f>H47/(1+'Transmission Formula Rate (7)'!$B$27)</f>
        <v>751936.57299891196</v>
      </c>
      <c r="I49" s="27">
        <f>I47/(1+'Transmission Formula Rate (7)'!$B$27)</f>
        <v>731373.61706429848</v>
      </c>
      <c r="J49" s="27">
        <f>J47/(1+'Transmission Formula Rate (7)'!$B$27)</f>
        <v>764891.8540632379</v>
      </c>
      <c r="K49" s="27">
        <f>K47/(1+'Transmission Formula Rate (7)'!$B$27)</f>
        <v>656848.02736058715</v>
      </c>
      <c r="L49" s="27">
        <f>L47/(1+'Transmission Formula Rate (7)'!$B$27)</f>
        <v>693441.76219116722</v>
      </c>
      <c r="M49" s="27">
        <f>M47/(1+'Transmission Formula Rate (7)'!$B$27)</f>
        <v>570382.42749441648</v>
      </c>
      <c r="N49" s="123">
        <f>SUM(B49:M49)</f>
        <v>8038090.0200934652</v>
      </c>
    </row>
    <row r="50" spans="1:14">
      <c r="A50" s="25" t="s">
        <v>20</v>
      </c>
      <c r="B50" s="29">
        <f>'Transmission Formula Rate (7)'!B12</f>
        <v>1.59</v>
      </c>
      <c r="C50" s="29">
        <f>'Transmission Formula Rate (7)'!C12</f>
        <v>1.59</v>
      </c>
      <c r="D50" s="29">
        <f>'Transmission Formula Rate (7)'!D12</f>
        <v>1.59</v>
      </c>
      <c r="E50" s="29">
        <f>'Transmission Formula Rate (7)'!E12</f>
        <v>1.59</v>
      </c>
      <c r="F50" s="29">
        <f>'Transmission Formula Rate (7)'!F12</f>
        <v>1.59</v>
      </c>
      <c r="G50" s="29">
        <f>'Transmission Formula Rate (7)'!G12</f>
        <v>1.59</v>
      </c>
      <c r="H50" s="29">
        <f>'Transmission Formula Rate (7)'!H12</f>
        <v>1.59</v>
      </c>
      <c r="I50" s="29">
        <f>'Transmission Formula Rate (7)'!I12</f>
        <v>1.59</v>
      </c>
      <c r="J50" s="29">
        <f>'Transmission Formula Rate (7)'!J12</f>
        <v>1.59</v>
      </c>
      <c r="K50" s="29">
        <f>'Transmission Formula Rate (7)'!K12</f>
        <v>1.59</v>
      </c>
      <c r="L50" s="29">
        <f>'Transmission Formula Rate (7)'!L12</f>
        <v>1.59</v>
      </c>
      <c r="M50" s="29">
        <f>'Transmission Formula Rate (7)'!M12</f>
        <v>1.59</v>
      </c>
      <c r="N50" s="19"/>
    </row>
    <row r="51" spans="1:14">
      <c r="A51" s="25" t="s">
        <v>17</v>
      </c>
      <c r="B51" s="20">
        <f>B47*B50</f>
        <v>979205.97348210914</v>
      </c>
      <c r="C51" s="20">
        <f t="shared" ref="C51" si="42">C47*C50</f>
        <v>1183633.8318344825</v>
      </c>
      <c r="D51" s="20">
        <f t="shared" ref="D51" si="43">D47*D50</f>
        <v>1062564.4337811479</v>
      </c>
      <c r="E51" s="20">
        <f t="shared" ref="E51" si="44">E47*E50</f>
        <v>979076.64291727066</v>
      </c>
      <c r="F51" s="20">
        <f t="shared" ref="F51" si="45">F47*F50</f>
        <v>954245.71039465175</v>
      </c>
      <c r="G51" s="20">
        <f t="shared" ref="G51" si="46">G47*G50</f>
        <v>1107139.4458231418</v>
      </c>
      <c r="H51" s="20">
        <f t="shared" ref="H51" si="47">H47*H50</f>
        <v>1217697.365363033</v>
      </c>
      <c r="I51" s="20">
        <f t="shared" ref="I51" si="48">I47*I50</f>
        <v>1184397.406078181</v>
      </c>
      <c r="J51" s="20">
        <f t="shared" ref="J51" si="49">J47*J50</f>
        <v>1238677.3418478183</v>
      </c>
      <c r="K51" s="20">
        <f t="shared" ref="K51" si="50">K47*K50</f>
        <v>1063709.5482281453</v>
      </c>
      <c r="L51" s="20">
        <f t="shared" ref="L51" si="51">L47*L50</f>
        <v>1122969.9913188091</v>
      </c>
      <c r="M51" s="20">
        <f t="shared" ref="M51" si="52">M47*M50</f>
        <v>923685.8588208704</v>
      </c>
      <c r="N51" s="20">
        <f>SUM(B51:M51)</f>
        <v>13017003.54988966</v>
      </c>
    </row>
    <row r="52" spans="1:14">
      <c r="A52" s="2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>
      <c r="A53" s="25" t="s">
        <v>135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>
      <c r="A54" s="26" t="s">
        <v>80</v>
      </c>
      <c r="B54" s="266">
        <f>B47</f>
        <v>615852.81351076043</v>
      </c>
      <c r="C54" s="266">
        <f t="shared" ref="C54:M54" si="53">C47</f>
        <v>744423.79360659269</v>
      </c>
      <c r="D54" s="266">
        <f t="shared" si="53"/>
        <v>668279.51810135087</v>
      </c>
      <c r="E54" s="266">
        <f t="shared" si="53"/>
        <v>615771.4735328746</v>
      </c>
      <c r="F54" s="266">
        <f t="shared" si="53"/>
        <v>600154.53483940358</v>
      </c>
      <c r="G54" s="266">
        <f t="shared" si="53"/>
        <v>696314.11686990049</v>
      </c>
      <c r="H54" s="266">
        <f t="shared" si="53"/>
        <v>765847.39959939185</v>
      </c>
      <c r="I54" s="266">
        <f t="shared" si="53"/>
        <v>744904.02897998795</v>
      </c>
      <c r="J54" s="266">
        <f t="shared" si="53"/>
        <v>779042.35336340778</v>
      </c>
      <c r="K54" s="266">
        <f t="shared" si="53"/>
        <v>668999.71586675802</v>
      </c>
      <c r="L54" s="266">
        <f t="shared" si="53"/>
        <v>706270.43479170382</v>
      </c>
      <c r="M54" s="266">
        <f t="shared" si="53"/>
        <v>580934.50240306312</v>
      </c>
      <c r="N54" s="20">
        <f>SUM(B54:M54)</f>
        <v>8186794.6854651943</v>
      </c>
    </row>
    <row r="55" spans="1:14">
      <c r="A55" s="26" t="s">
        <v>45</v>
      </c>
      <c r="B55" s="27">
        <f>B54-B56</f>
        <v>11186.329945949023</v>
      </c>
      <c r="C55" s="27">
        <f t="shared" ref="C55" si="54">C54-C56</f>
        <v>13521.688936398597</v>
      </c>
      <c r="D55" s="27">
        <f t="shared" ref="D55" si="55">D54-D56</f>
        <v>12138.606858001905</v>
      </c>
      <c r="E55" s="27">
        <f t="shared" ref="E55" si="56">E54-E56</f>
        <v>11184.852489306009</v>
      </c>
      <c r="F55" s="27">
        <f t="shared" ref="F55" si="57">F54-F56</f>
        <v>10901.186936209095</v>
      </c>
      <c r="G55" s="27">
        <f t="shared" ref="G55" si="58">G54-G56</f>
        <v>12647.826374170952</v>
      </c>
      <c r="H55" s="27">
        <f t="shared" ref="H55" si="59">H54-H56</f>
        <v>13910.826600479893</v>
      </c>
      <c r="I55" s="27">
        <f t="shared" ref="I55" si="60">I54-I56</f>
        <v>13530.411915689474</v>
      </c>
      <c r="J55" s="27">
        <f t="shared" ref="J55" si="61">J54-J56</f>
        <v>14150.499300169875</v>
      </c>
      <c r="K55" s="27">
        <f t="shared" ref="K55" si="62">K54-K56</f>
        <v>12151.688506170874</v>
      </c>
      <c r="L55" s="27">
        <f t="shared" ref="L55" si="63">L54-L56</f>
        <v>12828.672600536607</v>
      </c>
      <c r="M55" s="27">
        <f t="shared" ref="M55" si="64">M54-M56</f>
        <v>10552.074908646639</v>
      </c>
      <c r="N55" s="20">
        <f>SUM(B55:M55)</f>
        <v>148704.66537172894</v>
      </c>
    </row>
    <row r="56" spans="1:14">
      <c r="A56" s="26" t="s">
        <v>47</v>
      </c>
      <c r="B56" s="27">
        <f>B54/(1+'Transmission Formula Rate (7)'!$B$27)</f>
        <v>604666.48356481141</v>
      </c>
      <c r="C56" s="27">
        <f>C54/(1+'Transmission Formula Rate (7)'!$B$27)</f>
        <v>730902.10467019409</v>
      </c>
      <c r="D56" s="27">
        <f>D54/(1+'Transmission Formula Rate (7)'!$B$27)</f>
        <v>656140.91124334896</v>
      </c>
      <c r="E56" s="27">
        <f>E54/(1+'Transmission Formula Rate (7)'!$B$27)</f>
        <v>604586.62104356859</v>
      </c>
      <c r="F56" s="27">
        <f>F54/(1+'Transmission Formula Rate (7)'!$B$27)</f>
        <v>589253.34790319449</v>
      </c>
      <c r="G56" s="27">
        <f>G54/(1+'Transmission Formula Rate (7)'!$B$27)</f>
        <v>683666.29049572954</v>
      </c>
      <c r="H56" s="27">
        <f>H54/(1+'Transmission Formula Rate (7)'!$B$27)</f>
        <v>751936.57299891196</v>
      </c>
      <c r="I56" s="27">
        <f>I54/(1+'Transmission Formula Rate (7)'!$B$27)</f>
        <v>731373.61706429848</v>
      </c>
      <c r="J56" s="27">
        <f>J54/(1+'Transmission Formula Rate (7)'!$B$27)</f>
        <v>764891.8540632379</v>
      </c>
      <c r="K56" s="27">
        <f>K54/(1+'Transmission Formula Rate (7)'!$B$27)</f>
        <v>656848.02736058715</v>
      </c>
      <c r="L56" s="27">
        <f>L54/(1+'Transmission Formula Rate (7)'!$B$27)</f>
        <v>693441.76219116722</v>
      </c>
      <c r="M56" s="27">
        <f>M54/(1+'Transmission Formula Rate (7)'!$B$27)</f>
        <v>570382.42749441648</v>
      </c>
      <c r="N56" s="123">
        <f>SUM(B56:M56)</f>
        <v>8038090.0200934652</v>
      </c>
    </row>
    <row r="57" spans="1:14">
      <c r="A57" s="25" t="s">
        <v>143</v>
      </c>
      <c r="B57" s="31">
        <f>'charges (1 &amp; 2)'!$E$32</f>
        <v>1.274E-2</v>
      </c>
      <c r="C57" s="31">
        <f>'charges (1 &amp; 2)'!$E$32</f>
        <v>1.274E-2</v>
      </c>
      <c r="D57" s="31">
        <f>'charges (1 &amp; 2)'!$E$32</f>
        <v>1.274E-2</v>
      </c>
      <c r="E57" s="31">
        <f>'charges (1 &amp; 2)'!$E$32</f>
        <v>1.274E-2</v>
      </c>
      <c r="F57" s="31">
        <f>'charges (1 &amp; 2)'!$E$32</f>
        <v>1.274E-2</v>
      </c>
      <c r="G57" s="31">
        <f>'charges (1 &amp; 2)'!$E$32</f>
        <v>1.274E-2</v>
      </c>
      <c r="H57" s="31">
        <f>'charges (1 &amp; 2)'!$E$32</f>
        <v>1.274E-2</v>
      </c>
      <c r="I57" s="31">
        <f>'charges (1 &amp; 2)'!$E$32</f>
        <v>1.274E-2</v>
      </c>
      <c r="J57" s="31">
        <f>'charges (1 &amp; 2)'!$E$32</f>
        <v>1.274E-2</v>
      </c>
      <c r="K57" s="31">
        <f>'charges (1 &amp; 2)'!$E$32</f>
        <v>1.274E-2</v>
      </c>
      <c r="L57" s="31">
        <f>'charges (1 &amp; 2)'!$E$32</f>
        <v>1.274E-2</v>
      </c>
      <c r="M57" s="31">
        <f>'charges (1 &amp; 2)'!$E$32</f>
        <v>1.274E-2</v>
      </c>
      <c r="N57" s="19"/>
    </row>
    <row r="58" spans="1:14">
      <c r="A58" s="25" t="s">
        <v>17</v>
      </c>
      <c r="B58" s="20">
        <f>B54*B57</f>
        <v>7845.9648441270874</v>
      </c>
      <c r="C58" s="20">
        <f t="shared" ref="C58" si="65">C54*C57</f>
        <v>9483.9591305479898</v>
      </c>
      <c r="D58" s="20">
        <f t="shared" ref="D58" si="66">D54*D57</f>
        <v>8513.8810606112093</v>
      </c>
      <c r="E58" s="20">
        <f t="shared" ref="E58" si="67">E54*E57</f>
        <v>7844.9285728088225</v>
      </c>
      <c r="F58" s="20">
        <f t="shared" ref="F58" si="68">F54*F57</f>
        <v>7645.9687738540015</v>
      </c>
      <c r="G58" s="20">
        <f t="shared" ref="G58" si="69">G54*G57</f>
        <v>8871.0418489225322</v>
      </c>
      <c r="H58" s="20">
        <f t="shared" ref="H58" si="70">H54*H57</f>
        <v>9756.8958708962527</v>
      </c>
      <c r="I58" s="20">
        <f t="shared" ref="I58" si="71">I54*I57</f>
        <v>9490.0773292050453</v>
      </c>
      <c r="J58" s="20">
        <f t="shared" ref="J58" si="72">J54*J57</f>
        <v>9924.9995818498155</v>
      </c>
      <c r="K58" s="20">
        <f t="shared" ref="K58" si="73">K54*K57</f>
        <v>8523.0563801424978</v>
      </c>
      <c r="L58" s="20">
        <f t="shared" ref="L58" si="74">L54*L57</f>
        <v>8997.8853392463061</v>
      </c>
      <c r="M58" s="20">
        <f t="shared" ref="M58" si="75">M54*M57</f>
        <v>7401.1055606150239</v>
      </c>
      <c r="N58" s="20">
        <f>SUM(B58:M58)</f>
        <v>104299.76429282659</v>
      </c>
    </row>
    <row r="59" spans="1:1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>
      <c r="B61" s="23" t="s">
        <v>0</v>
      </c>
      <c r="C61" s="23" t="s">
        <v>1</v>
      </c>
      <c r="D61" s="23" t="s">
        <v>2</v>
      </c>
      <c r="E61" s="23" t="s">
        <v>3</v>
      </c>
      <c r="F61" s="23" t="s">
        <v>4</v>
      </c>
      <c r="G61" s="23" t="s">
        <v>5</v>
      </c>
      <c r="H61" s="23" t="s">
        <v>6</v>
      </c>
      <c r="I61" s="23" t="s">
        <v>7</v>
      </c>
      <c r="J61" s="23" t="s">
        <v>8</v>
      </c>
      <c r="K61" s="23" t="s">
        <v>9</v>
      </c>
      <c r="L61" s="23" t="s">
        <v>10</v>
      </c>
      <c r="M61" s="23" t="s">
        <v>11</v>
      </c>
      <c r="N61" s="23" t="s">
        <v>12</v>
      </c>
    </row>
    <row r="62" spans="1:14">
      <c r="A62" s="24">
        <f>+A45+1</f>
        <v>2017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>
      <c r="A63" s="25" t="s">
        <v>37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>
      <c r="A64" s="26" t="s">
        <v>80</v>
      </c>
      <c r="B64" s="266">
        <f>'LCEC Forecast'!G8</f>
        <v>545672.68567012821</v>
      </c>
      <c r="C64" s="266">
        <f>'LCEC Forecast'!G9</f>
        <v>745167.86963630246</v>
      </c>
      <c r="D64" s="266">
        <f>'LCEC Forecast'!G10</f>
        <v>668945.8017518603</v>
      </c>
      <c r="E64" s="266">
        <f>'LCEC Forecast'!G11</f>
        <v>616449.13839736406</v>
      </c>
      <c r="F64" s="266">
        <f>'LCEC Forecast'!G12</f>
        <v>603918.22942080395</v>
      </c>
      <c r="G64" s="266">
        <f>'LCEC Forecast'!G13</f>
        <v>699801.99552638899</v>
      </c>
      <c r="H64" s="266">
        <f>'LCEC Forecast'!G14</f>
        <v>768532.40615780908</v>
      </c>
      <c r="I64" s="266">
        <f>'LCEC Forecast'!G15</f>
        <v>749123.97131151194</v>
      </c>
      <c r="J64" s="266">
        <f>'LCEC Forecast'!G16</f>
        <v>783475.67703109328</v>
      </c>
      <c r="K64" s="266">
        <f>'LCEC Forecast'!G17</f>
        <v>672815.95490237186</v>
      </c>
      <c r="L64" s="266">
        <f>'LCEC Forecast'!G18</f>
        <v>708669.05835224723</v>
      </c>
      <c r="M64" s="266">
        <f>'LCEC Forecast'!G19</f>
        <v>582117.12190809206</v>
      </c>
      <c r="N64" s="20">
        <f>SUM(B64:M64)</f>
        <v>8144689.9100659741</v>
      </c>
    </row>
    <row r="65" spans="1:14">
      <c r="A65" s="26" t="s">
        <v>45</v>
      </c>
      <c r="B65" s="27">
        <f>B64-B66</f>
        <v>9911.580446634558</v>
      </c>
      <c r="C65" s="27">
        <f t="shared" ref="C65" si="76">C64-C66</f>
        <v>13535.204308563145</v>
      </c>
      <c r="D65" s="27">
        <f t="shared" ref="D65" si="77">D64-D66</f>
        <v>12150.709211987676</v>
      </c>
      <c r="E65" s="27">
        <f t="shared" ref="E65" si="78">E64-E66</f>
        <v>11197.161571282428</v>
      </c>
      <c r="F65" s="27">
        <f t="shared" ref="F65" si="79">F64-F66</f>
        <v>10969.550558944349</v>
      </c>
      <c r="G65" s="27">
        <f t="shared" ref="G65" si="80">G64-G66</f>
        <v>12711.180085653556</v>
      </c>
      <c r="H65" s="27">
        <f t="shared" ref="H65" si="81">H64-H66</f>
        <v>13959.596969974926</v>
      </c>
      <c r="I65" s="27">
        <f t="shared" ref="I65" si="82">I64-I66</f>
        <v>13607.062807327369</v>
      </c>
      <c r="J65" s="27">
        <f t="shared" ref="J65" si="83">J64-J66</f>
        <v>14231.026043274673</v>
      </c>
      <c r="K65" s="27">
        <f t="shared" ref="K65" si="84">K64-K66</f>
        <v>12221.006544618402</v>
      </c>
      <c r="L65" s="27">
        <f t="shared" ref="L65" si="85">L64-L66</f>
        <v>12872.241118818405</v>
      </c>
      <c r="M65" s="27">
        <f t="shared" ref="M65" si="86">M64-M66</f>
        <v>10573.555969857378</v>
      </c>
      <c r="N65" s="20">
        <f>SUM(B65:M65)</f>
        <v>147939.87563693686</v>
      </c>
    </row>
    <row r="66" spans="1:14">
      <c r="A66" s="26" t="s">
        <v>47</v>
      </c>
      <c r="B66" s="27">
        <f>B64/(1+'Transmission Formula Rate (7)'!$B$27)</f>
        <v>535761.10522349365</v>
      </c>
      <c r="C66" s="27">
        <f>C64/(1+'Transmission Formula Rate (7)'!$B$27)</f>
        <v>731632.66532773932</v>
      </c>
      <c r="D66" s="27">
        <f>D64/(1+'Transmission Formula Rate (7)'!$B$27)</f>
        <v>656795.09253987262</v>
      </c>
      <c r="E66" s="27">
        <f>E64/(1+'Transmission Formula Rate (7)'!$B$27)</f>
        <v>605251.97682608163</v>
      </c>
      <c r="F66" s="27">
        <f>F64/(1+'Transmission Formula Rate (7)'!$B$27)</f>
        <v>592948.6788618596</v>
      </c>
      <c r="G66" s="27">
        <f>G64/(1+'Transmission Formula Rate (7)'!$B$27)</f>
        <v>687090.81544073543</v>
      </c>
      <c r="H66" s="27">
        <f>H64/(1+'Transmission Formula Rate (7)'!$B$27)</f>
        <v>754572.80918783415</v>
      </c>
      <c r="I66" s="27">
        <f>I64/(1+'Transmission Formula Rate (7)'!$B$27)</f>
        <v>735516.90850418457</v>
      </c>
      <c r="J66" s="27">
        <f>J64/(1+'Transmission Formula Rate (7)'!$B$27)</f>
        <v>769244.6509878186</v>
      </c>
      <c r="K66" s="27">
        <f>K64/(1+'Transmission Formula Rate (7)'!$B$27)</f>
        <v>660594.94835775346</v>
      </c>
      <c r="L66" s="27">
        <f>L64/(1+'Transmission Formula Rate (7)'!$B$27)</f>
        <v>695796.81723342882</v>
      </c>
      <c r="M66" s="27">
        <f>M64/(1+'Transmission Formula Rate (7)'!$B$27)</f>
        <v>571543.56593823468</v>
      </c>
      <c r="N66" s="123">
        <f>SUM(B66:M66)</f>
        <v>7996750.0344290361</v>
      </c>
    </row>
    <row r="67" spans="1:14">
      <c r="A67" s="25" t="s">
        <v>20</v>
      </c>
      <c r="B67" s="29">
        <f>'Transmission Formula Rate (7)'!B14</f>
        <v>1.59</v>
      </c>
      <c r="C67" s="29">
        <f>'Transmission Formula Rate (7)'!C14</f>
        <v>1.59</v>
      </c>
      <c r="D67" s="29">
        <f>'Transmission Formula Rate (7)'!D14</f>
        <v>1.59</v>
      </c>
      <c r="E67" s="29">
        <f>'Transmission Formula Rate (7)'!E14</f>
        <v>1.59</v>
      </c>
      <c r="F67" s="29">
        <f>'Transmission Formula Rate (7)'!F14</f>
        <v>1.59</v>
      </c>
      <c r="G67" s="29">
        <f>'Transmission Formula Rate (7)'!G14</f>
        <v>1.59</v>
      </c>
      <c r="H67" s="29">
        <f>'Transmission Formula Rate (7)'!H14</f>
        <v>1.59</v>
      </c>
      <c r="I67" s="29">
        <f>'Transmission Formula Rate (7)'!I14</f>
        <v>1.59</v>
      </c>
      <c r="J67" s="29">
        <f>'Transmission Formula Rate (7)'!J14</f>
        <v>1.59</v>
      </c>
      <c r="K67" s="29">
        <f>'Transmission Formula Rate (7)'!K14</f>
        <v>1.59</v>
      </c>
      <c r="L67" s="29">
        <f>'Transmission Formula Rate (7)'!L14</f>
        <v>1.59</v>
      </c>
      <c r="M67" s="29">
        <f>'Transmission Formula Rate (7)'!M14</f>
        <v>1.59</v>
      </c>
      <c r="N67" s="19"/>
    </row>
    <row r="68" spans="1:14">
      <c r="A68" s="25" t="s">
        <v>17</v>
      </c>
      <c r="B68" s="20">
        <f>B64*B67</f>
        <v>867619.57021550392</v>
      </c>
      <c r="C68" s="20">
        <f t="shared" ref="C68" si="87">C64*C67</f>
        <v>1184816.912721721</v>
      </c>
      <c r="D68" s="20">
        <f t="shared" ref="D68" si="88">D64*D67</f>
        <v>1063623.8247854579</v>
      </c>
      <c r="E68" s="20">
        <f t="shared" ref="E68" si="89">E64*E67</f>
        <v>980154.1300518089</v>
      </c>
      <c r="F68" s="20">
        <f t="shared" ref="F68" si="90">F64*F67</f>
        <v>960229.98477907828</v>
      </c>
      <c r="G68" s="20">
        <f t="shared" ref="G68" si="91">G64*G67</f>
        <v>1112685.1728869586</v>
      </c>
      <c r="H68" s="20">
        <f t="shared" ref="H68" si="92">H64*H67</f>
        <v>1221966.5257909165</v>
      </c>
      <c r="I68" s="20">
        <f t="shared" ref="I68" si="93">I64*I67</f>
        <v>1191107.114385304</v>
      </c>
      <c r="J68" s="20">
        <f t="shared" ref="J68" si="94">J64*J67</f>
        <v>1245726.3264794385</v>
      </c>
      <c r="K68" s="20">
        <f t="shared" ref="K68" si="95">K64*K67</f>
        <v>1069777.3682947713</v>
      </c>
      <c r="L68" s="20">
        <f t="shared" ref="L68" si="96">L64*L67</f>
        <v>1126783.8027800731</v>
      </c>
      <c r="M68" s="20">
        <f t="shared" ref="M68" si="97">M64*M67</f>
        <v>925566.22383386642</v>
      </c>
      <c r="N68" s="20">
        <f>SUM(B68:M68)</f>
        <v>12950056.957004899</v>
      </c>
    </row>
    <row r="69" spans="1:1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>
      <c r="A70" s="25" t="s">
        <v>135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>
      <c r="A71" s="26" t="s">
        <v>80</v>
      </c>
      <c r="B71" s="266">
        <f>B64</f>
        <v>545672.68567012821</v>
      </c>
      <c r="C71" s="266">
        <f t="shared" ref="C71:M71" si="98">C64</f>
        <v>745167.86963630246</v>
      </c>
      <c r="D71" s="266">
        <f t="shared" si="98"/>
        <v>668945.8017518603</v>
      </c>
      <c r="E71" s="266">
        <f t="shared" si="98"/>
        <v>616449.13839736406</v>
      </c>
      <c r="F71" s="266">
        <f t="shared" si="98"/>
        <v>603918.22942080395</v>
      </c>
      <c r="G71" s="266">
        <f t="shared" si="98"/>
        <v>699801.99552638899</v>
      </c>
      <c r="H71" s="266">
        <f t="shared" si="98"/>
        <v>768532.40615780908</v>
      </c>
      <c r="I71" s="266">
        <f t="shared" si="98"/>
        <v>749123.97131151194</v>
      </c>
      <c r="J71" s="266">
        <f t="shared" si="98"/>
        <v>783475.67703109328</v>
      </c>
      <c r="K71" s="266">
        <f t="shared" si="98"/>
        <v>672815.95490237186</v>
      </c>
      <c r="L71" s="266">
        <f t="shared" si="98"/>
        <v>708669.05835224723</v>
      </c>
      <c r="M71" s="266">
        <f t="shared" si="98"/>
        <v>582117.12190809206</v>
      </c>
      <c r="N71" s="20">
        <f>SUM(B71:M71)</f>
        <v>8144689.9100659741</v>
      </c>
    </row>
    <row r="72" spans="1:14">
      <c r="A72" s="26" t="s">
        <v>45</v>
      </c>
      <c r="B72" s="27">
        <f>B71-B73</f>
        <v>9911.580446634558</v>
      </c>
      <c r="C72" s="27">
        <f t="shared" ref="C72" si="99">C71-C73</f>
        <v>13535.204308563145</v>
      </c>
      <c r="D72" s="27">
        <f t="shared" ref="D72" si="100">D71-D73</f>
        <v>12150.709211987676</v>
      </c>
      <c r="E72" s="27">
        <f t="shared" ref="E72" si="101">E71-E73</f>
        <v>11197.161571282428</v>
      </c>
      <c r="F72" s="27">
        <f t="shared" ref="F72" si="102">F71-F73</f>
        <v>10969.550558944349</v>
      </c>
      <c r="G72" s="27">
        <f t="shared" ref="G72" si="103">G71-G73</f>
        <v>12711.180085653556</v>
      </c>
      <c r="H72" s="27">
        <f t="shared" ref="H72" si="104">H71-H73</f>
        <v>13959.596969974926</v>
      </c>
      <c r="I72" s="27">
        <f t="shared" ref="I72" si="105">I71-I73</f>
        <v>13607.062807327369</v>
      </c>
      <c r="J72" s="27">
        <f t="shared" ref="J72" si="106">J71-J73</f>
        <v>14231.026043274673</v>
      </c>
      <c r="K72" s="27">
        <f t="shared" ref="K72" si="107">K71-K73</f>
        <v>12221.006544618402</v>
      </c>
      <c r="L72" s="27">
        <f t="shared" ref="L72" si="108">L71-L73</f>
        <v>12872.241118818405</v>
      </c>
      <c r="M72" s="27">
        <f t="shared" ref="M72" si="109">M71-M73</f>
        <v>10573.555969857378</v>
      </c>
      <c r="N72" s="20">
        <f>SUM(B72:M72)</f>
        <v>147939.87563693686</v>
      </c>
    </row>
    <row r="73" spans="1:14">
      <c r="A73" s="26" t="s">
        <v>47</v>
      </c>
      <c r="B73" s="27">
        <f>B71/(1+'Transmission Formula Rate (7)'!$B$27)</f>
        <v>535761.10522349365</v>
      </c>
      <c r="C73" s="27">
        <f>C71/(1+'Transmission Formula Rate (7)'!$B$27)</f>
        <v>731632.66532773932</v>
      </c>
      <c r="D73" s="27">
        <f>D71/(1+'Transmission Formula Rate (7)'!$B$27)</f>
        <v>656795.09253987262</v>
      </c>
      <c r="E73" s="27">
        <f>E71/(1+'Transmission Formula Rate (7)'!$B$27)</f>
        <v>605251.97682608163</v>
      </c>
      <c r="F73" s="27">
        <f>F71/(1+'Transmission Formula Rate (7)'!$B$27)</f>
        <v>592948.6788618596</v>
      </c>
      <c r="G73" s="27">
        <f>G71/(1+'Transmission Formula Rate (7)'!$B$27)</f>
        <v>687090.81544073543</v>
      </c>
      <c r="H73" s="27">
        <f>H71/(1+'Transmission Formula Rate (7)'!$B$27)</f>
        <v>754572.80918783415</v>
      </c>
      <c r="I73" s="27">
        <f>I71/(1+'Transmission Formula Rate (7)'!$B$27)</f>
        <v>735516.90850418457</v>
      </c>
      <c r="J73" s="27">
        <f>J71/(1+'Transmission Formula Rate (7)'!$B$27)</f>
        <v>769244.6509878186</v>
      </c>
      <c r="K73" s="27">
        <f>K71/(1+'Transmission Formula Rate (7)'!$B$27)</f>
        <v>660594.94835775346</v>
      </c>
      <c r="L73" s="27">
        <f>L71/(1+'Transmission Formula Rate (7)'!$B$27)</f>
        <v>695796.81723342882</v>
      </c>
      <c r="M73" s="27">
        <f>M71/(1+'Transmission Formula Rate (7)'!$B$27)</f>
        <v>571543.56593823468</v>
      </c>
      <c r="N73" s="123">
        <f>SUM(B73:M73)</f>
        <v>7996750.0344290361</v>
      </c>
    </row>
    <row r="74" spans="1:14">
      <c r="A74" s="25" t="s">
        <v>143</v>
      </c>
      <c r="B74" s="31">
        <f>'charges (1 &amp; 2)'!F32</f>
        <v>1.274E-2</v>
      </c>
      <c r="C74" s="31">
        <f>B74</f>
        <v>1.274E-2</v>
      </c>
      <c r="D74" s="31">
        <f t="shared" ref="D74:M74" si="110">C74</f>
        <v>1.274E-2</v>
      </c>
      <c r="E74" s="31">
        <f t="shared" si="110"/>
        <v>1.274E-2</v>
      </c>
      <c r="F74" s="31">
        <f t="shared" si="110"/>
        <v>1.274E-2</v>
      </c>
      <c r="G74" s="31">
        <f t="shared" si="110"/>
        <v>1.274E-2</v>
      </c>
      <c r="H74" s="31">
        <f t="shared" si="110"/>
        <v>1.274E-2</v>
      </c>
      <c r="I74" s="31">
        <f t="shared" si="110"/>
        <v>1.274E-2</v>
      </c>
      <c r="J74" s="31">
        <f t="shared" si="110"/>
        <v>1.274E-2</v>
      </c>
      <c r="K74" s="31">
        <f t="shared" si="110"/>
        <v>1.274E-2</v>
      </c>
      <c r="L74" s="31">
        <f t="shared" si="110"/>
        <v>1.274E-2</v>
      </c>
      <c r="M74" s="31">
        <f t="shared" si="110"/>
        <v>1.274E-2</v>
      </c>
      <c r="N74" s="19"/>
    </row>
    <row r="75" spans="1:14">
      <c r="A75" s="25" t="s">
        <v>17</v>
      </c>
      <c r="B75" s="20">
        <f>B71*B74</f>
        <v>6951.8700154374328</v>
      </c>
      <c r="C75" s="20">
        <f t="shared" ref="C75" si="111">C71*C74</f>
        <v>9493.4386591664934</v>
      </c>
      <c r="D75" s="20">
        <f t="shared" ref="D75" si="112">D71*D74</f>
        <v>8522.3695143186997</v>
      </c>
      <c r="E75" s="20">
        <f t="shared" ref="E75" si="113">E71*E74</f>
        <v>7853.5620231824178</v>
      </c>
      <c r="F75" s="20">
        <f t="shared" ref="F75" si="114">F71*F74</f>
        <v>7693.9182428210424</v>
      </c>
      <c r="G75" s="20">
        <f t="shared" ref="G75" si="115">G71*G74</f>
        <v>8915.4774230061957</v>
      </c>
      <c r="H75" s="20">
        <f t="shared" ref="H75" si="116">H71*H74</f>
        <v>9791.1028544504879</v>
      </c>
      <c r="I75" s="20">
        <f t="shared" ref="I75" si="117">I71*I74</f>
        <v>9543.8393945086609</v>
      </c>
      <c r="J75" s="20">
        <f t="shared" ref="J75" si="118">J71*J74</f>
        <v>9981.4801253761289</v>
      </c>
      <c r="K75" s="20">
        <f t="shared" ref="K75" si="119">K71*K74</f>
        <v>8571.6752654562169</v>
      </c>
      <c r="L75" s="20">
        <f t="shared" ref="L75" si="120">L71*L74</f>
        <v>9028.4438034076302</v>
      </c>
      <c r="M75" s="20">
        <f t="shared" ref="M75" si="121">M71*M74</f>
        <v>7416.172133109093</v>
      </c>
      <c r="N75" s="20">
        <f>SUM(B75:M75)</f>
        <v>103763.3494542405</v>
      </c>
    </row>
    <row r="76" spans="1:14">
      <c r="A76" s="25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>
      <c r="A77" s="25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>
      <c r="B78" s="23" t="s">
        <v>0</v>
      </c>
      <c r="C78" s="23" t="s">
        <v>1</v>
      </c>
      <c r="D78" s="23" t="s">
        <v>2</v>
      </c>
      <c r="E78" s="23" t="s">
        <v>3</v>
      </c>
      <c r="F78" s="23" t="s">
        <v>4</v>
      </c>
      <c r="G78" s="23" t="s">
        <v>5</v>
      </c>
      <c r="H78" s="23" t="s">
        <v>6</v>
      </c>
      <c r="I78" s="23" t="s">
        <v>7</v>
      </c>
      <c r="J78" s="23" t="s">
        <v>8</v>
      </c>
      <c r="K78" s="23" t="s">
        <v>9</v>
      </c>
      <c r="L78" s="23" t="s">
        <v>10</v>
      </c>
      <c r="M78" s="23" t="s">
        <v>11</v>
      </c>
      <c r="N78" s="23" t="s">
        <v>12</v>
      </c>
    </row>
    <row r="79" spans="1:14">
      <c r="A79" s="24">
        <f>+A62+1</f>
        <v>2018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>
      <c r="A80" s="25" t="s">
        <v>37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>
      <c r="A81" s="26" t="s">
        <v>80</v>
      </c>
      <c r="B81" s="266">
        <f>'LCEC Forecast'!H8</f>
        <v>547180.16422875761</v>
      </c>
      <c r="C81" s="266">
        <f>'LCEC Forecast'!H9</f>
        <v>745911.94566601235</v>
      </c>
      <c r="D81" s="266">
        <f>'LCEC Forecast'!H10</f>
        <v>669616.06321520871</v>
      </c>
      <c r="E81" s="266">
        <f>'LCEC Forecast'!H11</f>
        <v>617127.79836444475</v>
      </c>
      <c r="F81" s="266">
        <f>'LCEC Forecast'!H12</f>
        <v>607713.44733245473</v>
      </c>
      <c r="G81" s="266">
        <f>'LCEC Forecast'!H13</f>
        <v>703433.50413311669</v>
      </c>
      <c r="H81" s="266">
        <f>'LCEC Forecast'!H14</f>
        <v>771229.28889709665</v>
      </c>
      <c r="I81" s="266">
        <f>'LCEC Forecast'!H15</f>
        <v>753370.70692768029</v>
      </c>
      <c r="J81" s="266">
        <f>'LCEC Forecast'!H16</f>
        <v>787936.58582382218</v>
      </c>
      <c r="K81" s="266">
        <f>'LCEC Forecast'!H17</f>
        <v>676656.09522630903</v>
      </c>
      <c r="L81" s="266">
        <f>'LCEC Forecast'!H18</f>
        <v>711075.630955245</v>
      </c>
      <c r="M81" s="266">
        <f>'LCEC Forecast'!H19</f>
        <v>583307.69179634785</v>
      </c>
      <c r="N81" s="20">
        <f>SUM(B81:M81)</f>
        <v>8174558.9225664968</v>
      </c>
    </row>
    <row r="82" spans="1:14">
      <c r="A82" s="26" t="s">
        <v>45</v>
      </c>
      <c r="B82" s="27">
        <f>B81-B83</f>
        <v>9938.9622368502896</v>
      </c>
      <c r="C82" s="27">
        <f t="shared" ref="C82" si="122">C81-C83</f>
        <v>13548.719680727692</v>
      </c>
      <c r="D82" s="27">
        <f t="shared" ref="D82" si="123">D81-D83</f>
        <v>12162.883818832925</v>
      </c>
      <c r="E82" s="27">
        <f t="shared" ref="E82" si="124">E81-E83</f>
        <v>11209.488728269236</v>
      </c>
      <c r="F82" s="27">
        <f t="shared" ref="F82" si="125">F81-F83</f>
        <v>11038.486770397983</v>
      </c>
      <c r="G82" s="27">
        <f t="shared" ref="G82" si="126">G81-G83</f>
        <v>12777.142686757608</v>
      </c>
      <c r="H82" s="27">
        <f t="shared" ref="H82" si="127">H81-H83</f>
        <v>14008.583058022894</v>
      </c>
      <c r="I82" s="27">
        <f t="shared" ref="I82" si="128">I81-I83</f>
        <v>13684.200371293118</v>
      </c>
      <c r="J82" s="27">
        <f t="shared" ref="J82" si="129">J81-J83</f>
        <v>14312.053841669811</v>
      </c>
      <c r="K82" s="27">
        <f t="shared" ref="K82" si="130">K81-K83</f>
        <v>12290.758725269232</v>
      </c>
      <c r="L82" s="27">
        <f t="shared" ref="L82" si="131">L81-L83</f>
        <v>12915.954023241997</v>
      </c>
      <c r="M82" s="27">
        <f t="shared" ref="M82" si="132">M81-M83</f>
        <v>10595.181441563531</v>
      </c>
      <c r="N82" s="20">
        <f>SUM(B82:M82)</f>
        <v>148482.41538289632</v>
      </c>
    </row>
    <row r="83" spans="1:14">
      <c r="A83" s="26" t="s">
        <v>47</v>
      </c>
      <c r="B83" s="27">
        <f>B81/(1+'Transmission Formula Rate (7)'!$B$27)</f>
        <v>537241.20199190732</v>
      </c>
      <c r="C83" s="27">
        <f>C81/(1+'Transmission Formula Rate (7)'!$B$27)</f>
        <v>732363.22598528466</v>
      </c>
      <c r="D83" s="27">
        <f>D81/(1+'Transmission Formula Rate (7)'!$B$27)</f>
        <v>657453.17939637578</v>
      </c>
      <c r="E83" s="27">
        <f>E81/(1+'Transmission Formula Rate (7)'!$B$27)</f>
        <v>605918.30963617552</v>
      </c>
      <c r="F83" s="27">
        <f>F81/(1+'Transmission Formula Rate (7)'!$B$27)</f>
        <v>596674.96056205675</v>
      </c>
      <c r="G83" s="27">
        <f>G81/(1+'Transmission Formula Rate (7)'!$B$27)</f>
        <v>690656.36144635908</v>
      </c>
      <c r="H83" s="27">
        <f>H81/(1+'Transmission Formula Rate (7)'!$B$27)</f>
        <v>757220.70583907375</v>
      </c>
      <c r="I83" s="27">
        <f>I81/(1+'Transmission Formula Rate (7)'!$B$27)</f>
        <v>739686.50655638718</v>
      </c>
      <c r="J83" s="27">
        <f>J81/(1+'Transmission Formula Rate (7)'!$B$27)</f>
        <v>773624.53198215237</v>
      </c>
      <c r="K83" s="27">
        <f>K81/(1+'Transmission Formula Rate (7)'!$B$27)</f>
        <v>664365.3365010398</v>
      </c>
      <c r="L83" s="27">
        <f>L81/(1+'Transmission Formula Rate (7)'!$B$27)</f>
        <v>698159.676932003</v>
      </c>
      <c r="M83" s="27">
        <f>M81/(1+'Transmission Formula Rate (7)'!$B$27)</f>
        <v>572712.51035478432</v>
      </c>
      <c r="N83" s="123">
        <f>SUM(B83:M83)</f>
        <v>8026076.5071836002</v>
      </c>
    </row>
    <row r="84" spans="1:14">
      <c r="A84" s="25" t="s">
        <v>20</v>
      </c>
      <c r="B84" s="29">
        <f>'Transmission Formula Rate (7)'!B16</f>
        <v>1.59</v>
      </c>
      <c r="C84" s="29">
        <f>'Transmission Formula Rate (7)'!C16</f>
        <v>1.59</v>
      </c>
      <c r="D84" s="29">
        <f>'Transmission Formula Rate (7)'!D16</f>
        <v>1.59</v>
      </c>
      <c r="E84" s="29">
        <f>'Transmission Formula Rate (7)'!E16</f>
        <v>1.59</v>
      </c>
      <c r="F84" s="29">
        <f>'Transmission Formula Rate (7)'!F16</f>
        <v>1.59</v>
      </c>
      <c r="G84" s="29">
        <f>'Transmission Formula Rate (7)'!G16</f>
        <v>1.59</v>
      </c>
      <c r="H84" s="29">
        <f>'Transmission Formula Rate (7)'!H16</f>
        <v>1.59</v>
      </c>
      <c r="I84" s="29">
        <f>'Transmission Formula Rate (7)'!I16</f>
        <v>1.59</v>
      </c>
      <c r="J84" s="29">
        <f>'Transmission Formula Rate (7)'!J16</f>
        <v>1.59</v>
      </c>
      <c r="K84" s="29">
        <f>'Transmission Formula Rate (7)'!K16</f>
        <v>1.59</v>
      </c>
      <c r="L84" s="29">
        <f>'Transmission Formula Rate (7)'!L16</f>
        <v>1.59</v>
      </c>
      <c r="M84" s="29">
        <f>'Transmission Formula Rate (7)'!M16</f>
        <v>1.59</v>
      </c>
      <c r="N84" s="19"/>
    </row>
    <row r="85" spans="1:14">
      <c r="A85" s="25" t="s">
        <v>17</v>
      </c>
      <c r="B85" s="20">
        <f>B81*B84</f>
        <v>870016.4611237247</v>
      </c>
      <c r="C85" s="20">
        <f t="shared" ref="C85" si="133">C81*C84</f>
        <v>1185999.9936089597</v>
      </c>
      <c r="D85" s="20">
        <f t="shared" ref="D85" si="134">D81*D84</f>
        <v>1064689.5405121818</v>
      </c>
      <c r="E85" s="20">
        <f t="shared" ref="E85" si="135">E81*E84</f>
        <v>981233.19939946721</v>
      </c>
      <c r="F85" s="20">
        <f t="shared" ref="F85" si="136">F81*F84</f>
        <v>966264.38125860307</v>
      </c>
      <c r="G85" s="20">
        <f t="shared" ref="G85" si="137">G81*G84</f>
        <v>1118459.2715716555</v>
      </c>
      <c r="H85" s="20">
        <f t="shared" ref="H85" si="138">H81*H84</f>
        <v>1226254.5693463837</v>
      </c>
      <c r="I85" s="20">
        <f t="shared" ref="I85" si="139">I81*I84</f>
        <v>1197859.4240150116</v>
      </c>
      <c r="J85" s="20">
        <f t="shared" ref="J85" si="140">J81*J84</f>
        <v>1252819.1714598774</v>
      </c>
      <c r="K85" s="20">
        <f t="shared" ref="K85" si="141">K81*K84</f>
        <v>1075883.1914098314</v>
      </c>
      <c r="L85" s="20">
        <f t="shared" ref="L85" si="142">L81*L84</f>
        <v>1130610.2532188396</v>
      </c>
      <c r="M85" s="20">
        <f t="shared" ref="M85" si="143">M81*M84</f>
        <v>927459.22995619313</v>
      </c>
      <c r="N85" s="20">
        <f>SUM(B85:M85)</f>
        <v>12997548.686880728</v>
      </c>
    </row>
    <row r="87" spans="1:14">
      <c r="A87" s="25" t="s">
        <v>135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>
      <c r="A88" s="26" t="s">
        <v>80</v>
      </c>
      <c r="B88" s="266">
        <f>B81</f>
        <v>547180.16422875761</v>
      </c>
      <c r="C88" s="266">
        <f t="shared" ref="C88:M88" si="144">C81</f>
        <v>745911.94566601235</v>
      </c>
      <c r="D88" s="266">
        <f t="shared" si="144"/>
        <v>669616.06321520871</v>
      </c>
      <c r="E88" s="266">
        <f t="shared" si="144"/>
        <v>617127.79836444475</v>
      </c>
      <c r="F88" s="266">
        <f t="shared" si="144"/>
        <v>607713.44733245473</v>
      </c>
      <c r="G88" s="266">
        <f t="shared" si="144"/>
        <v>703433.50413311669</v>
      </c>
      <c r="H88" s="266">
        <f t="shared" si="144"/>
        <v>771229.28889709665</v>
      </c>
      <c r="I88" s="266">
        <f t="shared" si="144"/>
        <v>753370.70692768029</v>
      </c>
      <c r="J88" s="266">
        <f t="shared" si="144"/>
        <v>787936.58582382218</v>
      </c>
      <c r="K88" s="266">
        <f t="shared" si="144"/>
        <v>676656.09522630903</v>
      </c>
      <c r="L88" s="266">
        <f t="shared" si="144"/>
        <v>711075.630955245</v>
      </c>
      <c r="M88" s="266">
        <f t="shared" si="144"/>
        <v>583307.69179634785</v>
      </c>
      <c r="N88" s="20">
        <f>SUM(B88:M88)</f>
        <v>8174558.9225664968</v>
      </c>
    </row>
    <row r="89" spans="1:14">
      <c r="A89" s="26" t="s">
        <v>45</v>
      </c>
      <c r="B89" s="27">
        <f>B88-B90</f>
        <v>9938.9622368502896</v>
      </c>
      <c r="C89" s="27">
        <f t="shared" ref="C89" si="145">C88-C90</f>
        <v>13548.719680727692</v>
      </c>
      <c r="D89" s="27">
        <f t="shared" ref="D89" si="146">D88-D90</f>
        <v>12162.883818832925</v>
      </c>
      <c r="E89" s="27">
        <f t="shared" ref="E89" si="147">E88-E90</f>
        <v>11209.488728269236</v>
      </c>
      <c r="F89" s="27">
        <f t="shared" ref="F89" si="148">F88-F90</f>
        <v>11038.486770397983</v>
      </c>
      <c r="G89" s="27">
        <f t="shared" ref="G89" si="149">G88-G90</f>
        <v>12777.142686757608</v>
      </c>
      <c r="H89" s="27">
        <f t="shared" ref="H89" si="150">H88-H90</f>
        <v>14008.583058022894</v>
      </c>
      <c r="I89" s="27">
        <f t="shared" ref="I89" si="151">I88-I90</f>
        <v>13684.200371293118</v>
      </c>
      <c r="J89" s="27">
        <f t="shared" ref="J89" si="152">J88-J90</f>
        <v>14312.053841669811</v>
      </c>
      <c r="K89" s="27">
        <f t="shared" ref="K89" si="153">K88-K90</f>
        <v>12290.758725269232</v>
      </c>
      <c r="L89" s="27">
        <f t="shared" ref="L89" si="154">L88-L90</f>
        <v>12915.954023241997</v>
      </c>
      <c r="M89" s="27">
        <f t="shared" ref="M89" si="155">M88-M90</f>
        <v>10595.181441563531</v>
      </c>
      <c r="N89" s="20">
        <f>SUM(B89:M89)</f>
        <v>148482.41538289632</v>
      </c>
    </row>
    <row r="90" spans="1:14">
      <c r="A90" s="26" t="s">
        <v>47</v>
      </c>
      <c r="B90" s="27">
        <f>B88/(1+'Transmission Formula Rate (7)'!$B$27)</f>
        <v>537241.20199190732</v>
      </c>
      <c r="C90" s="27">
        <f>C88/(1+'Transmission Formula Rate (7)'!$B$27)</f>
        <v>732363.22598528466</v>
      </c>
      <c r="D90" s="27">
        <f>D88/(1+'Transmission Formula Rate (7)'!$B$27)</f>
        <v>657453.17939637578</v>
      </c>
      <c r="E90" s="27">
        <f>E88/(1+'Transmission Formula Rate (7)'!$B$27)</f>
        <v>605918.30963617552</v>
      </c>
      <c r="F90" s="27">
        <f>F88/(1+'Transmission Formula Rate (7)'!$B$27)</f>
        <v>596674.96056205675</v>
      </c>
      <c r="G90" s="27">
        <f>G88/(1+'Transmission Formula Rate (7)'!$B$27)</f>
        <v>690656.36144635908</v>
      </c>
      <c r="H90" s="27">
        <f>H88/(1+'Transmission Formula Rate (7)'!$B$27)</f>
        <v>757220.70583907375</v>
      </c>
      <c r="I90" s="27">
        <f>I88/(1+'Transmission Formula Rate (7)'!$B$27)</f>
        <v>739686.50655638718</v>
      </c>
      <c r="J90" s="27">
        <f>J88/(1+'Transmission Formula Rate (7)'!$B$27)</f>
        <v>773624.53198215237</v>
      </c>
      <c r="K90" s="27">
        <f>K88/(1+'Transmission Formula Rate (7)'!$B$27)</f>
        <v>664365.3365010398</v>
      </c>
      <c r="L90" s="27">
        <f>L88/(1+'Transmission Formula Rate (7)'!$B$27)</f>
        <v>698159.676932003</v>
      </c>
      <c r="M90" s="27">
        <f>M88/(1+'Transmission Formula Rate (7)'!$B$27)</f>
        <v>572712.51035478432</v>
      </c>
      <c r="N90" s="123">
        <f>SUM(B90:M90)</f>
        <v>8026076.5071836002</v>
      </c>
    </row>
    <row r="91" spans="1:14">
      <c r="A91" s="25" t="s">
        <v>143</v>
      </c>
      <c r="B91" s="31">
        <f>'charges (1 &amp; 2)'!G32</f>
        <v>1.274E-2</v>
      </c>
      <c r="C91" s="31">
        <f>B91</f>
        <v>1.274E-2</v>
      </c>
      <c r="D91" s="31">
        <f t="shared" ref="D91:M91" si="156">C91</f>
        <v>1.274E-2</v>
      </c>
      <c r="E91" s="31">
        <f t="shared" si="156"/>
        <v>1.274E-2</v>
      </c>
      <c r="F91" s="31">
        <f t="shared" si="156"/>
        <v>1.274E-2</v>
      </c>
      <c r="G91" s="31">
        <f t="shared" si="156"/>
        <v>1.274E-2</v>
      </c>
      <c r="H91" s="31">
        <f t="shared" si="156"/>
        <v>1.274E-2</v>
      </c>
      <c r="I91" s="31">
        <f t="shared" si="156"/>
        <v>1.274E-2</v>
      </c>
      <c r="J91" s="31">
        <f t="shared" si="156"/>
        <v>1.274E-2</v>
      </c>
      <c r="K91" s="31">
        <f t="shared" si="156"/>
        <v>1.274E-2</v>
      </c>
      <c r="L91" s="31">
        <f t="shared" si="156"/>
        <v>1.274E-2</v>
      </c>
      <c r="M91" s="31">
        <f t="shared" si="156"/>
        <v>1.274E-2</v>
      </c>
      <c r="N91" s="19"/>
    </row>
    <row r="92" spans="1:14">
      <c r="A92" s="25" t="s">
        <v>17</v>
      </c>
      <c r="B92" s="20">
        <f>B88*B91</f>
        <v>6971.0752922743713</v>
      </c>
      <c r="C92" s="20">
        <f t="shared" ref="C92" si="157">C88*C91</f>
        <v>9502.9181877849969</v>
      </c>
      <c r="D92" s="20">
        <f t="shared" ref="D92" si="158">D88*D91</f>
        <v>8530.9086453617583</v>
      </c>
      <c r="E92" s="20">
        <f t="shared" ref="E92" si="159">E88*E91</f>
        <v>7862.2081511630258</v>
      </c>
      <c r="F92" s="20">
        <f t="shared" ref="F92" si="160">F88*F91</f>
        <v>7742.2693190154732</v>
      </c>
      <c r="G92" s="20">
        <f t="shared" ref="G92" si="161">G88*G91</f>
        <v>8961.7428426559054</v>
      </c>
      <c r="H92" s="20">
        <f t="shared" ref="H92" si="162">H88*H91</f>
        <v>9825.4611405490105</v>
      </c>
      <c r="I92" s="20">
        <f t="shared" ref="I92" si="163">I88*I91</f>
        <v>9597.9428062586467</v>
      </c>
      <c r="J92" s="20">
        <f t="shared" ref="J92" si="164">J88*J91</f>
        <v>10038.312103395494</v>
      </c>
      <c r="K92" s="20">
        <f t="shared" ref="K92" si="165">K88*K91</f>
        <v>8620.5986531831768</v>
      </c>
      <c r="L92" s="20">
        <f t="shared" ref="L92" si="166">L88*L91</f>
        <v>9059.1035383698218</v>
      </c>
      <c r="M92" s="20">
        <f t="shared" ref="M92" si="167">M88*M91</f>
        <v>7431.3399934854715</v>
      </c>
      <c r="N92" s="20">
        <f>SUM(B92:M92)</f>
        <v>104143.88067349714</v>
      </c>
    </row>
    <row r="94" spans="1:14">
      <c r="A94" s="25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>
      <c r="B95" s="23" t="s">
        <v>0</v>
      </c>
      <c r="C95" s="23" t="s">
        <v>1</v>
      </c>
      <c r="D95" s="23" t="s">
        <v>2</v>
      </c>
      <c r="E95" s="23" t="s">
        <v>3</v>
      </c>
      <c r="F95" s="23" t="s">
        <v>4</v>
      </c>
      <c r="G95" s="23" t="s">
        <v>5</v>
      </c>
      <c r="H95" s="23" t="s">
        <v>6</v>
      </c>
      <c r="I95" s="23" t="s">
        <v>7</v>
      </c>
      <c r="J95" s="23" t="s">
        <v>8</v>
      </c>
      <c r="K95" s="23" t="s">
        <v>9</v>
      </c>
      <c r="L95" s="23" t="s">
        <v>10</v>
      </c>
      <c r="M95" s="23" t="s">
        <v>11</v>
      </c>
      <c r="N95" s="23" t="s">
        <v>12</v>
      </c>
    </row>
    <row r="96" spans="1:14">
      <c r="A96" s="24">
        <f>+A79+1</f>
        <v>2019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25" t="s">
        <v>37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>
      <c r="A98" s="26" t="s">
        <v>80</v>
      </c>
      <c r="B98" s="266">
        <f>'LCEC Forecast'!I8</f>
        <v>548697.51494559681</v>
      </c>
      <c r="C98" s="266">
        <f>'LCEC Forecast'!I9</f>
        <v>746658.00325638719</v>
      </c>
      <c r="D98" s="266">
        <f>'LCEC Forecast'!I10</f>
        <v>670285.33022534731</v>
      </c>
      <c r="E98" s="266">
        <f>'LCEC Forecast'!I11</f>
        <v>617809.44363929844</v>
      </c>
      <c r="F98" s="266">
        <f>'LCEC Forecast'!I12</f>
        <v>611539.23332192388</v>
      </c>
      <c r="G98" s="266">
        <f>'LCEC Forecast'!I13</f>
        <v>707083.45171994274</v>
      </c>
      <c r="H98" s="266">
        <f>'LCEC Forecast'!I14</f>
        <v>773939.0374989938</v>
      </c>
      <c r="I98" s="266">
        <f>'LCEC Forecast'!I15</f>
        <v>757647.10653756245</v>
      </c>
      <c r="J98" s="266">
        <f>'LCEC Forecast'!I16</f>
        <v>792428.03529070609</v>
      </c>
      <c r="K98" s="266">
        <f>'LCEC Forecast'!I17</f>
        <v>680523.67777017294</v>
      </c>
      <c r="L98" s="266">
        <f>'LCEC Forecast'!I18</f>
        <v>713504.06342499144</v>
      </c>
      <c r="M98" s="266">
        <f>'LCEC Forecast'!I19</f>
        <v>584501.243078314</v>
      </c>
      <c r="N98" s="20">
        <f>SUM(B98:M98)</f>
        <v>8204616.1407092372</v>
      </c>
    </row>
    <row r="99" spans="1:14">
      <c r="A99" s="26" t="s">
        <v>45</v>
      </c>
      <c r="B99" s="27">
        <f>B98-B100</f>
        <v>9966.5233446180355</v>
      </c>
      <c r="C99" s="27">
        <f t="shared" ref="C99" si="168">C98-C100</f>
        <v>13562.271045894129</v>
      </c>
      <c r="D99" s="27">
        <f t="shared" ref="D99" si="169">D98-D100</f>
        <v>12175.040362463333</v>
      </c>
      <c r="E99" s="27">
        <f t="shared" ref="E99" si="170">E98-E100</f>
        <v>11221.870110286749</v>
      </c>
      <c r="F99" s="27">
        <f t="shared" ref="F99" si="171">F98-F100</f>
        <v>11107.978219396784</v>
      </c>
      <c r="G99" s="27">
        <f t="shared" ref="G99" si="172">G98-G100</f>
        <v>12843.44021288061</v>
      </c>
      <c r="H99" s="27">
        <f t="shared" ref="H99" si="173">H98-H100</f>
        <v>14057.80284116976</v>
      </c>
      <c r="I99" s="27">
        <f t="shared" ref="I99" si="174">I98-I100</f>
        <v>13761.876751050469</v>
      </c>
      <c r="J99" s="27">
        <f t="shared" ref="J99" si="175">J98-J100</f>
        <v>14393.636379850795</v>
      </c>
      <c r="K99" s="27">
        <f t="shared" ref="K99" si="176">K98-K100</f>
        <v>12361.00936548668</v>
      </c>
      <c r="L99" s="27">
        <f t="shared" ref="L99" si="177">L98-L100</f>
        <v>12960.06398955558</v>
      </c>
      <c r="M99" s="27">
        <f t="shared" ref="M99" si="178">M98-M100</f>
        <v>10616.861067205435</v>
      </c>
      <c r="N99" s="20">
        <f>SUM(B99:M99)</f>
        <v>149028.37368985836</v>
      </c>
    </row>
    <row r="100" spans="1:14">
      <c r="A100" s="26" t="s">
        <v>47</v>
      </c>
      <c r="B100" s="27">
        <f>B98/(1+'Transmission Formula Rate (7)'!$B$27)</f>
        <v>538730.99160097877</v>
      </c>
      <c r="C100" s="27">
        <f>C98/(1+'Transmission Formula Rate (7)'!$B$27)</f>
        <v>733095.73221049306</v>
      </c>
      <c r="D100" s="27">
        <f>D98/(1+'Transmission Formula Rate (7)'!$B$27)</f>
        <v>658110.28986288398</v>
      </c>
      <c r="E100" s="27">
        <f>E98/(1+'Transmission Formula Rate (7)'!$B$27)</f>
        <v>606587.57352901169</v>
      </c>
      <c r="F100" s="27">
        <f>F98/(1+'Transmission Formula Rate (7)'!$B$27)</f>
        <v>600431.2551025271</v>
      </c>
      <c r="G100" s="27">
        <f>G98/(1+'Transmission Formula Rate (7)'!$B$27)</f>
        <v>694240.01150706213</v>
      </c>
      <c r="H100" s="27">
        <f>H98/(1+'Transmission Formula Rate (7)'!$B$27)</f>
        <v>759881.23465782404</v>
      </c>
      <c r="I100" s="27">
        <f>I98/(1+'Transmission Formula Rate (7)'!$B$27)</f>
        <v>743885.22978651198</v>
      </c>
      <c r="J100" s="27">
        <f>J98/(1+'Transmission Formula Rate (7)'!$B$27)</f>
        <v>778034.39891085529</v>
      </c>
      <c r="K100" s="27">
        <f>K98/(1+'Transmission Formula Rate (7)'!$B$27)</f>
        <v>668162.66840468626</v>
      </c>
      <c r="L100" s="27">
        <f>L98/(1+'Transmission Formula Rate (7)'!$B$27)</f>
        <v>700543.99943543586</v>
      </c>
      <c r="M100" s="27">
        <f>M98/(1+'Transmission Formula Rate (7)'!$B$27)</f>
        <v>573884.38201110857</v>
      </c>
      <c r="N100" s="123">
        <f>SUM(B100:M100)</f>
        <v>8055587.767019378</v>
      </c>
    </row>
    <row r="101" spans="1:14">
      <c r="A101" s="25" t="s">
        <v>20</v>
      </c>
      <c r="B101" s="29">
        <f>'Transmission Formula Rate (7)'!B20</f>
        <v>1.59</v>
      </c>
      <c r="C101" s="29">
        <f>'Transmission Formula Rate (7)'!C20</f>
        <v>1.59</v>
      </c>
      <c r="D101" s="29">
        <f>'Transmission Formula Rate (7)'!D20</f>
        <v>1.59</v>
      </c>
      <c r="E101" s="29">
        <f>'Transmission Formula Rate (7)'!E20</f>
        <v>1.59</v>
      </c>
      <c r="F101" s="29">
        <f>'Transmission Formula Rate (7)'!F20</f>
        <v>1.59</v>
      </c>
      <c r="G101" s="29">
        <f>'Transmission Formula Rate (7)'!G20</f>
        <v>1.59</v>
      </c>
      <c r="H101" s="29">
        <f>'Transmission Formula Rate (7)'!H20</f>
        <v>1.59</v>
      </c>
      <c r="I101" s="29">
        <f>'Transmission Formula Rate (7)'!I20</f>
        <v>1.59</v>
      </c>
      <c r="J101" s="29">
        <f>'Transmission Formula Rate (7)'!J20</f>
        <v>1.59</v>
      </c>
      <c r="K101" s="29">
        <f>'Transmission Formula Rate (7)'!K20</f>
        <v>1.59</v>
      </c>
      <c r="L101" s="29">
        <f>'Transmission Formula Rate (7)'!L20</f>
        <v>1.59</v>
      </c>
      <c r="M101" s="29">
        <f>'Transmission Formula Rate (7)'!M20</f>
        <v>1.59</v>
      </c>
      <c r="N101" s="19"/>
    </row>
    <row r="102" spans="1:14">
      <c r="A102" s="25" t="s">
        <v>17</v>
      </c>
      <c r="B102" s="20">
        <f>B98*B101</f>
        <v>872429.04876349901</v>
      </c>
      <c r="C102" s="20">
        <f t="shared" ref="C102" si="179">C98*C101</f>
        <v>1187186.2251776557</v>
      </c>
      <c r="D102" s="20">
        <f t="shared" ref="D102" si="180">D98*D101</f>
        <v>1065753.6750583022</v>
      </c>
      <c r="E102" s="20">
        <f t="shared" ref="E102" si="181">E98*E101</f>
        <v>982317.01538648456</v>
      </c>
      <c r="F102" s="20">
        <f t="shared" ref="F102" si="182">F98*F101</f>
        <v>972347.38098185905</v>
      </c>
      <c r="G102" s="20">
        <f t="shared" ref="G102" si="183">G98*G101</f>
        <v>1124262.688234709</v>
      </c>
      <c r="H102" s="20">
        <f t="shared" ref="H102" si="184">H98*H101</f>
        <v>1230563.0696234002</v>
      </c>
      <c r="I102" s="20">
        <f t="shared" ref="I102" si="185">I98*I101</f>
        <v>1204658.8993947243</v>
      </c>
      <c r="J102" s="20">
        <f t="shared" ref="J102" si="186">J98*J101</f>
        <v>1259960.5761122229</v>
      </c>
      <c r="K102" s="20">
        <f t="shared" ref="K102" si="187">K98*K101</f>
        <v>1082032.6476545751</v>
      </c>
      <c r="L102" s="20">
        <f t="shared" ref="L102" si="188">L98*L101</f>
        <v>1134471.4608457366</v>
      </c>
      <c r="M102" s="20">
        <f t="shared" ref="M102" si="189">M98*M101</f>
        <v>929356.97649451927</v>
      </c>
      <c r="N102" s="20">
        <f>SUM(B102:M102)</f>
        <v>13045339.663727686</v>
      </c>
    </row>
    <row r="104" spans="1:14">
      <c r="A104" s="25" t="s">
        <v>135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>
      <c r="A105" s="26" t="s">
        <v>80</v>
      </c>
      <c r="B105" s="266">
        <f>B98</f>
        <v>548697.51494559681</v>
      </c>
      <c r="C105" s="266">
        <f t="shared" ref="C105:M105" si="190">C98</f>
        <v>746658.00325638719</v>
      </c>
      <c r="D105" s="266">
        <f t="shared" si="190"/>
        <v>670285.33022534731</v>
      </c>
      <c r="E105" s="266">
        <f t="shared" si="190"/>
        <v>617809.44363929844</v>
      </c>
      <c r="F105" s="266">
        <f t="shared" si="190"/>
        <v>611539.23332192388</v>
      </c>
      <c r="G105" s="266">
        <f t="shared" si="190"/>
        <v>707083.45171994274</v>
      </c>
      <c r="H105" s="266">
        <f t="shared" si="190"/>
        <v>773939.0374989938</v>
      </c>
      <c r="I105" s="266">
        <f t="shared" si="190"/>
        <v>757647.10653756245</v>
      </c>
      <c r="J105" s="266">
        <f t="shared" si="190"/>
        <v>792428.03529070609</v>
      </c>
      <c r="K105" s="266">
        <f t="shared" si="190"/>
        <v>680523.67777017294</v>
      </c>
      <c r="L105" s="266">
        <f t="shared" si="190"/>
        <v>713504.06342499144</v>
      </c>
      <c r="M105" s="266">
        <f t="shared" si="190"/>
        <v>584501.243078314</v>
      </c>
      <c r="N105" s="20">
        <f>SUM(B105:M105)</f>
        <v>8204616.1407092372</v>
      </c>
    </row>
    <row r="106" spans="1:14">
      <c r="A106" s="26" t="s">
        <v>45</v>
      </c>
      <c r="B106" s="27">
        <f>B105-B107</f>
        <v>9966.5233446180355</v>
      </c>
      <c r="C106" s="27">
        <f t="shared" ref="C106" si="191">C105-C107</f>
        <v>13562.271045894129</v>
      </c>
      <c r="D106" s="27">
        <f t="shared" ref="D106" si="192">D105-D107</f>
        <v>12175.040362463333</v>
      </c>
      <c r="E106" s="27">
        <f t="shared" ref="E106" si="193">E105-E107</f>
        <v>11221.870110286749</v>
      </c>
      <c r="F106" s="27">
        <f t="shared" ref="F106" si="194">F105-F107</f>
        <v>11107.978219396784</v>
      </c>
      <c r="G106" s="27">
        <f t="shared" ref="G106" si="195">G105-G107</f>
        <v>12843.44021288061</v>
      </c>
      <c r="H106" s="27">
        <f t="shared" ref="H106" si="196">H105-H107</f>
        <v>14057.80284116976</v>
      </c>
      <c r="I106" s="27">
        <f t="shared" ref="I106" si="197">I105-I107</f>
        <v>13761.876751050469</v>
      </c>
      <c r="J106" s="27">
        <f t="shared" ref="J106" si="198">J105-J107</f>
        <v>14393.636379850795</v>
      </c>
      <c r="K106" s="27">
        <f t="shared" ref="K106" si="199">K105-K107</f>
        <v>12361.00936548668</v>
      </c>
      <c r="L106" s="27">
        <f t="shared" ref="L106" si="200">L105-L107</f>
        <v>12960.06398955558</v>
      </c>
      <c r="M106" s="27">
        <f t="shared" ref="M106" si="201">M105-M107</f>
        <v>10616.861067205435</v>
      </c>
      <c r="N106" s="20">
        <f>SUM(B106:M106)</f>
        <v>149028.37368985836</v>
      </c>
    </row>
    <row r="107" spans="1:14">
      <c r="A107" s="26" t="s">
        <v>47</v>
      </c>
      <c r="B107" s="27">
        <f>B105/(1+'Transmission Formula Rate (7)'!$B$27)</f>
        <v>538730.99160097877</v>
      </c>
      <c r="C107" s="27">
        <f>C105/(1+'Transmission Formula Rate (7)'!$B$27)</f>
        <v>733095.73221049306</v>
      </c>
      <c r="D107" s="27">
        <f>D105/(1+'Transmission Formula Rate (7)'!$B$27)</f>
        <v>658110.28986288398</v>
      </c>
      <c r="E107" s="27">
        <f>E105/(1+'Transmission Formula Rate (7)'!$B$27)</f>
        <v>606587.57352901169</v>
      </c>
      <c r="F107" s="27">
        <f>F105/(1+'Transmission Formula Rate (7)'!$B$27)</f>
        <v>600431.2551025271</v>
      </c>
      <c r="G107" s="27">
        <f>G105/(1+'Transmission Formula Rate (7)'!$B$27)</f>
        <v>694240.01150706213</v>
      </c>
      <c r="H107" s="27">
        <f>H105/(1+'Transmission Formula Rate (7)'!$B$27)</f>
        <v>759881.23465782404</v>
      </c>
      <c r="I107" s="27">
        <f>I105/(1+'Transmission Formula Rate (7)'!$B$27)</f>
        <v>743885.22978651198</v>
      </c>
      <c r="J107" s="27">
        <f>J105/(1+'Transmission Formula Rate (7)'!$B$27)</f>
        <v>778034.39891085529</v>
      </c>
      <c r="K107" s="27">
        <f>K105/(1+'Transmission Formula Rate (7)'!$B$27)</f>
        <v>668162.66840468626</v>
      </c>
      <c r="L107" s="27">
        <f>L105/(1+'Transmission Formula Rate (7)'!$B$27)</f>
        <v>700543.99943543586</v>
      </c>
      <c r="M107" s="27">
        <f>M105/(1+'Transmission Formula Rate (7)'!$B$27)</f>
        <v>573884.38201110857</v>
      </c>
      <c r="N107" s="123">
        <f>SUM(B107:M107)</f>
        <v>8055587.767019378</v>
      </c>
    </row>
    <row r="108" spans="1:14">
      <c r="A108" s="25" t="s">
        <v>143</v>
      </c>
      <c r="B108" s="31">
        <f>'charges (1 &amp; 2)'!H32</f>
        <v>1.274E-2</v>
      </c>
      <c r="C108" s="31">
        <f>B108</f>
        <v>1.274E-2</v>
      </c>
      <c r="D108" s="31">
        <f t="shared" ref="D108" si="202">C108</f>
        <v>1.274E-2</v>
      </c>
      <c r="E108" s="31">
        <f t="shared" ref="E108" si="203">D108</f>
        <v>1.274E-2</v>
      </c>
      <c r="F108" s="31">
        <f t="shared" ref="F108" si="204">E108</f>
        <v>1.274E-2</v>
      </c>
      <c r="G108" s="31">
        <f t="shared" ref="G108" si="205">F108</f>
        <v>1.274E-2</v>
      </c>
      <c r="H108" s="31">
        <f t="shared" ref="H108" si="206">G108</f>
        <v>1.274E-2</v>
      </c>
      <c r="I108" s="31">
        <f t="shared" ref="I108" si="207">H108</f>
        <v>1.274E-2</v>
      </c>
      <c r="J108" s="31">
        <f t="shared" ref="J108" si="208">I108</f>
        <v>1.274E-2</v>
      </c>
      <c r="K108" s="31">
        <f t="shared" ref="K108" si="209">J108</f>
        <v>1.274E-2</v>
      </c>
      <c r="L108" s="31">
        <f t="shared" ref="L108" si="210">K108</f>
        <v>1.274E-2</v>
      </c>
      <c r="M108" s="31">
        <f t="shared" ref="M108" si="211">L108</f>
        <v>1.274E-2</v>
      </c>
      <c r="N108" s="19"/>
    </row>
    <row r="109" spans="1:14">
      <c r="A109" s="25" t="s">
        <v>17</v>
      </c>
      <c r="B109" s="20">
        <f>B105*B108</f>
        <v>6990.4063404069029</v>
      </c>
      <c r="C109" s="20">
        <f t="shared" ref="C109" si="212">C105*C108</f>
        <v>9512.4229614863725</v>
      </c>
      <c r="D109" s="20">
        <f t="shared" ref="D109" si="213">D105*D108</f>
        <v>8539.4351070709236</v>
      </c>
      <c r="E109" s="20">
        <f t="shared" ref="E109" si="214">E105*E108</f>
        <v>7870.8923119646615</v>
      </c>
      <c r="F109" s="20">
        <f t="shared" ref="F109" si="215">F105*F108</f>
        <v>7791.0098325213103</v>
      </c>
      <c r="G109" s="20">
        <f t="shared" ref="G109" si="216">G105*G108</f>
        <v>9008.2431749120697</v>
      </c>
      <c r="H109" s="20">
        <f t="shared" ref="H109" si="217">H105*H108</f>
        <v>9859.9833377371815</v>
      </c>
      <c r="I109" s="20">
        <f t="shared" ref="I109" si="218">I105*I108</f>
        <v>9652.4241372885444</v>
      </c>
      <c r="J109" s="20">
        <f t="shared" ref="J109" si="219">J105*J108</f>
        <v>10095.533169603596</v>
      </c>
      <c r="K109" s="20">
        <f t="shared" ref="K109" si="220">K105*K108</f>
        <v>8669.871654792003</v>
      </c>
      <c r="L109" s="20">
        <f t="shared" ref="L109" si="221">L105*L108</f>
        <v>9090.0417680343908</v>
      </c>
      <c r="M109" s="20">
        <f t="shared" ref="M109" si="222">M105*M108</f>
        <v>7446.5458368177206</v>
      </c>
      <c r="N109" s="20">
        <f>SUM(B109:M109)</f>
        <v>104526.80963263569</v>
      </c>
    </row>
    <row r="112" spans="1:14">
      <c r="B112" s="23" t="s">
        <v>0</v>
      </c>
      <c r="C112" s="23" t="s">
        <v>1</v>
      </c>
      <c r="D112" s="23" t="s">
        <v>2</v>
      </c>
      <c r="E112" s="23" t="s">
        <v>3</v>
      </c>
      <c r="F112" s="23" t="s">
        <v>4</v>
      </c>
      <c r="G112" s="23" t="s">
        <v>5</v>
      </c>
      <c r="H112" s="23" t="s">
        <v>6</v>
      </c>
      <c r="I112" s="23" t="s">
        <v>7</v>
      </c>
      <c r="J112" s="23" t="s">
        <v>8</v>
      </c>
      <c r="K112" s="23" t="s">
        <v>9</v>
      </c>
      <c r="L112" s="23" t="s">
        <v>10</v>
      </c>
      <c r="M112" s="23" t="s">
        <v>11</v>
      </c>
      <c r="N112" s="23" t="s">
        <v>12</v>
      </c>
    </row>
    <row r="113" spans="1:14">
      <c r="A113" s="24">
        <f>+A96+1</f>
        <v>2020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25" t="s">
        <v>37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>
      <c r="A115" s="26" t="s">
        <v>80</v>
      </c>
      <c r="B115" s="266">
        <f>'LCEC Forecast'!$J8</f>
        <v>550221.77617318288</v>
      </c>
      <c r="C115" s="266">
        <f>'LCEC Forecast'!$J9</f>
        <v>747406.04240742722</v>
      </c>
      <c r="D115" s="266">
        <f>'LCEC Forecast'!$J10</f>
        <v>670954.59723548579</v>
      </c>
      <c r="E115" s="266">
        <f>'LCEC Forecast'!$J11</f>
        <v>618490.09381156112</v>
      </c>
      <c r="F115" s="266">
        <f>'LCEC Forecast'!$J12</f>
        <v>615396.54264164332</v>
      </c>
      <c r="G115" s="266">
        <f>'LCEC Forecast'!$J13</f>
        <v>710755.72017741424</v>
      </c>
      <c r="H115" s="266">
        <f>'LCEC Forecast'!$J14</f>
        <v>776661.65196350031</v>
      </c>
      <c r="I115" s="266">
        <f>'LCEC Forecast'!$J15</f>
        <v>761951.25633511215</v>
      </c>
      <c r="J115" s="266">
        <f>'LCEC Forecast'!$J16</f>
        <v>796951.99579781992</v>
      </c>
      <c r="K115" s="266">
        <f>'LCEC Forecast'!$J17</f>
        <v>684416.93206816178</v>
      </c>
      <c r="L115" s="266">
        <f>'LCEC Forecast'!$J18</f>
        <v>715936.47041596507</v>
      </c>
      <c r="M115" s="266">
        <f>'LCEC Forecast'!$J19</f>
        <v>585700.75714770041</v>
      </c>
      <c r="N115" s="20">
        <f>SUM(B115:M115)</f>
        <v>8234843.8361749733</v>
      </c>
    </row>
    <row r="116" spans="1:14">
      <c r="A116" s="26" t="s">
        <v>45</v>
      </c>
      <c r="B116" s="27">
        <f>B115-B117</f>
        <v>9994.2099746724125</v>
      </c>
      <c r="C116" s="27">
        <f t="shared" ref="C116" si="223">C115-C117</f>
        <v>13575.858404062223</v>
      </c>
      <c r="D116" s="27">
        <f t="shared" ref="D116" si="224">D115-D117</f>
        <v>12187.196906093741</v>
      </c>
      <c r="E116" s="27">
        <f t="shared" ref="E116" si="225">E115-E117</f>
        <v>11234.233417293872</v>
      </c>
      <c r="F116" s="27">
        <f t="shared" ref="F116" si="226">F115-F117</f>
        <v>11178.042257113731</v>
      </c>
      <c r="G116" s="27">
        <f t="shared" ref="G116" si="227">G115-G117</f>
        <v>12910.143174552941</v>
      </c>
      <c r="H116" s="27">
        <f t="shared" ref="H116" si="228">H115-H117</f>
        <v>14107.256319415523</v>
      </c>
      <c r="I116" s="27">
        <f t="shared" ref="I116" si="229">I115-I117</f>
        <v>13840.057184290141</v>
      </c>
      <c r="J116" s="27">
        <f t="shared" ref="J116" si="230">J115-J117</f>
        <v>14475.809447481181</v>
      </c>
      <c r="K116" s="27">
        <f t="shared" ref="K116" si="231">K115-K117</f>
        <v>12431.726306589087</v>
      </c>
      <c r="L116" s="27">
        <f t="shared" ref="L116" si="232">L115-L117</f>
        <v>13004.246148939943</v>
      </c>
      <c r="M116" s="27">
        <f t="shared" ref="M116" si="233">M115-M117</f>
        <v>10638.649000719073</v>
      </c>
      <c r="N116" s="20">
        <f>SUM(B116:M116)</f>
        <v>149577.42854122387</v>
      </c>
    </row>
    <row r="117" spans="1:14">
      <c r="A117" s="26" t="s">
        <v>47</v>
      </c>
      <c r="B117" s="27">
        <f>B115/(1+'Transmission Formula Rate (7)'!$B$27)</f>
        <v>540227.56619851047</v>
      </c>
      <c r="C117" s="27">
        <f>C115/(1+'Transmission Formula Rate (7)'!$B$27)</f>
        <v>733830.18400336499</v>
      </c>
      <c r="D117" s="27">
        <f>D115/(1+'Transmission Formula Rate (7)'!$B$27)</f>
        <v>658767.40032939205</v>
      </c>
      <c r="E117" s="27">
        <f>E115/(1+'Transmission Formula Rate (7)'!$B$27)</f>
        <v>607255.86039426725</v>
      </c>
      <c r="F117" s="27">
        <f>F115/(1+'Transmission Formula Rate (7)'!$B$27)</f>
        <v>604218.50038452959</v>
      </c>
      <c r="G117" s="27">
        <f>G115/(1+'Transmission Formula Rate (7)'!$B$27)</f>
        <v>697845.5770028613</v>
      </c>
      <c r="H117" s="27">
        <f>H115/(1+'Transmission Formula Rate (7)'!$B$27)</f>
        <v>762554.39564408478</v>
      </c>
      <c r="I117" s="27">
        <f>I115/(1+'Transmission Formula Rate (7)'!$B$27)</f>
        <v>748111.19915082201</v>
      </c>
      <c r="J117" s="27">
        <f>J115/(1+'Transmission Formula Rate (7)'!$B$27)</f>
        <v>782476.18635033874</v>
      </c>
      <c r="K117" s="27">
        <f>K115/(1+'Transmission Formula Rate (7)'!$B$27)</f>
        <v>671985.2057615727</v>
      </c>
      <c r="L117" s="27">
        <f>L115/(1+'Transmission Formula Rate (7)'!$B$27)</f>
        <v>702932.22426702513</v>
      </c>
      <c r="M117" s="27">
        <f>M115/(1+'Transmission Formula Rate (7)'!$B$27)</f>
        <v>575062.10814698134</v>
      </c>
      <c r="N117" s="123">
        <f>SUM(B117:M117)</f>
        <v>8085266.4076337507</v>
      </c>
    </row>
    <row r="118" spans="1:14">
      <c r="A118" s="25" t="s">
        <v>20</v>
      </c>
      <c r="B118" s="29">
        <f>B101</f>
        <v>1.59</v>
      </c>
      <c r="C118" s="29">
        <f t="shared" ref="C118:M118" si="234">C101</f>
        <v>1.59</v>
      </c>
      <c r="D118" s="29">
        <f t="shared" si="234"/>
        <v>1.59</v>
      </c>
      <c r="E118" s="29">
        <f t="shared" si="234"/>
        <v>1.59</v>
      </c>
      <c r="F118" s="29">
        <f t="shared" si="234"/>
        <v>1.59</v>
      </c>
      <c r="G118" s="29">
        <f t="shared" si="234"/>
        <v>1.59</v>
      </c>
      <c r="H118" s="29">
        <f t="shared" si="234"/>
        <v>1.59</v>
      </c>
      <c r="I118" s="29">
        <f t="shared" si="234"/>
        <v>1.59</v>
      </c>
      <c r="J118" s="29">
        <f t="shared" si="234"/>
        <v>1.59</v>
      </c>
      <c r="K118" s="29">
        <f t="shared" si="234"/>
        <v>1.59</v>
      </c>
      <c r="L118" s="29">
        <f t="shared" si="234"/>
        <v>1.59</v>
      </c>
      <c r="M118" s="29">
        <f t="shared" si="234"/>
        <v>1.59</v>
      </c>
      <c r="N118" s="19"/>
    </row>
    <row r="119" spans="1:14">
      <c r="A119" s="25" t="s">
        <v>17</v>
      </c>
      <c r="B119" s="20">
        <f>B115*B118</f>
        <v>874852.62411536078</v>
      </c>
      <c r="C119" s="20">
        <f t="shared" ref="C119" si="235">C115*C118</f>
        <v>1188375.6074278094</v>
      </c>
      <c r="D119" s="20">
        <f t="shared" ref="D119" si="236">D115*D118</f>
        <v>1066817.8096044224</v>
      </c>
      <c r="E119" s="20">
        <f t="shared" ref="E119" si="237">E115*E118</f>
        <v>983399.2491603822</v>
      </c>
      <c r="F119" s="20">
        <f t="shared" ref="F119" si="238">F115*F118</f>
        <v>978480.50280021294</v>
      </c>
      <c r="G119" s="20">
        <f t="shared" ref="G119" si="239">G115*G118</f>
        <v>1130101.5950820886</v>
      </c>
      <c r="H119" s="20">
        <f t="shared" ref="H119" si="240">H115*H118</f>
        <v>1234892.0266219655</v>
      </c>
      <c r="I119" s="20">
        <f t="shared" ref="I119" si="241">I115*I118</f>
        <v>1211502.4975728283</v>
      </c>
      <c r="J119" s="20">
        <f t="shared" ref="J119" si="242">J115*J118</f>
        <v>1267153.6733185337</v>
      </c>
      <c r="K119" s="20">
        <f t="shared" ref="K119" si="243">K115*K118</f>
        <v>1088222.9219883773</v>
      </c>
      <c r="L119" s="20">
        <f t="shared" ref="L119" si="244">L115*L118</f>
        <v>1138338.9879613845</v>
      </c>
      <c r="M119" s="20">
        <f t="shared" ref="M119" si="245">M115*M118</f>
        <v>931264.2038648437</v>
      </c>
      <c r="N119" s="20">
        <f>SUM(B119:M119)</f>
        <v>13093401.699518209</v>
      </c>
    </row>
    <row r="121" spans="1:14">
      <c r="A121" s="25" t="s">
        <v>135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26" t="s">
        <v>80</v>
      </c>
      <c r="B122" s="266">
        <f>B115</f>
        <v>550221.77617318288</v>
      </c>
      <c r="C122" s="266">
        <f t="shared" ref="C122:M122" si="246">C115</f>
        <v>747406.04240742722</v>
      </c>
      <c r="D122" s="266">
        <f t="shared" si="246"/>
        <v>670954.59723548579</v>
      </c>
      <c r="E122" s="266">
        <f t="shared" si="246"/>
        <v>618490.09381156112</v>
      </c>
      <c r="F122" s="266">
        <f t="shared" si="246"/>
        <v>615396.54264164332</v>
      </c>
      <c r="G122" s="266">
        <f t="shared" si="246"/>
        <v>710755.72017741424</v>
      </c>
      <c r="H122" s="266">
        <f t="shared" si="246"/>
        <v>776661.65196350031</v>
      </c>
      <c r="I122" s="266">
        <f t="shared" si="246"/>
        <v>761951.25633511215</v>
      </c>
      <c r="J122" s="266">
        <f t="shared" si="246"/>
        <v>796951.99579781992</v>
      </c>
      <c r="K122" s="266">
        <f t="shared" si="246"/>
        <v>684416.93206816178</v>
      </c>
      <c r="L122" s="266">
        <f t="shared" si="246"/>
        <v>715936.47041596507</v>
      </c>
      <c r="M122" s="266">
        <f t="shared" si="246"/>
        <v>585700.75714770041</v>
      </c>
      <c r="N122" s="20">
        <f>SUM(B122:M122)</f>
        <v>8234843.8361749733</v>
      </c>
    </row>
    <row r="123" spans="1:14">
      <c r="A123" s="26" t="s">
        <v>45</v>
      </c>
      <c r="B123" s="27">
        <f>B122-B124</f>
        <v>9994.2099746724125</v>
      </c>
      <c r="C123" s="27">
        <f t="shared" ref="C123" si="247">C122-C124</f>
        <v>13575.858404062223</v>
      </c>
      <c r="D123" s="27">
        <f t="shared" ref="D123" si="248">D122-D124</f>
        <v>12187.196906093741</v>
      </c>
      <c r="E123" s="27">
        <f t="shared" ref="E123" si="249">E122-E124</f>
        <v>11234.233417293872</v>
      </c>
      <c r="F123" s="27">
        <f t="shared" ref="F123" si="250">F122-F124</f>
        <v>11178.042257113731</v>
      </c>
      <c r="G123" s="27">
        <f t="shared" ref="G123" si="251">G122-G124</f>
        <v>12910.143174552941</v>
      </c>
      <c r="H123" s="27">
        <f t="shared" ref="H123" si="252">H122-H124</f>
        <v>14107.256319415523</v>
      </c>
      <c r="I123" s="27">
        <f t="shared" ref="I123" si="253">I122-I124</f>
        <v>13840.057184290141</v>
      </c>
      <c r="J123" s="27">
        <f t="shared" ref="J123" si="254">J122-J124</f>
        <v>14475.809447481181</v>
      </c>
      <c r="K123" s="27">
        <f t="shared" ref="K123" si="255">K122-K124</f>
        <v>12431.726306589087</v>
      </c>
      <c r="L123" s="27">
        <f t="shared" ref="L123" si="256">L122-L124</f>
        <v>13004.246148939943</v>
      </c>
      <c r="M123" s="27">
        <f t="shared" ref="M123" si="257">M122-M124</f>
        <v>10638.649000719073</v>
      </c>
      <c r="N123" s="20">
        <f>SUM(B123:M123)</f>
        <v>149577.42854122387</v>
      </c>
    </row>
    <row r="124" spans="1:14">
      <c r="A124" s="26" t="s">
        <v>47</v>
      </c>
      <c r="B124" s="27">
        <f>B122/(1+'Transmission Formula Rate (7)'!$B$27)</f>
        <v>540227.56619851047</v>
      </c>
      <c r="C124" s="27">
        <f>C122/(1+'Transmission Formula Rate (7)'!$B$27)</f>
        <v>733830.18400336499</v>
      </c>
      <c r="D124" s="27">
        <f>D122/(1+'Transmission Formula Rate (7)'!$B$27)</f>
        <v>658767.40032939205</v>
      </c>
      <c r="E124" s="27">
        <f>E122/(1+'Transmission Formula Rate (7)'!$B$27)</f>
        <v>607255.86039426725</v>
      </c>
      <c r="F124" s="27">
        <f>F122/(1+'Transmission Formula Rate (7)'!$B$27)</f>
        <v>604218.50038452959</v>
      </c>
      <c r="G124" s="27">
        <f>G122/(1+'Transmission Formula Rate (7)'!$B$27)</f>
        <v>697845.5770028613</v>
      </c>
      <c r="H124" s="27">
        <f>H122/(1+'Transmission Formula Rate (7)'!$B$27)</f>
        <v>762554.39564408478</v>
      </c>
      <c r="I124" s="27">
        <f>I122/(1+'Transmission Formula Rate (7)'!$B$27)</f>
        <v>748111.19915082201</v>
      </c>
      <c r="J124" s="27">
        <f>J122/(1+'Transmission Formula Rate (7)'!$B$27)</f>
        <v>782476.18635033874</v>
      </c>
      <c r="K124" s="27">
        <f>K122/(1+'Transmission Formula Rate (7)'!$B$27)</f>
        <v>671985.2057615727</v>
      </c>
      <c r="L124" s="27">
        <f>L122/(1+'Transmission Formula Rate (7)'!$B$27)</f>
        <v>702932.22426702513</v>
      </c>
      <c r="M124" s="27">
        <f>M122/(1+'Transmission Formula Rate (7)'!$B$27)</f>
        <v>575062.10814698134</v>
      </c>
      <c r="N124" s="123">
        <f>SUM(B124:M124)</f>
        <v>8085266.4076337507</v>
      </c>
    </row>
    <row r="125" spans="1:14">
      <c r="A125" s="25" t="s">
        <v>143</v>
      </c>
      <c r="B125" s="31">
        <f>B108</f>
        <v>1.274E-2</v>
      </c>
      <c r="C125" s="31">
        <f>B125</f>
        <v>1.274E-2</v>
      </c>
      <c r="D125" s="31">
        <f t="shared" ref="D125" si="258">C125</f>
        <v>1.274E-2</v>
      </c>
      <c r="E125" s="31">
        <f t="shared" ref="E125" si="259">D125</f>
        <v>1.274E-2</v>
      </c>
      <c r="F125" s="31">
        <f t="shared" ref="F125" si="260">E125</f>
        <v>1.274E-2</v>
      </c>
      <c r="G125" s="31">
        <f t="shared" ref="G125" si="261">F125</f>
        <v>1.274E-2</v>
      </c>
      <c r="H125" s="31">
        <f t="shared" ref="H125" si="262">G125</f>
        <v>1.274E-2</v>
      </c>
      <c r="I125" s="31">
        <f t="shared" ref="I125" si="263">H125</f>
        <v>1.274E-2</v>
      </c>
      <c r="J125" s="31">
        <f t="shared" ref="J125" si="264">I125</f>
        <v>1.274E-2</v>
      </c>
      <c r="K125" s="31">
        <f t="shared" ref="K125" si="265">J125</f>
        <v>1.274E-2</v>
      </c>
      <c r="L125" s="31">
        <f t="shared" ref="L125" si="266">K125</f>
        <v>1.274E-2</v>
      </c>
      <c r="M125" s="31">
        <f t="shared" ref="M125" si="267">L125</f>
        <v>1.274E-2</v>
      </c>
      <c r="N125" s="19"/>
    </row>
    <row r="126" spans="1:14">
      <c r="A126" s="25" t="s">
        <v>17</v>
      </c>
      <c r="B126" s="20">
        <f>B122*B125</f>
        <v>7009.8254284463501</v>
      </c>
      <c r="C126" s="20">
        <f t="shared" ref="C126" si="268">C122*C125</f>
        <v>9521.952980270622</v>
      </c>
      <c r="D126" s="20">
        <f t="shared" ref="D126" si="269">D122*D125</f>
        <v>8547.9615687800888</v>
      </c>
      <c r="E126" s="20">
        <f t="shared" ref="E126" si="270">E122*E125</f>
        <v>7879.563795159288</v>
      </c>
      <c r="F126" s="20">
        <f t="shared" ref="F126" si="271">F122*F125</f>
        <v>7840.1519532545353</v>
      </c>
      <c r="G126" s="20">
        <f t="shared" ref="G126" si="272">G122*G125</f>
        <v>9055.0278750602574</v>
      </c>
      <c r="H126" s="20">
        <f t="shared" ref="H126" si="273">H122*H125</f>
        <v>9894.6694460149938</v>
      </c>
      <c r="I126" s="20">
        <f t="shared" ref="I126" si="274">I122*I125</f>
        <v>9707.2590057093294</v>
      </c>
      <c r="J126" s="20">
        <f t="shared" ref="J126" si="275">J122*J125</f>
        <v>10153.168426464226</v>
      </c>
      <c r="K126" s="20">
        <f t="shared" ref="K126" si="276">K122*K125</f>
        <v>8719.471714548381</v>
      </c>
      <c r="L126" s="20">
        <f t="shared" ref="L126" si="277">L122*L125</f>
        <v>9121.0306330993953</v>
      </c>
      <c r="M126" s="20">
        <f t="shared" ref="M126" si="278">M122*M125</f>
        <v>7461.8276460617026</v>
      </c>
      <c r="N126" s="20">
        <f>SUM(B126:M126)</f>
        <v>104911.91047286917</v>
      </c>
    </row>
  </sheetData>
  <phoneticPr fontId="23" type="noConversion"/>
  <pageMargins left="0.21" right="0.2" top="1.08" bottom="0.46" header="0.92" footer="0.18"/>
  <pageSetup scale="90" pageOrder="overThenDown" orientation="landscape" r:id="rId1"/>
  <headerFooter alignWithMargins="0">
    <oddHeader>&amp;A</oddHeader>
    <oddFooter>&amp;Z&amp;F</oddFooter>
  </headerFooter>
  <rowBreaks count="4" manualBreakCount="4">
    <brk id="41" max="16383" man="1"/>
    <brk id="76" max="16383" man="1"/>
    <brk id="155" max="65535" man="1"/>
    <brk id="203" max="65535" man="1"/>
  </rowBreaks>
  <ignoredErrors>
    <ignoredError sqref="N88 N20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J26"/>
  <sheetViews>
    <sheetView zoomScale="85" workbookViewId="0">
      <pane xSplit="3" ySplit="7" topLeftCell="D8" activePane="bottomRight" state="frozen"/>
      <selection sqref="A1:XFD1428"/>
      <selection pane="topRight" sqref="A1:XFD1428"/>
      <selection pane="bottomLeft" sqref="A1:XFD1428"/>
      <selection pane="bottomRight" activeCell="B2" sqref="B1:B2"/>
    </sheetView>
  </sheetViews>
  <sheetFormatPr defaultColWidth="9" defaultRowHeight="13.2"/>
  <cols>
    <col min="1" max="1" width="4.6640625" style="234" customWidth="1"/>
    <col min="2" max="2" width="15.6640625" style="234" customWidth="1"/>
    <col min="3" max="3" width="10.109375" style="234" customWidth="1"/>
    <col min="4" max="7" width="9" style="234"/>
    <col min="8" max="10" width="11.21875" style="234" bestFit="1" customWidth="1"/>
    <col min="11" max="16384" width="9" style="234"/>
  </cols>
  <sheetData>
    <row r="1" spans="1:10">
      <c r="B1" s="481" t="s">
        <v>480</v>
      </c>
    </row>
    <row r="2" spans="1:10">
      <c r="B2" s="481" t="s">
        <v>458</v>
      </c>
    </row>
    <row r="4" spans="1:10">
      <c r="B4" s="234" t="s">
        <v>349</v>
      </c>
    </row>
    <row r="5" spans="1:10">
      <c r="B5" s="424" t="s">
        <v>400</v>
      </c>
    </row>
    <row r="7" spans="1:10">
      <c r="D7" s="236">
        <v>2014</v>
      </c>
      <c r="E7" s="236">
        <f t="shared" ref="E7:J7" si="0">1+D7</f>
        <v>2015</v>
      </c>
      <c r="F7" s="236">
        <f t="shared" si="0"/>
        <v>2016</v>
      </c>
      <c r="G7" s="236">
        <f t="shared" si="0"/>
        <v>2017</v>
      </c>
      <c r="H7" s="236">
        <f t="shared" si="0"/>
        <v>2018</v>
      </c>
      <c r="I7" s="236">
        <f t="shared" si="0"/>
        <v>2019</v>
      </c>
      <c r="J7" s="236">
        <f t="shared" si="0"/>
        <v>2020</v>
      </c>
    </row>
    <row r="8" spans="1:10">
      <c r="A8" s="234">
        <v>1</v>
      </c>
      <c r="B8" s="234" t="s">
        <v>164</v>
      </c>
      <c r="C8" s="236" t="s">
        <v>0</v>
      </c>
      <c r="D8" s="237">
        <v>180000</v>
      </c>
      <c r="E8" s="237">
        <v>557000</v>
      </c>
      <c r="F8" s="237">
        <v>615852.81351076043</v>
      </c>
      <c r="G8" s="237">
        <v>545672.68567012821</v>
      </c>
      <c r="H8" s="237">
        <v>547180.16422875761</v>
      </c>
      <c r="I8" s="237">
        <v>548697.51494559681</v>
      </c>
      <c r="J8" s="237">
        <v>550221.77617318288</v>
      </c>
    </row>
    <row r="9" spans="1:10">
      <c r="A9" s="234">
        <f>1+A8</f>
        <v>2</v>
      </c>
      <c r="B9" s="234" t="s">
        <v>164</v>
      </c>
      <c r="C9" s="236" t="s">
        <v>1</v>
      </c>
      <c r="D9" s="237">
        <v>760000</v>
      </c>
      <c r="E9" s="237">
        <v>586000</v>
      </c>
      <c r="F9" s="237">
        <v>744423.79360659269</v>
      </c>
      <c r="G9" s="237">
        <v>745167.86963630246</v>
      </c>
      <c r="H9" s="237">
        <v>745911.94566601235</v>
      </c>
      <c r="I9" s="237">
        <v>746658.00325638719</v>
      </c>
      <c r="J9" s="237">
        <v>747406.04240742722</v>
      </c>
    </row>
    <row r="10" spans="1:10">
      <c r="A10" s="234">
        <f t="shared" ref="A10:A19" si="1">1+A9</f>
        <v>3</v>
      </c>
      <c r="B10" s="234" t="s">
        <v>164</v>
      </c>
      <c r="C10" s="236" t="s">
        <v>2</v>
      </c>
      <c r="D10" s="237">
        <v>556000</v>
      </c>
      <c r="E10" s="237">
        <v>907000</v>
      </c>
      <c r="F10" s="237">
        <v>668279.51810135087</v>
      </c>
      <c r="G10" s="237">
        <v>668945.8017518603</v>
      </c>
      <c r="H10" s="237">
        <v>669616.06321520871</v>
      </c>
      <c r="I10" s="237">
        <v>670285.33022534731</v>
      </c>
      <c r="J10" s="237">
        <v>670954.59723548579</v>
      </c>
    </row>
    <row r="11" spans="1:10">
      <c r="A11" s="234">
        <f t="shared" si="1"/>
        <v>4</v>
      </c>
      <c r="B11" s="234" t="s">
        <v>164</v>
      </c>
      <c r="C11" s="236" t="s">
        <v>3</v>
      </c>
      <c r="D11" s="237">
        <v>586000</v>
      </c>
      <c r="E11" s="237">
        <v>688000</v>
      </c>
      <c r="F11" s="237">
        <v>615771.4735328746</v>
      </c>
      <c r="G11" s="237">
        <v>616449.13839736406</v>
      </c>
      <c r="H11" s="237">
        <v>617127.79836444475</v>
      </c>
      <c r="I11" s="237">
        <v>617809.44363929844</v>
      </c>
      <c r="J11" s="237">
        <v>618490.09381156112</v>
      </c>
    </row>
    <row r="12" spans="1:10">
      <c r="A12" s="234">
        <f t="shared" si="1"/>
        <v>5</v>
      </c>
      <c r="B12" s="234" t="s">
        <v>164</v>
      </c>
      <c r="C12" s="236" t="s">
        <v>4</v>
      </c>
      <c r="D12" s="237">
        <v>711000</v>
      </c>
      <c r="E12" s="237">
        <v>787000</v>
      </c>
      <c r="F12" s="237">
        <v>600154.53483940358</v>
      </c>
      <c r="G12" s="237">
        <v>603918.22942080395</v>
      </c>
      <c r="H12" s="237">
        <v>607713.44733245473</v>
      </c>
      <c r="I12" s="237">
        <v>611539.23332192388</v>
      </c>
      <c r="J12" s="237">
        <v>615396.54264164332</v>
      </c>
    </row>
    <row r="13" spans="1:10">
      <c r="A13" s="234">
        <f t="shared" si="1"/>
        <v>6</v>
      </c>
      <c r="B13" s="234" t="s">
        <v>164</v>
      </c>
      <c r="C13" s="236" t="s">
        <v>5</v>
      </c>
      <c r="D13" s="237">
        <v>728000</v>
      </c>
      <c r="E13" s="237">
        <v>761000</v>
      </c>
      <c r="F13" s="237">
        <v>696314.11686990049</v>
      </c>
      <c r="G13" s="237">
        <v>699801.99552638899</v>
      </c>
      <c r="H13" s="237">
        <v>703433.50413311669</v>
      </c>
      <c r="I13" s="237">
        <v>707083.45171994274</v>
      </c>
      <c r="J13" s="237">
        <v>710755.72017741424</v>
      </c>
    </row>
    <row r="14" spans="1:10">
      <c r="A14" s="234">
        <f t="shared" si="1"/>
        <v>7</v>
      </c>
      <c r="B14" s="234" t="s">
        <v>164</v>
      </c>
      <c r="C14" s="236" t="s">
        <v>6</v>
      </c>
      <c r="D14" s="237">
        <v>781000</v>
      </c>
      <c r="E14" s="237">
        <v>836000</v>
      </c>
      <c r="F14" s="237">
        <v>765847.39959939185</v>
      </c>
      <c r="G14" s="237">
        <v>768532.40615780908</v>
      </c>
      <c r="H14" s="237">
        <v>771229.28889709665</v>
      </c>
      <c r="I14" s="237">
        <v>773939.0374989938</v>
      </c>
      <c r="J14" s="237">
        <v>776661.65196350031</v>
      </c>
    </row>
    <row r="15" spans="1:10">
      <c r="A15" s="234">
        <f t="shared" si="1"/>
        <v>8</v>
      </c>
      <c r="B15" s="234" t="s">
        <v>164</v>
      </c>
      <c r="C15" s="236" t="s">
        <v>7</v>
      </c>
      <c r="D15" s="237">
        <v>725000</v>
      </c>
      <c r="E15" s="237">
        <v>746000</v>
      </c>
      <c r="F15" s="237">
        <v>744904.02897998795</v>
      </c>
      <c r="G15" s="237">
        <v>749123.97131151194</v>
      </c>
      <c r="H15" s="237">
        <v>753370.70692768029</v>
      </c>
      <c r="I15" s="237">
        <v>757647.10653756245</v>
      </c>
      <c r="J15" s="237">
        <v>761951.25633511215</v>
      </c>
    </row>
    <row r="16" spans="1:10">
      <c r="A16" s="234">
        <f t="shared" si="1"/>
        <v>9</v>
      </c>
      <c r="B16" s="234" t="s">
        <v>164</v>
      </c>
      <c r="C16" s="236" t="s">
        <v>8</v>
      </c>
      <c r="D16" s="237">
        <v>829000</v>
      </c>
      <c r="E16" s="237">
        <v>768413.22194028518</v>
      </c>
      <c r="F16" s="237">
        <v>779042.35336340778</v>
      </c>
      <c r="G16" s="237">
        <v>783475.67703109328</v>
      </c>
      <c r="H16" s="237">
        <v>787936.58582382218</v>
      </c>
      <c r="I16" s="237">
        <v>792428.03529070609</v>
      </c>
      <c r="J16" s="237">
        <v>796951.99579781992</v>
      </c>
    </row>
    <row r="17" spans="1:10">
      <c r="A17" s="234">
        <f t="shared" si="1"/>
        <v>10</v>
      </c>
      <c r="B17" s="234" t="s">
        <v>164</v>
      </c>
      <c r="C17" s="236" t="s">
        <v>9</v>
      </c>
      <c r="D17" s="237">
        <v>701000</v>
      </c>
      <c r="E17" s="237">
        <v>659508.4951388113</v>
      </c>
      <c r="F17" s="237">
        <v>668999.71586675802</v>
      </c>
      <c r="G17" s="237">
        <v>672815.95490237186</v>
      </c>
      <c r="H17" s="237">
        <v>676656.09522630903</v>
      </c>
      <c r="I17" s="237">
        <v>680523.67777017294</v>
      </c>
      <c r="J17" s="237">
        <v>684416.93206816178</v>
      </c>
    </row>
    <row r="18" spans="1:10">
      <c r="A18" s="234">
        <f t="shared" si="1"/>
        <v>11</v>
      </c>
      <c r="B18" s="234" t="s">
        <v>164</v>
      </c>
      <c r="C18" s="236" t="s">
        <v>10</v>
      </c>
      <c r="D18" s="237">
        <v>760000</v>
      </c>
      <c r="E18" s="237">
        <v>681279.73337934481</v>
      </c>
      <c r="F18" s="237">
        <v>706270.43479170382</v>
      </c>
      <c r="G18" s="237">
        <v>708669.05835224723</v>
      </c>
      <c r="H18" s="237">
        <v>711075.630955245</v>
      </c>
      <c r="I18" s="237">
        <v>713504.06342499144</v>
      </c>
      <c r="J18" s="237">
        <v>715936.47041596507</v>
      </c>
    </row>
    <row r="19" spans="1:10">
      <c r="A19" s="234">
        <f t="shared" si="1"/>
        <v>12</v>
      </c>
      <c r="B19" s="234" t="s">
        <v>164</v>
      </c>
      <c r="C19" s="236" t="s">
        <v>11</v>
      </c>
      <c r="D19" s="237">
        <v>598000</v>
      </c>
      <c r="E19" s="237">
        <v>607859.771666824</v>
      </c>
      <c r="F19" s="237">
        <v>580934.50240306312</v>
      </c>
      <c r="G19" s="237">
        <v>582117.12190809206</v>
      </c>
      <c r="H19" s="237">
        <v>583307.69179634785</v>
      </c>
      <c r="I19" s="237">
        <v>584501.243078314</v>
      </c>
      <c r="J19" s="237">
        <v>585700.75714770041</v>
      </c>
    </row>
    <row r="20" spans="1:10">
      <c r="C20" s="234" t="s">
        <v>12</v>
      </c>
      <c r="D20" s="237">
        <f t="shared" ref="D20:I20" si="2">SUM(D8:D19)</f>
        <v>7915000</v>
      </c>
      <c r="E20" s="237">
        <f t="shared" si="2"/>
        <v>8585061.2221252657</v>
      </c>
      <c r="F20" s="237">
        <f t="shared" si="2"/>
        <v>8186794.6854651943</v>
      </c>
      <c r="G20" s="237">
        <f t="shared" si="2"/>
        <v>8144689.9100659741</v>
      </c>
      <c r="H20" s="237">
        <f t="shared" si="2"/>
        <v>8174558.9225664968</v>
      </c>
      <c r="I20" s="237">
        <f t="shared" si="2"/>
        <v>8204616.1407092372</v>
      </c>
      <c r="J20" s="237">
        <f t="shared" ref="J20" si="3">SUM(J8:J19)</f>
        <v>8234843.8361749733</v>
      </c>
    </row>
    <row r="25" spans="1:10">
      <c r="D25" s="477"/>
      <c r="E25" s="477"/>
      <c r="F25" s="477"/>
      <c r="G25" s="477"/>
      <c r="H25" s="477"/>
      <c r="I25" s="477"/>
    </row>
    <row r="26" spans="1:10">
      <c r="D26" s="477"/>
      <c r="E26" s="477"/>
      <c r="F26" s="477"/>
      <c r="G26" s="477"/>
      <c r="H26" s="477"/>
      <c r="I26" s="477"/>
    </row>
  </sheetData>
  <phoneticPr fontId="2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6"/>
  <sheetViews>
    <sheetView zoomScaleNormal="100" workbookViewId="0">
      <pane ySplit="8" topLeftCell="A9" activePane="bottomLeft" state="frozen"/>
      <selection sqref="A1:XFD1428"/>
      <selection pane="bottomLeft" activeCell="A2"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481</v>
      </c>
    </row>
    <row r="2" spans="1:16">
      <c r="A2" s="481" t="s">
        <v>458</v>
      </c>
    </row>
    <row r="3" spans="1:16" s="15" customFormat="1" ht="13.8">
      <c r="A3" s="243"/>
      <c r="B3" s="13">
        <f ca="1">TRUNC(NOW())</f>
        <v>42476</v>
      </c>
      <c r="C3" s="14"/>
      <c r="D3" s="16" t="s">
        <v>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4"/>
      <c r="B4" s="17">
        <f ca="1">NOW()</f>
        <v>42476.370215393516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15" customFormat="1" ht="13.8">
      <c r="A5" s="245" t="s">
        <v>170</v>
      </c>
      <c r="B5" s="14"/>
      <c r="C5" s="14"/>
      <c r="D5" s="14"/>
      <c r="G5" s="14"/>
      <c r="H5" s="14"/>
      <c r="I5" s="14"/>
      <c r="J5" s="14"/>
      <c r="K5" s="14"/>
      <c r="L5" s="14"/>
      <c r="M5" s="14"/>
      <c r="O5" s="14"/>
      <c r="P5" s="14"/>
    </row>
    <row r="6" spans="1:16" s="15" customFormat="1" ht="13.8">
      <c r="A6" s="246"/>
      <c r="B6" s="238">
        <v>1</v>
      </c>
      <c r="C6" s="238">
        <f>1+B6</f>
        <v>2</v>
      </c>
      <c r="D6" s="238">
        <f t="shared" ref="D6:M6" si="0">1+C6</f>
        <v>3</v>
      </c>
      <c r="E6" s="238">
        <f t="shared" si="0"/>
        <v>4</v>
      </c>
      <c r="F6" s="238">
        <f t="shared" si="0"/>
        <v>5</v>
      </c>
      <c r="G6" s="238">
        <f t="shared" si="0"/>
        <v>6</v>
      </c>
      <c r="H6" s="238">
        <f t="shared" si="0"/>
        <v>7</v>
      </c>
      <c r="I6" s="238">
        <f t="shared" si="0"/>
        <v>8</v>
      </c>
      <c r="J6" s="238">
        <f t="shared" si="0"/>
        <v>9</v>
      </c>
      <c r="K6" s="238">
        <f t="shared" si="0"/>
        <v>10</v>
      </c>
      <c r="L6" s="238">
        <f t="shared" si="0"/>
        <v>11</v>
      </c>
      <c r="M6" s="238">
        <f t="shared" si="0"/>
        <v>12</v>
      </c>
    </row>
    <row r="7" spans="1:16" s="19" customFormat="1" ht="10.199999999999999">
      <c r="A7" s="24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s="19" customFormat="1" ht="10.199999999999999">
      <c r="A8" s="247"/>
      <c r="B8" s="23" t="s">
        <v>0</v>
      </c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  <c r="J8" s="23" t="s">
        <v>8</v>
      </c>
      <c r="K8" s="23" t="s">
        <v>9</v>
      </c>
      <c r="L8" s="23" t="s">
        <v>10</v>
      </c>
      <c r="M8" s="23" t="s">
        <v>11</v>
      </c>
      <c r="N8" s="23" t="s">
        <v>12</v>
      </c>
    </row>
    <row r="9" spans="1:16" s="19" customFormat="1" ht="10.199999999999999">
      <c r="A9" s="24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6" s="19" customFormat="1" ht="10.199999999999999">
      <c r="A10" s="247"/>
      <c r="B10" s="23" t="s">
        <v>0</v>
      </c>
      <c r="C10" s="23" t="s">
        <v>1</v>
      </c>
      <c r="D10" s="23" t="s">
        <v>2</v>
      </c>
      <c r="E10" s="23" t="s">
        <v>3</v>
      </c>
      <c r="F10" s="23" t="s">
        <v>4</v>
      </c>
      <c r="G10" s="23" t="s">
        <v>5</v>
      </c>
      <c r="H10" s="23" t="s">
        <v>6</v>
      </c>
      <c r="I10" s="23" t="s">
        <v>7</v>
      </c>
      <c r="J10" s="23" t="s">
        <v>8</v>
      </c>
      <c r="K10" s="23" t="s">
        <v>9</v>
      </c>
      <c r="L10" s="23" t="s">
        <v>10</v>
      </c>
      <c r="M10" s="23" t="s">
        <v>11</v>
      </c>
      <c r="N10" s="23" t="s">
        <v>12</v>
      </c>
    </row>
    <row r="11" spans="1:16" s="19" customFormat="1" ht="10.199999999999999">
      <c r="A11" s="248">
        <v>2014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6" s="19" customFormat="1" ht="10.199999999999999">
      <c r="A12" s="247" t="s">
        <v>37</v>
      </c>
    </row>
    <row r="13" spans="1:16" s="28" customFormat="1" ht="10.199999999999999">
      <c r="A13" s="249" t="s">
        <v>47</v>
      </c>
      <c r="B13" s="232">
        <f>'FKEC Forecast'!E11</f>
        <v>111000</v>
      </c>
      <c r="C13" s="232">
        <f>'FKEC Forecast'!F11</f>
        <v>88000</v>
      </c>
      <c r="D13" s="232">
        <f>'FKEC Forecast'!G11</f>
        <v>111000</v>
      </c>
      <c r="E13" s="232">
        <f>'FKEC Forecast'!H11</f>
        <v>123000</v>
      </c>
      <c r="F13" s="232">
        <f>'FKEC Forecast'!I11</f>
        <v>129000</v>
      </c>
      <c r="G13" s="232">
        <f>'FKEC Forecast'!J11</f>
        <v>123000</v>
      </c>
      <c r="H13" s="232">
        <f>'FKEC Forecast'!K11</f>
        <v>140000</v>
      </c>
      <c r="I13" s="232">
        <f>'FKEC Forecast'!L11</f>
        <v>151000</v>
      </c>
      <c r="J13" s="232">
        <f>'FKEC Forecast'!M11</f>
        <v>146000</v>
      </c>
      <c r="K13" s="232">
        <f>'FKEC Forecast'!N11</f>
        <v>128000</v>
      </c>
      <c r="L13" s="232">
        <f>'FKEC Forecast'!O11</f>
        <v>137000</v>
      </c>
      <c r="M13" s="232">
        <f>'FKEC Forecast'!P11</f>
        <v>115000</v>
      </c>
      <c r="N13" s="20">
        <f>SUM(B13:M13)</f>
        <v>1502000</v>
      </c>
    </row>
    <row r="14" spans="1:16" s="28" customFormat="1" ht="10.199999999999999">
      <c r="A14" s="249" t="s">
        <v>45</v>
      </c>
      <c r="B14" s="27">
        <f>ROUND(B13*'Transmission Formula Rate (7)'!$B$27,0)</f>
        <v>2054</v>
      </c>
      <c r="C14" s="27">
        <f>ROUND(C13*'Transmission Formula Rate (7)'!$B$27,0)</f>
        <v>1628</v>
      </c>
      <c r="D14" s="27">
        <f>ROUND(D13*'Transmission Formula Rate (7)'!$B$27,0)</f>
        <v>2054</v>
      </c>
      <c r="E14" s="27">
        <f>ROUND(E13*'Transmission Formula Rate (7)'!$B$27,0)</f>
        <v>2276</v>
      </c>
      <c r="F14" s="27">
        <f>ROUND(F13*'Transmission Formula Rate (7)'!$B$27,0)</f>
        <v>2387</v>
      </c>
      <c r="G14" s="27">
        <f>ROUND(G13*'Transmission Formula Rate (7)'!$B$27,0)</f>
        <v>2276</v>
      </c>
      <c r="H14" s="27">
        <f>ROUND(H13*'Transmission Formula Rate (7)'!$B$27,0)</f>
        <v>2590</v>
      </c>
      <c r="I14" s="27">
        <f>ROUND(I13*'Transmission Formula Rate (7)'!$B$27,0)</f>
        <v>2794</v>
      </c>
      <c r="J14" s="27">
        <f>ROUND(J13*'Transmission Formula Rate (7)'!$B$27,0)</f>
        <v>2701</v>
      </c>
      <c r="K14" s="27">
        <f>ROUND(K13*'Transmission Formula Rate (7)'!$B$27,0)</f>
        <v>2368</v>
      </c>
      <c r="L14" s="27">
        <f>ROUND(L13*'Transmission Formula Rate (7)'!$B$27,0)</f>
        <v>2535</v>
      </c>
      <c r="M14" s="27">
        <f>ROUND(M13*'Transmission Formula Rate (7)'!$B$27,0)</f>
        <v>2128</v>
      </c>
      <c r="N14" s="20">
        <f>SUM(B14:M14)</f>
        <v>27791</v>
      </c>
    </row>
    <row r="15" spans="1:16" s="28" customFormat="1" ht="10.199999999999999">
      <c r="A15" s="249" t="s">
        <v>199</v>
      </c>
      <c r="B15" s="27">
        <f>B13+B14</f>
        <v>113054</v>
      </c>
      <c r="C15" s="27">
        <f t="shared" ref="C15:M15" si="1">C13+C14</f>
        <v>89628</v>
      </c>
      <c r="D15" s="27">
        <f t="shared" si="1"/>
        <v>113054</v>
      </c>
      <c r="E15" s="27">
        <f t="shared" si="1"/>
        <v>125276</v>
      </c>
      <c r="F15" s="27">
        <f t="shared" si="1"/>
        <v>131387</v>
      </c>
      <c r="G15" s="27">
        <f t="shared" si="1"/>
        <v>125276</v>
      </c>
      <c r="H15" s="27">
        <f t="shared" si="1"/>
        <v>142590</v>
      </c>
      <c r="I15" s="27">
        <f t="shared" si="1"/>
        <v>153794</v>
      </c>
      <c r="J15" s="27">
        <f t="shared" si="1"/>
        <v>148701</v>
      </c>
      <c r="K15" s="27">
        <f t="shared" si="1"/>
        <v>130368</v>
      </c>
      <c r="L15" s="27">
        <f t="shared" si="1"/>
        <v>139535</v>
      </c>
      <c r="M15" s="27">
        <f t="shared" si="1"/>
        <v>117128</v>
      </c>
      <c r="N15" s="123">
        <f>SUM(B15:M15)</f>
        <v>1529791</v>
      </c>
    </row>
    <row r="16" spans="1:16" s="19" customFormat="1" ht="10.199999999999999">
      <c r="A16" s="247" t="s">
        <v>20</v>
      </c>
      <c r="B16" s="29">
        <f>'Transmission Formula Rate (7)'!B8</f>
        <v>1.59</v>
      </c>
      <c r="C16" s="29">
        <f>'Transmission Formula Rate (7)'!C8</f>
        <v>1.59</v>
      </c>
      <c r="D16" s="29">
        <f>'Transmission Formula Rate (7)'!D8</f>
        <v>1.59</v>
      </c>
      <c r="E16" s="29">
        <f>'Transmission Formula Rate (7)'!E8</f>
        <v>1.59</v>
      </c>
      <c r="F16" s="29">
        <f>'Transmission Formula Rate (7)'!F8</f>
        <v>1.59</v>
      </c>
      <c r="G16" s="29">
        <f>'Transmission Formula Rate (7)'!G8</f>
        <v>1.59</v>
      </c>
      <c r="H16" s="29">
        <f>'Transmission Formula Rate (7)'!H8</f>
        <v>1.59</v>
      </c>
      <c r="I16" s="29">
        <f>'Transmission Formula Rate (7)'!I8</f>
        <v>1.59</v>
      </c>
      <c r="J16" s="29">
        <f>'Transmission Formula Rate (7)'!J8</f>
        <v>1.59</v>
      </c>
      <c r="K16" s="29">
        <f>'Transmission Formula Rate (7)'!K8</f>
        <v>1.59</v>
      </c>
      <c r="L16" s="29">
        <f>'Transmission Formula Rate (7)'!L8</f>
        <v>1.59</v>
      </c>
      <c r="M16" s="29">
        <f>'Transmission Formula Rate (7)'!M8</f>
        <v>1.59</v>
      </c>
    </row>
    <row r="17" spans="1:14" s="19" customFormat="1" ht="10.199999999999999">
      <c r="A17" s="247" t="s">
        <v>17</v>
      </c>
      <c r="B17" s="20">
        <f t="shared" ref="B17:M17" si="2">B15*B16</f>
        <v>179755.86000000002</v>
      </c>
      <c r="C17" s="20">
        <f t="shared" si="2"/>
        <v>142508.52000000002</v>
      </c>
      <c r="D17" s="20">
        <f t="shared" si="2"/>
        <v>179755.86000000002</v>
      </c>
      <c r="E17" s="20">
        <f t="shared" si="2"/>
        <v>199188.84</v>
      </c>
      <c r="F17" s="20">
        <f t="shared" si="2"/>
        <v>208905.33000000002</v>
      </c>
      <c r="G17" s="20">
        <f t="shared" si="2"/>
        <v>199188.84</v>
      </c>
      <c r="H17" s="20">
        <f t="shared" si="2"/>
        <v>226718.1</v>
      </c>
      <c r="I17" s="20">
        <f t="shared" si="2"/>
        <v>244532.46000000002</v>
      </c>
      <c r="J17" s="20">
        <f t="shared" si="2"/>
        <v>236434.59000000003</v>
      </c>
      <c r="K17" s="20">
        <f t="shared" si="2"/>
        <v>207285.12000000002</v>
      </c>
      <c r="L17" s="20">
        <f t="shared" si="2"/>
        <v>221860.65000000002</v>
      </c>
      <c r="M17" s="20">
        <f t="shared" si="2"/>
        <v>186233.52000000002</v>
      </c>
      <c r="N17" s="20">
        <f>SUM(B17:M17)</f>
        <v>2432367.6900000004</v>
      </c>
    </row>
    <row r="18" spans="1:14" s="19" customFormat="1" ht="10.199999999999999">
      <c r="A18" s="250"/>
    </row>
    <row r="19" spans="1:14" s="19" customFormat="1" ht="10.199999999999999">
      <c r="A19" s="247" t="s">
        <v>135</v>
      </c>
    </row>
    <row r="20" spans="1:14" s="19" customFormat="1" ht="10.199999999999999">
      <c r="A20" s="249" t="s">
        <v>47</v>
      </c>
      <c r="B20" s="232">
        <f>B13</f>
        <v>111000</v>
      </c>
      <c r="C20" s="232">
        <f t="shared" ref="C20:M20" si="3">C13</f>
        <v>88000</v>
      </c>
      <c r="D20" s="232">
        <f t="shared" si="3"/>
        <v>111000</v>
      </c>
      <c r="E20" s="232">
        <f t="shared" si="3"/>
        <v>123000</v>
      </c>
      <c r="F20" s="232">
        <f t="shared" si="3"/>
        <v>129000</v>
      </c>
      <c r="G20" s="232">
        <f t="shared" si="3"/>
        <v>123000</v>
      </c>
      <c r="H20" s="232">
        <f t="shared" si="3"/>
        <v>140000</v>
      </c>
      <c r="I20" s="232">
        <f t="shared" si="3"/>
        <v>151000</v>
      </c>
      <c r="J20" s="232">
        <f t="shared" si="3"/>
        <v>146000</v>
      </c>
      <c r="K20" s="232">
        <f t="shared" si="3"/>
        <v>128000</v>
      </c>
      <c r="L20" s="232">
        <f t="shared" si="3"/>
        <v>137000</v>
      </c>
      <c r="M20" s="232">
        <f t="shared" si="3"/>
        <v>115000</v>
      </c>
      <c r="N20" s="20">
        <f>SUM(B20:M20)</f>
        <v>1502000</v>
      </c>
    </row>
    <row r="21" spans="1:14" s="19" customFormat="1" ht="10.199999999999999">
      <c r="A21" s="249" t="s">
        <v>45</v>
      </c>
      <c r="B21" s="27">
        <f>ROUND(B20*'Transmission Formula Rate (7)'!$B$27,0)</f>
        <v>2054</v>
      </c>
      <c r="C21" s="27">
        <f>ROUND(C20*'Transmission Formula Rate (7)'!$B$27,0)</f>
        <v>1628</v>
      </c>
      <c r="D21" s="27">
        <f>ROUND(D20*'Transmission Formula Rate (7)'!$B$27,0)</f>
        <v>2054</v>
      </c>
      <c r="E21" s="27">
        <f>ROUND(E20*'Transmission Formula Rate (7)'!$B$27,0)</f>
        <v>2276</v>
      </c>
      <c r="F21" s="27">
        <f>ROUND(F20*'Transmission Formula Rate (7)'!$B$27,0)</f>
        <v>2387</v>
      </c>
      <c r="G21" s="27">
        <f>ROUND(G20*'Transmission Formula Rate (7)'!$B$27,0)</f>
        <v>2276</v>
      </c>
      <c r="H21" s="27">
        <f>ROUND(H20*'Transmission Formula Rate (7)'!$B$27,0)</f>
        <v>2590</v>
      </c>
      <c r="I21" s="27">
        <f>ROUND(I20*'Transmission Formula Rate (7)'!$B$27,0)</f>
        <v>2794</v>
      </c>
      <c r="J21" s="27">
        <f>ROUND(J20*'Transmission Formula Rate (7)'!$B$27,0)</f>
        <v>2701</v>
      </c>
      <c r="K21" s="27">
        <f>ROUND(K20*'Transmission Formula Rate (7)'!$B$27,0)</f>
        <v>2368</v>
      </c>
      <c r="L21" s="27">
        <f>ROUND(L20*'Transmission Formula Rate (7)'!$B$27,0)</f>
        <v>2535</v>
      </c>
      <c r="M21" s="27">
        <f>ROUND(M20*'Transmission Formula Rate (7)'!$B$27,0)</f>
        <v>2128</v>
      </c>
      <c r="N21" s="20">
        <f>SUM(B21:M21)</f>
        <v>27791</v>
      </c>
    </row>
    <row r="22" spans="1:14" s="19" customFormat="1" ht="10.199999999999999">
      <c r="A22" s="249" t="s">
        <v>199</v>
      </c>
      <c r="B22" s="27">
        <f t="shared" ref="B22:M22" si="4">B20+B21</f>
        <v>113054</v>
      </c>
      <c r="C22" s="27">
        <f t="shared" si="4"/>
        <v>89628</v>
      </c>
      <c r="D22" s="27">
        <f t="shared" si="4"/>
        <v>113054</v>
      </c>
      <c r="E22" s="27">
        <f t="shared" si="4"/>
        <v>125276</v>
      </c>
      <c r="F22" s="27">
        <f t="shared" si="4"/>
        <v>131387</v>
      </c>
      <c r="G22" s="27">
        <f t="shared" si="4"/>
        <v>125276</v>
      </c>
      <c r="H22" s="27">
        <f t="shared" si="4"/>
        <v>142590</v>
      </c>
      <c r="I22" s="27">
        <f t="shared" si="4"/>
        <v>153794</v>
      </c>
      <c r="J22" s="27">
        <f t="shared" si="4"/>
        <v>148701</v>
      </c>
      <c r="K22" s="27">
        <f t="shared" si="4"/>
        <v>130368</v>
      </c>
      <c r="L22" s="27">
        <f t="shared" si="4"/>
        <v>139535</v>
      </c>
      <c r="M22" s="27">
        <f t="shared" si="4"/>
        <v>117128</v>
      </c>
      <c r="N22" s="123">
        <f>SUM(B22:M22)</f>
        <v>1529791</v>
      </c>
    </row>
    <row r="23" spans="1:14" s="19" customFormat="1" ht="10.199999999999999">
      <c r="A23" s="247" t="s">
        <v>143</v>
      </c>
      <c r="B23" s="31">
        <f>'charges (1 &amp; 2)'!D35</f>
        <v>1.274E-2</v>
      </c>
      <c r="C23" s="31">
        <f>B23</f>
        <v>1.274E-2</v>
      </c>
      <c r="D23" s="31">
        <f t="shared" ref="D23:M23" si="5">C23</f>
        <v>1.274E-2</v>
      </c>
      <c r="E23" s="31">
        <f t="shared" si="5"/>
        <v>1.274E-2</v>
      </c>
      <c r="F23" s="31">
        <f t="shared" si="5"/>
        <v>1.274E-2</v>
      </c>
      <c r="G23" s="31">
        <f t="shared" si="5"/>
        <v>1.274E-2</v>
      </c>
      <c r="H23" s="31">
        <f t="shared" si="5"/>
        <v>1.274E-2</v>
      </c>
      <c r="I23" s="31">
        <f t="shared" si="5"/>
        <v>1.274E-2</v>
      </c>
      <c r="J23" s="31">
        <f t="shared" si="5"/>
        <v>1.274E-2</v>
      </c>
      <c r="K23" s="31">
        <f t="shared" si="5"/>
        <v>1.274E-2</v>
      </c>
      <c r="L23" s="31">
        <f t="shared" si="5"/>
        <v>1.274E-2</v>
      </c>
      <c r="M23" s="31">
        <f t="shared" si="5"/>
        <v>1.274E-2</v>
      </c>
    </row>
    <row r="24" spans="1:14" s="19" customFormat="1" ht="10.199999999999999">
      <c r="A24" s="247" t="s">
        <v>17</v>
      </c>
      <c r="B24" s="20">
        <f t="shared" ref="B24:M24" si="6">B22*B23</f>
        <v>1440.3079599999999</v>
      </c>
      <c r="C24" s="20">
        <f t="shared" si="6"/>
        <v>1141.8607199999999</v>
      </c>
      <c r="D24" s="20">
        <f t="shared" si="6"/>
        <v>1440.3079599999999</v>
      </c>
      <c r="E24" s="20">
        <f t="shared" si="6"/>
        <v>1596.0162399999999</v>
      </c>
      <c r="F24" s="20">
        <f t="shared" si="6"/>
        <v>1673.8703799999998</v>
      </c>
      <c r="G24" s="20">
        <f t="shared" si="6"/>
        <v>1596.0162399999999</v>
      </c>
      <c r="H24" s="20">
        <f t="shared" si="6"/>
        <v>1816.5965999999999</v>
      </c>
      <c r="I24" s="20">
        <f t="shared" si="6"/>
        <v>1959.33556</v>
      </c>
      <c r="J24" s="20">
        <f t="shared" si="6"/>
        <v>1894.45074</v>
      </c>
      <c r="K24" s="20">
        <f t="shared" si="6"/>
        <v>1660.88832</v>
      </c>
      <c r="L24" s="20">
        <f t="shared" si="6"/>
        <v>1777.6759</v>
      </c>
      <c r="M24" s="20">
        <f t="shared" si="6"/>
        <v>1492.21072</v>
      </c>
      <c r="N24" s="20">
        <f>SUM(B24:M24)</f>
        <v>19489.537339999999</v>
      </c>
    </row>
    <row r="25" spans="1:14" s="19" customFormat="1" ht="10.199999999999999">
      <c r="A25" s="250"/>
    </row>
    <row r="26" spans="1:14" s="19" customFormat="1" ht="10.199999999999999">
      <c r="A26" s="250"/>
    </row>
    <row r="27" spans="1:14">
      <c r="B27" s="23" t="s">
        <v>0</v>
      </c>
      <c r="C27" s="23" t="s">
        <v>1</v>
      </c>
      <c r="D27" s="23" t="s">
        <v>2</v>
      </c>
      <c r="E27" s="23" t="s">
        <v>3</v>
      </c>
      <c r="F27" s="23" t="s">
        <v>4</v>
      </c>
      <c r="G27" s="23" t="s">
        <v>5</v>
      </c>
      <c r="H27" s="23" t="s">
        <v>6</v>
      </c>
      <c r="I27" s="23" t="s">
        <v>7</v>
      </c>
      <c r="J27" s="23" t="s">
        <v>8</v>
      </c>
      <c r="K27" s="23" t="s">
        <v>9</v>
      </c>
      <c r="L27" s="23" t="s">
        <v>10</v>
      </c>
      <c r="M27" s="23" t="s">
        <v>11</v>
      </c>
      <c r="N27" s="23" t="s">
        <v>12</v>
      </c>
    </row>
    <row r="28" spans="1:14">
      <c r="A28" s="248">
        <f>+A11+1</f>
        <v>2015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>
      <c r="A29" s="247" t="s">
        <v>37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249" t="s">
        <v>199</v>
      </c>
      <c r="B30" s="232">
        <f>'FKEC Forecast'!E12</f>
        <v>105000</v>
      </c>
      <c r="C30" s="232">
        <f>'FKEC Forecast'!F12</f>
        <v>113000</v>
      </c>
      <c r="D30" s="232">
        <f>'FKEC Forecast'!G12</f>
        <v>116000</v>
      </c>
      <c r="E30" s="232">
        <f>'FKEC Forecast'!H12</f>
        <v>120000</v>
      </c>
      <c r="F30" s="232">
        <f>'FKEC Forecast'!I12</f>
        <v>151000</v>
      </c>
      <c r="G30" s="232">
        <f>'FKEC Forecast'!J12</f>
        <v>138000</v>
      </c>
      <c r="H30" s="232">
        <f>'FKEC Forecast'!K12</f>
        <v>146000</v>
      </c>
      <c r="I30" s="232">
        <f>'FKEC Forecast'!L12</f>
        <v>152803.99085120461</v>
      </c>
      <c r="J30" s="232">
        <f>'FKEC Forecast'!M12</f>
        <v>149089.22817258368</v>
      </c>
      <c r="K30" s="232">
        <f>'FKEC Forecast'!N12</f>
        <v>137523.29672915713</v>
      </c>
      <c r="L30" s="232">
        <f>'FKEC Forecast'!O12</f>
        <v>131475.29222993914</v>
      </c>
      <c r="M30" s="232">
        <f>'FKEC Forecast'!P12</f>
        <v>116613.09603833547</v>
      </c>
      <c r="N30" s="20">
        <f>SUM(B30:M30)</f>
        <v>1576504.9040212203</v>
      </c>
    </row>
    <row r="31" spans="1:14">
      <c r="A31" s="249" t="s">
        <v>45</v>
      </c>
      <c r="B31" s="27">
        <f>B30-B32</f>
        <v>1907.2164948453574</v>
      </c>
      <c r="C31" s="27">
        <f t="shared" ref="C31:M31" si="7">C30-C32</f>
        <v>2052.5282277859515</v>
      </c>
      <c r="D31" s="27">
        <f t="shared" si="7"/>
        <v>2107.0201276386797</v>
      </c>
      <c r="E31" s="27">
        <f t="shared" si="7"/>
        <v>2179.675994108984</v>
      </c>
      <c r="F31" s="27">
        <f t="shared" si="7"/>
        <v>2742.7589592538134</v>
      </c>
      <c r="G31" s="27">
        <f t="shared" si="7"/>
        <v>2506.6273932253243</v>
      </c>
      <c r="H31" s="27">
        <f t="shared" si="7"/>
        <v>2651.939126165933</v>
      </c>
      <c r="I31" s="27">
        <f t="shared" si="7"/>
        <v>2775.5265888534777</v>
      </c>
      <c r="J31" s="27">
        <f t="shared" si="7"/>
        <v>2708.0517635667929</v>
      </c>
      <c r="K31" s="27">
        <f t="shared" si="7"/>
        <v>2497.9685709272453</v>
      </c>
      <c r="L31" s="27">
        <f t="shared" si="7"/>
        <v>2388.1128191005118</v>
      </c>
      <c r="M31" s="27">
        <f t="shared" si="7"/>
        <v>2118.1563836123678</v>
      </c>
      <c r="N31" s="20">
        <f>SUM(B31:M31)</f>
        <v>28635.582449084439</v>
      </c>
    </row>
    <row r="32" spans="1:14">
      <c r="A32" s="249" t="s">
        <v>47</v>
      </c>
      <c r="B32" s="27">
        <f>B30/(1+'Transmission Formula Rate (7)'!$B$27)</f>
        <v>103092.78350515464</v>
      </c>
      <c r="C32" s="27">
        <f>C30/(1+'Transmission Formula Rate (7)'!$B$27)</f>
        <v>110947.47177221405</v>
      </c>
      <c r="D32" s="27">
        <f>D30/(1+'Transmission Formula Rate (7)'!$B$27)</f>
        <v>113892.97987236132</v>
      </c>
      <c r="E32" s="27">
        <f>E30/(1+'Transmission Formula Rate (7)'!$B$27)</f>
        <v>117820.32400589102</v>
      </c>
      <c r="F32" s="27">
        <f>F30/(1+'Transmission Formula Rate (7)'!$B$27)</f>
        <v>148257.24104074619</v>
      </c>
      <c r="G32" s="27">
        <f>G30/(1+'Transmission Formula Rate (7)'!$B$27)</f>
        <v>135493.37260677468</v>
      </c>
      <c r="H32" s="27">
        <f>H30/(1+'Transmission Formula Rate (7)'!$B$27)</f>
        <v>143348.06087383407</v>
      </c>
      <c r="I32" s="27">
        <f>I30/(1+'Transmission Formula Rate (7)'!$B$27)</f>
        <v>150028.46426235113</v>
      </c>
      <c r="J32" s="27">
        <f>J30/(1+'Transmission Formula Rate (7)'!$B$27)</f>
        <v>146381.17640901689</v>
      </c>
      <c r="K32" s="27">
        <f>K30/(1+'Transmission Formula Rate (7)'!$B$27)</f>
        <v>135025.32815822988</v>
      </c>
      <c r="L32" s="27">
        <f>L30/(1+'Transmission Formula Rate (7)'!$B$27)</f>
        <v>129087.17941083862</v>
      </c>
      <c r="M32" s="27">
        <f>M30/(1+'Transmission Formula Rate (7)'!$B$27)</f>
        <v>114494.9396547231</v>
      </c>
      <c r="N32" s="123">
        <f>SUM(B32:M32)</f>
        <v>1547869.3215721354</v>
      </c>
    </row>
    <row r="33" spans="1:14">
      <c r="A33" s="247" t="s">
        <v>20</v>
      </c>
      <c r="B33" s="29">
        <f>'Transmission Formula Rate (7)'!B10</f>
        <v>1.59</v>
      </c>
      <c r="C33" s="29">
        <f>'Transmission Formula Rate (7)'!C10</f>
        <v>1.59</v>
      </c>
      <c r="D33" s="29">
        <f>'Transmission Formula Rate (7)'!D10</f>
        <v>1.59</v>
      </c>
      <c r="E33" s="29">
        <f>'Transmission Formula Rate (7)'!E10</f>
        <v>1.59</v>
      </c>
      <c r="F33" s="29">
        <f>'Transmission Formula Rate (7)'!F10</f>
        <v>1.59</v>
      </c>
      <c r="G33" s="29">
        <f>'Transmission Formula Rate (7)'!G10</f>
        <v>1.59</v>
      </c>
      <c r="H33" s="29">
        <f>'Transmission Formula Rate (7)'!H10</f>
        <v>1.59</v>
      </c>
      <c r="I33" s="29">
        <f>'Transmission Formula Rate (7)'!I10</f>
        <v>1.59</v>
      </c>
      <c r="J33" s="29">
        <f>'Transmission Formula Rate (7)'!J10</f>
        <v>1.59</v>
      </c>
      <c r="K33" s="29">
        <f>'Transmission Formula Rate (7)'!K10</f>
        <v>1.59</v>
      </c>
      <c r="L33" s="29">
        <f>'Transmission Formula Rate (7)'!L10</f>
        <v>1.59</v>
      </c>
      <c r="M33" s="29">
        <f>'Transmission Formula Rate (7)'!M10</f>
        <v>1.59</v>
      </c>
      <c r="N33" s="19"/>
    </row>
    <row r="34" spans="1:14">
      <c r="A34" s="247" t="s">
        <v>17</v>
      </c>
      <c r="B34" s="20">
        <f>B30*B33</f>
        <v>166950</v>
      </c>
      <c r="C34" s="20">
        <f t="shared" ref="C34:M34" si="8">C30*C33</f>
        <v>179670</v>
      </c>
      <c r="D34" s="20">
        <f t="shared" si="8"/>
        <v>184440</v>
      </c>
      <c r="E34" s="20">
        <f t="shared" si="8"/>
        <v>190800</v>
      </c>
      <c r="F34" s="20">
        <f t="shared" si="8"/>
        <v>240090</v>
      </c>
      <c r="G34" s="20">
        <f t="shared" si="8"/>
        <v>219420</v>
      </c>
      <c r="H34" s="20">
        <f t="shared" si="8"/>
        <v>232140</v>
      </c>
      <c r="I34" s="20">
        <f t="shared" si="8"/>
        <v>242958.34545341533</v>
      </c>
      <c r="J34" s="20">
        <f t="shared" si="8"/>
        <v>237051.87279440806</v>
      </c>
      <c r="K34" s="20">
        <f t="shared" si="8"/>
        <v>218662.04179935984</v>
      </c>
      <c r="L34" s="20">
        <f t="shared" si="8"/>
        <v>209045.71464560324</v>
      </c>
      <c r="M34" s="20">
        <f t="shared" si="8"/>
        <v>185414.8227009534</v>
      </c>
      <c r="N34" s="20">
        <f>SUM(B34:M34)</f>
        <v>2506642.7973937402</v>
      </c>
    </row>
    <row r="35" spans="1:14">
      <c r="A35" s="248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>
      <c r="A36" s="247" t="s">
        <v>135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249" t="s">
        <v>199</v>
      </c>
      <c r="B37" s="232">
        <f>B30</f>
        <v>105000</v>
      </c>
      <c r="C37" s="232">
        <f t="shared" ref="C37:M37" si="9">C30</f>
        <v>113000</v>
      </c>
      <c r="D37" s="232">
        <f t="shared" si="9"/>
        <v>116000</v>
      </c>
      <c r="E37" s="232">
        <f t="shared" si="9"/>
        <v>120000</v>
      </c>
      <c r="F37" s="232">
        <f t="shared" si="9"/>
        <v>151000</v>
      </c>
      <c r="G37" s="232">
        <f t="shared" si="9"/>
        <v>138000</v>
      </c>
      <c r="H37" s="232">
        <f t="shared" si="9"/>
        <v>146000</v>
      </c>
      <c r="I37" s="232">
        <f t="shared" si="9"/>
        <v>152803.99085120461</v>
      </c>
      <c r="J37" s="232">
        <f t="shared" si="9"/>
        <v>149089.22817258368</v>
      </c>
      <c r="K37" s="232">
        <f t="shared" si="9"/>
        <v>137523.29672915713</v>
      </c>
      <c r="L37" s="232">
        <f t="shared" si="9"/>
        <v>131475.29222993914</v>
      </c>
      <c r="M37" s="232">
        <f t="shared" si="9"/>
        <v>116613.09603833547</v>
      </c>
      <c r="N37" s="20">
        <f>SUM(B37:M37)</f>
        <v>1576504.9040212203</v>
      </c>
    </row>
    <row r="38" spans="1:14">
      <c r="A38" s="249" t="s">
        <v>45</v>
      </c>
      <c r="B38" s="27">
        <f>B37-B39</f>
        <v>1907.2164948453574</v>
      </c>
      <c r="C38" s="27">
        <f t="shared" ref="C38" si="10">C37-C39</f>
        <v>2052.5282277859515</v>
      </c>
      <c r="D38" s="27">
        <f t="shared" ref="D38" si="11">D37-D39</f>
        <v>2107.0201276386797</v>
      </c>
      <c r="E38" s="27">
        <f t="shared" ref="E38" si="12">E37-E39</f>
        <v>2179.675994108984</v>
      </c>
      <c r="F38" s="27">
        <f t="shared" ref="F38" si="13">F37-F39</f>
        <v>2742.7589592538134</v>
      </c>
      <c r="G38" s="27">
        <f t="shared" ref="G38" si="14">G37-G39</f>
        <v>2506.6273932253243</v>
      </c>
      <c r="H38" s="27">
        <f t="shared" ref="H38" si="15">H37-H39</f>
        <v>2651.939126165933</v>
      </c>
      <c r="I38" s="27">
        <f t="shared" ref="I38" si="16">I37-I39</f>
        <v>2775.5265888534777</v>
      </c>
      <c r="J38" s="27">
        <f t="shared" ref="J38" si="17">J37-J39</f>
        <v>2708.0517635667929</v>
      </c>
      <c r="K38" s="27">
        <f t="shared" ref="K38" si="18">K37-K39</f>
        <v>2497.9685709272453</v>
      </c>
      <c r="L38" s="27">
        <f t="shared" ref="L38" si="19">L37-L39</f>
        <v>2388.1128191005118</v>
      </c>
      <c r="M38" s="27">
        <f t="shared" ref="M38" si="20">M37-M39</f>
        <v>2118.1563836123678</v>
      </c>
      <c r="N38" s="20">
        <f>SUM(B38:M38)</f>
        <v>28635.582449084439</v>
      </c>
    </row>
    <row r="39" spans="1:14">
      <c r="A39" s="249" t="s">
        <v>47</v>
      </c>
      <c r="B39" s="27">
        <f>B37/(1+'Transmission Formula Rate (7)'!$B$27)</f>
        <v>103092.78350515464</v>
      </c>
      <c r="C39" s="27">
        <f>C37/(1+'Transmission Formula Rate (7)'!$B$27)</f>
        <v>110947.47177221405</v>
      </c>
      <c r="D39" s="27">
        <f>D37/(1+'Transmission Formula Rate (7)'!$B$27)</f>
        <v>113892.97987236132</v>
      </c>
      <c r="E39" s="27">
        <f>E37/(1+'Transmission Formula Rate (7)'!$B$27)</f>
        <v>117820.32400589102</v>
      </c>
      <c r="F39" s="27">
        <f>F37/(1+'Transmission Formula Rate (7)'!$B$27)</f>
        <v>148257.24104074619</v>
      </c>
      <c r="G39" s="27">
        <f>G37/(1+'Transmission Formula Rate (7)'!$B$27)</f>
        <v>135493.37260677468</v>
      </c>
      <c r="H39" s="27">
        <f>H37/(1+'Transmission Formula Rate (7)'!$B$27)</f>
        <v>143348.06087383407</v>
      </c>
      <c r="I39" s="27">
        <f>I37/(1+'Transmission Formula Rate (7)'!$B$27)</f>
        <v>150028.46426235113</v>
      </c>
      <c r="J39" s="27">
        <f>J37/(1+'Transmission Formula Rate (7)'!$B$27)</f>
        <v>146381.17640901689</v>
      </c>
      <c r="K39" s="27">
        <f>K37/(1+'Transmission Formula Rate (7)'!$B$27)</f>
        <v>135025.32815822988</v>
      </c>
      <c r="L39" s="27">
        <f>L37/(1+'Transmission Formula Rate (7)'!$B$27)</f>
        <v>129087.17941083862</v>
      </c>
      <c r="M39" s="27">
        <f>M37/(1+'Transmission Formula Rate (7)'!$B$27)</f>
        <v>114494.9396547231</v>
      </c>
      <c r="N39" s="123">
        <f>SUM(B39:M39)</f>
        <v>1547869.3215721354</v>
      </c>
    </row>
    <row r="40" spans="1:14">
      <c r="A40" s="247" t="s">
        <v>143</v>
      </c>
      <c r="B40" s="31">
        <f>'charges (1 &amp; 2)'!E32</f>
        <v>1.274E-2</v>
      </c>
      <c r="C40" s="31">
        <f>B40</f>
        <v>1.274E-2</v>
      </c>
      <c r="D40" s="31">
        <f t="shared" ref="D40:M40" si="21">C40</f>
        <v>1.274E-2</v>
      </c>
      <c r="E40" s="31">
        <f t="shared" si="21"/>
        <v>1.274E-2</v>
      </c>
      <c r="F40" s="31">
        <f t="shared" si="21"/>
        <v>1.274E-2</v>
      </c>
      <c r="G40" s="31">
        <f t="shared" si="21"/>
        <v>1.274E-2</v>
      </c>
      <c r="H40" s="31">
        <f t="shared" si="21"/>
        <v>1.274E-2</v>
      </c>
      <c r="I40" s="31">
        <f t="shared" si="21"/>
        <v>1.274E-2</v>
      </c>
      <c r="J40" s="31">
        <f t="shared" si="21"/>
        <v>1.274E-2</v>
      </c>
      <c r="K40" s="31">
        <f t="shared" si="21"/>
        <v>1.274E-2</v>
      </c>
      <c r="L40" s="31">
        <f t="shared" si="21"/>
        <v>1.274E-2</v>
      </c>
      <c r="M40" s="31">
        <f t="shared" si="21"/>
        <v>1.274E-2</v>
      </c>
      <c r="N40" s="19"/>
    </row>
    <row r="41" spans="1:14">
      <c r="A41" s="247" t="s">
        <v>17</v>
      </c>
      <c r="B41" s="20">
        <f>B37*B40</f>
        <v>1337.7</v>
      </c>
      <c r="C41" s="20">
        <f t="shared" ref="C41" si="22">C37*C40</f>
        <v>1439.62</v>
      </c>
      <c r="D41" s="20">
        <f t="shared" ref="D41" si="23">D37*D40</f>
        <v>1477.84</v>
      </c>
      <c r="E41" s="20">
        <f t="shared" ref="E41" si="24">E37*E40</f>
        <v>1528.8</v>
      </c>
      <c r="F41" s="20">
        <f t="shared" ref="F41" si="25">F37*F40</f>
        <v>1923.74</v>
      </c>
      <c r="G41" s="20">
        <f t="shared" ref="G41" si="26">G37*G40</f>
        <v>1758.12</v>
      </c>
      <c r="H41" s="20">
        <f t="shared" ref="H41" si="27">H37*H40</f>
        <v>1860.04</v>
      </c>
      <c r="I41" s="20">
        <f t="shared" ref="I41" si="28">I37*I40</f>
        <v>1946.7228434443466</v>
      </c>
      <c r="J41" s="20">
        <f t="shared" ref="J41" si="29">J37*J40</f>
        <v>1899.3967669187159</v>
      </c>
      <c r="K41" s="20">
        <f t="shared" ref="K41" si="30">K37*K40</f>
        <v>1752.0468003294618</v>
      </c>
      <c r="L41" s="20">
        <f t="shared" ref="L41" si="31">L37*L40</f>
        <v>1674.9952230094245</v>
      </c>
      <c r="M41" s="20">
        <f t="shared" ref="M41" si="32">M37*M40</f>
        <v>1485.6508435283938</v>
      </c>
      <c r="N41" s="20">
        <f>SUM(B41:M41)</f>
        <v>20084.672477230342</v>
      </c>
    </row>
    <row r="42" spans="1:14">
      <c r="A42" s="25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25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>
      <c r="B44" s="23" t="s">
        <v>0</v>
      </c>
      <c r="C44" s="23" t="s">
        <v>1</v>
      </c>
      <c r="D44" s="23" t="s">
        <v>2</v>
      </c>
      <c r="E44" s="23" t="s">
        <v>3</v>
      </c>
      <c r="F44" s="23" t="s">
        <v>4</v>
      </c>
      <c r="G44" s="23" t="s">
        <v>5</v>
      </c>
      <c r="H44" s="23" t="s">
        <v>6</v>
      </c>
      <c r="I44" s="23" t="s">
        <v>7</v>
      </c>
      <c r="J44" s="23" t="s">
        <v>8</v>
      </c>
      <c r="K44" s="23" t="s">
        <v>9</v>
      </c>
      <c r="L44" s="23" t="s">
        <v>10</v>
      </c>
      <c r="M44" s="23" t="s">
        <v>11</v>
      </c>
      <c r="N44" s="23" t="s">
        <v>12</v>
      </c>
    </row>
    <row r="45" spans="1:14">
      <c r="A45" s="248">
        <f>+A28+1</f>
        <v>2016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>
      <c r="A46" s="247" t="s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>
      <c r="A47" s="249" t="s">
        <v>199</v>
      </c>
      <c r="B47" s="232">
        <f>'FKEC Forecast'!E13</f>
        <v>111160.89024836439</v>
      </c>
      <c r="C47" s="232">
        <f>'FKEC Forecast'!F13</f>
        <v>111353.81326672707</v>
      </c>
      <c r="D47" s="232">
        <f>'FKEC Forecast'!G13</f>
        <v>118484.45422819506</v>
      </c>
      <c r="E47" s="232">
        <f>'FKEC Forecast'!H13</f>
        <v>112438.25044284546</v>
      </c>
      <c r="F47" s="232">
        <f>'FKEC Forecast'!I13</f>
        <v>133526.34481025918</v>
      </c>
      <c r="G47" s="232">
        <f>'FKEC Forecast'!J13</f>
        <v>141937.14102220008</v>
      </c>
      <c r="H47" s="232">
        <f>'FKEC Forecast'!K13</f>
        <v>146075.34722002738</v>
      </c>
      <c r="I47" s="232">
        <f>'FKEC Forecast'!L13</f>
        <v>158236.37941839121</v>
      </c>
      <c r="J47" s="232">
        <f>'FKEC Forecast'!M13</f>
        <v>154358.27806108212</v>
      </c>
      <c r="K47" s="232">
        <f>'FKEC Forecast'!N13</f>
        <v>142401.98851323352</v>
      </c>
      <c r="L47" s="232">
        <f>'FKEC Forecast'!O13</f>
        <v>136147.86179669018</v>
      </c>
      <c r="M47" s="232">
        <f>'FKEC Forecast'!P13</f>
        <v>120787.11155826182</v>
      </c>
      <c r="N47" s="20">
        <f>SUM(B47:M47)</f>
        <v>1586907.8605862774</v>
      </c>
    </row>
    <row r="48" spans="1:14">
      <c r="A48" s="249" t="s">
        <v>45</v>
      </c>
      <c r="B48" s="27">
        <f>B47-B49</f>
        <v>2019.1226996511832</v>
      </c>
      <c r="C48" s="27">
        <f t="shared" ref="C48" si="33">C47-C49</f>
        <v>2022.6269469164981</v>
      </c>
      <c r="D48" s="27">
        <f t="shared" ref="D48" si="34">D47-D49</f>
        <v>2152.147671302504</v>
      </c>
      <c r="E48" s="27">
        <f t="shared" ref="E48" si="35">E47-E49</f>
        <v>2042.3246275823622</v>
      </c>
      <c r="F48" s="27">
        <f t="shared" ref="F48" si="36">F47-F49</f>
        <v>2425.3680697003438</v>
      </c>
      <c r="G48" s="27">
        <f t="shared" ref="G48" si="37">G47-G49</f>
        <v>2578.1414913212648</v>
      </c>
      <c r="H48" s="27">
        <f t="shared" ref="H48" si="38">H47-H49</f>
        <v>2653.3077305552433</v>
      </c>
      <c r="I48" s="27">
        <f t="shared" ref="I48" si="39">I47-I49</f>
        <v>2874.2003134415718</v>
      </c>
      <c r="J48" s="27">
        <f t="shared" ref="J48" si="40">J47-J49</f>
        <v>2803.758609847835</v>
      </c>
      <c r="K48" s="27">
        <f t="shared" ref="K48" si="41">K47-K49</f>
        <v>2586.5849656306382</v>
      </c>
      <c r="L48" s="27">
        <f t="shared" ref="L48" si="42">L47-L49</f>
        <v>2472.9852167292847</v>
      </c>
      <c r="M48" s="27">
        <f t="shared" ref="M48" si="43">M47-M49</f>
        <v>2193.9730621775525</v>
      </c>
      <c r="N48" s="20">
        <f>SUM(B48:M48)</f>
        <v>28824.541404856282</v>
      </c>
    </row>
    <row r="49" spans="1:14">
      <c r="A49" s="249" t="s">
        <v>47</v>
      </c>
      <c r="B49" s="27">
        <f>B47/(1+'Transmission Formula Rate (7)'!$B$27)</f>
        <v>109141.76754871321</v>
      </c>
      <c r="C49" s="27">
        <f>C47/(1+'Transmission Formula Rate (7)'!$B$27)</f>
        <v>109331.18631981057</v>
      </c>
      <c r="D49" s="27">
        <f>D47/(1+'Transmission Formula Rate (7)'!$B$27)</f>
        <v>116332.30655689255</v>
      </c>
      <c r="E49" s="27">
        <f>E47/(1+'Transmission Formula Rate (7)'!$B$27)</f>
        <v>110395.92581526309</v>
      </c>
      <c r="F49" s="27">
        <f>F47/(1+'Transmission Formula Rate (7)'!$B$27)</f>
        <v>131100.97674055884</v>
      </c>
      <c r="G49" s="27">
        <f>G47/(1+'Transmission Formula Rate (7)'!$B$27)</f>
        <v>139358.99953087882</v>
      </c>
      <c r="H49" s="27">
        <f>H47/(1+'Transmission Formula Rate (7)'!$B$27)</f>
        <v>143422.03948947214</v>
      </c>
      <c r="I49" s="27">
        <f>I47/(1+'Transmission Formula Rate (7)'!$B$27)</f>
        <v>155362.17910494964</v>
      </c>
      <c r="J49" s="27">
        <f>J47/(1+'Transmission Formula Rate (7)'!$B$27)</f>
        <v>151554.51945123429</v>
      </c>
      <c r="K49" s="27">
        <f>K47/(1+'Transmission Formula Rate (7)'!$B$27)</f>
        <v>139815.40354760288</v>
      </c>
      <c r="L49" s="27">
        <f>L47/(1+'Transmission Formula Rate (7)'!$B$27)</f>
        <v>133674.8765799609</v>
      </c>
      <c r="M49" s="27">
        <f>M47/(1+'Transmission Formula Rate (7)'!$B$27)</f>
        <v>118593.13849608427</v>
      </c>
      <c r="N49" s="123">
        <f>SUM(B49:M49)</f>
        <v>1558083.3191814213</v>
      </c>
    </row>
    <row r="50" spans="1:14">
      <c r="A50" s="247" t="s">
        <v>20</v>
      </c>
      <c r="B50" s="29">
        <f>'Transmission Formula Rate (7)'!B12</f>
        <v>1.59</v>
      </c>
      <c r="C50" s="29">
        <f>'Transmission Formula Rate (7)'!C12</f>
        <v>1.59</v>
      </c>
      <c r="D50" s="29">
        <f>'Transmission Formula Rate (7)'!D12</f>
        <v>1.59</v>
      </c>
      <c r="E50" s="29">
        <f>'Transmission Formula Rate (7)'!E12</f>
        <v>1.59</v>
      </c>
      <c r="F50" s="29">
        <f>'Transmission Formula Rate (7)'!F12</f>
        <v>1.59</v>
      </c>
      <c r="G50" s="29">
        <f>'Transmission Formula Rate (7)'!G12</f>
        <v>1.59</v>
      </c>
      <c r="H50" s="29">
        <f>'Transmission Formula Rate (7)'!H12</f>
        <v>1.59</v>
      </c>
      <c r="I50" s="29">
        <f>'Transmission Formula Rate (7)'!I12</f>
        <v>1.59</v>
      </c>
      <c r="J50" s="29">
        <f>'Transmission Formula Rate (7)'!J12</f>
        <v>1.59</v>
      </c>
      <c r="K50" s="29">
        <f>'Transmission Formula Rate (7)'!K12</f>
        <v>1.59</v>
      </c>
      <c r="L50" s="29">
        <f>'Transmission Formula Rate (7)'!L12</f>
        <v>1.59</v>
      </c>
      <c r="M50" s="29">
        <f>'Transmission Formula Rate (7)'!M12</f>
        <v>1.59</v>
      </c>
      <c r="N50" s="19"/>
    </row>
    <row r="51" spans="1:14">
      <c r="A51" s="247" t="s">
        <v>17</v>
      </c>
      <c r="B51" s="20">
        <f>B47*B50</f>
        <v>176745.81549489938</v>
      </c>
      <c r="C51" s="20">
        <f t="shared" ref="C51" si="44">C47*C50</f>
        <v>177052.56309409605</v>
      </c>
      <c r="D51" s="20">
        <f t="shared" ref="D51" si="45">D47*D50</f>
        <v>188390.28222283014</v>
      </c>
      <c r="E51" s="20">
        <f t="shared" ref="E51" si="46">E47*E50</f>
        <v>178776.81820412428</v>
      </c>
      <c r="F51" s="20">
        <f t="shared" ref="F51" si="47">F47*F50</f>
        <v>212306.88824831211</v>
      </c>
      <c r="G51" s="20">
        <f t="shared" ref="G51" si="48">G47*G50</f>
        <v>225680.05422529814</v>
      </c>
      <c r="H51" s="20">
        <f t="shared" ref="H51" si="49">H47*H50</f>
        <v>232259.80207984356</v>
      </c>
      <c r="I51" s="20">
        <f t="shared" ref="I51" si="50">I47*I50</f>
        <v>251595.84327524205</v>
      </c>
      <c r="J51" s="20">
        <f t="shared" ref="J51" si="51">J47*J50</f>
        <v>245429.66211712058</v>
      </c>
      <c r="K51" s="20">
        <f t="shared" ref="K51" si="52">K47*K50</f>
        <v>226419.16173604131</v>
      </c>
      <c r="L51" s="20">
        <f t="shared" ref="L51" si="53">L47*L50</f>
        <v>216475.10025673741</v>
      </c>
      <c r="M51" s="20">
        <f t="shared" ref="M51" si="54">M47*M50</f>
        <v>192051.5073776363</v>
      </c>
      <c r="N51" s="20">
        <f>SUM(B51:M51)</f>
        <v>2523183.498332181</v>
      </c>
    </row>
    <row r="52" spans="1:14">
      <c r="A52" s="250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>
      <c r="A53" s="247" t="s">
        <v>135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>
      <c r="A54" s="249" t="s">
        <v>199</v>
      </c>
      <c r="B54" s="232">
        <f>B47</f>
        <v>111160.89024836439</v>
      </c>
      <c r="C54" s="232">
        <f t="shared" ref="C54:M54" si="55">C47</f>
        <v>111353.81326672707</v>
      </c>
      <c r="D54" s="232">
        <f t="shared" si="55"/>
        <v>118484.45422819506</v>
      </c>
      <c r="E54" s="232">
        <f t="shared" si="55"/>
        <v>112438.25044284546</v>
      </c>
      <c r="F54" s="232">
        <f t="shared" si="55"/>
        <v>133526.34481025918</v>
      </c>
      <c r="G54" s="232">
        <f t="shared" si="55"/>
        <v>141937.14102220008</v>
      </c>
      <c r="H54" s="232">
        <f t="shared" si="55"/>
        <v>146075.34722002738</v>
      </c>
      <c r="I54" s="232">
        <f t="shared" si="55"/>
        <v>158236.37941839121</v>
      </c>
      <c r="J54" s="232">
        <f t="shared" si="55"/>
        <v>154358.27806108212</v>
      </c>
      <c r="K54" s="232">
        <f t="shared" si="55"/>
        <v>142401.98851323352</v>
      </c>
      <c r="L54" s="232">
        <f t="shared" si="55"/>
        <v>136147.86179669018</v>
      </c>
      <c r="M54" s="232">
        <f t="shared" si="55"/>
        <v>120787.11155826182</v>
      </c>
      <c r="N54" s="20">
        <f>SUM(B54:M54)</f>
        <v>1586907.8605862774</v>
      </c>
    </row>
    <row r="55" spans="1:14">
      <c r="A55" s="249" t="s">
        <v>45</v>
      </c>
      <c r="B55" s="27">
        <f>B54-B56</f>
        <v>2019.1226996511832</v>
      </c>
      <c r="C55" s="27">
        <f t="shared" ref="C55" si="56">C54-C56</f>
        <v>2022.6269469164981</v>
      </c>
      <c r="D55" s="27">
        <f t="shared" ref="D55" si="57">D54-D56</f>
        <v>2152.147671302504</v>
      </c>
      <c r="E55" s="27">
        <f t="shared" ref="E55" si="58">E54-E56</f>
        <v>2042.3246275823622</v>
      </c>
      <c r="F55" s="27">
        <f t="shared" ref="F55" si="59">F54-F56</f>
        <v>2425.3680697003438</v>
      </c>
      <c r="G55" s="27">
        <f t="shared" ref="G55" si="60">G54-G56</f>
        <v>2578.1414913212648</v>
      </c>
      <c r="H55" s="27">
        <f t="shared" ref="H55" si="61">H54-H56</f>
        <v>2653.3077305552433</v>
      </c>
      <c r="I55" s="27">
        <f t="shared" ref="I55" si="62">I54-I56</f>
        <v>2874.2003134415718</v>
      </c>
      <c r="J55" s="27">
        <f t="shared" ref="J55" si="63">J54-J56</f>
        <v>2803.758609847835</v>
      </c>
      <c r="K55" s="27">
        <f t="shared" ref="K55" si="64">K54-K56</f>
        <v>2586.5849656306382</v>
      </c>
      <c r="L55" s="27">
        <f t="shared" ref="L55" si="65">L54-L56</f>
        <v>2472.9852167292847</v>
      </c>
      <c r="M55" s="27">
        <f t="shared" ref="M55" si="66">M54-M56</f>
        <v>2193.9730621775525</v>
      </c>
      <c r="N55" s="20">
        <f>SUM(B55:M55)</f>
        <v>28824.541404856282</v>
      </c>
    </row>
    <row r="56" spans="1:14">
      <c r="A56" s="249" t="s">
        <v>47</v>
      </c>
      <c r="B56" s="27">
        <f>B54/(1+'Transmission Formula Rate (7)'!$B$27)</f>
        <v>109141.76754871321</v>
      </c>
      <c r="C56" s="27">
        <f>C54/(1+'Transmission Formula Rate (7)'!$B$27)</f>
        <v>109331.18631981057</v>
      </c>
      <c r="D56" s="27">
        <f>D54/(1+'Transmission Formula Rate (7)'!$B$27)</f>
        <v>116332.30655689255</v>
      </c>
      <c r="E56" s="27">
        <f>E54/(1+'Transmission Formula Rate (7)'!$B$27)</f>
        <v>110395.92581526309</v>
      </c>
      <c r="F56" s="27">
        <f>F54/(1+'Transmission Formula Rate (7)'!$B$27)</f>
        <v>131100.97674055884</v>
      </c>
      <c r="G56" s="27">
        <f>G54/(1+'Transmission Formula Rate (7)'!$B$27)</f>
        <v>139358.99953087882</v>
      </c>
      <c r="H56" s="27">
        <f>H54/(1+'Transmission Formula Rate (7)'!$B$27)</f>
        <v>143422.03948947214</v>
      </c>
      <c r="I56" s="27">
        <f>I54/(1+'Transmission Formula Rate (7)'!$B$27)</f>
        <v>155362.17910494964</v>
      </c>
      <c r="J56" s="27">
        <f>J54/(1+'Transmission Formula Rate (7)'!$B$27)</f>
        <v>151554.51945123429</v>
      </c>
      <c r="K56" s="27">
        <f>K54/(1+'Transmission Formula Rate (7)'!$B$27)</f>
        <v>139815.40354760288</v>
      </c>
      <c r="L56" s="27">
        <f>L54/(1+'Transmission Formula Rate (7)'!$B$27)</f>
        <v>133674.8765799609</v>
      </c>
      <c r="M56" s="27">
        <f>M54/(1+'Transmission Formula Rate (7)'!$B$27)</f>
        <v>118593.13849608427</v>
      </c>
      <c r="N56" s="123">
        <f>SUM(B56:M56)</f>
        <v>1558083.3191814213</v>
      </c>
    </row>
    <row r="57" spans="1:14">
      <c r="A57" s="247" t="s">
        <v>143</v>
      </c>
      <c r="B57" s="31">
        <f>'charges (1 &amp; 2)'!F32</f>
        <v>1.274E-2</v>
      </c>
      <c r="C57" s="31">
        <f>B57</f>
        <v>1.274E-2</v>
      </c>
      <c r="D57" s="31">
        <f t="shared" ref="D57:M57" si="67">C57</f>
        <v>1.274E-2</v>
      </c>
      <c r="E57" s="31">
        <f t="shared" si="67"/>
        <v>1.274E-2</v>
      </c>
      <c r="F57" s="31">
        <f t="shared" si="67"/>
        <v>1.274E-2</v>
      </c>
      <c r="G57" s="31">
        <f t="shared" si="67"/>
        <v>1.274E-2</v>
      </c>
      <c r="H57" s="31">
        <f t="shared" si="67"/>
        <v>1.274E-2</v>
      </c>
      <c r="I57" s="31">
        <f t="shared" si="67"/>
        <v>1.274E-2</v>
      </c>
      <c r="J57" s="31">
        <f t="shared" si="67"/>
        <v>1.274E-2</v>
      </c>
      <c r="K57" s="31">
        <f t="shared" si="67"/>
        <v>1.274E-2</v>
      </c>
      <c r="L57" s="31">
        <f t="shared" si="67"/>
        <v>1.274E-2</v>
      </c>
      <c r="M57" s="31">
        <f t="shared" si="67"/>
        <v>1.274E-2</v>
      </c>
      <c r="N57" s="19"/>
    </row>
    <row r="58" spans="1:14">
      <c r="A58" s="247" t="s">
        <v>17</v>
      </c>
      <c r="B58" s="20">
        <f>B54*B57</f>
        <v>1416.1897417641624</v>
      </c>
      <c r="C58" s="20">
        <f t="shared" ref="C58" si="68">C54*C57</f>
        <v>1418.6475810181028</v>
      </c>
      <c r="D58" s="20">
        <f t="shared" ref="D58" si="69">D54*D57</f>
        <v>1509.4919468672049</v>
      </c>
      <c r="E58" s="20">
        <f t="shared" ref="E58" si="70">E54*E57</f>
        <v>1432.463310641851</v>
      </c>
      <c r="F58" s="20">
        <f t="shared" ref="F58" si="71">F54*F57</f>
        <v>1701.1256328827019</v>
      </c>
      <c r="G58" s="20">
        <f t="shared" ref="G58" si="72">G54*G57</f>
        <v>1808.279176622829</v>
      </c>
      <c r="H58" s="20">
        <f t="shared" ref="H58" si="73">H54*H57</f>
        <v>1860.9999235831488</v>
      </c>
      <c r="I58" s="20">
        <f t="shared" ref="I58" si="74">I54*I57</f>
        <v>2015.9314737903039</v>
      </c>
      <c r="J58" s="20">
        <f t="shared" ref="J58" si="75">J54*J57</f>
        <v>1966.5244624981863</v>
      </c>
      <c r="K58" s="20">
        <f t="shared" ref="K58" si="76">K54*K57</f>
        <v>1814.2013336585949</v>
      </c>
      <c r="L58" s="20">
        <f t="shared" ref="L58" si="77">L54*L57</f>
        <v>1734.5237592898329</v>
      </c>
      <c r="M58" s="20">
        <f t="shared" ref="M58" si="78">M54*M57</f>
        <v>1538.8278012522555</v>
      </c>
      <c r="N58" s="20">
        <f>SUM(B58:M58)</f>
        <v>20217.206143869178</v>
      </c>
    </row>
    <row r="59" spans="1:14">
      <c r="A59" s="247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>
      <c r="A60" s="247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>
      <c r="B61" s="23" t="s">
        <v>0</v>
      </c>
      <c r="C61" s="23" t="s">
        <v>1</v>
      </c>
      <c r="D61" s="23" t="s">
        <v>2</v>
      </c>
      <c r="E61" s="23" t="s">
        <v>3</v>
      </c>
      <c r="F61" s="23" t="s">
        <v>4</v>
      </c>
      <c r="G61" s="23" t="s">
        <v>5</v>
      </c>
      <c r="H61" s="23" t="s">
        <v>6</v>
      </c>
      <c r="I61" s="23" t="s">
        <v>7</v>
      </c>
      <c r="J61" s="23" t="s">
        <v>8</v>
      </c>
      <c r="K61" s="23" t="s">
        <v>9</v>
      </c>
      <c r="L61" s="23" t="s">
        <v>10</v>
      </c>
      <c r="M61" s="23" t="s">
        <v>11</v>
      </c>
      <c r="N61" s="23" t="s">
        <v>12</v>
      </c>
    </row>
    <row r="62" spans="1:14">
      <c r="A62" s="248">
        <f>+A45+1</f>
        <v>2017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>
      <c r="A63" s="247" t="s">
        <v>37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>
      <c r="A64" s="249" t="s">
        <v>199</v>
      </c>
      <c r="B64" s="232">
        <f>'FKEC Forecast'!E14</f>
        <v>115128.13163669655</v>
      </c>
      <c r="C64" s="232">
        <f>'FKEC Forecast'!F14</f>
        <v>112403.39279087265</v>
      </c>
      <c r="D64" s="232">
        <f>'FKEC Forecast'!G14</f>
        <v>119601.24451529191</v>
      </c>
      <c r="E64" s="232">
        <f>'FKEC Forecast'!H14</f>
        <v>113498.05146746674</v>
      </c>
      <c r="F64" s="232">
        <f>'FKEC Forecast'!I14</f>
        <v>134784.91434941953</v>
      </c>
      <c r="G64" s="232">
        <f>'FKEC Forecast'!J14</f>
        <v>143274.98759038022</v>
      </c>
      <c r="H64" s="232">
        <f>'FKEC Forecast'!K14</f>
        <v>147452.19897684464</v>
      </c>
      <c r="I64" s="232">
        <f>'FKEC Forecast'!L14</f>
        <v>158738.90960037828</v>
      </c>
      <c r="J64" s="232">
        <f>'FKEC Forecast'!M14</f>
        <v>155813.20163560953</v>
      </c>
      <c r="K64" s="232">
        <f>'FKEC Forecast'!N14</f>
        <v>143744.2165605397</v>
      </c>
      <c r="L64" s="232">
        <f>'FKEC Forecast'!O14</f>
        <v>137431.14077749813</v>
      </c>
      <c r="M64" s="232">
        <f>'FKEC Forecast'!P14</f>
        <v>121925.60583477636</v>
      </c>
      <c r="N64" s="20">
        <f>SUM(B64:M64)</f>
        <v>1603795.9957357745</v>
      </c>
    </row>
    <row r="65" spans="1:14">
      <c r="A65" s="249" t="s">
        <v>45</v>
      </c>
      <c r="B65" s="27">
        <f>B64-B66</f>
        <v>2091.1835397927207</v>
      </c>
      <c r="C65" s="27">
        <f t="shared" ref="C65" si="79">C64-C66</f>
        <v>2041.6914743555681</v>
      </c>
      <c r="D65" s="27">
        <f t="shared" ref="D65" si="80">D64-D66</f>
        <v>2172.433012796173</v>
      </c>
      <c r="E65" s="27">
        <f t="shared" ref="E65" si="81">E64-E66</f>
        <v>2061.5748180148512</v>
      </c>
      <c r="F65" s="27">
        <f t="shared" ref="F65" si="82">F64-F66</f>
        <v>2448.2286847955256</v>
      </c>
      <c r="G65" s="27">
        <f t="shared" ref="G65" si="83">G64-G66</f>
        <v>2602.4420917251264</v>
      </c>
      <c r="H65" s="27">
        <f t="shared" ref="H65" si="84">H64-H66</f>
        <v>2678.3168199034117</v>
      </c>
      <c r="I65" s="27">
        <f t="shared" ref="I65" si="85">I64-I66</f>
        <v>2883.3282548915013</v>
      </c>
      <c r="J65" s="27">
        <f t="shared" ref="J65" si="86">J64-J66</f>
        <v>2830.1857930866536</v>
      </c>
      <c r="K65" s="27">
        <f t="shared" ref="K65" si="87">K64-K66</f>
        <v>2610.9651510750991</v>
      </c>
      <c r="L65" s="27">
        <f t="shared" ref="L65" si="88">L64-L66</f>
        <v>2496.294653297693</v>
      </c>
      <c r="M65" s="27">
        <f t="shared" ref="M65" si="89">M64-M66</f>
        <v>2214.6526342104626</v>
      </c>
      <c r="N65" s="20">
        <f>SUM(B65:M65)</f>
        <v>29131.296927944786</v>
      </c>
    </row>
    <row r="66" spans="1:14">
      <c r="A66" s="249" t="s">
        <v>47</v>
      </c>
      <c r="B66" s="27">
        <f>B64/(1+'Transmission Formula Rate (7)'!$B$27)</f>
        <v>113036.94809690383</v>
      </c>
      <c r="C66" s="27">
        <f>C64/(1+'Transmission Formula Rate (7)'!$B$27)</f>
        <v>110361.70131651708</v>
      </c>
      <c r="D66" s="27">
        <f>D64/(1+'Transmission Formula Rate (7)'!$B$27)</f>
        <v>117428.81150249574</v>
      </c>
      <c r="E66" s="27">
        <f>E64/(1+'Transmission Formula Rate (7)'!$B$27)</f>
        <v>111436.47664945188</v>
      </c>
      <c r="F66" s="27">
        <f>F64/(1+'Transmission Formula Rate (7)'!$B$27)</f>
        <v>132336.685664624</v>
      </c>
      <c r="G66" s="27">
        <f>G64/(1+'Transmission Formula Rate (7)'!$B$27)</f>
        <v>140672.54549865509</v>
      </c>
      <c r="H66" s="27">
        <f>H64/(1+'Transmission Formula Rate (7)'!$B$27)</f>
        <v>144773.88215694122</v>
      </c>
      <c r="I66" s="27">
        <f>I64/(1+'Transmission Formula Rate (7)'!$B$27)</f>
        <v>155855.58134548677</v>
      </c>
      <c r="J66" s="27">
        <f>J64/(1+'Transmission Formula Rate (7)'!$B$27)</f>
        <v>152983.01584252287</v>
      </c>
      <c r="K66" s="27">
        <f>K64/(1+'Transmission Formula Rate (7)'!$B$27)</f>
        <v>141133.2514094646</v>
      </c>
      <c r="L66" s="27">
        <f>L64/(1+'Transmission Formula Rate (7)'!$B$27)</f>
        <v>134934.84612420044</v>
      </c>
      <c r="M66" s="27">
        <f>M64/(1+'Transmission Formula Rate (7)'!$B$27)</f>
        <v>119710.9532005659</v>
      </c>
      <c r="N66" s="123">
        <f>SUM(B66:M66)</f>
        <v>1574664.6988078293</v>
      </c>
    </row>
    <row r="67" spans="1:14">
      <c r="A67" s="247" t="s">
        <v>20</v>
      </c>
      <c r="B67" s="29">
        <f>'Transmission Formula Rate (7)'!B14</f>
        <v>1.59</v>
      </c>
      <c r="C67" s="29">
        <f>'Transmission Formula Rate (7)'!C14</f>
        <v>1.59</v>
      </c>
      <c r="D67" s="29">
        <f>'Transmission Formula Rate (7)'!D14</f>
        <v>1.59</v>
      </c>
      <c r="E67" s="29">
        <f>'Transmission Formula Rate (7)'!E14</f>
        <v>1.59</v>
      </c>
      <c r="F67" s="29">
        <f>'Transmission Formula Rate (7)'!F14</f>
        <v>1.59</v>
      </c>
      <c r="G67" s="29">
        <f>'Transmission Formula Rate (7)'!G14</f>
        <v>1.59</v>
      </c>
      <c r="H67" s="29">
        <f>'Transmission Formula Rate (7)'!H14</f>
        <v>1.59</v>
      </c>
      <c r="I67" s="29">
        <f>'Transmission Formula Rate (7)'!I14</f>
        <v>1.59</v>
      </c>
      <c r="J67" s="29">
        <f>'Transmission Formula Rate (7)'!J14</f>
        <v>1.59</v>
      </c>
      <c r="K67" s="29">
        <f>'Transmission Formula Rate (7)'!K14</f>
        <v>1.59</v>
      </c>
      <c r="L67" s="29">
        <f>'Transmission Formula Rate (7)'!L14</f>
        <v>1.59</v>
      </c>
      <c r="M67" s="29">
        <f>'Transmission Formula Rate (7)'!M14</f>
        <v>1.59</v>
      </c>
      <c r="N67" s="19"/>
    </row>
    <row r="68" spans="1:14">
      <c r="A68" s="247" t="s">
        <v>17</v>
      </c>
      <c r="B68" s="20">
        <f>B64*B67</f>
        <v>183053.72930234752</v>
      </c>
      <c r="C68" s="20">
        <f t="shared" ref="C68" si="90">C64*C67</f>
        <v>178721.3945374875</v>
      </c>
      <c r="D68" s="20">
        <f t="shared" ref="D68" si="91">D64*D67</f>
        <v>190165.97877931414</v>
      </c>
      <c r="E68" s="20">
        <f t="shared" ref="E68" si="92">E64*E67</f>
        <v>180461.90183327213</v>
      </c>
      <c r="F68" s="20">
        <f t="shared" ref="F68" si="93">F64*F67</f>
        <v>214308.01381557705</v>
      </c>
      <c r="G68" s="20">
        <f t="shared" ref="G68" si="94">G64*G67</f>
        <v>227807.23026870456</v>
      </c>
      <c r="H68" s="20">
        <f t="shared" ref="H68" si="95">H64*H67</f>
        <v>234448.99637318298</v>
      </c>
      <c r="I68" s="20">
        <f t="shared" ref="I68" si="96">I64*I67</f>
        <v>252394.86626460147</v>
      </c>
      <c r="J68" s="20">
        <f t="shared" ref="J68" si="97">J64*J67</f>
        <v>247742.99060061914</v>
      </c>
      <c r="K68" s="20">
        <f t="shared" ref="K68" si="98">K64*K67</f>
        <v>228553.30433125814</v>
      </c>
      <c r="L68" s="20">
        <f t="shared" ref="L68" si="99">L64*L67</f>
        <v>218515.51383622203</v>
      </c>
      <c r="M68" s="20">
        <f t="shared" ref="M68" si="100">M64*M67</f>
        <v>193861.71327729442</v>
      </c>
      <c r="N68" s="20">
        <f>SUM(B68:M68)</f>
        <v>2550035.633219881</v>
      </c>
    </row>
    <row r="70" spans="1:14">
      <c r="A70" s="247" t="s">
        <v>135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>
      <c r="A71" s="249" t="s">
        <v>199</v>
      </c>
      <c r="B71" s="232">
        <f>B64</f>
        <v>115128.13163669655</v>
      </c>
      <c r="C71" s="232">
        <f t="shared" ref="C71:M71" si="101">C64</f>
        <v>112403.39279087265</v>
      </c>
      <c r="D71" s="232">
        <f t="shared" si="101"/>
        <v>119601.24451529191</v>
      </c>
      <c r="E71" s="232">
        <f t="shared" si="101"/>
        <v>113498.05146746674</v>
      </c>
      <c r="F71" s="232">
        <f t="shared" si="101"/>
        <v>134784.91434941953</v>
      </c>
      <c r="G71" s="232">
        <f t="shared" si="101"/>
        <v>143274.98759038022</v>
      </c>
      <c r="H71" s="232">
        <f t="shared" si="101"/>
        <v>147452.19897684464</v>
      </c>
      <c r="I71" s="232">
        <f t="shared" si="101"/>
        <v>158738.90960037828</v>
      </c>
      <c r="J71" s="232">
        <f t="shared" si="101"/>
        <v>155813.20163560953</v>
      </c>
      <c r="K71" s="232">
        <f t="shared" si="101"/>
        <v>143744.2165605397</v>
      </c>
      <c r="L71" s="232">
        <f t="shared" si="101"/>
        <v>137431.14077749813</v>
      </c>
      <c r="M71" s="232">
        <f t="shared" si="101"/>
        <v>121925.60583477636</v>
      </c>
      <c r="N71" s="20">
        <f>SUM(B71:M71)</f>
        <v>1603795.9957357745</v>
      </c>
    </row>
    <row r="72" spans="1:14">
      <c r="A72" s="249" t="s">
        <v>45</v>
      </c>
      <c r="B72" s="27">
        <f>B71-B73</f>
        <v>2091.1835397927207</v>
      </c>
      <c r="C72" s="27">
        <f t="shared" ref="C72" si="102">C71-C73</f>
        <v>2041.6914743555681</v>
      </c>
      <c r="D72" s="27">
        <f t="shared" ref="D72" si="103">D71-D73</f>
        <v>2172.433012796173</v>
      </c>
      <c r="E72" s="27">
        <f t="shared" ref="E72" si="104">E71-E73</f>
        <v>2061.5748180148512</v>
      </c>
      <c r="F72" s="27">
        <f t="shared" ref="F72" si="105">F71-F73</f>
        <v>2448.2286847955256</v>
      </c>
      <c r="G72" s="27">
        <f t="shared" ref="G72" si="106">G71-G73</f>
        <v>2602.4420917251264</v>
      </c>
      <c r="H72" s="27">
        <f t="shared" ref="H72" si="107">H71-H73</f>
        <v>2678.3168199034117</v>
      </c>
      <c r="I72" s="27">
        <f t="shared" ref="I72" si="108">I71-I73</f>
        <v>2883.3282548915013</v>
      </c>
      <c r="J72" s="27">
        <f t="shared" ref="J72" si="109">J71-J73</f>
        <v>2830.1857930866536</v>
      </c>
      <c r="K72" s="27">
        <f t="shared" ref="K72" si="110">K71-K73</f>
        <v>2610.9651510750991</v>
      </c>
      <c r="L72" s="27">
        <f t="shared" ref="L72" si="111">L71-L73</f>
        <v>2496.294653297693</v>
      </c>
      <c r="M72" s="27">
        <f t="shared" ref="M72" si="112">M71-M73</f>
        <v>2214.6526342104626</v>
      </c>
      <c r="N72" s="20">
        <f>SUM(B72:M72)</f>
        <v>29131.296927944786</v>
      </c>
    </row>
    <row r="73" spans="1:14">
      <c r="A73" s="249" t="s">
        <v>47</v>
      </c>
      <c r="B73" s="27">
        <f>B71/(1+'Transmission Formula Rate (7)'!$B$27)</f>
        <v>113036.94809690383</v>
      </c>
      <c r="C73" s="27">
        <f>C71/(1+'Transmission Formula Rate (7)'!$B$27)</f>
        <v>110361.70131651708</v>
      </c>
      <c r="D73" s="27">
        <f>D71/(1+'Transmission Formula Rate (7)'!$B$27)</f>
        <v>117428.81150249574</v>
      </c>
      <c r="E73" s="27">
        <f>E71/(1+'Transmission Formula Rate (7)'!$B$27)</f>
        <v>111436.47664945188</v>
      </c>
      <c r="F73" s="27">
        <f>F71/(1+'Transmission Formula Rate (7)'!$B$27)</f>
        <v>132336.685664624</v>
      </c>
      <c r="G73" s="27">
        <f>G71/(1+'Transmission Formula Rate (7)'!$B$27)</f>
        <v>140672.54549865509</v>
      </c>
      <c r="H73" s="27">
        <f>H71/(1+'Transmission Formula Rate (7)'!$B$27)</f>
        <v>144773.88215694122</v>
      </c>
      <c r="I73" s="27">
        <f>I71/(1+'Transmission Formula Rate (7)'!$B$27)</f>
        <v>155855.58134548677</v>
      </c>
      <c r="J73" s="27">
        <f>J71/(1+'Transmission Formula Rate (7)'!$B$27)</f>
        <v>152983.01584252287</v>
      </c>
      <c r="K73" s="27">
        <f>K71/(1+'Transmission Formula Rate (7)'!$B$27)</f>
        <v>141133.2514094646</v>
      </c>
      <c r="L73" s="27">
        <f>L71/(1+'Transmission Formula Rate (7)'!$B$27)</f>
        <v>134934.84612420044</v>
      </c>
      <c r="M73" s="27">
        <f>M71/(1+'Transmission Formula Rate (7)'!$B$27)</f>
        <v>119710.9532005659</v>
      </c>
      <c r="N73" s="123">
        <f>SUM(B73:M73)</f>
        <v>1574664.6988078293</v>
      </c>
    </row>
    <row r="74" spans="1:14">
      <c r="A74" s="247" t="s">
        <v>143</v>
      </c>
      <c r="B74" s="31">
        <f>'charges (1 &amp; 2)'!G32</f>
        <v>1.274E-2</v>
      </c>
      <c r="C74" s="31">
        <f>B74</f>
        <v>1.274E-2</v>
      </c>
      <c r="D74" s="31">
        <f t="shared" ref="D74:M74" si="113">C74</f>
        <v>1.274E-2</v>
      </c>
      <c r="E74" s="31">
        <f t="shared" si="113"/>
        <v>1.274E-2</v>
      </c>
      <c r="F74" s="31">
        <f t="shared" si="113"/>
        <v>1.274E-2</v>
      </c>
      <c r="G74" s="31">
        <f t="shared" si="113"/>
        <v>1.274E-2</v>
      </c>
      <c r="H74" s="31">
        <f t="shared" si="113"/>
        <v>1.274E-2</v>
      </c>
      <c r="I74" s="31">
        <f t="shared" si="113"/>
        <v>1.274E-2</v>
      </c>
      <c r="J74" s="31">
        <f t="shared" si="113"/>
        <v>1.274E-2</v>
      </c>
      <c r="K74" s="31">
        <f t="shared" si="113"/>
        <v>1.274E-2</v>
      </c>
      <c r="L74" s="31">
        <f t="shared" si="113"/>
        <v>1.274E-2</v>
      </c>
      <c r="M74" s="31">
        <f t="shared" si="113"/>
        <v>1.274E-2</v>
      </c>
      <c r="N74" s="19"/>
    </row>
    <row r="75" spans="1:14">
      <c r="A75" s="247" t="s">
        <v>17</v>
      </c>
      <c r="B75" s="20">
        <f>B71*B74</f>
        <v>1466.732397051514</v>
      </c>
      <c r="C75" s="20">
        <f t="shared" ref="C75" si="114">C71*C74</f>
        <v>1432.0192241557174</v>
      </c>
      <c r="D75" s="20">
        <f t="shared" ref="D75" si="115">D71*D74</f>
        <v>1523.7198551248189</v>
      </c>
      <c r="E75" s="20">
        <f t="shared" ref="E75" si="116">E71*E74</f>
        <v>1445.9651756955261</v>
      </c>
      <c r="F75" s="20">
        <f t="shared" ref="F75" si="117">F71*F74</f>
        <v>1717.1598088116048</v>
      </c>
      <c r="G75" s="20">
        <f t="shared" ref="G75" si="118">G71*G74</f>
        <v>1825.3233419014439</v>
      </c>
      <c r="H75" s="20">
        <f t="shared" ref="H75" si="119">H71*H74</f>
        <v>1878.5410149650006</v>
      </c>
      <c r="I75" s="20">
        <f t="shared" ref="I75" si="120">I71*I74</f>
        <v>2022.3337083088193</v>
      </c>
      <c r="J75" s="20">
        <f t="shared" ref="J75" si="121">J71*J74</f>
        <v>1985.0601888376652</v>
      </c>
      <c r="K75" s="20">
        <f t="shared" ref="K75" si="122">K71*K74</f>
        <v>1831.3013189812757</v>
      </c>
      <c r="L75" s="20">
        <f t="shared" ref="L75" si="123">L71*L74</f>
        <v>1750.8727335053261</v>
      </c>
      <c r="M75" s="20">
        <f t="shared" ref="M75" si="124">M71*M74</f>
        <v>1553.3322183350508</v>
      </c>
      <c r="N75" s="20">
        <f>SUM(B75:M75)</f>
        <v>20432.360985673764</v>
      </c>
    </row>
    <row r="78" spans="1:14">
      <c r="B78" s="23" t="s">
        <v>0</v>
      </c>
      <c r="C78" s="23" t="s">
        <v>1</v>
      </c>
      <c r="D78" s="23" t="s">
        <v>2</v>
      </c>
      <c r="E78" s="23" t="s">
        <v>3</v>
      </c>
      <c r="F78" s="23" t="s">
        <v>4</v>
      </c>
      <c r="G78" s="23" t="s">
        <v>5</v>
      </c>
      <c r="H78" s="23" t="s">
        <v>6</v>
      </c>
      <c r="I78" s="23" t="s">
        <v>7</v>
      </c>
      <c r="J78" s="23" t="s">
        <v>8</v>
      </c>
      <c r="K78" s="23" t="s">
        <v>9</v>
      </c>
      <c r="L78" s="23" t="s">
        <v>10</v>
      </c>
      <c r="M78" s="23" t="s">
        <v>11</v>
      </c>
      <c r="N78" s="23" t="s">
        <v>12</v>
      </c>
    </row>
    <row r="79" spans="1:14">
      <c r="A79" s="248">
        <f>+A62+1</f>
        <v>2018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>
      <c r="A80" s="247" t="s">
        <v>37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>
      <c r="A81" s="249" t="s">
        <v>199</v>
      </c>
      <c r="B81" s="232">
        <f>'FKEC Forecast'!E15</f>
        <v>116213.28647849413</v>
      </c>
      <c r="C81" s="232">
        <f>'FKEC Forecast'!F15</f>
        <v>113462.86526026356</v>
      </c>
      <c r="D81" s="232">
        <f>'FKEC Forecast'!G15</f>
        <v>120728.56125122526</v>
      </c>
      <c r="E81" s="232">
        <f>'FKEC Forecast'!H15</f>
        <v>114567.84178138559</v>
      </c>
      <c r="F81" s="232">
        <f>'FKEC Forecast'!I15</f>
        <v>136055.34669578206</v>
      </c>
      <c r="G81" s="232">
        <f>'FKEC Forecast'!J15</f>
        <v>144625.44420147865</v>
      </c>
      <c r="H81" s="232">
        <f>'FKEC Forecast'!K15</f>
        <v>148842.02842494476</v>
      </c>
      <c r="I81" s="232">
        <f>'FKEC Forecast'!L15</f>
        <v>161233.76132012784</v>
      </c>
      <c r="J81" s="232">
        <f>'FKEC Forecast'!M15</f>
        <v>157281.83877726336</v>
      </c>
      <c r="K81" s="232">
        <f>'FKEC Forecast'!N15</f>
        <v>145099.09594895283</v>
      </c>
      <c r="L81" s="232">
        <f>'FKEC Forecast'!O15</f>
        <v>138726.51546749208</v>
      </c>
      <c r="M81" s="232">
        <f>'FKEC Forecast'!P15</f>
        <v>123074.83113383905</v>
      </c>
      <c r="N81" s="20">
        <f>SUM(B81:M81)</f>
        <v>1619911.4167412492</v>
      </c>
    </row>
    <row r="82" spans="1:14">
      <c r="A82" s="249" t="s">
        <v>45</v>
      </c>
      <c r="B82" s="27">
        <f>B81-B83</f>
        <v>2110.8942561140284</v>
      </c>
      <c r="C82" s="27">
        <f t="shared" ref="C82" si="125">C81-C83</f>
        <v>2060.9356969218206</v>
      </c>
      <c r="D82" s="27">
        <f t="shared" ref="D82" si="126">D81-D83</f>
        <v>2192.9095563550945</v>
      </c>
      <c r="E82" s="27">
        <f t="shared" ref="E82" si="127">E81-E83</f>
        <v>2081.0064535646816</v>
      </c>
      <c r="F82" s="27">
        <f t="shared" ref="F82" si="128">F81-F83</f>
        <v>2471.304775524768</v>
      </c>
      <c r="G82" s="27">
        <f t="shared" ref="G82" si="129">G81-G83</f>
        <v>2626.9717405276024</v>
      </c>
      <c r="H82" s="27">
        <f t="shared" ref="H82" si="130">H81-H83</f>
        <v>2703.5616356028186</v>
      </c>
      <c r="I82" s="27">
        <f t="shared" ref="I82" si="131">I81-I83</f>
        <v>2928.6446582448261</v>
      </c>
      <c r="J82" s="27">
        <f t="shared" ref="J82" si="132">J81-J83</f>
        <v>2856.8620691009855</v>
      </c>
      <c r="K82" s="27">
        <f t="shared" ref="K82" si="133">K81-K83</f>
        <v>2635.5751350570645</v>
      </c>
      <c r="L82" s="27">
        <f t="shared" ref="L82" si="134">L81-L83</f>
        <v>2519.8237959239923</v>
      </c>
      <c r="M82" s="27">
        <f t="shared" ref="M82" si="135">M81-M83</f>
        <v>2235.5271241787123</v>
      </c>
      <c r="N82" s="20">
        <f>SUM(B82:M82)</f>
        <v>29424.016897116395</v>
      </c>
    </row>
    <row r="83" spans="1:14">
      <c r="A83" s="249" t="s">
        <v>47</v>
      </c>
      <c r="B83" s="27">
        <f>B81/(1+'Transmission Formula Rate (7)'!$B$27)</f>
        <v>114102.39222238011</v>
      </c>
      <c r="C83" s="27">
        <f>C81/(1+'Transmission Formula Rate (7)'!$B$27)</f>
        <v>111401.92956334174</v>
      </c>
      <c r="D83" s="27">
        <f>D81/(1+'Transmission Formula Rate (7)'!$B$27)</f>
        <v>118535.65169487016</v>
      </c>
      <c r="E83" s="27">
        <f>E81/(1+'Transmission Formula Rate (7)'!$B$27)</f>
        <v>112486.83532782091</v>
      </c>
      <c r="F83" s="27">
        <f>F81/(1+'Transmission Formula Rate (7)'!$B$27)</f>
        <v>133584.0419202573</v>
      </c>
      <c r="G83" s="27">
        <f>G81/(1+'Transmission Formula Rate (7)'!$B$27)</f>
        <v>141998.47246095104</v>
      </c>
      <c r="H83" s="27">
        <f>H81/(1+'Transmission Formula Rate (7)'!$B$27)</f>
        <v>146138.46678934194</v>
      </c>
      <c r="I83" s="27">
        <f>I81/(1+'Transmission Formula Rate (7)'!$B$27)</f>
        <v>158305.11666188302</v>
      </c>
      <c r="J83" s="27">
        <f>J81/(1+'Transmission Formula Rate (7)'!$B$27)</f>
        <v>154424.97670816237</v>
      </c>
      <c r="K83" s="27">
        <f>K81/(1+'Transmission Formula Rate (7)'!$B$27)</f>
        <v>142463.52081389577</v>
      </c>
      <c r="L83" s="27">
        <f>L81/(1+'Transmission Formula Rate (7)'!$B$27)</f>
        <v>136206.69167156809</v>
      </c>
      <c r="M83" s="27">
        <f>M81/(1+'Transmission Formula Rate (7)'!$B$27)</f>
        <v>120839.30400966034</v>
      </c>
      <c r="N83" s="123">
        <f>SUM(B83:M83)</f>
        <v>1590487.3998441331</v>
      </c>
    </row>
    <row r="84" spans="1:14">
      <c r="A84" s="247" t="s">
        <v>20</v>
      </c>
      <c r="B84" s="29">
        <f>'Transmission Formula Rate (7)'!B16</f>
        <v>1.59</v>
      </c>
      <c r="C84" s="29">
        <f>'Transmission Formula Rate (7)'!C16</f>
        <v>1.59</v>
      </c>
      <c r="D84" s="29">
        <f>'Transmission Formula Rate (7)'!D16</f>
        <v>1.59</v>
      </c>
      <c r="E84" s="29">
        <f>'Transmission Formula Rate (7)'!E16</f>
        <v>1.59</v>
      </c>
      <c r="F84" s="29">
        <f>'Transmission Formula Rate (7)'!F16</f>
        <v>1.59</v>
      </c>
      <c r="G84" s="29">
        <f>'Transmission Formula Rate (7)'!G16</f>
        <v>1.59</v>
      </c>
      <c r="H84" s="29">
        <f>'Transmission Formula Rate (7)'!H16</f>
        <v>1.59</v>
      </c>
      <c r="I84" s="29">
        <f>'Transmission Formula Rate (7)'!I16</f>
        <v>1.59</v>
      </c>
      <c r="J84" s="29">
        <f>'Transmission Formula Rate (7)'!J16</f>
        <v>1.59</v>
      </c>
      <c r="K84" s="29">
        <f>'Transmission Formula Rate (7)'!K16</f>
        <v>1.59</v>
      </c>
      <c r="L84" s="29">
        <f>'Transmission Formula Rate (7)'!L16</f>
        <v>1.59</v>
      </c>
      <c r="M84" s="29">
        <f>'Transmission Formula Rate (7)'!M16</f>
        <v>1.59</v>
      </c>
      <c r="N84" s="19"/>
    </row>
    <row r="85" spans="1:14">
      <c r="A85" s="247" t="s">
        <v>17</v>
      </c>
      <c r="B85" s="20">
        <f>B81*B84</f>
        <v>184779.12550080568</v>
      </c>
      <c r="C85" s="20">
        <f t="shared" ref="C85" si="136">C81*C84</f>
        <v>180405.95576381907</v>
      </c>
      <c r="D85" s="20">
        <f t="shared" ref="D85" si="137">D81*D84</f>
        <v>191958.41238944817</v>
      </c>
      <c r="E85" s="20">
        <f t="shared" ref="E85" si="138">E81*E84</f>
        <v>182162.86843240311</v>
      </c>
      <c r="F85" s="20">
        <f t="shared" ref="F85" si="139">F81*F84</f>
        <v>216328.00124629348</v>
      </c>
      <c r="G85" s="20">
        <f t="shared" ref="G85" si="140">G81*G84</f>
        <v>229954.45628035106</v>
      </c>
      <c r="H85" s="20">
        <f t="shared" ref="H85" si="141">H81*H84</f>
        <v>236658.82519566218</v>
      </c>
      <c r="I85" s="20">
        <f t="shared" ref="I85" si="142">I81*I84</f>
        <v>256361.6804990033</v>
      </c>
      <c r="J85" s="20">
        <f t="shared" ref="J85" si="143">J81*J84</f>
        <v>250078.12365584876</v>
      </c>
      <c r="K85" s="20">
        <f t="shared" ref="K85" si="144">K81*K84</f>
        <v>230707.56255883502</v>
      </c>
      <c r="L85" s="20">
        <f t="shared" ref="L85" si="145">L81*L84</f>
        <v>220575.15959331242</v>
      </c>
      <c r="M85" s="20">
        <f t="shared" ref="M85" si="146">M81*M84</f>
        <v>195688.98150280409</v>
      </c>
      <c r="N85" s="20">
        <f>SUM(B85:M85)</f>
        <v>2575659.1526185861</v>
      </c>
    </row>
    <row r="87" spans="1:14">
      <c r="A87" s="247" t="s">
        <v>135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>
      <c r="A88" s="249" t="s">
        <v>199</v>
      </c>
      <c r="B88" s="232">
        <f>B81</f>
        <v>116213.28647849413</v>
      </c>
      <c r="C88" s="232">
        <f t="shared" ref="C88:M88" si="147">C81</f>
        <v>113462.86526026356</v>
      </c>
      <c r="D88" s="232">
        <f t="shared" si="147"/>
        <v>120728.56125122526</v>
      </c>
      <c r="E88" s="232">
        <f t="shared" si="147"/>
        <v>114567.84178138559</v>
      </c>
      <c r="F88" s="232">
        <f t="shared" si="147"/>
        <v>136055.34669578206</v>
      </c>
      <c r="G88" s="232">
        <f t="shared" si="147"/>
        <v>144625.44420147865</v>
      </c>
      <c r="H88" s="232">
        <f t="shared" si="147"/>
        <v>148842.02842494476</v>
      </c>
      <c r="I88" s="232">
        <f t="shared" si="147"/>
        <v>161233.76132012784</v>
      </c>
      <c r="J88" s="232">
        <f t="shared" si="147"/>
        <v>157281.83877726336</v>
      </c>
      <c r="K88" s="232">
        <f t="shared" si="147"/>
        <v>145099.09594895283</v>
      </c>
      <c r="L88" s="232">
        <f t="shared" si="147"/>
        <v>138726.51546749208</v>
      </c>
      <c r="M88" s="232">
        <f t="shared" si="147"/>
        <v>123074.83113383905</v>
      </c>
      <c r="N88" s="20">
        <f>SUM(B88:M88)</f>
        <v>1619911.4167412492</v>
      </c>
    </row>
    <row r="89" spans="1:14">
      <c r="A89" s="249" t="s">
        <v>45</v>
      </c>
      <c r="B89" s="27">
        <f>B88-B90</f>
        <v>2110.8942561140284</v>
      </c>
      <c r="C89" s="27">
        <f t="shared" ref="C89" si="148">C88-C90</f>
        <v>2060.9356969218206</v>
      </c>
      <c r="D89" s="27">
        <f t="shared" ref="D89" si="149">D88-D90</f>
        <v>2192.9095563550945</v>
      </c>
      <c r="E89" s="27">
        <f t="shared" ref="E89" si="150">E88-E90</f>
        <v>2081.0064535646816</v>
      </c>
      <c r="F89" s="27">
        <f t="shared" ref="F89" si="151">F88-F90</f>
        <v>2471.304775524768</v>
      </c>
      <c r="G89" s="27">
        <f t="shared" ref="G89" si="152">G88-G90</f>
        <v>2626.9717405276024</v>
      </c>
      <c r="H89" s="27">
        <f t="shared" ref="H89" si="153">H88-H90</f>
        <v>2703.5616356028186</v>
      </c>
      <c r="I89" s="27">
        <f t="shared" ref="I89" si="154">I88-I90</f>
        <v>2928.6446582448261</v>
      </c>
      <c r="J89" s="27">
        <f t="shared" ref="J89" si="155">J88-J90</f>
        <v>2856.8620691009855</v>
      </c>
      <c r="K89" s="27">
        <f t="shared" ref="K89" si="156">K88-K90</f>
        <v>2635.5751350570645</v>
      </c>
      <c r="L89" s="27">
        <f t="shared" ref="L89" si="157">L88-L90</f>
        <v>2519.8237959239923</v>
      </c>
      <c r="M89" s="27">
        <f t="shared" ref="M89" si="158">M88-M90</f>
        <v>2235.5271241787123</v>
      </c>
      <c r="N89" s="20">
        <f>SUM(B89:M89)</f>
        <v>29424.016897116395</v>
      </c>
    </row>
    <row r="90" spans="1:14">
      <c r="A90" s="249" t="s">
        <v>47</v>
      </c>
      <c r="B90" s="27">
        <f>B88/(1+'Transmission Formula Rate (7)'!$B$27)</f>
        <v>114102.39222238011</v>
      </c>
      <c r="C90" s="27">
        <f>C88/(1+'Transmission Formula Rate (7)'!$B$27)</f>
        <v>111401.92956334174</v>
      </c>
      <c r="D90" s="27">
        <f>D88/(1+'Transmission Formula Rate (7)'!$B$27)</f>
        <v>118535.65169487016</v>
      </c>
      <c r="E90" s="27">
        <f>E88/(1+'Transmission Formula Rate (7)'!$B$27)</f>
        <v>112486.83532782091</v>
      </c>
      <c r="F90" s="27">
        <f>F88/(1+'Transmission Formula Rate (7)'!$B$27)</f>
        <v>133584.0419202573</v>
      </c>
      <c r="G90" s="27">
        <f>G88/(1+'Transmission Formula Rate (7)'!$B$27)</f>
        <v>141998.47246095104</v>
      </c>
      <c r="H90" s="27">
        <f>H88/(1+'Transmission Formula Rate (7)'!$B$27)</f>
        <v>146138.46678934194</v>
      </c>
      <c r="I90" s="27">
        <f>I88/(1+'Transmission Formula Rate (7)'!$B$27)</f>
        <v>158305.11666188302</v>
      </c>
      <c r="J90" s="27">
        <f>J88/(1+'Transmission Formula Rate (7)'!$B$27)</f>
        <v>154424.97670816237</v>
      </c>
      <c r="K90" s="27">
        <f>K88/(1+'Transmission Formula Rate (7)'!$B$27)</f>
        <v>142463.52081389577</v>
      </c>
      <c r="L90" s="27">
        <f>L88/(1+'Transmission Formula Rate (7)'!$B$27)</f>
        <v>136206.69167156809</v>
      </c>
      <c r="M90" s="27">
        <f>M88/(1+'Transmission Formula Rate (7)'!$B$27)</f>
        <v>120839.30400966034</v>
      </c>
      <c r="N90" s="123">
        <f>SUM(B90:M90)</f>
        <v>1590487.3998441331</v>
      </c>
    </row>
    <row r="91" spans="1:14">
      <c r="A91" s="247" t="s">
        <v>143</v>
      </c>
      <c r="B91" s="31">
        <f>'charges (1 &amp; 2)'!H32</f>
        <v>1.274E-2</v>
      </c>
      <c r="C91" s="31">
        <f>B91</f>
        <v>1.274E-2</v>
      </c>
      <c r="D91" s="31">
        <f t="shared" ref="D91:M91" si="159">C91</f>
        <v>1.274E-2</v>
      </c>
      <c r="E91" s="31">
        <f t="shared" si="159"/>
        <v>1.274E-2</v>
      </c>
      <c r="F91" s="31">
        <f t="shared" si="159"/>
        <v>1.274E-2</v>
      </c>
      <c r="G91" s="31">
        <f t="shared" si="159"/>
        <v>1.274E-2</v>
      </c>
      <c r="H91" s="31">
        <f t="shared" si="159"/>
        <v>1.274E-2</v>
      </c>
      <c r="I91" s="31">
        <f t="shared" si="159"/>
        <v>1.274E-2</v>
      </c>
      <c r="J91" s="31">
        <f t="shared" si="159"/>
        <v>1.274E-2</v>
      </c>
      <c r="K91" s="31">
        <f t="shared" si="159"/>
        <v>1.274E-2</v>
      </c>
      <c r="L91" s="31">
        <f t="shared" si="159"/>
        <v>1.274E-2</v>
      </c>
      <c r="M91" s="31">
        <f t="shared" si="159"/>
        <v>1.274E-2</v>
      </c>
      <c r="N91" s="19"/>
    </row>
    <row r="92" spans="1:14">
      <c r="A92" s="247" t="s">
        <v>17</v>
      </c>
      <c r="B92" s="20">
        <f>B88*B91</f>
        <v>1480.5572697360153</v>
      </c>
      <c r="C92" s="20">
        <f t="shared" ref="C92" si="160">C88*C91</f>
        <v>1445.5169034157577</v>
      </c>
      <c r="D92" s="20">
        <f t="shared" ref="D92" si="161">D88*D91</f>
        <v>1538.0818703406096</v>
      </c>
      <c r="E92" s="20">
        <f t="shared" ref="E92" si="162">E88*E91</f>
        <v>1459.5943042948525</v>
      </c>
      <c r="F92" s="20">
        <f t="shared" ref="F92" si="163">F88*F91</f>
        <v>1733.3451169042635</v>
      </c>
      <c r="G92" s="20">
        <f t="shared" ref="G92" si="164">G88*G91</f>
        <v>1842.5281591268379</v>
      </c>
      <c r="H92" s="20">
        <f t="shared" ref="H92" si="165">H88*H91</f>
        <v>1896.2474421337961</v>
      </c>
      <c r="I92" s="20">
        <f t="shared" ref="I92" si="166">I88*I91</f>
        <v>2054.1181192184285</v>
      </c>
      <c r="J92" s="20">
        <f t="shared" ref="J92" si="167">J88*J91</f>
        <v>2003.7706260223351</v>
      </c>
      <c r="K92" s="20">
        <f t="shared" ref="K92" si="168">K88*K91</f>
        <v>1848.562482389659</v>
      </c>
      <c r="L92" s="20">
        <f t="shared" ref="L92" si="169">L88*L91</f>
        <v>1767.375807055849</v>
      </c>
      <c r="M92" s="20">
        <f t="shared" ref="M92" si="170">M88*M91</f>
        <v>1567.9733486451094</v>
      </c>
      <c r="N92" s="20">
        <f>SUM(B92:M92)</f>
        <v>20637.671449283513</v>
      </c>
    </row>
    <row r="95" spans="1:14">
      <c r="B95" s="23" t="s">
        <v>0</v>
      </c>
      <c r="C95" s="23" t="s">
        <v>1</v>
      </c>
      <c r="D95" s="23" t="s">
        <v>2</v>
      </c>
      <c r="E95" s="23" t="s">
        <v>3</v>
      </c>
      <c r="F95" s="23" t="s">
        <v>4</v>
      </c>
      <c r="G95" s="23" t="s">
        <v>5</v>
      </c>
      <c r="H95" s="23" t="s">
        <v>6</v>
      </c>
      <c r="I95" s="23" t="s">
        <v>7</v>
      </c>
      <c r="J95" s="23" t="s">
        <v>8</v>
      </c>
      <c r="K95" s="23" t="s">
        <v>9</v>
      </c>
      <c r="L95" s="23" t="s">
        <v>10</v>
      </c>
      <c r="M95" s="23" t="s">
        <v>11</v>
      </c>
      <c r="N95" s="23" t="s">
        <v>12</v>
      </c>
    </row>
    <row r="96" spans="1:14">
      <c r="A96" s="248">
        <f>+A79+1</f>
        <v>2019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247" t="s">
        <v>37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>
      <c r="A98" s="249" t="s">
        <v>199</v>
      </c>
      <c r="B98" s="232">
        <f>'FKEC Forecast'!E16</f>
        <v>117308.6695852165</v>
      </c>
      <c r="C98" s="232">
        <f>'FKEC Forecast'!F16</f>
        <v>114532.32392211292</v>
      </c>
      <c r="D98" s="232">
        <f>'FKEC Forecast'!G16</f>
        <v>121866.50365437689</v>
      </c>
      <c r="E98" s="232">
        <f>'FKEC Forecast'!H16</f>
        <v>115647.71553991832</v>
      </c>
      <c r="F98" s="232">
        <f>'FKEC Forecast'!I16</f>
        <v>137337.75366374431</v>
      </c>
      <c r="G98" s="232">
        <f>'FKEC Forecast'!J16</f>
        <v>145988.62971305815</v>
      </c>
      <c r="H98" s="232">
        <f>'FKEC Forecast'!K16</f>
        <v>150244.95788720675</v>
      </c>
      <c r="I98" s="232">
        <f>'FKEC Forecast'!L16</f>
        <v>162753.93188071551</v>
      </c>
      <c r="J98" s="232">
        <f>'FKEC Forecast'!M16</f>
        <v>158764.31874501408</v>
      </c>
      <c r="K98" s="232">
        <f>'FKEC Forecast'!N16</f>
        <v>146466.74592529683</v>
      </c>
      <c r="L98" s="232">
        <f>'FKEC Forecast'!O16</f>
        <v>140034.0998763167</v>
      </c>
      <c r="M98" s="232">
        <f>'FKEC Forecast'!P16</f>
        <v>124234.88860206721</v>
      </c>
      <c r="N98" s="20">
        <f>SUM(B98:M98)</f>
        <v>1635180.5389950443</v>
      </c>
    </row>
    <row r="99" spans="1:14">
      <c r="A99" s="249" t="s">
        <v>45</v>
      </c>
      <c r="B99" s="27">
        <f>B98-B100</f>
        <v>2130.7907582979824</v>
      </c>
      <c r="C99" s="27">
        <f t="shared" ref="C99" si="171">C98-C100</f>
        <v>2080.3613083545206</v>
      </c>
      <c r="D99" s="27">
        <f t="shared" ref="D99" si="172">D98-D100</f>
        <v>2213.5791041786579</v>
      </c>
      <c r="E99" s="27">
        <f t="shared" ref="E99" si="173">E98-E100</f>
        <v>2100.6212444658595</v>
      </c>
      <c r="F99" s="27">
        <f t="shared" ref="F99" si="174">F98-F100</f>
        <v>2494.5983728809806</v>
      </c>
      <c r="G99" s="27">
        <f t="shared" ref="G99" si="175">G98-G100</f>
        <v>2651.7325966534845</v>
      </c>
      <c r="H99" s="27">
        <f t="shared" ref="H99" si="176">H98-H100</f>
        <v>2729.0443995221576</v>
      </c>
      <c r="I99" s="27">
        <f t="shared" ref="I99" si="177">I98-I100</f>
        <v>2956.2569855603506</v>
      </c>
      <c r="J99" s="27">
        <f t="shared" ref="J99" si="178">J98-J100</f>
        <v>2883.7897857464559</v>
      </c>
      <c r="K99" s="27">
        <f t="shared" ref="K99" si="179">K98-K100</f>
        <v>2660.4170835718978</v>
      </c>
      <c r="L99" s="27">
        <f t="shared" ref="L99" si="180">L98-L100</f>
        <v>2543.5747154755518</v>
      </c>
      <c r="M99" s="27">
        <f t="shared" ref="M99" si="181">M98-M100</f>
        <v>2256.5983693060698</v>
      </c>
      <c r="N99" s="20">
        <f>SUM(B99:M99)</f>
        <v>29701.364724013969</v>
      </c>
    </row>
    <row r="100" spans="1:14">
      <c r="A100" s="249" t="s">
        <v>47</v>
      </c>
      <c r="B100" s="27">
        <f>B98/(1+'Transmission Formula Rate (7)'!$B$27)</f>
        <v>115177.87882691852</v>
      </c>
      <c r="C100" s="27">
        <f>C98/(1+'Transmission Formula Rate (7)'!$B$27)</f>
        <v>112451.9626137584</v>
      </c>
      <c r="D100" s="27">
        <f>D98/(1+'Transmission Formula Rate (7)'!$B$27)</f>
        <v>119652.92455019824</v>
      </c>
      <c r="E100" s="27">
        <f>E98/(1+'Transmission Formula Rate (7)'!$B$27)</f>
        <v>113547.09429545247</v>
      </c>
      <c r="F100" s="27">
        <f>F98/(1+'Transmission Formula Rate (7)'!$B$27)</f>
        <v>134843.15529086333</v>
      </c>
      <c r="G100" s="27">
        <f>G98/(1+'Transmission Formula Rate (7)'!$B$27)</f>
        <v>143336.89711640467</v>
      </c>
      <c r="H100" s="27">
        <f>H98/(1+'Transmission Formula Rate (7)'!$B$27)</f>
        <v>147515.91348768459</v>
      </c>
      <c r="I100" s="27">
        <f>I98/(1+'Transmission Formula Rate (7)'!$B$27)</f>
        <v>159797.67489515516</v>
      </c>
      <c r="J100" s="27">
        <f>J98/(1+'Transmission Formula Rate (7)'!$B$27)</f>
        <v>155880.52895926763</v>
      </c>
      <c r="K100" s="27">
        <f>K98/(1+'Transmission Formula Rate (7)'!$B$27)</f>
        <v>143806.32884172493</v>
      </c>
      <c r="L100" s="27">
        <f>L98/(1+'Transmission Formula Rate (7)'!$B$27)</f>
        <v>137490.52516084115</v>
      </c>
      <c r="M100" s="27">
        <f>M98/(1+'Transmission Formula Rate (7)'!$B$27)</f>
        <v>121978.29023276114</v>
      </c>
      <c r="N100" s="123">
        <f>SUM(B100:M100)</f>
        <v>1605479.1742710299</v>
      </c>
    </row>
    <row r="101" spans="1:14">
      <c r="A101" s="247" t="s">
        <v>20</v>
      </c>
      <c r="B101" s="29">
        <f>'Transmission Formula Rate (7)'!B20</f>
        <v>1.59</v>
      </c>
      <c r="C101" s="29">
        <f>'Transmission Formula Rate (7)'!C20</f>
        <v>1.59</v>
      </c>
      <c r="D101" s="29">
        <f>'Transmission Formula Rate (7)'!D20</f>
        <v>1.59</v>
      </c>
      <c r="E101" s="29">
        <f>'Transmission Formula Rate (7)'!E20</f>
        <v>1.59</v>
      </c>
      <c r="F101" s="29">
        <f>'Transmission Formula Rate (7)'!F20</f>
        <v>1.59</v>
      </c>
      <c r="G101" s="29">
        <f>'Transmission Formula Rate (7)'!G20</f>
        <v>1.59</v>
      </c>
      <c r="H101" s="29">
        <f>'Transmission Formula Rate (7)'!H20</f>
        <v>1.59</v>
      </c>
      <c r="I101" s="29">
        <f>'Transmission Formula Rate (7)'!I20</f>
        <v>1.59</v>
      </c>
      <c r="J101" s="29">
        <f>'Transmission Formula Rate (7)'!J20</f>
        <v>1.59</v>
      </c>
      <c r="K101" s="29">
        <f>'Transmission Formula Rate (7)'!K20</f>
        <v>1.59</v>
      </c>
      <c r="L101" s="29">
        <f>'Transmission Formula Rate (7)'!L20</f>
        <v>1.59</v>
      </c>
      <c r="M101" s="29">
        <f>'Transmission Formula Rate (7)'!M20</f>
        <v>1.59</v>
      </c>
      <c r="N101" s="19"/>
    </row>
    <row r="102" spans="1:14">
      <c r="A102" s="247" t="s">
        <v>17</v>
      </c>
      <c r="B102" s="20">
        <f>B98*B101</f>
        <v>186520.78464049424</v>
      </c>
      <c r="C102" s="20">
        <f t="shared" ref="C102" si="182">C98*C101</f>
        <v>182106.39503615955</v>
      </c>
      <c r="D102" s="20">
        <f t="shared" ref="D102" si="183">D98*D101</f>
        <v>193767.74081045928</v>
      </c>
      <c r="E102" s="20">
        <f t="shared" ref="E102" si="184">E98*E101</f>
        <v>183879.86770847015</v>
      </c>
      <c r="F102" s="20">
        <f t="shared" ref="F102" si="185">F98*F101</f>
        <v>218367.02832535346</v>
      </c>
      <c r="G102" s="20">
        <f t="shared" ref="G102" si="186">G98*G101</f>
        <v>232121.92124376248</v>
      </c>
      <c r="H102" s="20">
        <f t="shared" ref="H102" si="187">H98*H101</f>
        <v>238889.48304065876</v>
      </c>
      <c r="I102" s="20">
        <f t="shared" ref="I102" si="188">I98*I101</f>
        <v>258778.75169033767</v>
      </c>
      <c r="J102" s="20">
        <f t="shared" ref="J102" si="189">J98*J101</f>
        <v>252435.2668045724</v>
      </c>
      <c r="K102" s="20">
        <f t="shared" ref="K102" si="190">K98*K101</f>
        <v>232882.12602122198</v>
      </c>
      <c r="L102" s="20">
        <f t="shared" ref="L102" si="191">L98*L101</f>
        <v>222654.21880334357</v>
      </c>
      <c r="M102" s="20">
        <f t="shared" ref="M102" si="192">M98*M101</f>
        <v>197533.47287728687</v>
      </c>
      <c r="N102" s="20">
        <f>SUM(B102:M102)</f>
        <v>2599937.0570021202</v>
      </c>
    </row>
    <row r="104" spans="1:14">
      <c r="A104" s="247" t="s">
        <v>135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>
      <c r="A105" s="249" t="s">
        <v>199</v>
      </c>
      <c r="B105" s="232">
        <f>B98</f>
        <v>117308.6695852165</v>
      </c>
      <c r="C105" s="232">
        <f t="shared" ref="C105:M105" si="193">C98</f>
        <v>114532.32392211292</v>
      </c>
      <c r="D105" s="232">
        <f t="shared" si="193"/>
        <v>121866.50365437689</v>
      </c>
      <c r="E105" s="232">
        <f t="shared" si="193"/>
        <v>115647.71553991832</v>
      </c>
      <c r="F105" s="232">
        <f t="shared" si="193"/>
        <v>137337.75366374431</v>
      </c>
      <c r="G105" s="232">
        <f t="shared" si="193"/>
        <v>145988.62971305815</v>
      </c>
      <c r="H105" s="232">
        <f t="shared" si="193"/>
        <v>150244.95788720675</v>
      </c>
      <c r="I105" s="232">
        <f t="shared" si="193"/>
        <v>162753.93188071551</v>
      </c>
      <c r="J105" s="232">
        <f t="shared" si="193"/>
        <v>158764.31874501408</v>
      </c>
      <c r="K105" s="232">
        <f t="shared" si="193"/>
        <v>146466.74592529683</v>
      </c>
      <c r="L105" s="232">
        <f t="shared" si="193"/>
        <v>140034.0998763167</v>
      </c>
      <c r="M105" s="232">
        <f t="shared" si="193"/>
        <v>124234.88860206721</v>
      </c>
      <c r="N105" s="20">
        <f>SUM(B105:M105)</f>
        <v>1635180.5389950443</v>
      </c>
    </row>
    <row r="106" spans="1:14">
      <c r="A106" s="249" t="s">
        <v>45</v>
      </c>
      <c r="B106" s="27">
        <f>B105-B107</f>
        <v>2130.7907582979824</v>
      </c>
      <c r="C106" s="27">
        <f t="shared" ref="C106" si="194">C105-C107</f>
        <v>2080.3613083545206</v>
      </c>
      <c r="D106" s="27">
        <f t="shared" ref="D106" si="195">D105-D107</f>
        <v>2213.5791041786579</v>
      </c>
      <c r="E106" s="27">
        <f t="shared" ref="E106" si="196">E105-E107</f>
        <v>2100.6212444658595</v>
      </c>
      <c r="F106" s="27">
        <f t="shared" ref="F106" si="197">F105-F107</f>
        <v>2494.5983728809806</v>
      </c>
      <c r="G106" s="27">
        <f t="shared" ref="G106" si="198">G105-G107</f>
        <v>2651.7325966534845</v>
      </c>
      <c r="H106" s="27">
        <f t="shared" ref="H106" si="199">H105-H107</f>
        <v>2729.0443995221576</v>
      </c>
      <c r="I106" s="27">
        <f t="shared" ref="I106" si="200">I105-I107</f>
        <v>2956.2569855603506</v>
      </c>
      <c r="J106" s="27">
        <f t="shared" ref="J106" si="201">J105-J107</f>
        <v>2883.7897857464559</v>
      </c>
      <c r="K106" s="27">
        <f t="shared" ref="K106" si="202">K105-K107</f>
        <v>2660.4170835718978</v>
      </c>
      <c r="L106" s="27">
        <f t="shared" ref="L106" si="203">L105-L107</f>
        <v>2543.5747154755518</v>
      </c>
      <c r="M106" s="27">
        <f t="shared" ref="M106" si="204">M105-M107</f>
        <v>2256.5983693060698</v>
      </c>
      <c r="N106" s="20">
        <f>SUM(B106:M106)</f>
        <v>29701.364724013969</v>
      </c>
    </row>
    <row r="107" spans="1:14">
      <c r="A107" s="249" t="s">
        <v>47</v>
      </c>
      <c r="B107" s="27">
        <f>B105/(1+'Transmission Formula Rate (7)'!$B$27)</f>
        <v>115177.87882691852</v>
      </c>
      <c r="C107" s="27">
        <f>C105/(1+'Transmission Formula Rate (7)'!$B$27)</f>
        <v>112451.9626137584</v>
      </c>
      <c r="D107" s="27">
        <f>D105/(1+'Transmission Formula Rate (7)'!$B$27)</f>
        <v>119652.92455019824</v>
      </c>
      <c r="E107" s="27">
        <f>E105/(1+'Transmission Formula Rate (7)'!$B$27)</f>
        <v>113547.09429545247</v>
      </c>
      <c r="F107" s="27">
        <f>F105/(1+'Transmission Formula Rate (7)'!$B$27)</f>
        <v>134843.15529086333</v>
      </c>
      <c r="G107" s="27">
        <f>G105/(1+'Transmission Formula Rate (7)'!$B$27)</f>
        <v>143336.89711640467</v>
      </c>
      <c r="H107" s="27">
        <f>H105/(1+'Transmission Formula Rate (7)'!$B$27)</f>
        <v>147515.91348768459</v>
      </c>
      <c r="I107" s="27">
        <f>I105/(1+'Transmission Formula Rate (7)'!$B$27)</f>
        <v>159797.67489515516</v>
      </c>
      <c r="J107" s="27">
        <f>J105/(1+'Transmission Formula Rate (7)'!$B$27)</f>
        <v>155880.52895926763</v>
      </c>
      <c r="K107" s="27">
        <f>K105/(1+'Transmission Formula Rate (7)'!$B$27)</f>
        <v>143806.32884172493</v>
      </c>
      <c r="L107" s="27">
        <f>L105/(1+'Transmission Formula Rate (7)'!$B$27)</f>
        <v>137490.52516084115</v>
      </c>
      <c r="M107" s="27">
        <f>M105/(1+'Transmission Formula Rate (7)'!$B$27)</f>
        <v>121978.29023276114</v>
      </c>
      <c r="N107" s="123">
        <f>SUM(B107:M107)</f>
        <v>1605479.1742710299</v>
      </c>
    </row>
    <row r="108" spans="1:14">
      <c r="A108" s="247" t="s">
        <v>143</v>
      </c>
      <c r="B108" s="31">
        <f>'charges (1 &amp; 2)'!H38</f>
        <v>1.274E-2</v>
      </c>
      <c r="C108" s="31">
        <f>B108</f>
        <v>1.274E-2</v>
      </c>
      <c r="D108" s="31">
        <f t="shared" ref="D108" si="205">C108</f>
        <v>1.274E-2</v>
      </c>
      <c r="E108" s="31">
        <f t="shared" ref="E108" si="206">D108</f>
        <v>1.274E-2</v>
      </c>
      <c r="F108" s="31">
        <f t="shared" ref="F108" si="207">E108</f>
        <v>1.274E-2</v>
      </c>
      <c r="G108" s="31">
        <f t="shared" ref="G108" si="208">F108</f>
        <v>1.274E-2</v>
      </c>
      <c r="H108" s="31">
        <f t="shared" ref="H108" si="209">G108</f>
        <v>1.274E-2</v>
      </c>
      <c r="I108" s="31">
        <f t="shared" ref="I108" si="210">H108</f>
        <v>1.274E-2</v>
      </c>
      <c r="J108" s="31">
        <f t="shared" ref="J108" si="211">I108</f>
        <v>1.274E-2</v>
      </c>
      <c r="K108" s="31">
        <f t="shared" ref="K108" si="212">J108</f>
        <v>1.274E-2</v>
      </c>
      <c r="L108" s="31">
        <f t="shared" ref="L108" si="213">K108</f>
        <v>1.274E-2</v>
      </c>
      <c r="M108" s="31">
        <f t="shared" ref="M108" si="214">L108</f>
        <v>1.274E-2</v>
      </c>
      <c r="N108" s="19"/>
    </row>
    <row r="109" spans="1:14">
      <c r="A109" s="247" t="s">
        <v>17</v>
      </c>
      <c r="B109" s="20">
        <f>B105*B108</f>
        <v>1494.5124505156582</v>
      </c>
      <c r="C109" s="20">
        <f t="shared" ref="C109" si="215">C105*C108</f>
        <v>1459.1418067677184</v>
      </c>
      <c r="D109" s="20">
        <f t="shared" ref="D109" si="216">D105*D108</f>
        <v>1552.5792565567615</v>
      </c>
      <c r="E109" s="20">
        <f t="shared" ref="E109" si="217">E105*E108</f>
        <v>1473.3518959785595</v>
      </c>
      <c r="F109" s="20">
        <f t="shared" ref="F109" si="218">F105*F108</f>
        <v>1749.6829816761024</v>
      </c>
      <c r="G109" s="20">
        <f t="shared" ref="G109" si="219">G105*G108</f>
        <v>1859.8951425443609</v>
      </c>
      <c r="H109" s="20">
        <f t="shared" ref="H109" si="220">H105*H108</f>
        <v>1914.1207634830139</v>
      </c>
      <c r="I109" s="20">
        <f t="shared" ref="I109" si="221">I105*I108</f>
        <v>2073.4850921603156</v>
      </c>
      <c r="J109" s="20">
        <f t="shared" ref="J109" si="222">J105*J108</f>
        <v>2022.6574208114794</v>
      </c>
      <c r="K109" s="20">
        <f t="shared" ref="K109" si="223">K105*K108</f>
        <v>1865.9863430882815</v>
      </c>
      <c r="L109" s="20">
        <f t="shared" ref="L109" si="224">L105*L108</f>
        <v>1784.0344324242747</v>
      </c>
      <c r="M109" s="20">
        <f t="shared" ref="M109" si="225">M105*M108</f>
        <v>1582.7524807903362</v>
      </c>
      <c r="N109" s="20">
        <f>SUM(B109:M109)</f>
        <v>20832.200066796864</v>
      </c>
    </row>
    <row r="112" spans="1:14">
      <c r="B112" s="23" t="s">
        <v>0</v>
      </c>
      <c r="C112" s="23" t="s">
        <v>1</v>
      </c>
      <c r="D112" s="23" t="s">
        <v>2</v>
      </c>
      <c r="E112" s="23" t="s">
        <v>3</v>
      </c>
      <c r="F112" s="23" t="s">
        <v>4</v>
      </c>
      <c r="G112" s="23" t="s">
        <v>5</v>
      </c>
      <c r="H112" s="23" t="s">
        <v>6</v>
      </c>
      <c r="I112" s="23" t="s">
        <v>7</v>
      </c>
      <c r="J112" s="23" t="s">
        <v>8</v>
      </c>
      <c r="K112" s="23" t="s">
        <v>9</v>
      </c>
      <c r="L112" s="23" t="s">
        <v>10</v>
      </c>
      <c r="M112" s="23" t="s">
        <v>11</v>
      </c>
      <c r="N112" s="23" t="s">
        <v>12</v>
      </c>
    </row>
    <row r="113" spans="1:14">
      <c r="A113" s="248">
        <f>+A96+1</f>
        <v>2020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>
      <c r="A114" s="247" t="s">
        <v>37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>
      <c r="A115" s="249" t="s">
        <v>199</v>
      </c>
      <c r="B115" s="232">
        <f>'FKEC Forecast'!E17</f>
        <v>118414.37736467509</v>
      </c>
      <c r="C115" s="232">
        <f>'FKEC Forecast'!F17</f>
        <v>115611.86290254742</v>
      </c>
      <c r="D115" s="232">
        <f>'FKEC Forecast'!G17</f>
        <v>123015.17187832414</v>
      </c>
      <c r="E115" s="232">
        <f>'FKEC Forecast'!H17</f>
        <v>116737.76778585408</v>
      </c>
      <c r="F115" s="232">
        <f>'FKEC Forecast'!I17</f>
        <v>138632.24812162461</v>
      </c>
      <c r="G115" s="232">
        <f>'FKEC Forecast'!J17</f>
        <v>147364.66410298843</v>
      </c>
      <c r="H115" s="232">
        <f>'FKEC Forecast'!K17</f>
        <v>151661.11083947966</v>
      </c>
      <c r="I115" s="232">
        <f>'FKEC Forecast'!L17</f>
        <v>164287.77128385176</v>
      </c>
      <c r="J115" s="232">
        <f>'FKEC Forecast'!M17</f>
        <v>160260.77201617902</v>
      </c>
      <c r="K115" s="232">
        <f>'FKEC Forecast'!N17</f>
        <v>147847.28686037185</v>
      </c>
      <c r="L115" s="232">
        <f>'FKEC Forecast'!O17</f>
        <v>141354.00908822921</v>
      </c>
      <c r="M115" s="232">
        <f>'FKEC Forecast'!P17</f>
        <v>125405.88033944847</v>
      </c>
      <c r="N115" s="20">
        <f>SUM(B115:M115)</f>
        <v>1650592.9225835737</v>
      </c>
    </row>
    <row r="116" spans="1:14">
      <c r="A116" s="249" t="s">
        <v>45</v>
      </c>
      <c r="B116" s="27">
        <f>B115-B117</f>
        <v>2150.8747974928701</v>
      </c>
      <c r="C116" s="27">
        <f t="shared" ref="C116" si="226">C115-C117</f>
        <v>2099.9700183575042</v>
      </c>
      <c r="D116" s="27">
        <f t="shared" ref="D116" si="227">D115-D117</f>
        <v>2234.4434754531103</v>
      </c>
      <c r="E116" s="27">
        <f t="shared" ref="E116" si="228">E115-E117</f>
        <v>2120.4209170724498</v>
      </c>
      <c r="F116" s="27">
        <f t="shared" ref="F116" si="229">F115-F117</f>
        <v>2518.1115270005539</v>
      </c>
      <c r="G116" s="27">
        <f t="shared" ref="G116" si="230">G115-G117</f>
        <v>2676.7268393768172</v>
      </c>
      <c r="H116" s="27">
        <f t="shared" ref="H116" si="231">H115-H117</f>
        <v>2754.7673544726276</v>
      </c>
      <c r="I116" s="27">
        <f t="shared" ref="I116" si="232">I115-I117</f>
        <v>2984.117593275645</v>
      </c>
      <c r="J116" s="27">
        <f t="shared" ref="J116" si="233">J115-J117</f>
        <v>2910.9713130086602</v>
      </c>
      <c r="K116" s="27">
        <f t="shared" ref="K116" si="234">K115-K117</f>
        <v>2685.4931830308051</v>
      </c>
      <c r="L116" s="27">
        <f t="shared" ref="L116" si="235">L115-L117</f>
        <v>2567.5495023389522</v>
      </c>
      <c r="M116" s="27">
        <f t="shared" ref="M116" si="236">M115-M117</f>
        <v>2277.8682241333299</v>
      </c>
      <c r="N116" s="20">
        <f>SUM(B116:M116)</f>
        <v>29981.314745013326</v>
      </c>
    </row>
    <row r="117" spans="1:14">
      <c r="A117" s="249" t="s">
        <v>47</v>
      </c>
      <c r="B117" s="27">
        <f>B115/(1+'Transmission Formula Rate (7)'!$B$27)</f>
        <v>116263.50256718222</v>
      </c>
      <c r="C117" s="27">
        <f>C115/(1+'Transmission Formula Rate (7)'!$B$27)</f>
        <v>113511.89288418992</v>
      </c>
      <c r="D117" s="27">
        <f>D115/(1+'Transmission Formula Rate (7)'!$B$27)</f>
        <v>120780.72840287103</v>
      </c>
      <c r="E117" s="27">
        <f>E115/(1+'Transmission Formula Rate (7)'!$B$27)</f>
        <v>114617.34686878163</v>
      </c>
      <c r="F117" s="27">
        <f>F115/(1+'Transmission Formula Rate (7)'!$B$27)</f>
        <v>136114.13659462405</v>
      </c>
      <c r="G117" s="27">
        <f>G115/(1+'Transmission Formula Rate (7)'!$B$27)</f>
        <v>144687.93726361162</v>
      </c>
      <c r="H117" s="27">
        <f>H115/(1+'Transmission Formula Rate (7)'!$B$27)</f>
        <v>148906.34348500703</v>
      </c>
      <c r="I117" s="27">
        <f>I115/(1+'Transmission Formula Rate (7)'!$B$27)</f>
        <v>161303.65369057612</v>
      </c>
      <c r="J117" s="27">
        <f>J115/(1+'Transmission Formula Rate (7)'!$B$27)</f>
        <v>157349.80070317036</v>
      </c>
      <c r="K117" s="27">
        <f>K115/(1+'Transmission Formula Rate (7)'!$B$27)</f>
        <v>145161.79367734105</v>
      </c>
      <c r="L117" s="27">
        <f>L115/(1+'Transmission Formula Rate (7)'!$B$27)</f>
        <v>138786.45958589026</v>
      </c>
      <c r="M117" s="27">
        <f>M115/(1+'Transmission Formula Rate (7)'!$B$27)</f>
        <v>123128.01211531514</v>
      </c>
      <c r="N117" s="123">
        <f>SUM(B117:M117)</f>
        <v>1620611.6078385601</v>
      </c>
    </row>
    <row r="118" spans="1:14">
      <c r="A118" s="247" t="s">
        <v>20</v>
      </c>
      <c r="B118" s="29">
        <f>B101</f>
        <v>1.59</v>
      </c>
      <c r="C118" s="29">
        <f t="shared" ref="C118:M118" si="237">C101</f>
        <v>1.59</v>
      </c>
      <c r="D118" s="29">
        <f t="shared" si="237"/>
        <v>1.59</v>
      </c>
      <c r="E118" s="29">
        <f t="shared" si="237"/>
        <v>1.59</v>
      </c>
      <c r="F118" s="29">
        <f t="shared" si="237"/>
        <v>1.59</v>
      </c>
      <c r="G118" s="29">
        <f t="shared" si="237"/>
        <v>1.59</v>
      </c>
      <c r="H118" s="29">
        <f t="shared" si="237"/>
        <v>1.59</v>
      </c>
      <c r="I118" s="29">
        <f t="shared" si="237"/>
        <v>1.59</v>
      </c>
      <c r="J118" s="29">
        <f t="shared" si="237"/>
        <v>1.59</v>
      </c>
      <c r="K118" s="29">
        <f t="shared" si="237"/>
        <v>1.59</v>
      </c>
      <c r="L118" s="29">
        <f t="shared" si="237"/>
        <v>1.59</v>
      </c>
      <c r="M118" s="29">
        <f t="shared" si="237"/>
        <v>1.59</v>
      </c>
      <c r="N118" s="19"/>
    </row>
    <row r="119" spans="1:14">
      <c r="A119" s="247" t="s">
        <v>17</v>
      </c>
      <c r="B119" s="20">
        <f>B115*B118</f>
        <v>188278.86000983341</v>
      </c>
      <c r="C119" s="20">
        <f t="shared" ref="C119" si="238">C115*C118</f>
        <v>183822.8620150504</v>
      </c>
      <c r="D119" s="20">
        <f t="shared" ref="D119" si="239">D115*D118</f>
        <v>195594.12328653538</v>
      </c>
      <c r="E119" s="20">
        <f t="shared" ref="E119" si="240">E115*E118</f>
        <v>185613.05077950799</v>
      </c>
      <c r="F119" s="20">
        <f t="shared" ref="F119" si="241">F115*F118</f>
        <v>220425.27451338313</v>
      </c>
      <c r="G119" s="20">
        <f t="shared" ref="G119" si="242">G115*G118</f>
        <v>234309.81592375162</v>
      </c>
      <c r="H119" s="20">
        <f t="shared" ref="H119" si="243">H115*H118</f>
        <v>241141.16623477268</v>
      </c>
      <c r="I119" s="20">
        <f t="shared" ref="I119" si="244">I115*I118</f>
        <v>261217.55634132432</v>
      </c>
      <c r="J119" s="20">
        <f t="shared" ref="J119" si="245">J115*J118</f>
        <v>254814.62750572467</v>
      </c>
      <c r="K119" s="20">
        <f t="shared" ref="K119" si="246">K115*K118</f>
        <v>235077.18610799126</v>
      </c>
      <c r="L119" s="20">
        <f t="shared" ref="L119" si="247">L115*L118</f>
        <v>224752.87445028446</v>
      </c>
      <c r="M119" s="20">
        <f t="shared" ref="M119" si="248">M115*M118</f>
        <v>199395.34973972308</v>
      </c>
      <c r="N119" s="20">
        <f>SUM(B119:M119)</f>
        <v>2624442.7469078824</v>
      </c>
    </row>
    <row r="121" spans="1:14">
      <c r="A121" s="247" t="s">
        <v>135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249" t="s">
        <v>199</v>
      </c>
      <c r="B122" s="232">
        <f>B115</f>
        <v>118414.37736467509</v>
      </c>
      <c r="C122" s="232">
        <f t="shared" ref="C122:M122" si="249">C115</f>
        <v>115611.86290254742</v>
      </c>
      <c r="D122" s="232">
        <f t="shared" si="249"/>
        <v>123015.17187832414</v>
      </c>
      <c r="E122" s="232">
        <f t="shared" si="249"/>
        <v>116737.76778585408</v>
      </c>
      <c r="F122" s="232">
        <f t="shared" si="249"/>
        <v>138632.24812162461</v>
      </c>
      <c r="G122" s="232">
        <f t="shared" si="249"/>
        <v>147364.66410298843</v>
      </c>
      <c r="H122" s="232">
        <f t="shared" si="249"/>
        <v>151661.11083947966</v>
      </c>
      <c r="I122" s="232">
        <f t="shared" si="249"/>
        <v>164287.77128385176</v>
      </c>
      <c r="J122" s="232">
        <f t="shared" si="249"/>
        <v>160260.77201617902</v>
      </c>
      <c r="K122" s="232">
        <f t="shared" si="249"/>
        <v>147847.28686037185</v>
      </c>
      <c r="L122" s="232">
        <f t="shared" si="249"/>
        <v>141354.00908822921</v>
      </c>
      <c r="M122" s="232">
        <f t="shared" si="249"/>
        <v>125405.88033944847</v>
      </c>
      <c r="N122" s="20">
        <f>SUM(B122:M122)</f>
        <v>1650592.9225835737</v>
      </c>
    </row>
    <row r="123" spans="1:14">
      <c r="A123" s="249" t="s">
        <v>45</v>
      </c>
      <c r="B123" s="27">
        <f>B122-B124</f>
        <v>2150.8747974928701</v>
      </c>
      <c r="C123" s="27">
        <f t="shared" ref="C123" si="250">C122-C124</f>
        <v>2099.9700183575042</v>
      </c>
      <c r="D123" s="27">
        <f t="shared" ref="D123" si="251">D122-D124</f>
        <v>2234.4434754531103</v>
      </c>
      <c r="E123" s="27">
        <f t="shared" ref="E123" si="252">E122-E124</f>
        <v>2120.4209170724498</v>
      </c>
      <c r="F123" s="27">
        <f t="shared" ref="F123" si="253">F122-F124</f>
        <v>2518.1115270005539</v>
      </c>
      <c r="G123" s="27">
        <f t="shared" ref="G123" si="254">G122-G124</f>
        <v>2676.7268393768172</v>
      </c>
      <c r="H123" s="27">
        <f t="shared" ref="H123" si="255">H122-H124</f>
        <v>2754.7673544726276</v>
      </c>
      <c r="I123" s="27">
        <f t="shared" ref="I123" si="256">I122-I124</f>
        <v>2984.117593275645</v>
      </c>
      <c r="J123" s="27">
        <f t="shared" ref="J123" si="257">J122-J124</f>
        <v>2910.9713130086602</v>
      </c>
      <c r="K123" s="27">
        <f t="shared" ref="K123" si="258">K122-K124</f>
        <v>2685.4931830308051</v>
      </c>
      <c r="L123" s="27">
        <f t="shared" ref="L123" si="259">L122-L124</f>
        <v>2567.5495023389522</v>
      </c>
      <c r="M123" s="27">
        <f t="shared" ref="M123" si="260">M122-M124</f>
        <v>2277.8682241333299</v>
      </c>
      <c r="N123" s="20">
        <f>SUM(B123:M123)</f>
        <v>29981.314745013326</v>
      </c>
    </row>
    <row r="124" spans="1:14">
      <c r="A124" s="249" t="s">
        <v>47</v>
      </c>
      <c r="B124" s="27">
        <f>B122/(1+'Transmission Formula Rate (7)'!$B$27)</f>
        <v>116263.50256718222</v>
      </c>
      <c r="C124" s="27">
        <f>C122/(1+'Transmission Formula Rate (7)'!$B$27)</f>
        <v>113511.89288418992</v>
      </c>
      <c r="D124" s="27">
        <f>D122/(1+'Transmission Formula Rate (7)'!$B$27)</f>
        <v>120780.72840287103</v>
      </c>
      <c r="E124" s="27">
        <f>E122/(1+'Transmission Formula Rate (7)'!$B$27)</f>
        <v>114617.34686878163</v>
      </c>
      <c r="F124" s="27">
        <f>F122/(1+'Transmission Formula Rate (7)'!$B$27)</f>
        <v>136114.13659462405</v>
      </c>
      <c r="G124" s="27">
        <f>G122/(1+'Transmission Formula Rate (7)'!$B$27)</f>
        <v>144687.93726361162</v>
      </c>
      <c r="H124" s="27">
        <f>H122/(1+'Transmission Formula Rate (7)'!$B$27)</f>
        <v>148906.34348500703</v>
      </c>
      <c r="I124" s="27">
        <f>I122/(1+'Transmission Formula Rate (7)'!$B$27)</f>
        <v>161303.65369057612</v>
      </c>
      <c r="J124" s="27">
        <f>J122/(1+'Transmission Formula Rate (7)'!$B$27)</f>
        <v>157349.80070317036</v>
      </c>
      <c r="K124" s="27">
        <f>K122/(1+'Transmission Formula Rate (7)'!$B$27)</f>
        <v>145161.79367734105</v>
      </c>
      <c r="L124" s="27">
        <f>L122/(1+'Transmission Formula Rate (7)'!$B$27)</f>
        <v>138786.45958589026</v>
      </c>
      <c r="M124" s="27">
        <f>M122/(1+'Transmission Formula Rate (7)'!$B$27)</f>
        <v>123128.01211531514</v>
      </c>
      <c r="N124" s="123">
        <f>SUM(B124:M124)</f>
        <v>1620611.6078385601</v>
      </c>
    </row>
    <row r="125" spans="1:14">
      <c r="A125" s="247" t="s">
        <v>143</v>
      </c>
      <c r="B125" s="31">
        <f>B108</f>
        <v>1.274E-2</v>
      </c>
      <c r="C125" s="31">
        <f>B125</f>
        <v>1.274E-2</v>
      </c>
      <c r="D125" s="31">
        <f t="shared" ref="D125" si="261">C125</f>
        <v>1.274E-2</v>
      </c>
      <c r="E125" s="31">
        <f t="shared" ref="E125" si="262">D125</f>
        <v>1.274E-2</v>
      </c>
      <c r="F125" s="31">
        <f t="shared" ref="F125" si="263">E125</f>
        <v>1.274E-2</v>
      </c>
      <c r="G125" s="31">
        <f t="shared" ref="G125" si="264">F125</f>
        <v>1.274E-2</v>
      </c>
      <c r="H125" s="31">
        <f t="shared" ref="H125" si="265">G125</f>
        <v>1.274E-2</v>
      </c>
      <c r="I125" s="31">
        <f t="shared" ref="I125" si="266">H125</f>
        <v>1.274E-2</v>
      </c>
      <c r="J125" s="31">
        <f t="shared" ref="J125" si="267">I125</f>
        <v>1.274E-2</v>
      </c>
      <c r="K125" s="31">
        <f t="shared" ref="K125" si="268">J125</f>
        <v>1.274E-2</v>
      </c>
      <c r="L125" s="31">
        <f t="shared" ref="L125" si="269">K125</f>
        <v>1.274E-2</v>
      </c>
      <c r="M125" s="31">
        <f t="shared" ref="M125" si="270">L125</f>
        <v>1.274E-2</v>
      </c>
      <c r="N125" s="19"/>
    </row>
    <row r="126" spans="1:14">
      <c r="A126" s="247" t="s">
        <v>17</v>
      </c>
      <c r="B126" s="20">
        <f>B122*B125</f>
        <v>1508.5991676259607</v>
      </c>
      <c r="C126" s="20">
        <f t="shared" ref="C126" si="271">C122*C125</f>
        <v>1472.8951333784541</v>
      </c>
      <c r="D126" s="20">
        <f t="shared" ref="D126" si="272">D122*D125</f>
        <v>1567.2132897298495</v>
      </c>
      <c r="E126" s="20">
        <f t="shared" ref="E126" si="273">E122*E125</f>
        <v>1487.2391615917809</v>
      </c>
      <c r="F126" s="20">
        <f t="shared" ref="F126" si="274">F122*F125</f>
        <v>1766.1748410694975</v>
      </c>
      <c r="G126" s="20">
        <f t="shared" ref="G126" si="275">G122*G125</f>
        <v>1877.4258206720726</v>
      </c>
      <c r="H126" s="20">
        <f t="shared" ref="H126" si="276">H122*H125</f>
        <v>1932.1625520949708</v>
      </c>
      <c r="I126" s="20">
        <f t="shared" ref="I126" si="277">I122*I125</f>
        <v>2093.0262061562712</v>
      </c>
      <c r="J126" s="20">
        <f t="shared" ref="J126" si="278">J122*J125</f>
        <v>2041.7222354861206</v>
      </c>
      <c r="K126" s="20">
        <f t="shared" ref="K126" si="279">K122*K125</f>
        <v>1883.5744346011372</v>
      </c>
      <c r="L126" s="20">
        <f t="shared" ref="L126" si="280">L122*L125</f>
        <v>1800.8500757840402</v>
      </c>
      <c r="M126" s="20">
        <f t="shared" ref="M126" si="281">M122*M125</f>
        <v>1597.6709155245735</v>
      </c>
      <c r="N126" s="20">
        <f>SUM(B126:M126)</f>
        <v>21028.55383371473</v>
      </c>
    </row>
  </sheetData>
  <pageMargins left="0.7" right="0.7" top="0.75" bottom="0.75" header="0.3" footer="0.3"/>
  <pageSetup scale="74" orientation="portrait" r:id="rId1"/>
  <ignoredErrors>
    <ignoredError sqref="N37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52"/>
  <sheetViews>
    <sheetView zoomScaleNormal="100" workbookViewId="0">
      <pane ySplit="8" topLeftCell="A9" activePane="bottomLeft" state="frozen"/>
      <selection sqref="A1:XFD1428"/>
      <selection pane="bottomLeft" activeCell="B2" sqref="B1:B2"/>
    </sheetView>
  </sheetViews>
  <sheetFormatPr defaultColWidth="9" defaultRowHeight="13.2"/>
  <cols>
    <col min="1" max="1" width="4.6640625" style="234" customWidth="1"/>
    <col min="2" max="2" width="15.6640625" style="234" customWidth="1"/>
    <col min="3" max="3" width="12.77734375" style="251" customWidth="1"/>
    <col min="4" max="16" width="9" style="234"/>
    <col min="17" max="17" width="10.77734375" style="234" bestFit="1" customWidth="1"/>
    <col min="18" max="16384" width="9" style="234"/>
  </cols>
  <sheetData>
    <row r="1" spans="2:24">
      <c r="B1" s="481" t="s">
        <v>482</v>
      </c>
    </row>
    <row r="2" spans="2:24">
      <c r="B2" s="481" t="s">
        <v>458</v>
      </c>
    </row>
    <row r="4" spans="2:24">
      <c r="B4" s="279" t="s">
        <v>353</v>
      </c>
    </row>
    <row r="5" spans="2:24">
      <c r="B5" s="234" t="s">
        <v>349</v>
      </c>
    </row>
    <row r="8" spans="2:24">
      <c r="D8" s="236"/>
      <c r="E8" s="236"/>
      <c r="F8" s="236"/>
      <c r="G8" s="236"/>
      <c r="H8" s="236"/>
    </row>
    <row r="10" spans="2:24">
      <c r="E10" s="283" t="s">
        <v>0</v>
      </c>
      <c r="F10" s="283" t="s">
        <v>1</v>
      </c>
      <c r="G10" s="283" t="s">
        <v>2</v>
      </c>
      <c r="H10" s="283" t="s">
        <v>3</v>
      </c>
      <c r="I10" s="283" t="s">
        <v>4</v>
      </c>
      <c r="J10" s="283" t="s">
        <v>5</v>
      </c>
      <c r="K10" s="283" t="s">
        <v>6</v>
      </c>
      <c r="L10" s="283" t="s">
        <v>7</v>
      </c>
      <c r="M10" s="283" t="s">
        <v>8</v>
      </c>
      <c r="N10" s="283" t="s">
        <v>9</v>
      </c>
      <c r="O10" s="283" t="s">
        <v>10</v>
      </c>
      <c r="P10" s="283" t="s">
        <v>11</v>
      </c>
      <c r="Q10" s="234" t="s">
        <v>12</v>
      </c>
    </row>
    <row r="11" spans="2:24">
      <c r="D11" s="236">
        <v>2014</v>
      </c>
      <c r="E11" s="364">
        <v>111000</v>
      </c>
      <c r="F11" s="364">
        <v>88000</v>
      </c>
      <c r="G11" s="364">
        <v>111000</v>
      </c>
      <c r="H11" s="364">
        <v>123000</v>
      </c>
      <c r="I11" s="364">
        <v>129000</v>
      </c>
      <c r="J11" s="364">
        <v>123000</v>
      </c>
      <c r="K11" s="364">
        <v>140000</v>
      </c>
      <c r="L11" s="364">
        <v>151000</v>
      </c>
      <c r="M11" s="364">
        <v>146000</v>
      </c>
      <c r="N11" s="364">
        <v>128000</v>
      </c>
      <c r="O11" s="364">
        <v>137000</v>
      </c>
      <c r="P11" s="364">
        <v>115000</v>
      </c>
      <c r="Q11" s="285">
        <f>SUM(E11:P11)</f>
        <v>1502000</v>
      </c>
    </row>
    <row r="12" spans="2:24">
      <c r="D12" s="236">
        <f t="shared" ref="D12:D17" si="0">1+D11</f>
        <v>2015</v>
      </c>
      <c r="E12" s="364">
        <v>105000</v>
      </c>
      <c r="F12" s="364">
        <v>113000</v>
      </c>
      <c r="G12" s="364">
        <v>116000</v>
      </c>
      <c r="H12" s="364">
        <v>120000</v>
      </c>
      <c r="I12" s="364">
        <v>151000</v>
      </c>
      <c r="J12" s="364">
        <v>138000</v>
      </c>
      <c r="K12" s="364">
        <v>146000</v>
      </c>
      <c r="L12" s="364">
        <v>152803.99085120461</v>
      </c>
      <c r="M12" s="364">
        <v>149089.22817258368</v>
      </c>
      <c r="N12" s="364">
        <v>137523.29672915713</v>
      </c>
      <c r="O12" s="364">
        <v>131475.29222993914</v>
      </c>
      <c r="P12" s="364">
        <v>116613.09603833547</v>
      </c>
      <c r="Q12" s="285">
        <f t="shared" ref="Q12:Q16" si="1">SUM(E12:P12)</f>
        <v>1576504.9040212203</v>
      </c>
    </row>
    <row r="13" spans="2:24">
      <c r="D13" s="236">
        <f t="shared" si="0"/>
        <v>2016</v>
      </c>
      <c r="E13" s="364">
        <v>111160.89024836439</v>
      </c>
      <c r="F13" s="364">
        <v>111353.81326672707</v>
      </c>
      <c r="G13" s="364">
        <v>118484.45422819506</v>
      </c>
      <c r="H13" s="364">
        <v>112438.25044284546</v>
      </c>
      <c r="I13" s="364">
        <v>133526.34481025918</v>
      </c>
      <c r="J13" s="364">
        <v>141937.14102220008</v>
      </c>
      <c r="K13" s="364">
        <v>146075.34722002738</v>
      </c>
      <c r="L13" s="364">
        <v>158236.37941839121</v>
      </c>
      <c r="M13" s="364">
        <v>154358.27806108212</v>
      </c>
      <c r="N13" s="364">
        <v>142401.98851323352</v>
      </c>
      <c r="O13" s="364">
        <v>136147.86179669018</v>
      </c>
      <c r="P13" s="364">
        <v>120787.11155826182</v>
      </c>
      <c r="Q13" s="285">
        <f t="shared" si="1"/>
        <v>1586907.8605862774</v>
      </c>
      <c r="R13" s="477"/>
      <c r="S13" s="477"/>
      <c r="T13" s="477"/>
      <c r="U13" s="477"/>
      <c r="V13" s="477"/>
      <c r="W13" s="477"/>
      <c r="X13" s="477"/>
    </row>
    <row r="14" spans="2:24">
      <c r="C14" s="252"/>
      <c r="D14" s="236">
        <f t="shared" si="0"/>
        <v>2017</v>
      </c>
      <c r="E14" s="364">
        <v>115128.13163669655</v>
      </c>
      <c r="F14" s="364">
        <v>112403.39279087265</v>
      </c>
      <c r="G14" s="364">
        <v>119601.24451529191</v>
      </c>
      <c r="H14" s="364">
        <v>113498.05146746674</v>
      </c>
      <c r="I14" s="364">
        <v>134784.91434941953</v>
      </c>
      <c r="J14" s="364">
        <v>143274.98759038022</v>
      </c>
      <c r="K14" s="364">
        <v>147452.19897684464</v>
      </c>
      <c r="L14" s="364">
        <v>158738.90960037828</v>
      </c>
      <c r="M14" s="364">
        <v>155813.20163560953</v>
      </c>
      <c r="N14" s="364">
        <v>143744.2165605397</v>
      </c>
      <c r="O14" s="364">
        <v>137431.14077749813</v>
      </c>
      <c r="P14" s="364">
        <v>121925.60583477636</v>
      </c>
      <c r="Q14" s="285">
        <f t="shared" si="1"/>
        <v>1603795.9957357745</v>
      </c>
      <c r="R14" s="477"/>
      <c r="S14" s="477"/>
      <c r="T14" s="477"/>
      <c r="U14" s="477"/>
      <c r="V14" s="477"/>
      <c r="W14" s="477"/>
      <c r="X14" s="477"/>
    </row>
    <row r="15" spans="2:24">
      <c r="C15" s="252"/>
      <c r="D15" s="236">
        <f t="shared" si="0"/>
        <v>2018</v>
      </c>
      <c r="E15" s="364">
        <v>116213.28647849413</v>
      </c>
      <c r="F15" s="364">
        <v>113462.86526026356</v>
      </c>
      <c r="G15" s="364">
        <v>120728.56125122526</v>
      </c>
      <c r="H15" s="364">
        <v>114567.84178138559</v>
      </c>
      <c r="I15" s="364">
        <v>136055.34669578206</v>
      </c>
      <c r="J15" s="364">
        <v>144625.44420147865</v>
      </c>
      <c r="K15" s="364">
        <v>148842.02842494476</v>
      </c>
      <c r="L15" s="364">
        <v>161233.76132012784</v>
      </c>
      <c r="M15" s="364">
        <v>157281.83877726336</v>
      </c>
      <c r="N15" s="364">
        <v>145099.09594895283</v>
      </c>
      <c r="O15" s="364">
        <v>138726.51546749208</v>
      </c>
      <c r="P15" s="364">
        <v>123074.83113383905</v>
      </c>
      <c r="Q15" s="285">
        <f t="shared" si="1"/>
        <v>1619911.4167412492</v>
      </c>
      <c r="R15" s="477"/>
      <c r="S15" s="477"/>
      <c r="T15" s="477"/>
      <c r="U15" s="477"/>
      <c r="V15" s="477"/>
      <c r="W15" s="477"/>
      <c r="X15" s="477"/>
    </row>
    <row r="16" spans="2:24">
      <c r="C16" s="252"/>
      <c r="D16" s="236">
        <f t="shared" si="0"/>
        <v>2019</v>
      </c>
      <c r="E16" s="364">
        <v>117308.6695852165</v>
      </c>
      <c r="F16" s="364">
        <v>114532.32392211292</v>
      </c>
      <c r="G16" s="364">
        <v>121866.50365437689</v>
      </c>
      <c r="H16" s="364">
        <v>115647.71553991832</v>
      </c>
      <c r="I16" s="364">
        <v>137337.75366374431</v>
      </c>
      <c r="J16" s="364">
        <v>145988.62971305815</v>
      </c>
      <c r="K16" s="364">
        <v>150244.95788720675</v>
      </c>
      <c r="L16" s="364">
        <v>162753.93188071551</v>
      </c>
      <c r="M16" s="364">
        <v>158764.31874501408</v>
      </c>
      <c r="N16" s="364">
        <v>146466.74592529683</v>
      </c>
      <c r="O16" s="364">
        <v>140034.0998763167</v>
      </c>
      <c r="P16" s="364">
        <v>124234.88860206721</v>
      </c>
      <c r="Q16" s="285">
        <f t="shared" si="1"/>
        <v>1635180.5389950443</v>
      </c>
    </row>
    <row r="17" spans="2:17">
      <c r="C17" s="252"/>
      <c r="D17" s="236">
        <f t="shared" si="0"/>
        <v>2020</v>
      </c>
      <c r="E17" s="364">
        <v>118414.37736467509</v>
      </c>
      <c r="F17" s="364">
        <v>115611.86290254742</v>
      </c>
      <c r="G17" s="364">
        <v>123015.17187832414</v>
      </c>
      <c r="H17" s="364">
        <v>116737.76778585408</v>
      </c>
      <c r="I17" s="364">
        <v>138632.24812162461</v>
      </c>
      <c r="J17" s="364">
        <v>147364.66410298843</v>
      </c>
      <c r="K17" s="364">
        <v>151661.11083947966</v>
      </c>
      <c r="L17" s="364">
        <v>164287.77128385176</v>
      </c>
      <c r="M17" s="364">
        <v>160260.77201617902</v>
      </c>
      <c r="N17" s="364">
        <v>147847.28686037185</v>
      </c>
      <c r="O17" s="364">
        <v>141354.00908822921</v>
      </c>
      <c r="P17" s="364">
        <v>125405.88033944847</v>
      </c>
      <c r="Q17" s="285">
        <f t="shared" ref="Q17" si="2">SUM(E17:P17)</f>
        <v>1650592.9225835737</v>
      </c>
    </row>
    <row r="18" spans="2:17">
      <c r="B18" s="335"/>
      <c r="C18" s="252"/>
      <c r="D18" s="237"/>
      <c r="E18" s="237"/>
      <c r="F18" s="237"/>
      <c r="G18" s="237"/>
      <c r="H18" s="237"/>
      <c r="Q18" s="285">
        <f>SUM(Q11:Q17)</f>
        <v>11174893.638663141</v>
      </c>
    </row>
    <row r="19" spans="2:17">
      <c r="C19" s="359" t="s">
        <v>210</v>
      </c>
      <c r="D19" s="358" t="s">
        <v>261</v>
      </c>
      <c r="E19" s="237"/>
      <c r="F19" s="237"/>
      <c r="G19" s="237"/>
      <c r="H19" s="237"/>
    </row>
    <row r="20" spans="2:17">
      <c r="C20" s="359"/>
      <c r="D20" s="358"/>
      <c r="E20" s="237"/>
      <c r="F20" s="237"/>
      <c r="G20" s="237"/>
      <c r="H20" s="237"/>
    </row>
    <row r="21" spans="2:17">
      <c r="C21" s="252"/>
      <c r="D21" s="237"/>
      <c r="E21" s="237"/>
      <c r="F21" s="237"/>
      <c r="G21" s="237"/>
      <c r="H21" s="237"/>
    </row>
    <row r="22" spans="2:17">
      <c r="C22" s="252"/>
      <c r="D22" s="237"/>
      <c r="E22" s="237"/>
      <c r="F22" s="237"/>
      <c r="G22" s="237"/>
      <c r="H22" s="237"/>
    </row>
    <row r="23" spans="2:17">
      <c r="C23" s="252"/>
      <c r="D23" s="237"/>
      <c r="E23" s="237"/>
      <c r="F23" s="237"/>
      <c r="G23" s="237"/>
      <c r="H23" s="237"/>
    </row>
    <row r="24" spans="2:17">
      <c r="C24" s="252"/>
      <c r="D24" s="237"/>
      <c r="E24" s="237"/>
      <c r="F24" s="237"/>
      <c r="G24" s="237"/>
      <c r="H24" s="237"/>
    </row>
    <row r="25" spans="2:17">
      <c r="C25" s="252"/>
      <c r="D25" s="237"/>
      <c r="E25" s="237"/>
      <c r="F25" s="237"/>
      <c r="G25" s="237"/>
      <c r="H25" s="237"/>
    </row>
    <row r="26" spans="2:17">
      <c r="C26" s="252"/>
      <c r="D26" s="237"/>
      <c r="E26" s="237"/>
      <c r="F26" s="237"/>
      <c r="G26" s="237"/>
      <c r="H26" s="237"/>
    </row>
    <row r="28" spans="2:17">
      <c r="C28" s="252"/>
      <c r="D28" s="237"/>
      <c r="E28" s="237"/>
      <c r="F28" s="237"/>
      <c r="G28" s="237"/>
      <c r="H28" s="237"/>
    </row>
    <row r="29" spans="2:17">
      <c r="C29" s="252"/>
      <c r="D29" s="237"/>
      <c r="E29" s="237"/>
      <c r="F29" s="237"/>
      <c r="G29" s="237"/>
      <c r="H29" s="237"/>
    </row>
    <row r="30" spans="2:17">
      <c r="C30" s="252"/>
      <c r="D30" s="237"/>
      <c r="E30" s="237"/>
      <c r="F30" s="237"/>
      <c r="G30" s="237"/>
      <c r="H30" s="237"/>
    </row>
    <row r="31" spans="2:17">
      <c r="C31" s="252"/>
      <c r="D31" s="237"/>
      <c r="E31" s="237"/>
      <c r="F31" s="237"/>
      <c r="G31" s="237"/>
      <c r="H31" s="237"/>
    </row>
    <row r="32" spans="2:17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6" spans="3:8">
      <c r="C36" s="252"/>
      <c r="D36" s="237"/>
      <c r="E36" s="237"/>
      <c r="F36" s="237"/>
      <c r="G36" s="237"/>
      <c r="H36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  <row r="49" spans="3:8">
      <c r="C49" s="252"/>
      <c r="D49" s="237"/>
      <c r="E49" s="237"/>
      <c r="F49" s="237"/>
      <c r="G49" s="237"/>
      <c r="H49" s="237"/>
    </row>
    <row r="50" spans="3:8">
      <c r="C50" s="252"/>
      <c r="D50" s="237"/>
      <c r="E50" s="237"/>
      <c r="F50" s="237"/>
      <c r="G50" s="237"/>
      <c r="H50" s="237"/>
    </row>
    <row r="51" spans="3:8">
      <c r="C51" s="252"/>
      <c r="D51" s="237"/>
      <c r="E51" s="237"/>
      <c r="F51" s="237"/>
      <c r="G51" s="237"/>
      <c r="H51" s="237"/>
    </row>
    <row r="52" spans="3:8">
      <c r="C52" s="252"/>
      <c r="D52" s="237"/>
      <c r="E52" s="237"/>
      <c r="F52" s="237"/>
      <c r="G52" s="237"/>
      <c r="H52" s="237"/>
    </row>
  </sheetData>
  <hyperlinks>
    <hyperlink ref="D19" r:id="rId1"/>
  </hyperlinks>
  <pageMargins left="0.7" right="0.7" top="0.75" bottom="0.75" header="0.3" footer="0.3"/>
  <pageSetup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3"/>
  <sheetViews>
    <sheetView zoomScaleNormal="100" zoomScaleSheetLayoutView="100" workbookViewId="0">
      <selection activeCell="A2" sqref="A1: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6384" width="9" style="21"/>
  </cols>
  <sheetData>
    <row r="1" spans="1:16">
      <c r="A1" s="481" t="s">
        <v>483</v>
      </c>
    </row>
    <row r="2" spans="1:16">
      <c r="A2" s="481" t="s">
        <v>458</v>
      </c>
    </row>
    <row r="3" spans="1:16" s="15" customFormat="1" ht="13.8">
      <c r="A3" s="243"/>
      <c r="B3" s="13">
        <f ca="1">TRUNC(NOW())</f>
        <v>42476</v>
      </c>
      <c r="C3" s="14"/>
      <c r="D3" s="16" t="s">
        <v>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4"/>
      <c r="B4" s="17">
        <f ca="1">NOW()</f>
        <v>42476.370215393516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15" customFormat="1" ht="13.8">
      <c r="A5" s="245" t="s">
        <v>189</v>
      </c>
      <c r="B5" s="14"/>
      <c r="C5" s="14"/>
      <c r="D5" s="14"/>
      <c r="G5" s="14"/>
      <c r="H5" s="14"/>
      <c r="I5" s="14"/>
      <c r="J5" s="14"/>
      <c r="K5" s="14"/>
      <c r="L5" s="14"/>
      <c r="M5" s="14"/>
      <c r="O5" s="14"/>
      <c r="P5" s="14"/>
    </row>
    <row r="6" spans="1:16" s="15" customFormat="1" ht="13.8">
      <c r="A6" s="246"/>
      <c r="B6" s="238">
        <v>1</v>
      </c>
      <c r="C6" s="238">
        <f>1+B6</f>
        <v>2</v>
      </c>
      <c r="D6" s="238">
        <f t="shared" ref="D6:M6" si="0">1+C6</f>
        <v>3</v>
      </c>
      <c r="E6" s="238">
        <f t="shared" si="0"/>
        <v>4</v>
      </c>
      <c r="F6" s="238">
        <f t="shared" si="0"/>
        <v>5</v>
      </c>
      <c r="G6" s="238">
        <f t="shared" si="0"/>
        <v>6</v>
      </c>
      <c r="H6" s="238">
        <f t="shared" si="0"/>
        <v>7</v>
      </c>
      <c r="I6" s="238">
        <f t="shared" si="0"/>
        <v>8</v>
      </c>
      <c r="J6" s="238">
        <f t="shared" si="0"/>
        <v>9</v>
      </c>
      <c r="K6" s="238">
        <f t="shared" si="0"/>
        <v>10</v>
      </c>
      <c r="L6" s="238">
        <f t="shared" si="0"/>
        <v>11</v>
      </c>
      <c r="M6" s="238">
        <f t="shared" si="0"/>
        <v>12</v>
      </c>
    </row>
    <row r="7" spans="1:16" s="19" customFormat="1" ht="10.199999999999999">
      <c r="A7" s="246"/>
      <c r="B7" s="23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6</v>
      </c>
      <c r="I7" s="23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 t="s">
        <v>12</v>
      </c>
    </row>
    <row r="8" spans="1:16" s="19" customFormat="1" ht="10.199999999999999">
      <c r="A8" s="247"/>
    </row>
    <row r="9" spans="1:16" s="19" customFormat="1" ht="10.199999999999999">
      <c r="A9" s="24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6">
      <c r="B10" s="23" t="s">
        <v>0</v>
      </c>
      <c r="C10" s="23" t="s">
        <v>1</v>
      </c>
      <c r="D10" s="23" t="s">
        <v>2</v>
      </c>
      <c r="E10" s="23" t="s">
        <v>3</v>
      </c>
      <c r="F10" s="23" t="s">
        <v>4</v>
      </c>
      <c r="G10" s="23" t="s">
        <v>5</v>
      </c>
      <c r="H10" s="23" t="s">
        <v>6</v>
      </c>
      <c r="I10" s="23" t="s">
        <v>7</v>
      </c>
      <c r="J10" s="23" t="s">
        <v>8</v>
      </c>
      <c r="K10" s="23" t="s">
        <v>9</v>
      </c>
      <c r="L10" s="23" t="s">
        <v>10</v>
      </c>
      <c r="M10" s="23" t="s">
        <v>11</v>
      </c>
      <c r="N10" s="23" t="s">
        <v>12</v>
      </c>
    </row>
    <row r="11" spans="1:16">
      <c r="A11" s="248">
        <v>2014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6">
      <c r="A12" s="247" t="s">
        <v>37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6">
      <c r="A13" s="249" t="s">
        <v>47</v>
      </c>
      <c r="B13" s="232">
        <f>'Wauchula Forecast'!E10</f>
        <v>9000</v>
      </c>
      <c r="C13" s="232">
        <f>'Wauchula Forecast'!F10</f>
        <v>12000</v>
      </c>
      <c r="D13" s="232">
        <f>'Wauchula Forecast'!G10</f>
        <v>9000</v>
      </c>
      <c r="E13" s="232">
        <f>'Wauchula Forecast'!H10</f>
        <v>8000</v>
      </c>
      <c r="F13" s="232">
        <f>'Wauchula Forecast'!I10</f>
        <v>12000</v>
      </c>
      <c r="G13" s="232">
        <f>'Wauchula Forecast'!J10</f>
        <v>13000</v>
      </c>
      <c r="H13" s="232">
        <f>'Wauchula Forecast'!K10</f>
        <v>13000</v>
      </c>
      <c r="I13" s="232">
        <f>'Wauchula Forecast'!L10</f>
        <v>13000</v>
      </c>
      <c r="J13" s="232">
        <f>'Wauchula Forecast'!M10</f>
        <v>14000</v>
      </c>
      <c r="K13" s="232">
        <f>'Wauchula Forecast'!N10</f>
        <v>12000</v>
      </c>
      <c r="L13" s="232">
        <f>'Wauchula Forecast'!O10</f>
        <v>12000</v>
      </c>
      <c r="M13" s="232">
        <f>'Wauchula Forecast'!P10</f>
        <v>9000</v>
      </c>
      <c r="N13" s="20">
        <f>SUM(B13:M13)</f>
        <v>136000</v>
      </c>
    </row>
    <row r="14" spans="1:16">
      <c r="A14" s="249" t="s">
        <v>45</v>
      </c>
      <c r="B14" s="27">
        <f>ROUND(B13*'Transmission Formula Rate (7)'!$B$27,0)</f>
        <v>167</v>
      </c>
      <c r="C14" s="27">
        <f>ROUND(C13*'Transmission Formula Rate (7)'!$B$27,0)</f>
        <v>222</v>
      </c>
      <c r="D14" s="27">
        <f>ROUND(D13*'Transmission Formula Rate (7)'!$B$27,0)</f>
        <v>167</v>
      </c>
      <c r="E14" s="27">
        <f>ROUND(E13*'Transmission Formula Rate (7)'!$B$27,0)</f>
        <v>148</v>
      </c>
      <c r="F14" s="27">
        <f>ROUND(F13*'Transmission Formula Rate (7)'!$B$27,0)</f>
        <v>222</v>
      </c>
      <c r="G14" s="27">
        <f>ROUND(G13*'Transmission Formula Rate (7)'!$B$27,0)</f>
        <v>241</v>
      </c>
      <c r="H14" s="27">
        <f>ROUND(H13*'Transmission Formula Rate (7)'!$B$27,0)</f>
        <v>241</v>
      </c>
      <c r="I14" s="27">
        <f>ROUND(I13*'Transmission Formula Rate (7)'!$B$27,0)</f>
        <v>241</v>
      </c>
      <c r="J14" s="27">
        <f>ROUND(J13*'Transmission Formula Rate (7)'!$B$27,0)</f>
        <v>259</v>
      </c>
      <c r="K14" s="27">
        <f>ROUND(K13*'Transmission Formula Rate (7)'!$B$27,0)</f>
        <v>222</v>
      </c>
      <c r="L14" s="27">
        <f>ROUND(L13*'Transmission Formula Rate (7)'!$B$27,0)</f>
        <v>222</v>
      </c>
      <c r="M14" s="27">
        <f>ROUND(M13*'Transmission Formula Rate (7)'!$B$27,0)</f>
        <v>167</v>
      </c>
      <c r="N14" s="20">
        <f>SUM(B14:M14)</f>
        <v>2519</v>
      </c>
    </row>
    <row r="15" spans="1:16">
      <c r="A15" s="249" t="s">
        <v>198</v>
      </c>
      <c r="B15" s="27">
        <f t="shared" ref="B15:M15" si="1">B13+B14</f>
        <v>9167</v>
      </c>
      <c r="C15" s="27">
        <f t="shared" si="1"/>
        <v>12222</v>
      </c>
      <c r="D15" s="27">
        <f t="shared" si="1"/>
        <v>9167</v>
      </c>
      <c r="E15" s="27">
        <f t="shared" si="1"/>
        <v>8148</v>
      </c>
      <c r="F15" s="27">
        <f t="shared" si="1"/>
        <v>12222</v>
      </c>
      <c r="G15" s="27">
        <f t="shared" si="1"/>
        <v>13241</v>
      </c>
      <c r="H15" s="27">
        <f t="shared" si="1"/>
        <v>13241</v>
      </c>
      <c r="I15" s="27">
        <f t="shared" si="1"/>
        <v>13241</v>
      </c>
      <c r="J15" s="27">
        <f t="shared" si="1"/>
        <v>14259</v>
      </c>
      <c r="K15" s="27">
        <f t="shared" si="1"/>
        <v>12222</v>
      </c>
      <c r="L15" s="27">
        <f t="shared" si="1"/>
        <v>12222</v>
      </c>
      <c r="M15" s="27">
        <f t="shared" si="1"/>
        <v>9167</v>
      </c>
      <c r="N15" s="123">
        <f>SUM(B15:M15)</f>
        <v>138519</v>
      </c>
    </row>
    <row r="16" spans="1:16">
      <c r="A16" s="247" t="s">
        <v>20</v>
      </c>
      <c r="B16" s="29">
        <f>'Transmission Formula Rate (7)'!B8</f>
        <v>1.59</v>
      </c>
      <c r="C16" s="29">
        <f>'Transmission Formula Rate (7)'!C8</f>
        <v>1.59</v>
      </c>
      <c r="D16" s="29">
        <f>'Transmission Formula Rate (7)'!D8</f>
        <v>1.59</v>
      </c>
      <c r="E16" s="29">
        <f>'Transmission Formula Rate (7)'!E8</f>
        <v>1.59</v>
      </c>
      <c r="F16" s="29">
        <f>'Transmission Formula Rate (7)'!F8</f>
        <v>1.59</v>
      </c>
      <c r="G16" s="29">
        <f>'Transmission Formula Rate (7)'!G8</f>
        <v>1.59</v>
      </c>
      <c r="H16" s="29">
        <f>'Transmission Formula Rate (7)'!H8</f>
        <v>1.59</v>
      </c>
      <c r="I16" s="29">
        <f>'Transmission Formula Rate (7)'!I8</f>
        <v>1.59</v>
      </c>
      <c r="J16" s="29">
        <f>'Transmission Formula Rate (7)'!J8</f>
        <v>1.59</v>
      </c>
      <c r="K16" s="29">
        <f>'Transmission Formula Rate (7)'!K8</f>
        <v>1.59</v>
      </c>
      <c r="L16" s="29">
        <f>'Transmission Formula Rate (7)'!L8</f>
        <v>1.59</v>
      </c>
      <c r="M16" s="29">
        <f>'Transmission Formula Rate (7)'!M8</f>
        <v>1.59</v>
      </c>
      <c r="N16" s="19"/>
    </row>
    <row r="17" spans="1:14">
      <c r="A17" s="247" t="s">
        <v>17</v>
      </c>
      <c r="B17" s="20">
        <f t="shared" ref="B17:M17" si="2">B15*B16</f>
        <v>14575.53</v>
      </c>
      <c r="C17" s="20">
        <f t="shared" si="2"/>
        <v>19432.98</v>
      </c>
      <c r="D17" s="20">
        <f t="shared" si="2"/>
        <v>14575.53</v>
      </c>
      <c r="E17" s="20">
        <f t="shared" si="2"/>
        <v>12955.320000000002</v>
      </c>
      <c r="F17" s="20">
        <f t="shared" si="2"/>
        <v>19432.98</v>
      </c>
      <c r="G17" s="20">
        <f t="shared" si="2"/>
        <v>21053.190000000002</v>
      </c>
      <c r="H17" s="20">
        <f t="shared" si="2"/>
        <v>21053.190000000002</v>
      </c>
      <c r="I17" s="20">
        <f t="shared" si="2"/>
        <v>21053.190000000002</v>
      </c>
      <c r="J17" s="20">
        <f t="shared" si="2"/>
        <v>22671.81</v>
      </c>
      <c r="K17" s="20">
        <f t="shared" si="2"/>
        <v>19432.98</v>
      </c>
      <c r="L17" s="20">
        <f t="shared" si="2"/>
        <v>19432.98</v>
      </c>
      <c r="M17" s="20">
        <f t="shared" si="2"/>
        <v>14575.53</v>
      </c>
      <c r="N17" s="20">
        <f>SUM(B17:M17)</f>
        <v>220245.21000000002</v>
      </c>
    </row>
    <row r="18" spans="1:14">
      <c r="A18" s="248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>
      <c r="A19" s="247" t="s">
        <v>135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249" t="s">
        <v>47</v>
      </c>
      <c r="B20" s="232">
        <f>B13</f>
        <v>9000</v>
      </c>
      <c r="C20" s="232">
        <f t="shared" ref="C20:M20" si="3">C13</f>
        <v>12000</v>
      </c>
      <c r="D20" s="232">
        <f t="shared" si="3"/>
        <v>9000</v>
      </c>
      <c r="E20" s="232">
        <f t="shared" si="3"/>
        <v>8000</v>
      </c>
      <c r="F20" s="232">
        <f t="shared" si="3"/>
        <v>12000</v>
      </c>
      <c r="G20" s="232">
        <f t="shared" si="3"/>
        <v>13000</v>
      </c>
      <c r="H20" s="232">
        <f t="shared" si="3"/>
        <v>13000</v>
      </c>
      <c r="I20" s="232">
        <f t="shared" si="3"/>
        <v>13000</v>
      </c>
      <c r="J20" s="232">
        <f t="shared" si="3"/>
        <v>14000</v>
      </c>
      <c r="K20" s="232">
        <f t="shared" si="3"/>
        <v>12000</v>
      </c>
      <c r="L20" s="232">
        <f t="shared" si="3"/>
        <v>12000</v>
      </c>
      <c r="M20" s="232">
        <f t="shared" si="3"/>
        <v>9000</v>
      </c>
      <c r="N20" s="20">
        <f>SUM(B20:M20)</f>
        <v>136000</v>
      </c>
    </row>
    <row r="21" spans="1:14">
      <c r="A21" s="249" t="s">
        <v>45</v>
      </c>
      <c r="B21" s="27">
        <f>ROUND(B20*'Transmission Formula Rate (7)'!$B$27,0)</f>
        <v>167</v>
      </c>
      <c r="C21" s="27">
        <f>ROUND(C20*'Transmission Formula Rate (7)'!$B$27,0)</f>
        <v>222</v>
      </c>
      <c r="D21" s="27">
        <f>ROUND(D20*'Transmission Formula Rate (7)'!$B$27,0)</f>
        <v>167</v>
      </c>
      <c r="E21" s="27">
        <f>ROUND(E20*'Transmission Formula Rate (7)'!$B$27,0)</f>
        <v>148</v>
      </c>
      <c r="F21" s="27">
        <f>ROUND(F20*'Transmission Formula Rate (7)'!$B$27,0)</f>
        <v>222</v>
      </c>
      <c r="G21" s="27">
        <f>ROUND(G20*'Transmission Formula Rate (7)'!$B$27,0)</f>
        <v>241</v>
      </c>
      <c r="H21" s="27">
        <f>ROUND(H20*'Transmission Formula Rate (7)'!$B$27,0)</f>
        <v>241</v>
      </c>
      <c r="I21" s="27">
        <f>ROUND(I20*'Transmission Formula Rate (7)'!$B$27,0)</f>
        <v>241</v>
      </c>
      <c r="J21" s="27">
        <f>ROUND(J20*'Transmission Formula Rate (7)'!$B$27,0)</f>
        <v>259</v>
      </c>
      <c r="K21" s="27">
        <f>ROUND(K20*'Transmission Formula Rate (7)'!$B$27,0)</f>
        <v>222</v>
      </c>
      <c r="L21" s="27">
        <f>ROUND(L20*'Transmission Formula Rate (7)'!$B$27,0)</f>
        <v>222</v>
      </c>
      <c r="M21" s="27">
        <f>ROUND(M20*'Transmission Formula Rate (7)'!$B$27,0)</f>
        <v>167</v>
      </c>
      <c r="N21" s="20">
        <f>SUM(B21:M21)</f>
        <v>2519</v>
      </c>
    </row>
    <row r="22" spans="1:14">
      <c r="A22" s="249" t="s">
        <v>198</v>
      </c>
      <c r="B22" s="27">
        <f>B20+B21</f>
        <v>9167</v>
      </c>
      <c r="C22" s="27">
        <f t="shared" ref="C22:M22" si="4">C20+C21</f>
        <v>12222</v>
      </c>
      <c r="D22" s="27">
        <f t="shared" si="4"/>
        <v>9167</v>
      </c>
      <c r="E22" s="27">
        <f t="shared" si="4"/>
        <v>8148</v>
      </c>
      <c r="F22" s="27">
        <f t="shared" si="4"/>
        <v>12222</v>
      </c>
      <c r="G22" s="27">
        <f t="shared" si="4"/>
        <v>13241</v>
      </c>
      <c r="H22" s="27">
        <f t="shared" si="4"/>
        <v>13241</v>
      </c>
      <c r="I22" s="27">
        <f t="shared" si="4"/>
        <v>13241</v>
      </c>
      <c r="J22" s="27">
        <f t="shared" si="4"/>
        <v>14259</v>
      </c>
      <c r="K22" s="27">
        <f t="shared" si="4"/>
        <v>12222</v>
      </c>
      <c r="L22" s="27">
        <f t="shared" si="4"/>
        <v>12222</v>
      </c>
      <c r="M22" s="27">
        <f t="shared" si="4"/>
        <v>9167</v>
      </c>
      <c r="N22" s="123">
        <f>SUM(B22:M22)</f>
        <v>138519</v>
      </c>
    </row>
    <row r="23" spans="1:14">
      <c r="A23" s="247" t="s">
        <v>143</v>
      </c>
      <c r="B23" s="31">
        <f>'charges (1 &amp; 2)'!E32</f>
        <v>1.274E-2</v>
      </c>
      <c r="C23" s="31">
        <f>B23</f>
        <v>1.274E-2</v>
      </c>
      <c r="D23" s="31">
        <f t="shared" ref="D23:M23" si="5">C23</f>
        <v>1.274E-2</v>
      </c>
      <c r="E23" s="31">
        <f t="shared" si="5"/>
        <v>1.274E-2</v>
      </c>
      <c r="F23" s="31">
        <f t="shared" si="5"/>
        <v>1.274E-2</v>
      </c>
      <c r="G23" s="31">
        <f t="shared" si="5"/>
        <v>1.274E-2</v>
      </c>
      <c r="H23" s="31">
        <f t="shared" si="5"/>
        <v>1.274E-2</v>
      </c>
      <c r="I23" s="31">
        <f t="shared" si="5"/>
        <v>1.274E-2</v>
      </c>
      <c r="J23" s="31">
        <f t="shared" si="5"/>
        <v>1.274E-2</v>
      </c>
      <c r="K23" s="31">
        <f t="shared" si="5"/>
        <v>1.274E-2</v>
      </c>
      <c r="L23" s="31">
        <f t="shared" si="5"/>
        <v>1.274E-2</v>
      </c>
      <c r="M23" s="31">
        <f t="shared" si="5"/>
        <v>1.274E-2</v>
      </c>
      <c r="N23" s="19"/>
    </row>
    <row r="24" spans="1:14">
      <c r="A24" s="247" t="s">
        <v>17</v>
      </c>
      <c r="B24" s="20">
        <f t="shared" ref="B24:M24" si="6">B22*B23</f>
        <v>116.78757999999999</v>
      </c>
      <c r="C24" s="20">
        <f t="shared" si="6"/>
        <v>155.70828</v>
      </c>
      <c r="D24" s="20">
        <f t="shared" si="6"/>
        <v>116.78757999999999</v>
      </c>
      <c r="E24" s="20">
        <f t="shared" si="6"/>
        <v>103.80552</v>
      </c>
      <c r="F24" s="20">
        <f t="shared" si="6"/>
        <v>155.70828</v>
      </c>
      <c r="G24" s="20">
        <f t="shared" si="6"/>
        <v>168.69033999999999</v>
      </c>
      <c r="H24" s="20">
        <f t="shared" si="6"/>
        <v>168.69033999999999</v>
      </c>
      <c r="I24" s="20">
        <f t="shared" si="6"/>
        <v>168.69033999999999</v>
      </c>
      <c r="J24" s="20">
        <f t="shared" si="6"/>
        <v>181.65966</v>
      </c>
      <c r="K24" s="20">
        <f t="shared" si="6"/>
        <v>155.70828</v>
      </c>
      <c r="L24" s="20">
        <f t="shared" si="6"/>
        <v>155.70828</v>
      </c>
      <c r="M24" s="20">
        <f t="shared" si="6"/>
        <v>116.78757999999999</v>
      </c>
      <c r="N24" s="20">
        <f>SUM(B24:M24)</f>
        <v>1764.73206</v>
      </c>
    </row>
    <row r="25" spans="1:14">
      <c r="A25" s="25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>
      <c r="A26" s="25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B27" s="23" t="s">
        <v>0</v>
      </c>
      <c r="C27" s="23" t="s">
        <v>1</v>
      </c>
      <c r="D27" s="23" t="s">
        <v>2</v>
      </c>
      <c r="E27" s="23" t="s">
        <v>3</v>
      </c>
      <c r="F27" s="23" t="s">
        <v>4</v>
      </c>
      <c r="G27" s="23" t="s">
        <v>5</v>
      </c>
      <c r="H27" s="23" t="s">
        <v>6</v>
      </c>
      <c r="I27" s="23" t="s">
        <v>7</v>
      </c>
      <c r="J27" s="23" t="s">
        <v>8</v>
      </c>
      <c r="K27" s="23" t="s">
        <v>9</v>
      </c>
      <c r="L27" s="23" t="s">
        <v>10</v>
      </c>
      <c r="M27" s="23" t="s">
        <v>11</v>
      </c>
      <c r="N27" s="23" t="s">
        <v>12</v>
      </c>
    </row>
    <row r="28" spans="1:14">
      <c r="A28" s="248">
        <f>+A11+1</f>
        <v>2015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>
      <c r="A29" s="247" t="s">
        <v>37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249" t="s">
        <v>198</v>
      </c>
      <c r="B30" s="232">
        <f>'Wauchula Forecast'!E11</f>
        <v>9000</v>
      </c>
      <c r="C30" s="232">
        <f>'Wauchula Forecast'!F11</f>
        <v>8000</v>
      </c>
      <c r="D30" s="232">
        <f>'Wauchula Forecast'!G11</f>
        <v>13000</v>
      </c>
      <c r="E30" s="232">
        <f>'Wauchula Forecast'!H11</f>
        <v>10000</v>
      </c>
      <c r="F30" s="232">
        <f>'Wauchula Forecast'!I11</f>
        <v>11000</v>
      </c>
      <c r="G30" s="232">
        <f>'Wauchula Forecast'!J11</f>
        <v>12000</v>
      </c>
      <c r="H30" s="232">
        <f>'Wauchula Forecast'!K11</f>
        <v>13000</v>
      </c>
      <c r="I30" s="232">
        <f>'Wauchula Forecast'!L11</f>
        <v>12000</v>
      </c>
      <c r="J30" s="232">
        <f>'Wauchula Forecast'!M11</f>
        <v>13000</v>
      </c>
      <c r="K30" s="232">
        <f>'Wauchula Forecast'!N11</f>
        <v>13000</v>
      </c>
      <c r="L30" s="232">
        <f>'Wauchula Forecast'!O11</f>
        <v>13000</v>
      </c>
      <c r="M30" s="232">
        <f>'Wauchula Forecast'!P11</f>
        <v>13000</v>
      </c>
      <c r="N30" s="20">
        <f>SUM(B30:M30)</f>
        <v>140000</v>
      </c>
    </row>
    <row r="31" spans="1:14">
      <c r="A31" s="249" t="s">
        <v>45</v>
      </c>
      <c r="B31" s="27">
        <f>B30-B32</f>
        <v>163.4756995581738</v>
      </c>
      <c r="C31" s="27">
        <f t="shared" ref="C31:M31" si="7">C30-C32</f>
        <v>145.31173294059863</v>
      </c>
      <c r="D31" s="27">
        <f t="shared" si="7"/>
        <v>236.13156602847266</v>
      </c>
      <c r="E31" s="27">
        <f t="shared" si="7"/>
        <v>181.63966617574806</v>
      </c>
      <c r="F31" s="27">
        <f t="shared" si="7"/>
        <v>199.80363279332232</v>
      </c>
      <c r="G31" s="27">
        <f t="shared" si="7"/>
        <v>217.9675994108984</v>
      </c>
      <c r="H31" s="27">
        <f t="shared" si="7"/>
        <v>236.13156602847266</v>
      </c>
      <c r="I31" s="27">
        <f t="shared" si="7"/>
        <v>217.9675994108984</v>
      </c>
      <c r="J31" s="27">
        <f t="shared" si="7"/>
        <v>236.13156602847266</v>
      </c>
      <c r="K31" s="27">
        <f t="shared" si="7"/>
        <v>236.13156602847266</v>
      </c>
      <c r="L31" s="27">
        <f t="shared" si="7"/>
        <v>236.13156602847266</v>
      </c>
      <c r="M31" s="27">
        <f t="shared" si="7"/>
        <v>236.13156602847266</v>
      </c>
      <c r="N31" s="20">
        <f>SUM(B31:M31)</f>
        <v>2542.9553264604756</v>
      </c>
    </row>
    <row r="32" spans="1:14">
      <c r="A32" s="249" t="s">
        <v>47</v>
      </c>
      <c r="B32" s="27">
        <f>B30/(1+'Transmission Formula Rate (7)'!$B$27)</f>
        <v>8836.5243004418262</v>
      </c>
      <c r="C32" s="27">
        <f>C30/(1+'Transmission Formula Rate (7)'!$B$27)</f>
        <v>7854.6882670594014</v>
      </c>
      <c r="D32" s="27">
        <f>D30/(1+'Transmission Formula Rate (7)'!$B$27)</f>
        <v>12763.868433971527</v>
      </c>
      <c r="E32" s="27">
        <f>E30/(1+'Transmission Formula Rate (7)'!$B$27)</f>
        <v>9818.3603338242519</v>
      </c>
      <c r="F32" s="27">
        <f>F30/(1+'Transmission Formula Rate (7)'!$B$27)</f>
        <v>10800.196367206678</v>
      </c>
      <c r="G32" s="27">
        <f>G30/(1+'Transmission Formula Rate (7)'!$B$27)</f>
        <v>11782.032400589102</v>
      </c>
      <c r="H32" s="27">
        <f>H30/(1+'Transmission Formula Rate (7)'!$B$27)</f>
        <v>12763.868433971527</v>
      </c>
      <c r="I32" s="27">
        <f>I30/(1+'Transmission Formula Rate (7)'!$B$27)</f>
        <v>11782.032400589102</v>
      </c>
      <c r="J32" s="27">
        <f>J30/(1+'Transmission Formula Rate (7)'!$B$27)</f>
        <v>12763.868433971527</v>
      </c>
      <c r="K32" s="27">
        <f>K30/(1+'Transmission Formula Rate (7)'!$B$27)</f>
        <v>12763.868433971527</v>
      </c>
      <c r="L32" s="27">
        <f>L30/(1+'Transmission Formula Rate (7)'!$B$27)</f>
        <v>12763.868433971527</v>
      </c>
      <c r="M32" s="27">
        <f>M30/(1+'Transmission Formula Rate (7)'!$B$27)</f>
        <v>12763.868433971527</v>
      </c>
      <c r="N32" s="123">
        <f>SUM(B32:M32)</f>
        <v>137457.04467353952</v>
      </c>
    </row>
    <row r="33" spans="1:14">
      <c r="A33" s="247" t="s">
        <v>20</v>
      </c>
      <c r="B33" s="29">
        <f>'Transmission Formula Rate (7)'!B10</f>
        <v>1.59</v>
      </c>
      <c r="C33" s="29">
        <f>'Transmission Formula Rate (7)'!C10</f>
        <v>1.59</v>
      </c>
      <c r="D33" s="29">
        <f>'Transmission Formula Rate (7)'!D10</f>
        <v>1.59</v>
      </c>
      <c r="E33" s="29">
        <f>'Transmission Formula Rate (7)'!E10</f>
        <v>1.59</v>
      </c>
      <c r="F33" s="29">
        <f>'Transmission Formula Rate (7)'!F10</f>
        <v>1.59</v>
      </c>
      <c r="G33" s="29">
        <f>'Transmission Formula Rate (7)'!G10</f>
        <v>1.59</v>
      </c>
      <c r="H33" s="29">
        <f>'Transmission Formula Rate (7)'!H10</f>
        <v>1.59</v>
      </c>
      <c r="I33" s="29">
        <f>'Transmission Formula Rate (7)'!I10</f>
        <v>1.59</v>
      </c>
      <c r="J33" s="29">
        <f>'Transmission Formula Rate (7)'!J10</f>
        <v>1.59</v>
      </c>
      <c r="K33" s="29">
        <f>'Transmission Formula Rate (7)'!K10</f>
        <v>1.59</v>
      </c>
      <c r="L33" s="29">
        <f>'Transmission Formula Rate (7)'!L10</f>
        <v>1.59</v>
      </c>
      <c r="M33" s="29">
        <f>'Transmission Formula Rate (7)'!M10</f>
        <v>1.59</v>
      </c>
      <c r="N33" s="19"/>
    </row>
    <row r="34" spans="1:14">
      <c r="A34" s="247" t="s">
        <v>17</v>
      </c>
      <c r="B34" s="20">
        <f>B30*B33</f>
        <v>14310</v>
      </c>
      <c r="C34" s="20">
        <f t="shared" ref="C34:M34" si="8">C30*C33</f>
        <v>12720</v>
      </c>
      <c r="D34" s="20">
        <f t="shared" si="8"/>
        <v>20670</v>
      </c>
      <c r="E34" s="20">
        <f t="shared" si="8"/>
        <v>15900</v>
      </c>
      <c r="F34" s="20">
        <f t="shared" si="8"/>
        <v>17490</v>
      </c>
      <c r="G34" s="20">
        <f t="shared" si="8"/>
        <v>19080</v>
      </c>
      <c r="H34" s="20">
        <f t="shared" si="8"/>
        <v>20670</v>
      </c>
      <c r="I34" s="20">
        <f t="shared" si="8"/>
        <v>19080</v>
      </c>
      <c r="J34" s="20">
        <f t="shared" si="8"/>
        <v>20670</v>
      </c>
      <c r="K34" s="20">
        <f t="shared" si="8"/>
        <v>20670</v>
      </c>
      <c r="L34" s="20">
        <f t="shared" si="8"/>
        <v>20670</v>
      </c>
      <c r="M34" s="20">
        <f t="shared" si="8"/>
        <v>20670</v>
      </c>
      <c r="N34" s="20">
        <f>SUM(B34:M34)</f>
        <v>222600</v>
      </c>
    </row>
    <row r="35" spans="1:14">
      <c r="A35" s="25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>
      <c r="A36" s="247" t="s">
        <v>135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249" t="s">
        <v>198</v>
      </c>
      <c r="B37" s="232">
        <f>B30</f>
        <v>9000</v>
      </c>
      <c r="C37" s="232">
        <f t="shared" ref="C37:M37" si="9">C30</f>
        <v>8000</v>
      </c>
      <c r="D37" s="232">
        <f t="shared" si="9"/>
        <v>13000</v>
      </c>
      <c r="E37" s="232">
        <f t="shared" si="9"/>
        <v>10000</v>
      </c>
      <c r="F37" s="232">
        <f t="shared" si="9"/>
        <v>11000</v>
      </c>
      <c r="G37" s="232">
        <f t="shared" si="9"/>
        <v>12000</v>
      </c>
      <c r="H37" s="232">
        <f t="shared" si="9"/>
        <v>13000</v>
      </c>
      <c r="I37" s="232">
        <f t="shared" si="9"/>
        <v>12000</v>
      </c>
      <c r="J37" s="232">
        <f t="shared" si="9"/>
        <v>13000</v>
      </c>
      <c r="K37" s="232">
        <f t="shared" si="9"/>
        <v>13000</v>
      </c>
      <c r="L37" s="232">
        <f t="shared" si="9"/>
        <v>13000</v>
      </c>
      <c r="M37" s="232">
        <f t="shared" si="9"/>
        <v>13000</v>
      </c>
      <c r="N37" s="20">
        <f>SUM(B37:M37)</f>
        <v>140000</v>
      </c>
    </row>
    <row r="38" spans="1:14">
      <c r="A38" s="249" t="s">
        <v>45</v>
      </c>
      <c r="B38" s="27">
        <f>B37-B39</f>
        <v>163.4756995581738</v>
      </c>
      <c r="C38" s="27">
        <f t="shared" ref="C38" si="10">C37-C39</f>
        <v>145.31173294059863</v>
      </c>
      <c r="D38" s="27">
        <f t="shared" ref="D38" si="11">D37-D39</f>
        <v>236.13156602847266</v>
      </c>
      <c r="E38" s="27">
        <f t="shared" ref="E38" si="12">E37-E39</f>
        <v>181.63966617574806</v>
      </c>
      <c r="F38" s="27">
        <f t="shared" ref="F38" si="13">F37-F39</f>
        <v>199.80363279332232</v>
      </c>
      <c r="G38" s="27">
        <f t="shared" ref="G38" si="14">G37-G39</f>
        <v>217.9675994108984</v>
      </c>
      <c r="H38" s="27">
        <f t="shared" ref="H38" si="15">H37-H39</f>
        <v>236.13156602847266</v>
      </c>
      <c r="I38" s="27">
        <f t="shared" ref="I38" si="16">I37-I39</f>
        <v>217.9675994108984</v>
      </c>
      <c r="J38" s="27">
        <f t="shared" ref="J38" si="17">J37-J39</f>
        <v>236.13156602847266</v>
      </c>
      <c r="K38" s="27">
        <f t="shared" ref="K38" si="18">K37-K39</f>
        <v>236.13156602847266</v>
      </c>
      <c r="L38" s="27">
        <f t="shared" ref="L38" si="19">L37-L39</f>
        <v>236.13156602847266</v>
      </c>
      <c r="M38" s="27">
        <f t="shared" ref="M38" si="20">M37-M39</f>
        <v>236.13156602847266</v>
      </c>
      <c r="N38" s="20">
        <f>SUM(B38:M38)</f>
        <v>2542.9553264604756</v>
      </c>
    </row>
    <row r="39" spans="1:14">
      <c r="A39" s="249" t="s">
        <v>47</v>
      </c>
      <c r="B39" s="27">
        <f>B37/(1+'Transmission Formula Rate (7)'!$B$27)</f>
        <v>8836.5243004418262</v>
      </c>
      <c r="C39" s="27">
        <f>C37/(1+'Transmission Formula Rate (7)'!$B$27)</f>
        <v>7854.6882670594014</v>
      </c>
      <c r="D39" s="27">
        <f>D37/(1+'Transmission Formula Rate (7)'!$B$27)</f>
        <v>12763.868433971527</v>
      </c>
      <c r="E39" s="27">
        <f>E37/(1+'Transmission Formula Rate (7)'!$B$27)</f>
        <v>9818.3603338242519</v>
      </c>
      <c r="F39" s="27">
        <f>F37/(1+'Transmission Formula Rate (7)'!$B$27)</f>
        <v>10800.196367206678</v>
      </c>
      <c r="G39" s="27">
        <f>G37/(1+'Transmission Formula Rate (7)'!$B$27)</f>
        <v>11782.032400589102</v>
      </c>
      <c r="H39" s="27">
        <f>H37/(1+'Transmission Formula Rate (7)'!$B$27)</f>
        <v>12763.868433971527</v>
      </c>
      <c r="I39" s="27">
        <f>I37/(1+'Transmission Formula Rate (7)'!$B$27)</f>
        <v>11782.032400589102</v>
      </c>
      <c r="J39" s="27">
        <f>J37/(1+'Transmission Formula Rate (7)'!$B$27)</f>
        <v>12763.868433971527</v>
      </c>
      <c r="K39" s="27">
        <f>K37/(1+'Transmission Formula Rate (7)'!$B$27)</f>
        <v>12763.868433971527</v>
      </c>
      <c r="L39" s="27">
        <f>L37/(1+'Transmission Formula Rate (7)'!$B$27)</f>
        <v>12763.868433971527</v>
      </c>
      <c r="M39" s="27">
        <f>M37/(1+'Transmission Formula Rate (7)'!$B$27)</f>
        <v>12763.868433971527</v>
      </c>
      <c r="N39" s="123">
        <f>SUM(B39:M39)</f>
        <v>137457.04467353952</v>
      </c>
    </row>
    <row r="40" spans="1:14">
      <c r="A40" s="247" t="s">
        <v>143</v>
      </c>
      <c r="B40" s="31">
        <f>'charges (1 &amp; 2)'!F32</f>
        <v>1.274E-2</v>
      </c>
      <c r="C40" s="31">
        <f>B40</f>
        <v>1.274E-2</v>
      </c>
      <c r="D40" s="31">
        <f t="shared" ref="D40:M40" si="21">C40</f>
        <v>1.274E-2</v>
      </c>
      <c r="E40" s="31">
        <f t="shared" si="21"/>
        <v>1.274E-2</v>
      </c>
      <c r="F40" s="31">
        <f t="shared" si="21"/>
        <v>1.274E-2</v>
      </c>
      <c r="G40" s="31">
        <f t="shared" si="21"/>
        <v>1.274E-2</v>
      </c>
      <c r="H40" s="31">
        <f t="shared" si="21"/>
        <v>1.274E-2</v>
      </c>
      <c r="I40" s="31">
        <f t="shared" si="21"/>
        <v>1.274E-2</v>
      </c>
      <c r="J40" s="31">
        <f t="shared" si="21"/>
        <v>1.274E-2</v>
      </c>
      <c r="K40" s="31">
        <f t="shared" si="21"/>
        <v>1.274E-2</v>
      </c>
      <c r="L40" s="31">
        <f t="shared" si="21"/>
        <v>1.274E-2</v>
      </c>
      <c r="M40" s="31">
        <f t="shared" si="21"/>
        <v>1.274E-2</v>
      </c>
      <c r="N40" s="19"/>
    </row>
    <row r="41" spans="1:14">
      <c r="A41" s="247" t="s">
        <v>17</v>
      </c>
      <c r="B41" s="20">
        <f>B37*B40</f>
        <v>114.66</v>
      </c>
      <c r="C41" s="20">
        <f t="shared" ref="C41" si="22">C37*C40</f>
        <v>101.92</v>
      </c>
      <c r="D41" s="20">
        <f t="shared" ref="D41" si="23">D37*D40</f>
        <v>165.62</v>
      </c>
      <c r="E41" s="20">
        <f t="shared" ref="E41" si="24">E37*E40</f>
        <v>127.39999999999999</v>
      </c>
      <c r="F41" s="20">
        <f t="shared" ref="F41" si="25">F37*F40</f>
        <v>140.13999999999999</v>
      </c>
      <c r="G41" s="20">
        <f t="shared" ref="G41" si="26">G37*G40</f>
        <v>152.88</v>
      </c>
      <c r="H41" s="20">
        <f t="shared" ref="H41" si="27">H37*H40</f>
        <v>165.62</v>
      </c>
      <c r="I41" s="20">
        <f t="shared" ref="I41" si="28">I37*I40</f>
        <v>152.88</v>
      </c>
      <c r="J41" s="20">
        <f t="shared" ref="J41" si="29">J37*J40</f>
        <v>165.62</v>
      </c>
      <c r="K41" s="20">
        <f t="shared" ref="K41" si="30">K37*K40</f>
        <v>165.62</v>
      </c>
      <c r="L41" s="20">
        <f t="shared" ref="L41" si="31">L37*L40</f>
        <v>165.62</v>
      </c>
      <c r="M41" s="20">
        <f t="shared" ref="M41" si="32">M37*M40</f>
        <v>165.62</v>
      </c>
      <c r="N41" s="20">
        <f>SUM(B41:M41)</f>
        <v>1783.5999999999995</v>
      </c>
    </row>
    <row r="42" spans="1:14">
      <c r="A42" s="24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>
      <c r="A43" s="247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>
      <c r="B44" s="23" t="s">
        <v>0</v>
      </c>
      <c r="C44" s="23" t="s">
        <v>1</v>
      </c>
      <c r="D44" s="23" t="s">
        <v>2</v>
      </c>
      <c r="E44" s="23" t="s">
        <v>3</v>
      </c>
      <c r="F44" s="23" t="s">
        <v>4</v>
      </c>
      <c r="G44" s="23" t="s">
        <v>5</v>
      </c>
      <c r="H44" s="23" t="s">
        <v>6</v>
      </c>
      <c r="I44" s="23" t="s">
        <v>7</v>
      </c>
      <c r="J44" s="23" t="s">
        <v>8</v>
      </c>
      <c r="K44" s="23" t="s">
        <v>9</v>
      </c>
      <c r="L44" s="23" t="s">
        <v>10</v>
      </c>
      <c r="M44" s="23" t="s">
        <v>11</v>
      </c>
      <c r="N44" s="23" t="s">
        <v>12</v>
      </c>
    </row>
    <row r="45" spans="1:14">
      <c r="A45" s="248">
        <f>+A28+1</f>
        <v>2016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>
      <c r="A46" s="247" t="s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>
      <c r="A47" s="249" t="s">
        <v>198</v>
      </c>
      <c r="B47" s="232">
        <f>'Wauchula Forecast'!E12</f>
        <v>13000</v>
      </c>
      <c r="C47" s="232">
        <f>'Wauchula Forecast'!F12</f>
        <v>13000</v>
      </c>
      <c r="D47" s="232">
        <f>'Wauchula Forecast'!G12</f>
        <v>13000</v>
      </c>
      <c r="E47" s="232">
        <f>'Wauchula Forecast'!H12</f>
        <v>13000</v>
      </c>
      <c r="F47" s="232">
        <f>'Wauchula Forecast'!I12</f>
        <v>13000</v>
      </c>
      <c r="G47" s="232">
        <f>'Wauchula Forecast'!J12</f>
        <v>13000</v>
      </c>
      <c r="H47" s="232">
        <f>'Wauchula Forecast'!K12</f>
        <v>13000</v>
      </c>
      <c r="I47" s="232">
        <f>'Wauchula Forecast'!L12</f>
        <v>13000</v>
      </c>
      <c r="J47" s="232">
        <f>'Wauchula Forecast'!M12</f>
        <v>13000</v>
      </c>
      <c r="K47" s="232">
        <f>'Wauchula Forecast'!N12</f>
        <v>13000</v>
      </c>
      <c r="L47" s="232">
        <f>'Wauchula Forecast'!O12</f>
        <v>13000</v>
      </c>
      <c r="M47" s="232">
        <f>'Wauchula Forecast'!P12</f>
        <v>13000</v>
      </c>
      <c r="N47" s="20">
        <f>SUM(B47:M47)</f>
        <v>156000</v>
      </c>
    </row>
    <row r="48" spans="1:14">
      <c r="A48" s="249" t="s">
        <v>45</v>
      </c>
      <c r="B48" s="27">
        <f>B47-B49</f>
        <v>236.13156602847266</v>
      </c>
      <c r="C48" s="27">
        <f t="shared" ref="C48" si="33">C47-C49</f>
        <v>236.13156602847266</v>
      </c>
      <c r="D48" s="27">
        <f t="shared" ref="D48" si="34">D47-D49</f>
        <v>236.13156602847266</v>
      </c>
      <c r="E48" s="27">
        <f t="shared" ref="E48" si="35">E47-E49</f>
        <v>236.13156602847266</v>
      </c>
      <c r="F48" s="27">
        <f t="shared" ref="F48" si="36">F47-F49</f>
        <v>236.13156602847266</v>
      </c>
      <c r="G48" s="27">
        <f t="shared" ref="G48" si="37">G47-G49</f>
        <v>236.13156602847266</v>
      </c>
      <c r="H48" s="27">
        <f t="shared" ref="H48" si="38">H47-H49</f>
        <v>236.13156602847266</v>
      </c>
      <c r="I48" s="27">
        <f t="shared" ref="I48" si="39">I47-I49</f>
        <v>236.13156602847266</v>
      </c>
      <c r="J48" s="27">
        <f t="shared" ref="J48" si="40">J47-J49</f>
        <v>236.13156602847266</v>
      </c>
      <c r="K48" s="27">
        <f t="shared" ref="K48" si="41">K47-K49</f>
        <v>236.13156602847266</v>
      </c>
      <c r="L48" s="27">
        <f t="shared" ref="L48" si="42">L47-L49</f>
        <v>236.13156602847266</v>
      </c>
      <c r="M48" s="27">
        <f t="shared" ref="M48" si="43">M47-M49</f>
        <v>236.13156602847266</v>
      </c>
      <c r="N48" s="20">
        <f>SUM(B48:M48)</f>
        <v>2833.5787923416719</v>
      </c>
    </row>
    <row r="49" spans="1:14">
      <c r="A49" s="249" t="s">
        <v>47</v>
      </c>
      <c r="B49" s="27">
        <f>B47/(1+'Transmission Formula Rate (7)'!$B$27)</f>
        <v>12763.868433971527</v>
      </c>
      <c r="C49" s="27">
        <f>C47/(1+'Transmission Formula Rate (7)'!$B$27)</f>
        <v>12763.868433971527</v>
      </c>
      <c r="D49" s="27">
        <f>D47/(1+'Transmission Formula Rate (7)'!$B$27)</f>
        <v>12763.868433971527</v>
      </c>
      <c r="E49" s="27">
        <f>E47/(1+'Transmission Formula Rate (7)'!$B$27)</f>
        <v>12763.868433971527</v>
      </c>
      <c r="F49" s="27">
        <f>F47/(1+'Transmission Formula Rate (7)'!$B$27)</f>
        <v>12763.868433971527</v>
      </c>
      <c r="G49" s="27">
        <f>G47/(1+'Transmission Formula Rate (7)'!$B$27)</f>
        <v>12763.868433971527</v>
      </c>
      <c r="H49" s="27">
        <f>H47/(1+'Transmission Formula Rate (7)'!$B$27)</f>
        <v>12763.868433971527</v>
      </c>
      <c r="I49" s="27">
        <f>I47/(1+'Transmission Formula Rate (7)'!$B$27)</f>
        <v>12763.868433971527</v>
      </c>
      <c r="J49" s="27">
        <f>J47/(1+'Transmission Formula Rate (7)'!$B$27)</f>
        <v>12763.868433971527</v>
      </c>
      <c r="K49" s="27">
        <f>K47/(1+'Transmission Formula Rate (7)'!$B$27)</f>
        <v>12763.868433971527</v>
      </c>
      <c r="L49" s="27">
        <f>L47/(1+'Transmission Formula Rate (7)'!$B$27)</f>
        <v>12763.868433971527</v>
      </c>
      <c r="M49" s="27">
        <f>M47/(1+'Transmission Formula Rate (7)'!$B$27)</f>
        <v>12763.868433971527</v>
      </c>
      <c r="N49" s="123">
        <f>SUM(B49:M49)</f>
        <v>153166.42120765834</v>
      </c>
    </row>
    <row r="50" spans="1:14">
      <c r="A50" s="247" t="s">
        <v>20</v>
      </c>
      <c r="B50" s="29">
        <f>'Transmission Formula Rate (7)'!B12</f>
        <v>1.59</v>
      </c>
      <c r="C50" s="29">
        <f>'Transmission Formula Rate (7)'!C12</f>
        <v>1.59</v>
      </c>
      <c r="D50" s="29">
        <f>'Transmission Formula Rate (7)'!D12</f>
        <v>1.59</v>
      </c>
      <c r="E50" s="29">
        <f>'Transmission Formula Rate (7)'!E12</f>
        <v>1.59</v>
      </c>
      <c r="F50" s="29">
        <f>'Transmission Formula Rate (7)'!F12</f>
        <v>1.59</v>
      </c>
      <c r="G50" s="29">
        <f>'Transmission Formula Rate (7)'!G12</f>
        <v>1.59</v>
      </c>
      <c r="H50" s="29">
        <f>'Transmission Formula Rate (7)'!H12</f>
        <v>1.59</v>
      </c>
      <c r="I50" s="29">
        <f>'Transmission Formula Rate (7)'!I12</f>
        <v>1.59</v>
      </c>
      <c r="J50" s="29">
        <f>'Transmission Formula Rate (7)'!J12</f>
        <v>1.59</v>
      </c>
      <c r="K50" s="29">
        <f>'Transmission Formula Rate (7)'!K12</f>
        <v>1.59</v>
      </c>
      <c r="L50" s="29">
        <f>'Transmission Formula Rate (7)'!L12</f>
        <v>1.59</v>
      </c>
      <c r="M50" s="29">
        <f>'Transmission Formula Rate (7)'!M12</f>
        <v>1.59</v>
      </c>
      <c r="N50" s="19"/>
    </row>
    <row r="51" spans="1:14">
      <c r="A51" s="247" t="s">
        <v>17</v>
      </c>
      <c r="B51" s="20">
        <f>B47*B50</f>
        <v>20670</v>
      </c>
      <c r="C51" s="20">
        <f t="shared" ref="C51" si="44">C47*C50</f>
        <v>20670</v>
      </c>
      <c r="D51" s="20">
        <f t="shared" ref="D51" si="45">D47*D50</f>
        <v>20670</v>
      </c>
      <c r="E51" s="20">
        <f t="shared" ref="E51" si="46">E47*E50</f>
        <v>20670</v>
      </c>
      <c r="F51" s="20">
        <f t="shared" ref="F51" si="47">F47*F50</f>
        <v>20670</v>
      </c>
      <c r="G51" s="20">
        <f t="shared" ref="G51" si="48">G47*G50</f>
        <v>20670</v>
      </c>
      <c r="H51" s="20">
        <f t="shared" ref="H51" si="49">H47*H50</f>
        <v>20670</v>
      </c>
      <c r="I51" s="20">
        <f t="shared" ref="I51" si="50">I47*I50</f>
        <v>20670</v>
      </c>
      <c r="J51" s="20">
        <f t="shared" ref="J51" si="51">J47*J50</f>
        <v>20670</v>
      </c>
      <c r="K51" s="20">
        <f t="shared" ref="K51" si="52">K47*K50</f>
        <v>20670</v>
      </c>
      <c r="L51" s="20">
        <f t="shared" ref="L51" si="53">L47*L50</f>
        <v>20670</v>
      </c>
      <c r="M51" s="20">
        <f t="shared" ref="M51" si="54">M47*M50</f>
        <v>20670</v>
      </c>
      <c r="N51" s="20">
        <f>SUM(B51:M51)</f>
        <v>248040</v>
      </c>
    </row>
    <row r="53" spans="1:14">
      <c r="A53" s="247" t="s">
        <v>135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>
      <c r="A54" s="249" t="s">
        <v>198</v>
      </c>
      <c r="B54" s="232">
        <f>B47</f>
        <v>13000</v>
      </c>
      <c r="C54" s="232">
        <f t="shared" ref="C54:M54" si="55">C47</f>
        <v>13000</v>
      </c>
      <c r="D54" s="232">
        <f t="shared" si="55"/>
        <v>13000</v>
      </c>
      <c r="E54" s="232">
        <f t="shared" si="55"/>
        <v>13000</v>
      </c>
      <c r="F54" s="232">
        <f t="shared" si="55"/>
        <v>13000</v>
      </c>
      <c r="G54" s="232">
        <f t="shared" si="55"/>
        <v>13000</v>
      </c>
      <c r="H54" s="232">
        <f t="shared" si="55"/>
        <v>13000</v>
      </c>
      <c r="I54" s="232">
        <f t="shared" si="55"/>
        <v>13000</v>
      </c>
      <c r="J54" s="232">
        <f t="shared" si="55"/>
        <v>13000</v>
      </c>
      <c r="K54" s="232">
        <f t="shared" si="55"/>
        <v>13000</v>
      </c>
      <c r="L54" s="232">
        <f t="shared" si="55"/>
        <v>13000</v>
      </c>
      <c r="M54" s="232">
        <f t="shared" si="55"/>
        <v>13000</v>
      </c>
      <c r="N54" s="20">
        <f>SUM(B54:M54)</f>
        <v>156000</v>
      </c>
    </row>
    <row r="55" spans="1:14">
      <c r="A55" s="249" t="s">
        <v>45</v>
      </c>
      <c r="B55" s="27">
        <f>B54-B56</f>
        <v>236.13156602847266</v>
      </c>
      <c r="C55" s="27">
        <f t="shared" ref="C55" si="56">C54-C56</f>
        <v>236.13156602847266</v>
      </c>
      <c r="D55" s="27">
        <f t="shared" ref="D55" si="57">D54-D56</f>
        <v>236.13156602847266</v>
      </c>
      <c r="E55" s="27">
        <f t="shared" ref="E55" si="58">E54-E56</f>
        <v>236.13156602847266</v>
      </c>
      <c r="F55" s="27">
        <f t="shared" ref="F55" si="59">F54-F56</f>
        <v>236.13156602847266</v>
      </c>
      <c r="G55" s="27">
        <f t="shared" ref="G55" si="60">G54-G56</f>
        <v>236.13156602847266</v>
      </c>
      <c r="H55" s="27">
        <f t="shared" ref="H55" si="61">H54-H56</f>
        <v>236.13156602847266</v>
      </c>
      <c r="I55" s="27">
        <f t="shared" ref="I55" si="62">I54-I56</f>
        <v>236.13156602847266</v>
      </c>
      <c r="J55" s="27">
        <f t="shared" ref="J55" si="63">J54-J56</f>
        <v>236.13156602847266</v>
      </c>
      <c r="K55" s="27">
        <f t="shared" ref="K55" si="64">K54-K56</f>
        <v>236.13156602847266</v>
      </c>
      <c r="L55" s="27">
        <f t="shared" ref="L55" si="65">L54-L56</f>
        <v>236.13156602847266</v>
      </c>
      <c r="M55" s="27">
        <f t="shared" ref="M55" si="66">M54-M56</f>
        <v>236.13156602847266</v>
      </c>
      <c r="N55" s="20">
        <f>SUM(B55:M55)</f>
        <v>2833.5787923416719</v>
      </c>
    </row>
    <row r="56" spans="1:14">
      <c r="A56" s="249" t="s">
        <v>47</v>
      </c>
      <c r="B56" s="27">
        <f>B54/(1+'Transmission Formula Rate (7)'!$B$27)</f>
        <v>12763.868433971527</v>
      </c>
      <c r="C56" s="27">
        <f>C54/(1+'Transmission Formula Rate (7)'!$B$27)</f>
        <v>12763.868433971527</v>
      </c>
      <c r="D56" s="27">
        <f>D54/(1+'Transmission Formula Rate (7)'!$B$27)</f>
        <v>12763.868433971527</v>
      </c>
      <c r="E56" s="27">
        <f>E54/(1+'Transmission Formula Rate (7)'!$B$27)</f>
        <v>12763.868433971527</v>
      </c>
      <c r="F56" s="27">
        <f>F54/(1+'Transmission Formula Rate (7)'!$B$27)</f>
        <v>12763.868433971527</v>
      </c>
      <c r="G56" s="27">
        <f>G54/(1+'Transmission Formula Rate (7)'!$B$27)</f>
        <v>12763.868433971527</v>
      </c>
      <c r="H56" s="27">
        <f>H54/(1+'Transmission Formula Rate (7)'!$B$27)</f>
        <v>12763.868433971527</v>
      </c>
      <c r="I56" s="27">
        <f>I54/(1+'Transmission Formula Rate (7)'!$B$27)</f>
        <v>12763.868433971527</v>
      </c>
      <c r="J56" s="27">
        <f>J54/(1+'Transmission Formula Rate (7)'!$B$27)</f>
        <v>12763.868433971527</v>
      </c>
      <c r="K56" s="27">
        <f>K54/(1+'Transmission Formula Rate (7)'!$B$27)</f>
        <v>12763.868433971527</v>
      </c>
      <c r="L56" s="27">
        <f>L54/(1+'Transmission Formula Rate (7)'!$B$27)</f>
        <v>12763.868433971527</v>
      </c>
      <c r="M56" s="27">
        <f>M54/(1+'Transmission Formula Rate (7)'!$B$27)</f>
        <v>12763.868433971527</v>
      </c>
      <c r="N56" s="123">
        <f>SUM(B56:M56)</f>
        <v>153166.42120765834</v>
      </c>
    </row>
    <row r="57" spans="1:14">
      <c r="A57" s="247" t="s">
        <v>143</v>
      </c>
      <c r="B57" s="31">
        <f>'charges (1 &amp; 2)'!G32</f>
        <v>1.274E-2</v>
      </c>
      <c r="C57" s="31">
        <f>B57</f>
        <v>1.274E-2</v>
      </c>
      <c r="D57" s="31">
        <f t="shared" ref="D57:M57" si="67">C57</f>
        <v>1.274E-2</v>
      </c>
      <c r="E57" s="31">
        <f t="shared" si="67"/>
        <v>1.274E-2</v>
      </c>
      <c r="F57" s="31">
        <f t="shared" si="67"/>
        <v>1.274E-2</v>
      </c>
      <c r="G57" s="31">
        <f t="shared" si="67"/>
        <v>1.274E-2</v>
      </c>
      <c r="H57" s="31">
        <f t="shared" si="67"/>
        <v>1.274E-2</v>
      </c>
      <c r="I57" s="31">
        <f t="shared" si="67"/>
        <v>1.274E-2</v>
      </c>
      <c r="J57" s="31">
        <f t="shared" si="67"/>
        <v>1.274E-2</v>
      </c>
      <c r="K57" s="31">
        <f t="shared" si="67"/>
        <v>1.274E-2</v>
      </c>
      <c r="L57" s="31">
        <f t="shared" si="67"/>
        <v>1.274E-2</v>
      </c>
      <c r="M57" s="31">
        <f t="shared" si="67"/>
        <v>1.274E-2</v>
      </c>
      <c r="N57" s="19"/>
    </row>
    <row r="58" spans="1:14">
      <c r="A58" s="247" t="s">
        <v>17</v>
      </c>
      <c r="B58" s="20">
        <f>B54*B57</f>
        <v>165.62</v>
      </c>
      <c r="C58" s="20">
        <f t="shared" ref="C58" si="68">C54*C57</f>
        <v>165.62</v>
      </c>
      <c r="D58" s="20">
        <f t="shared" ref="D58" si="69">D54*D57</f>
        <v>165.62</v>
      </c>
      <c r="E58" s="20">
        <f t="shared" ref="E58" si="70">E54*E57</f>
        <v>165.62</v>
      </c>
      <c r="F58" s="20">
        <f t="shared" ref="F58" si="71">F54*F57</f>
        <v>165.62</v>
      </c>
      <c r="G58" s="20">
        <f t="shared" ref="G58" si="72">G54*G57</f>
        <v>165.62</v>
      </c>
      <c r="H58" s="20">
        <f t="shared" ref="H58" si="73">H54*H57</f>
        <v>165.62</v>
      </c>
      <c r="I58" s="20">
        <f t="shared" ref="I58" si="74">I54*I57</f>
        <v>165.62</v>
      </c>
      <c r="J58" s="20">
        <f t="shared" ref="J58" si="75">J54*J57</f>
        <v>165.62</v>
      </c>
      <c r="K58" s="20">
        <f t="shared" ref="K58" si="76">K54*K57</f>
        <v>165.62</v>
      </c>
      <c r="L58" s="20">
        <f t="shared" ref="L58" si="77">L54*L57</f>
        <v>165.62</v>
      </c>
      <c r="M58" s="20">
        <f t="shared" ref="M58" si="78">M54*M57</f>
        <v>165.62</v>
      </c>
      <c r="N58" s="20">
        <f>SUM(B58:M58)</f>
        <v>1987.4399999999996</v>
      </c>
    </row>
    <row r="61" spans="1:14">
      <c r="B61" s="23" t="s">
        <v>0</v>
      </c>
      <c r="C61" s="23" t="s">
        <v>1</v>
      </c>
      <c r="D61" s="23" t="s">
        <v>2</v>
      </c>
      <c r="E61" s="23" t="s">
        <v>3</v>
      </c>
      <c r="F61" s="23" t="s">
        <v>4</v>
      </c>
      <c r="G61" s="23" t="s">
        <v>5</v>
      </c>
      <c r="H61" s="23" t="s">
        <v>6</v>
      </c>
      <c r="I61" s="23" t="s">
        <v>7</v>
      </c>
      <c r="J61" s="23" t="s">
        <v>8</v>
      </c>
      <c r="K61" s="23" t="s">
        <v>9</v>
      </c>
      <c r="L61" s="23" t="s">
        <v>10</v>
      </c>
      <c r="M61" s="23" t="s">
        <v>11</v>
      </c>
      <c r="N61" s="23" t="s">
        <v>12</v>
      </c>
    </row>
    <row r="62" spans="1:14">
      <c r="A62" s="248">
        <f>+A45+1</f>
        <v>2017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>
      <c r="A63" s="247" t="s">
        <v>37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>
      <c r="A64" s="249" t="s">
        <v>198</v>
      </c>
      <c r="B64" s="232">
        <f>'Wauchula Forecast'!E13</f>
        <v>13000</v>
      </c>
      <c r="C64" s="232">
        <f>'Wauchula Forecast'!F13</f>
        <v>0</v>
      </c>
      <c r="D64" s="232">
        <f>'Wauchula Forecast'!G13</f>
        <v>0</v>
      </c>
      <c r="E64" s="232">
        <f>'Wauchula Forecast'!H13</f>
        <v>0</v>
      </c>
      <c r="F64" s="232">
        <f>'Wauchula Forecast'!I13</f>
        <v>0</v>
      </c>
      <c r="G64" s="232">
        <f>'Wauchula Forecast'!J13</f>
        <v>0</v>
      </c>
      <c r="H64" s="232">
        <f>'Wauchula Forecast'!K13</f>
        <v>0</v>
      </c>
      <c r="I64" s="232">
        <f>'Wauchula Forecast'!L13</f>
        <v>0</v>
      </c>
      <c r="J64" s="232">
        <f>'Wauchula Forecast'!M13</f>
        <v>0</v>
      </c>
      <c r="K64" s="232">
        <f>'Wauchula Forecast'!N13</f>
        <v>0</v>
      </c>
      <c r="L64" s="232">
        <f>'Wauchula Forecast'!O13</f>
        <v>0</v>
      </c>
      <c r="M64" s="232">
        <f>'Wauchula Forecast'!P13</f>
        <v>0</v>
      </c>
      <c r="N64" s="20">
        <f>SUM(B64:M64)</f>
        <v>13000</v>
      </c>
    </row>
    <row r="65" spans="1:15">
      <c r="A65" s="249" t="s">
        <v>45</v>
      </c>
      <c r="B65" s="27">
        <f>B64-B66</f>
        <v>236.13156602847266</v>
      </c>
      <c r="C65" s="27">
        <f t="shared" ref="C65" si="79">C64-C66</f>
        <v>0</v>
      </c>
      <c r="D65" s="27">
        <f t="shared" ref="D65" si="80">D64-D66</f>
        <v>0</v>
      </c>
      <c r="E65" s="27">
        <f t="shared" ref="E65" si="81">E64-E66</f>
        <v>0</v>
      </c>
      <c r="F65" s="27">
        <f t="shared" ref="F65" si="82">F64-F66</f>
        <v>0</v>
      </c>
      <c r="G65" s="27">
        <f t="shared" ref="G65" si="83">G64-G66</f>
        <v>0</v>
      </c>
      <c r="H65" s="27">
        <f t="shared" ref="H65" si="84">H64-H66</f>
        <v>0</v>
      </c>
      <c r="I65" s="27">
        <f t="shared" ref="I65" si="85">I64-I66</f>
        <v>0</v>
      </c>
      <c r="J65" s="27">
        <f t="shared" ref="J65" si="86">J64-J66</f>
        <v>0</v>
      </c>
      <c r="K65" s="27">
        <f t="shared" ref="K65" si="87">K64-K66</f>
        <v>0</v>
      </c>
      <c r="L65" s="27">
        <f t="shared" ref="L65" si="88">L64-L66</f>
        <v>0</v>
      </c>
      <c r="M65" s="27">
        <f t="shared" ref="M65" si="89">M64-M66</f>
        <v>0</v>
      </c>
      <c r="N65" s="20">
        <f>SUM(B65:M65)</f>
        <v>236.13156602847266</v>
      </c>
    </row>
    <row r="66" spans="1:15">
      <c r="A66" s="249" t="s">
        <v>47</v>
      </c>
      <c r="B66" s="27">
        <f>B64/(1+'Transmission Formula Rate (7)'!$B$27)</f>
        <v>12763.868433971527</v>
      </c>
      <c r="C66" s="27">
        <f>C64/(1+'Transmission Formula Rate (7)'!$B$27)</f>
        <v>0</v>
      </c>
      <c r="D66" s="27">
        <f>D64/(1+'Transmission Formula Rate (7)'!$B$27)</f>
        <v>0</v>
      </c>
      <c r="E66" s="27">
        <f>E64/(1+'Transmission Formula Rate (7)'!$B$27)</f>
        <v>0</v>
      </c>
      <c r="F66" s="27">
        <f>F64/(1+'Transmission Formula Rate (7)'!$B$27)</f>
        <v>0</v>
      </c>
      <c r="G66" s="27">
        <f>G64/(1+'Transmission Formula Rate (7)'!$B$27)</f>
        <v>0</v>
      </c>
      <c r="H66" s="27">
        <f>H64/(1+'Transmission Formula Rate (7)'!$B$27)</f>
        <v>0</v>
      </c>
      <c r="I66" s="27">
        <f>I64/(1+'Transmission Formula Rate (7)'!$B$27)</f>
        <v>0</v>
      </c>
      <c r="J66" s="27">
        <f>J64/(1+'Transmission Formula Rate (7)'!$B$27)</f>
        <v>0</v>
      </c>
      <c r="K66" s="27">
        <f>K64/(1+'Transmission Formula Rate (7)'!$B$27)</f>
        <v>0</v>
      </c>
      <c r="L66" s="27">
        <f>L64/(1+'Transmission Formula Rate (7)'!$B$27)</f>
        <v>0</v>
      </c>
      <c r="M66" s="27">
        <f>M64/(1+'Transmission Formula Rate (7)'!$B$27)</f>
        <v>0</v>
      </c>
      <c r="N66" s="123">
        <f>SUM(B66:M66)</f>
        <v>12763.868433971527</v>
      </c>
    </row>
    <row r="67" spans="1:15">
      <c r="A67" s="247" t="s">
        <v>20</v>
      </c>
      <c r="B67" s="29">
        <f>'Transmission Formula Rate (7)'!B14</f>
        <v>1.59</v>
      </c>
      <c r="C67" s="29">
        <f>'Transmission Formula Rate (7)'!C14</f>
        <v>1.59</v>
      </c>
      <c r="D67" s="29">
        <f>'Transmission Formula Rate (7)'!D14</f>
        <v>1.59</v>
      </c>
      <c r="E67" s="29">
        <f>'Transmission Formula Rate (7)'!E14</f>
        <v>1.59</v>
      </c>
      <c r="F67" s="29">
        <f>'Transmission Formula Rate (7)'!F14</f>
        <v>1.59</v>
      </c>
      <c r="G67" s="29">
        <f>'Transmission Formula Rate (7)'!G14</f>
        <v>1.59</v>
      </c>
      <c r="H67" s="29">
        <f>'Transmission Formula Rate (7)'!H14</f>
        <v>1.59</v>
      </c>
      <c r="I67" s="29">
        <f>'Transmission Formula Rate (7)'!I14</f>
        <v>1.59</v>
      </c>
      <c r="J67" s="29">
        <f>'Transmission Formula Rate (7)'!J14</f>
        <v>1.59</v>
      </c>
      <c r="K67" s="29">
        <f>'Transmission Formula Rate (7)'!K14</f>
        <v>1.59</v>
      </c>
      <c r="L67" s="29">
        <f>'Transmission Formula Rate (7)'!L14</f>
        <v>1.59</v>
      </c>
      <c r="M67" s="29">
        <f>'Transmission Formula Rate (7)'!M14</f>
        <v>1.59</v>
      </c>
      <c r="N67" s="19"/>
      <c r="O67" s="270" t="s">
        <v>217</v>
      </c>
    </row>
    <row r="68" spans="1:15">
      <c r="A68" s="247" t="s">
        <v>17</v>
      </c>
      <c r="B68" s="20">
        <f>B64*B67</f>
        <v>20670</v>
      </c>
      <c r="C68" s="20">
        <f t="shared" ref="C68" si="90">C64*C67</f>
        <v>0</v>
      </c>
      <c r="D68" s="20">
        <f t="shared" ref="D68" si="91">D64*D67</f>
        <v>0</v>
      </c>
      <c r="E68" s="20">
        <f t="shared" ref="E68" si="92">E64*E67</f>
        <v>0</v>
      </c>
      <c r="F68" s="20">
        <f t="shared" ref="F68" si="93">F64*F67</f>
        <v>0</v>
      </c>
      <c r="G68" s="20">
        <f t="shared" ref="G68" si="94">G64*G67</f>
        <v>0</v>
      </c>
      <c r="H68" s="20">
        <f t="shared" ref="H68" si="95">H64*H67</f>
        <v>0</v>
      </c>
      <c r="I68" s="20">
        <f t="shared" ref="I68" si="96">I64*I67</f>
        <v>0</v>
      </c>
      <c r="J68" s="20">
        <f t="shared" ref="J68" si="97">J64*J67</f>
        <v>0</v>
      </c>
      <c r="K68" s="20">
        <f t="shared" ref="K68" si="98">K64*K67</f>
        <v>0</v>
      </c>
      <c r="L68" s="20">
        <f t="shared" ref="L68" si="99">L64*L67</f>
        <v>0</v>
      </c>
      <c r="M68" s="20">
        <f t="shared" ref="M68" si="100">M64*M67</f>
        <v>0</v>
      </c>
      <c r="N68" s="20">
        <f>SUM(B68:M68)</f>
        <v>20670</v>
      </c>
    </row>
    <row r="70" spans="1:15">
      <c r="A70" s="247" t="s">
        <v>135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5">
      <c r="A71" s="249" t="s">
        <v>198</v>
      </c>
      <c r="B71" s="232">
        <f>B64</f>
        <v>13000</v>
      </c>
      <c r="C71" s="232">
        <f t="shared" ref="C71:M71" si="101">C64</f>
        <v>0</v>
      </c>
      <c r="D71" s="232">
        <f t="shared" si="101"/>
        <v>0</v>
      </c>
      <c r="E71" s="232">
        <f t="shared" si="101"/>
        <v>0</v>
      </c>
      <c r="F71" s="232">
        <f t="shared" si="101"/>
        <v>0</v>
      </c>
      <c r="G71" s="232">
        <f t="shared" si="101"/>
        <v>0</v>
      </c>
      <c r="H71" s="232">
        <f t="shared" si="101"/>
        <v>0</v>
      </c>
      <c r="I71" s="232">
        <f t="shared" si="101"/>
        <v>0</v>
      </c>
      <c r="J71" s="232">
        <f t="shared" si="101"/>
        <v>0</v>
      </c>
      <c r="K71" s="232">
        <f t="shared" si="101"/>
        <v>0</v>
      </c>
      <c r="L71" s="232">
        <f t="shared" si="101"/>
        <v>0</v>
      </c>
      <c r="M71" s="232">
        <f t="shared" si="101"/>
        <v>0</v>
      </c>
      <c r="N71" s="20">
        <f>SUM(B71:M71)</f>
        <v>13000</v>
      </c>
    </row>
    <row r="72" spans="1:15">
      <c r="A72" s="249" t="s">
        <v>45</v>
      </c>
      <c r="B72" s="27">
        <f>B71-B73</f>
        <v>236.13156602847266</v>
      </c>
      <c r="C72" s="27">
        <f t="shared" ref="C72" si="102">C71-C73</f>
        <v>0</v>
      </c>
      <c r="D72" s="27">
        <f t="shared" ref="D72" si="103">D71-D73</f>
        <v>0</v>
      </c>
      <c r="E72" s="27">
        <f t="shared" ref="E72" si="104">E71-E73</f>
        <v>0</v>
      </c>
      <c r="F72" s="27">
        <f t="shared" ref="F72" si="105">F71-F73</f>
        <v>0</v>
      </c>
      <c r="G72" s="27">
        <f t="shared" ref="G72" si="106">G71-G73</f>
        <v>0</v>
      </c>
      <c r="H72" s="27">
        <f t="shared" ref="H72" si="107">H71-H73</f>
        <v>0</v>
      </c>
      <c r="I72" s="27">
        <f t="shared" ref="I72" si="108">I71-I73</f>
        <v>0</v>
      </c>
      <c r="J72" s="27">
        <f t="shared" ref="J72" si="109">J71-J73</f>
        <v>0</v>
      </c>
      <c r="K72" s="27">
        <f t="shared" ref="K72" si="110">K71-K73</f>
        <v>0</v>
      </c>
      <c r="L72" s="27">
        <f t="shared" ref="L72" si="111">L71-L73</f>
        <v>0</v>
      </c>
      <c r="M72" s="27">
        <f t="shared" ref="M72" si="112">M71-M73</f>
        <v>0</v>
      </c>
      <c r="N72" s="20">
        <f>SUM(B72:M72)</f>
        <v>236.13156602847266</v>
      </c>
    </row>
    <row r="73" spans="1:15">
      <c r="A73" s="249" t="s">
        <v>47</v>
      </c>
      <c r="B73" s="27">
        <f>B71/(1+'Transmission Formula Rate (7)'!$B$27)</f>
        <v>12763.868433971527</v>
      </c>
      <c r="C73" s="27">
        <f>C71/(1+'Transmission Formula Rate (7)'!$B$27)</f>
        <v>0</v>
      </c>
      <c r="D73" s="27">
        <f>D71/(1+'Transmission Formula Rate (7)'!$B$27)</f>
        <v>0</v>
      </c>
      <c r="E73" s="27">
        <f>E71/(1+'Transmission Formula Rate (7)'!$B$27)</f>
        <v>0</v>
      </c>
      <c r="F73" s="27">
        <f>F71/(1+'Transmission Formula Rate (7)'!$B$27)</f>
        <v>0</v>
      </c>
      <c r="G73" s="27">
        <f>G71/(1+'Transmission Formula Rate (7)'!$B$27)</f>
        <v>0</v>
      </c>
      <c r="H73" s="27">
        <f>H71/(1+'Transmission Formula Rate (7)'!$B$27)</f>
        <v>0</v>
      </c>
      <c r="I73" s="27">
        <f>I71/(1+'Transmission Formula Rate (7)'!$B$27)</f>
        <v>0</v>
      </c>
      <c r="J73" s="27">
        <f>J71/(1+'Transmission Formula Rate (7)'!$B$27)</f>
        <v>0</v>
      </c>
      <c r="K73" s="27">
        <f>K71/(1+'Transmission Formula Rate (7)'!$B$27)</f>
        <v>0</v>
      </c>
      <c r="L73" s="27">
        <f>L71/(1+'Transmission Formula Rate (7)'!$B$27)</f>
        <v>0</v>
      </c>
      <c r="M73" s="27">
        <f>M71/(1+'Transmission Formula Rate (7)'!$B$27)</f>
        <v>0</v>
      </c>
      <c r="N73" s="123">
        <f>SUM(B73:M73)</f>
        <v>12763.868433971527</v>
      </c>
    </row>
    <row r="74" spans="1:15">
      <c r="A74" s="247" t="s">
        <v>143</v>
      </c>
      <c r="B74" s="31">
        <f>'charges (1 &amp; 2)'!H32</f>
        <v>1.274E-2</v>
      </c>
      <c r="C74" s="31">
        <f>B74</f>
        <v>1.274E-2</v>
      </c>
      <c r="D74" s="31">
        <f t="shared" ref="D74:M74" si="113">C74</f>
        <v>1.274E-2</v>
      </c>
      <c r="E74" s="31">
        <f t="shared" si="113"/>
        <v>1.274E-2</v>
      </c>
      <c r="F74" s="31">
        <f t="shared" si="113"/>
        <v>1.274E-2</v>
      </c>
      <c r="G74" s="31">
        <f t="shared" si="113"/>
        <v>1.274E-2</v>
      </c>
      <c r="H74" s="31">
        <f t="shared" si="113"/>
        <v>1.274E-2</v>
      </c>
      <c r="I74" s="31">
        <f t="shared" si="113"/>
        <v>1.274E-2</v>
      </c>
      <c r="J74" s="31">
        <f t="shared" si="113"/>
        <v>1.274E-2</v>
      </c>
      <c r="K74" s="31">
        <f t="shared" si="113"/>
        <v>1.274E-2</v>
      </c>
      <c r="L74" s="31">
        <f t="shared" si="113"/>
        <v>1.274E-2</v>
      </c>
      <c r="M74" s="31">
        <f t="shared" si="113"/>
        <v>1.274E-2</v>
      </c>
      <c r="N74" s="19"/>
    </row>
    <row r="75" spans="1:15">
      <c r="A75" s="247" t="s">
        <v>17</v>
      </c>
      <c r="B75" s="20">
        <f t="shared" ref="B75:M75" si="114">B73*B74</f>
        <v>162.61168384879724</v>
      </c>
      <c r="C75" s="20">
        <f t="shared" si="114"/>
        <v>0</v>
      </c>
      <c r="D75" s="20">
        <f t="shared" si="114"/>
        <v>0</v>
      </c>
      <c r="E75" s="20">
        <f t="shared" si="114"/>
        <v>0</v>
      </c>
      <c r="F75" s="20">
        <f t="shared" si="114"/>
        <v>0</v>
      </c>
      <c r="G75" s="20">
        <f t="shared" si="114"/>
        <v>0</v>
      </c>
      <c r="H75" s="20">
        <f t="shared" si="114"/>
        <v>0</v>
      </c>
      <c r="I75" s="20">
        <f t="shared" si="114"/>
        <v>0</v>
      </c>
      <c r="J75" s="20">
        <f t="shared" si="114"/>
        <v>0</v>
      </c>
      <c r="K75" s="20">
        <f t="shared" si="114"/>
        <v>0</v>
      </c>
      <c r="L75" s="20">
        <f t="shared" si="114"/>
        <v>0</v>
      </c>
      <c r="M75" s="20">
        <f t="shared" si="114"/>
        <v>0</v>
      </c>
      <c r="N75" s="20">
        <f>SUM(B75:M75)</f>
        <v>162.61168384879724</v>
      </c>
    </row>
    <row r="78" spans="1:15">
      <c r="B78" s="23" t="s">
        <v>0</v>
      </c>
      <c r="C78" s="23" t="s">
        <v>1</v>
      </c>
      <c r="D78" s="23" t="s">
        <v>2</v>
      </c>
      <c r="E78" s="23" t="s">
        <v>3</v>
      </c>
      <c r="F78" s="23" t="s">
        <v>4</v>
      </c>
      <c r="G78" s="23" t="s">
        <v>5</v>
      </c>
      <c r="H78" s="23" t="s">
        <v>6</v>
      </c>
      <c r="I78" s="23" t="s">
        <v>7</v>
      </c>
      <c r="J78" s="23" t="s">
        <v>8</v>
      </c>
      <c r="K78" s="23" t="s">
        <v>9</v>
      </c>
      <c r="L78" s="23" t="s">
        <v>10</v>
      </c>
      <c r="M78" s="23" t="s">
        <v>11</v>
      </c>
      <c r="N78" s="23" t="s">
        <v>12</v>
      </c>
    </row>
    <row r="79" spans="1:15">
      <c r="A79" s="248">
        <f>+A62+1</f>
        <v>2018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5">
      <c r="A80" s="247" t="s">
        <v>37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5">
      <c r="A81" s="249" t="s">
        <v>198</v>
      </c>
      <c r="B81" s="232">
        <f>'Wauchula Forecast'!E14</f>
        <v>0</v>
      </c>
      <c r="C81" s="232">
        <f>'Wauchula Forecast'!F14</f>
        <v>0</v>
      </c>
      <c r="D81" s="232">
        <f>'Wauchula Forecast'!G14</f>
        <v>0</v>
      </c>
      <c r="E81" s="232">
        <f>'Wauchula Forecast'!H14</f>
        <v>0</v>
      </c>
      <c r="F81" s="232">
        <f>'Wauchula Forecast'!I14</f>
        <v>0</v>
      </c>
      <c r="G81" s="232">
        <f>'Wauchula Forecast'!J14</f>
        <v>0</v>
      </c>
      <c r="H81" s="232">
        <f>'Wauchula Forecast'!K14</f>
        <v>0</v>
      </c>
      <c r="I81" s="232">
        <f>'Wauchula Forecast'!L14</f>
        <v>0</v>
      </c>
      <c r="J81" s="232">
        <f>'Wauchula Forecast'!M14</f>
        <v>0</v>
      </c>
      <c r="K81" s="232">
        <f>'Wauchula Forecast'!N14</f>
        <v>0</v>
      </c>
      <c r="L81" s="232">
        <f>'Wauchula Forecast'!O14</f>
        <v>0</v>
      </c>
      <c r="M81" s="232">
        <f>'Wauchula Forecast'!P14</f>
        <v>0</v>
      </c>
      <c r="N81" s="20">
        <f>SUM(B81:M81)</f>
        <v>0</v>
      </c>
    </row>
    <row r="82" spans="1:15">
      <c r="A82" s="249" t="s">
        <v>45</v>
      </c>
      <c r="B82" s="27">
        <f>ROUND(B81*'Transmission Formula Rate (7)'!$B$27,0)</f>
        <v>0</v>
      </c>
      <c r="C82" s="27">
        <f>ROUND(C81*'Transmission Formula Rate (7)'!$B$27,0)</f>
        <v>0</v>
      </c>
      <c r="D82" s="27">
        <f>ROUND(D81*'Transmission Formula Rate (7)'!$B$27,0)</f>
        <v>0</v>
      </c>
      <c r="E82" s="27">
        <f>ROUND(E81*'Transmission Formula Rate (7)'!$B$27,0)</f>
        <v>0</v>
      </c>
      <c r="F82" s="27">
        <f>ROUND(F81*'Transmission Formula Rate (7)'!$B$27,0)</f>
        <v>0</v>
      </c>
      <c r="G82" s="27">
        <f>ROUND(G81*'Transmission Formula Rate (7)'!$B$27,0)</f>
        <v>0</v>
      </c>
      <c r="H82" s="27">
        <f>ROUND(H81*'Transmission Formula Rate (7)'!$B$27,0)</f>
        <v>0</v>
      </c>
      <c r="I82" s="27">
        <f>ROUND(I81*'Transmission Formula Rate (7)'!$B$27,0)</f>
        <v>0</v>
      </c>
      <c r="J82" s="27">
        <f>ROUND(J81*'Transmission Formula Rate (7)'!$B$27,0)</f>
        <v>0</v>
      </c>
      <c r="K82" s="27">
        <f>ROUND(K81*'Transmission Formula Rate (7)'!$B$27,0)</f>
        <v>0</v>
      </c>
      <c r="L82" s="27">
        <f>ROUND(L81*'Transmission Formula Rate (7)'!$B$27,0)</f>
        <v>0</v>
      </c>
      <c r="M82" s="27">
        <f>ROUND(M81*'Transmission Formula Rate (7)'!$B$27,0)</f>
        <v>0</v>
      </c>
      <c r="N82" s="20">
        <f>SUM(B82:M82)</f>
        <v>0</v>
      </c>
    </row>
    <row r="83" spans="1:15">
      <c r="A83" s="249" t="s">
        <v>47</v>
      </c>
      <c r="B83" s="27">
        <f t="shared" ref="B83:M83" si="115">B81+B82</f>
        <v>0</v>
      </c>
      <c r="C83" s="27">
        <f t="shared" si="115"/>
        <v>0</v>
      </c>
      <c r="D83" s="27">
        <f t="shared" si="115"/>
        <v>0</v>
      </c>
      <c r="E83" s="27">
        <f t="shared" si="115"/>
        <v>0</v>
      </c>
      <c r="F83" s="27">
        <f t="shared" si="115"/>
        <v>0</v>
      </c>
      <c r="G83" s="27">
        <f t="shared" si="115"/>
        <v>0</v>
      </c>
      <c r="H83" s="27">
        <f t="shared" si="115"/>
        <v>0</v>
      </c>
      <c r="I83" s="27">
        <f t="shared" si="115"/>
        <v>0</v>
      </c>
      <c r="J83" s="27">
        <f t="shared" si="115"/>
        <v>0</v>
      </c>
      <c r="K83" s="27">
        <f t="shared" si="115"/>
        <v>0</v>
      </c>
      <c r="L83" s="27">
        <f t="shared" si="115"/>
        <v>0</v>
      </c>
      <c r="M83" s="27">
        <f t="shared" si="115"/>
        <v>0</v>
      </c>
      <c r="N83" s="123">
        <f>SUM(B83:M83)</f>
        <v>0</v>
      </c>
    </row>
    <row r="84" spans="1:15">
      <c r="A84" s="247" t="s">
        <v>20</v>
      </c>
      <c r="B84" s="29">
        <f>'Transmission Formula Rate (7)'!B16</f>
        <v>1.59</v>
      </c>
      <c r="C84" s="29">
        <f>'Transmission Formula Rate (7)'!C33</f>
        <v>0</v>
      </c>
      <c r="D84" s="29">
        <f>'Transmission Formula Rate (7)'!D33</f>
        <v>0</v>
      </c>
      <c r="E84" s="29">
        <f>'Transmission Formula Rate (7)'!E33</f>
        <v>0</v>
      </c>
      <c r="F84" s="29">
        <f>'Transmission Formula Rate (7)'!F33</f>
        <v>0</v>
      </c>
      <c r="G84" s="29">
        <f>'Transmission Formula Rate (7)'!G33</f>
        <v>0</v>
      </c>
      <c r="H84" s="29">
        <f>'Transmission Formula Rate (7)'!H33</f>
        <v>0</v>
      </c>
      <c r="I84" s="29">
        <f>'Transmission Formula Rate (7)'!I33</f>
        <v>0</v>
      </c>
      <c r="J84" s="29">
        <f>'Transmission Formula Rate (7)'!J33</f>
        <v>0</v>
      </c>
      <c r="K84" s="29">
        <f>'Transmission Formula Rate (7)'!K33</f>
        <v>0</v>
      </c>
      <c r="L84" s="29">
        <f>'Transmission Formula Rate (7)'!L33</f>
        <v>0</v>
      </c>
      <c r="M84" s="29">
        <f>'Transmission Formula Rate (7)'!M33</f>
        <v>0</v>
      </c>
      <c r="N84" s="19"/>
      <c r="O84" s="270" t="s">
        <v>217</v>
      </c>
    </row>
    <row r="85" spans="1:15">
      <c r="A85" s="247" t="s">
        <v>17</v>
      </c>
      <c r="B85" s="20">
        <f t="shared" ref="B85:M85" si="116">B83*B84</f>
        <v>0</v>
      </c>
      <c r="C85" s="20">
        <f t="shared" si="116"/>
        <v>0</v>
      </c>
      <c r="D85" s="20">
        <f t="shared" si="116"/>
        <v>0</v>
      </c>
      <c r="E85" s="20">
        <f t="shared" si="116"/>
        <v>0</v>
      </c>
      <c r="F85" s="20">
        <f t="shared" si="116"/>
        <v>0</v>
      </c>
      <c r="G85" s="20">
        <f t="shared" si="116"/>
        <v>0</v>
      </c>
      <c r="H85" s="20">
        <f t="shared" si="116"/>
        <v>0</v>
      </c>
      <c r="I85" s="20">
        <f t="shared" si="116"/>
        <v>0</v>
      </c>
      <c r="J85" s="20">
        <f t="shared" si="116"/>
        <v>0</v>
      </c>
      <c r="K85" s="20">
        <f t="shared" si="116"/>
        <v>0</v>
      </c>
      <c r="L85" s="20">
        <f t="shared" si="116"/>
        <v>0</v>
      </c>
      <c r="M85" s="20">
        <f t="shared" si="116"/>
        <v>0</v>
      </c>
      <c r="N85" s="20">
        <f>SUM(B85:M85)</f>
        <v>0</v>
      </c>
    </row>
    <row r="87" spans="1:15">
      <c r="A87" s="247" t="s">
        <v>135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5">
      <c r="A88" s="249" t="s">
        <v>198</v>
      </c>
      <c r="B88" s="232">
        <f>B81</f>
        <v>0</v>
      </c>
      <c r="C88" s="232">
        <f t="shared" ref="C88:M88" si="117">C81</f>
        <v>0</v>
      </c>
      <c r="D88" s="232">
        <f t="shared" si="117"/>
        <v>0</v>
      </c>
      <c r="E88" s="232">
        <f t="shared" si="117"/>
        <v>0</v>
      </c>
      <c r="F88" s="232">
        <f t="shared" si="117"/>
        <v>0</v>
      </c>
      <c r="G88" s="232">
        <f t="shared" si="117"/>
        <v>0</v>
      </c>
      <c r="H88" s="232">
        <f t="shared" si="117"/>
        <v>0</v>
      </c>
      <c r="I88" s="232">
        <f t="shared" si="117"/>
        <v>0</v>
      </c>
      <c r="J88" s="232">
        <f t="shared" si="117"/>
        <v>0</v>
      </c>
      <c r="K88" s="232">
        <f t="shared" si="117"/>
        <v>0</v>
      </c>
      <c r="L88" s="232">
        <f t="shared" si="117"/>
        <v>0</v>
      </c>
      <c r="M88" s="232">
        <f t="shared" si="117"/>
        <v>0</v>
      </c>
      <c r="N88" s="20">
        <f>SUM(B88:M88)</f>
        <v>0</v>
      </c>
    </row>
    <row r="89" spans="1:15">
      <c r="A89" s="249" t="s">
        <v>45</v>
      </c>
      <c r="B89" s="27">
        <f>ROUND(B88*'Transmission Formula Rate (7)'!$B$27,0)</f>
        <v>0</v>
      </c>
      <c r="C89" s="27">
        <f>ROUND(C88*'Transmission Formula Rate (7)'!$B$27,0)</f>
        <v>0</v>
      </c>
      <c r="D89" s="27">
        <f>ROUND(D88*'Transmission Formula Rate (7)'!$B$27,0)</f>
        <v>0</v>
      </c>
      <c r="E89" s="27">
        <f>ROUND(E88*'Transmission Formula Rate (7)'!$B$27,0)</f>
        <v>0</v>
      </c>
      <c r="F89" s="27">
        <f>ROUND(F88*'Transmission Formula Rate (7)'!$B$27,0)</f>
        <v>0</v>
      </c>
      <c r="G89" s="27">
        <f>ROUND(G88*'Transmission Formula Rate (7)'!$B$27,0)</f>
        <v>0</v>
      </c>
      <c r="H89" s="27">
        <f>ROUND(H88*'Transmission Formula Rate (7)'!$B$27,0)</f>
        <v>0</v>
      </c>
      <c r="I89" s="27">
        <f>ROUND(I88*'Transmission Formula Rate (7)'!$B$27,0)</f>
        <v>0</v>
      </c>
      <c r="J89" s="27">
        <f>ROUND(J88*'Transmission Formula Rate (7)'!$B$27,0)</f>
        <v>0</v>
      </c>
      <c r="K89" s="27">
        <f>ROUND(K88*'Transmission Formula Rate (7)'!$B$27,0)</f>
        <v>0</v>
      </c>
      <c r="L89" s="27">
        <f>ROUND(L88*'Transmission Formula Rate (7)'!$B$27,0)</f>
        <v>0</v>
      </c>
      <c r="M89" s="27">
        <f>ROUND(M88*'Transmission Formula Rate (7)'!$B$27,0)</f>
        <v>0</v>
      </c>
      <c r="N89" s="20">
        <f>SUM(B89:M89)</f>
        <v>0</v>
      </c>
    </row>
    <row r="90" spans="1:15">
      <c r="A90" s="249" t="s">
        <v>47</v>
      </c>
      <c r="B90" s="27">
        <f t="shared" ref="B90:M90" si="118">B88+B89</f>
        <v>0</v>
      </c>
      <c r="C90" s="27">
        <f t="shared" si="118"/>
        <v>0</v>
      </c>
      <c r="D90" s="27">
        <f t="shared" si="118"/>
        <v>0</v>
      </c>
      <c r="E90" s="27">
        <f t="shared" si="118"/>
        <v>0</v>
      </c>
      <c r="F90" s="27">
        <f t="shared" si="118"/>
        <v>0</v>
      </c>
      <c r="G90" s="27">
        <f t="shared" si="118"/>
        <v>0</v>
      </c>
      <c r="H90" s="27">
        <f t="shared" si="118"/>
        <v>0</v>
      </c>
      <c r="I90" s="27">
        <f t="shared" si="118"/>
        <v>0</v>
      </c>
      <c r="J90" s="27">
        <f t="shared" si="118"/>
        <v>0</v>
      </c>
      <c r="K90" s="27">
        <f t="shared" si="118"/>
        <v>0</v>
      </c>
      <c r="L90" s="27">
        <f t="shared" si="118"/>
        <v>0</v>
      </c>
      <c r="M90" s="27">
        <f t="shared" si="118"/>
        <v>0</v>
      </c>
      <c r="N90" s="123">
        <f>SUM(B90:M90)</f>
        <v>0</v>
      </c>
    </row>
    <row r="91" spans="1:15">
      <c r="A91" s="247" t="s">
        <v>143</v>
      </c>
      <c r="B91" s="31">
        <f>'charges (1 &amp; 2)'!H38</f>
        <v>1.274E-2</v>
      </c>
      <c r="C91" s="31">
        <f>B91</f>
        <v>1.274E-2</v>
      </c>
      <c r="D91" s="31">
        <f t="shared" ref="D91" si="119">C91</f>
        <v>1.274E-2</v>
      </c>
      <c r="E91" s="31">
        <f t="shared" ref="E91" si="120">D91</f>
        <v>1.274E-2</v>
      </c>
      <c r="F91" s="31">
        <f t="shared" ref="F91" si="121">E91</f>
        <v>1.274E-2</v>
      </c>
      <c r="G91" s="31">
        <f t="shared" ref="G91" si="122">F91</f>
        <v>1.274E-2</v>
      </c>
      <c r="H91" s="31">
        <f t="shared" ref="H91" si="123">G91</f>
        <v>1.274E-2</v>
      </c>
      <c r="I91" s="31">
        <f t="shared" ref="I91" si="124">H91</f>
        <v>1.274E-2</v>
      </c>
      <c r="J91" s="31">
        <f t="shared" ref="J91" si="125">I91</f>
        <v>1.274E-2</v>
      </c>
      <c r="K91" s="31">
        <f t="shared" ref="K91" si="126">J91</f>
        <v>1.274E-2</v>
      </c>
      <c r="L91" s="31">
        <f t="shared" ref="L91" si="127">K91</f>
        <v>1.274E-2</v>
      </c>
      <c r="M91" s="31">
        <f t="shared" ref="M91" si="128">L91</f>
        <v>1.274E-2</v>
      </c>
      <c r="N91" s="19"/>
    </row>
    <row r="92" spans="1:15">
      <c r="A92" s="247" t="s">
        <v>17</v>
      </c>
      <c r="B92" s="20">
        <f t="shared" ref="B92:M92" si="129">B90*B91</f>
        <v>0</v>
      </c>
      <c r="C92" s="20">
        <f t="shared" si="129"/>
        <v>0</v>
      </c>
      <c r="D92" s="20">
        <f t="shared" si="129"/>
        <v>0</v>
      </c>
      <c r="E92" s="20">
        <f t="shared" si="129"/>
        <v>0</v>
      </c>
      <c r="F92" s="20">
        <f t="shared" si="129"/>
        <v>0</v>
      </c>
      <c r="G92" s="20">
        <f t="shared" si="129"/>
        <v>0</v>
      </c>
      <c r="H92" s="20">
        <f t="shared" si="129"/>
        <v>0</v>
      </c>
      <c r="I92" s="20">
        <f t="shared" si="129"/>
        <v>0</v>
      </c>
      <c r="J92" s="20">
        <f t="shared" si="129"/>
        <v>0</v>
      </c>
      <c r="K92" s="20">
        <f t="shared" si="129"/>
        <v>0</v>
      </c>
      <c r="L92" s="20">
        <f t="shared" si="129"/>
        <v>0</v>
      </c>
      <c r="M92" s="20">
        <f t="shared" si="129"/>
        <v>0</v>
      </c>
      <c r="N92" s="20">
        <f>SUM(B92:M92)</f>
        <v>0</v>
      </c>
    </row>
    <row r="93" spans="1:15">
      <c r="A93" s="360" t="s">
        <v>219</v>
      </c>
      <c r="B93" s="321" t="s">
        <v>218</v>
      </c>
    </row>
  </sheetData>
  <hyperlinks>
    <hyperlink ref="B93" r:id="rId1"/>
  </hyperlinks>
  <pageMargins left="0.7" right="0.7" top="0.75" bottom="0.75" header="0.3" footer="0.3"/>
  <pageSetup scale="74" orientation="landscape" r:id="rId2"/>
  <rowBreaks count="1" manualBreakCount="1">
    <brk id="41" max="16383" man="1"/>
  </rowBreaks>
  <ignoredErrors>
    <ignoredError sqref="N20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34" customWidth="1"/>
    <col min="2" max="2" width="10.88671875" style="234" customWidth="1"/>
    <col min="3" max="3" width="1.6640625" style="251" customWidth="1"/>
    <col min="4" max="16384" width="9" style="234"/>
  </cols>
  <sheetData>
    <row r="1" spans="2:18">
      <c r="B1" s="481" t="s">
        <v>484</v>
      </c>
    </row>
    <row r="2" spans="2:18">
      <c r="B2" s="481" t="s">
        <v>458</v>
      </c>
    </row>
    <row r="4" spans="2:18">
      <c r="B4" s="279" t="s">
        <v>350</v>
      </c>
    </row>
    <row r="5" spans="2:18">
      <c r="B5" s="234" t="s">
        <v>183</v>
      </c>
    </row>
    <row r="6" spans="2:18">
      <c r="B6" s="234" t="s">
        <v>399</v>
      </c>
    </row>
    <row r="9" spans="2:18">
      <c r="B9" s="234" t="s">
        <v>190</v>
      </c>
      <c r="E9" s="283" t="s">
        <v>0</v>
      </c>
      <c r="F9" s="283" t="s">
        <v>1</v>
      </c>
      <c r="G9" s="283" t="s">
        <v>2</v>
      </c>
      <c r="H9" s="283" t="s">
        <v>3</v>
      </c>
      <c r="I9" s="283" t="s">
        <v>4</v>
      </c>
      <c r="J9" s="283" t="s">
        <v>5</v>
      </c>
      <c r="K9" s="283" t="s">
        <v>6</v>
      </c>
      <c r="L9" s="283" t="s">
        <v>7</v>
      </c>
      <c r="M9" s="283" t="s">
        <v>8</v>
      </c>
      <c r="N9" s="283" t="s">
        <v>9</v>
      </c>
      <c r="O9" s="283" t="s">
        <v>10</v>
      </c>
      <c r="P9" s="283" t="s">
        <v>11</v>
      </c>
      <c r="Q9" s="284" t="s">
        <v>12</v>
      </c>
    </row>
    <row r="10" spans="2:18">
      <c r="D10" s="236">
        <v>2014</v>
      </c>
      <c r="E10" s="237">
        <v>9000</v>
      </c>
      <c r="F10" s="237">
        <v>12000</v>
      </c>
      <c r="G10" s="237">
        <v>9000</v>
      </c>
      <c r="H10" s="237">
        <v>8000</v>
      </c>
      <c r="I10" s="237">
        <v>12000</v>
      </c>
      <c r="J10" s="237">
        <v>13000</v>
      </c>
      <c r="K10" s="237">
        <v>13000</v>
      </c>
      <c r="L10" s="237">
        <v>13000</v>
      </c>
      <c r="M10" s="237">
        <v>14000</v>
      </c>
      <c r="N10" s="237">
        <v>12000</v>
      </c>
      <c r="O10" s="237">
        <v>12000</v>
      </c>
      <c r="P10" s="237">
        <v>9000</v>
      </c>
      <c r="Q10" s="235">
        <f>SUM(E10:P10)</f>
        <v>136000</v>
      </c>
    </row>
    <row r="11" spans="2:18">
      <c r="D11" s="236">
        <f>1+D10</f>
        <v>2015</v>
      </c>
      <c r="E11" s="237">
        <v>9000</v>
      </c>
      <c r="F11" s="237">
        <v>8000</v>
      </c>
      <c r="G11" s="237">
        <v>13000</v>
      </c>
      <c r="H11" s="237">
        <v>10000</v>
      </c>
      <c r="I11" s="237">
        <v>11000</v>
      </c>
      <c r="J11" s="237">
        <v>12000</v>
      </c>
      <c r="K11" s="237">
        <v>13000</v>
      </c>
      <c r="L11" s="237">
        <v>12000</v>
      </c>
      <c r="M11" s="237">
        <v>13000</v>
      </c>
      <c r="N11" s="237">
        <v>13000</v>
      </c>
      <c r="O11" s="237">
        <v>13000</v>
      </c>
      <c r="P11" s="237">
        <v>13000</v>
      </c>
      <c r="Q11" s="235">
        <f>SUM(E11:P11)</f>
        <v>140000</v>
      </c>
    </row>
    <row r="12" spans="2:18">
      <c r="D12" s="236">
        <f>1+D11</f>
        <v>2016</v>
      </c>
      <c r="E12" s="237">
        <v>13000</v>
      </c>
      <c r="F12" s="237">
        <v>13000</v>
      </c>
      <c r="G12" s="237">
        <v>13000</v>
      </c>
      <c r="H12" s="237">
        <v>13000</v>
      </c>
      <c r="I12" s="237">
        <v>13000</v>
      </c>
      <c r="J12" s="237">
        <v>13000</v>
      </c>
      <c r="K12" s="237">
        <v>13000</v>
      </c>
      <c r="L12" s="237">
        <v>13000</v>
      </c>
      <c r="M12" s="237">
        <v>13000</v>
      </c>
      <c r="N12" s="237">
        <v>13000</v>
      </c>
      <c r="O12" s="237">
        <v>13000</v>
      </c>
      <c r="P12" s="237">
        <v>13000</v>
      </c>
      <c r="Q12" s="235">
        <f>SUM(E12:P12)</f>
        <v>156000</v>
      </c>
    </row>
    <row r="13" spans="2:18">
      <c r="D13" s="236">
        <f>1+D12</f>
        <v>2017</v>
      </c>
      <c r="E13" s="237">
        <v>13000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5">
        <f>SUM(E13:P13)</f>
        <v>13000</v>
      </c>
      <c r="R13" s="335" t="s">
        <v>229</v>
      </c>
    </row>
    <row r="14" spans="2:18">
      <c r="D14" s="236">
        <f>1+D13</f>
        <v>2018</v>
      </c>
      <c r="E14" s="237">
        <v>0</v>
      </c>
      <c r="F14" s="237">
        <f>0</f>
        <v>0</v>
      </c>
      <c r="G14" s="237">
        <f>0</f>
        <v>0</v>
      </c>
      <c r="H14" s="237">
        <f>0</f>
        <v>0</v>
      </c>
      <c r="I14" s="237">
        <f>0</f>
        <v>0</v>
      </c>
      <c r="J14" s="237">
        <f>0</f>
        <v>0</v>
      </c>
      <c r="K14" s="237">
        <f>0</f>
        <v>0</v>
      </c>
      <c r="L14" s="237">
        <f>0</f>
        <v>0</v>
      </c>
      <c r="M14" s="237">
        <f>0</f>
        <v>0</v>
      </c>
      <c r="N14" s="237">
        <f>0</f>
        <v>0</v>
      </c>
      <c r="O14" s="237">
        <f>0</f>
        <v>0</v>
      </c>
      <c r="P14" s="237">
        <f>0</f>
        <v>0</v>
      </c>
      <c r="Q14" s="235">
        <f>SUM(E14:P14)</f>
        <v>0</v>
      </c>
    </row>
    <row r="15" spans="2:18">
      <c r="C15" s="252"/>
      <c r="D15" s="237"/>
      <c r="E15" s="237"/>
      <c r="F15" s="237"/>
      <c r="G15" s="237"/>
      <c r="H15" s="237"/>
    </row>
    <row r="16" spans="2:18">
      <c r="C16" s="252"/>
      <c r="D16" s="237"/>
      <c r="E16" s="237"/>
      <c r="F16" s="237"/>
      <c r="G16" s="237"/>
      <c r="H16" s="237"/>
    </row>
    <row r="17" spans="3:8">
      <c r="C17" s="252"/>
      <c r="D17" s="237"/>
      <c r="E17" s="237"/>
      <c r="F17" s="237"/>
      <c r="G17" s="237"/>
      <c r="H17" s="237"/>
    </row>
    <row r="18" spans="3:8">
      <c r="C18" s="252"/>
      <c r="D18" s="237"/>
      <c r="E18" s="237"/>
      <c r="F18" s="237"/>
      <c r="G18" s="237"/>
      <c r="H18" s="237"/>
    </row>
    <row r="19" spans="3:8">
      <c r="C19" s="252"/>
      <c r="D19" s="237"/>
      <c r="E19" s="237"/>
      <c r="F19" s="237"/>
      <c r="G19" s="237"/>
      <c r="H19" s="237"/>
    </row>
    <row r="20" spans="3:8">
      <c r="C20" s="252"/>
      <c r="D20" s="237"/>
      <c r="E20" s="237"/>
      <c r="F20" s="237"/>
      <c r="G20" s="237"/>
      <c r="H20" s="237"/>
    </row>
    <row r="21" spans="3:8">
      <c r="C21" s="252"/>
      <c r="D21" s="237"/>
      <c r="E21" s="237"/>
      <c r="F21" s="237"/>
      <c r="G21" s="237"/>
      <c r="H21" s="237"/>
    </row>
    <row r="22" spans="3:8">
      <c r="C22" s="252"/>
      <c r="D22" s="237"/>
      <c r="E22" s="237"/>
      <c r="F22" s="237"/>
      <c r="G22" s="237"/>
      <c r="H22" s="237"/>
    </row>
    <row r="24" spans="3:8">
      <c r="C24" s="252"/>
      <c r="D24" s="237"/>
      <c r="E24" s="237"/>
      <c r="F24" s="237"/>
      <c r="G24" s="237"/>
      <c r="H24" s="237"/>
    </row>
    <row r="25" spans="3:8">
      <c r="C25" s="252"/>
      <c r="D25" s="237"/>
      <c r="E25" s="237"/>
      <c r="F25" s="237"/>
      <c r="G25" s="237"/>
      <c r="H25" s="237"/>
    </row>
    <row r="26" spans="3:8">
      <c r="C26" s="252"/>
      <c r="D26" s="237"/>
      <c r="E26" s="237"/>
      <c r="F26" s="237"/>
      <c r="G26" s="237"/>
      <c r="H26" s="237"/>
    </row>
    <row r="27" spans="3:8">
      <c r="C27" s="252"/>
      <c r="D27" s="237"/>
      <c r="E27" s="237"/>
      <c r="F27" s="237"/>
      <c r="G27" s="237"/>
      <c r="H27" s="237"/>
    </row>
    <row r="28" spans="3:8">
      <c r="C28" s="252"/>
      <c r="D28" s="237"/>
      <c r="E28" s="237"/>
      <c r="F28" s="237"/>
      <c r="G28" s="237"/>
      <c r="H28" s="237"/>
    </row>
    <row r="29" spans="3:8">
      <c r="C29" s="252"/>
      <c r="D29" s="237"/>
      <c r="E29" s="237"/>
      <c r="F29" s="237"/>
      <c r="G29" s="237"/>
      <c r="H29" s="237"/>
    </row>
    <row r="30" spans="3:8">
      <c r="C30" s="252"/>
      <c r="D30" s="237"/>
      <c r="E30" s="237"/>
      <c r="F30" s="237"/>
      <c r="G30" s="237"/>
      <c r="H30" s="237"/>
    </row>
    <row r="31" spans="3:8">
      <c r="C31" s="252"/>
      <c r="D31" s="237"/>
      <c r="E31" s="237"/>
      <c r="F31" s="237"/>
      <c r="G31" s="237"/>
      <c r="H31" s="237"/>
    </row>
    <row r="32" spans="3:8">
      <c r="C32" s="252"/>
      <c r="D32" s="237"/>
      <c r="E32" s="237"/>
      <c r="F32" s="237"/>
      <c r="G32" s="237"/>
      <c r="H32" s="237"/>
    </row>
    <row r="33" spans="3:8">
      <c r="C33" s="252"/>
      <c r="D33" s="237"/>
      <c r="E33" s="237"/>
      <c r="F33" s="237"/>
      <c r="G33" s="237"/>
      <c r="H33" s="237"/>
    </row>
    <row r="34" spans="3:8">
      <c r="C34" s="252"/>
      <c r="D34" s="237"/>
      <c r="E34" s="237"/>
      <c r="F34" s="237"/>
      <c r="G34" s="237"/>
      <c r="H34" s="237"/>
    </row>
    <row r="35" spans="3:8">
      <c r="C35" s="252"/>
      <c r="D35" s="237"/>
      <c r="E35" s="237"/>
      <c r="F35" s="237"/>
      <c r="G35" s="237"/>
      <c r="H35" s="237"/>
    </row>
    <row r="37" spans="3:8">
      <c r="C37" s="252"/>
      <c r="D37" s="237"/>
      <c r="E37" s="237"/>
      <c r="F37" s="237"/>
      <c r="G37" s="237"/>
      <c r="H37" s="237"/>
    </row>
    <row r="38" spans="3:8">
      <c r="C38" s="252"/>
      <c r="D38" s="237"/>
      <c r="E38" s="237"/>
      <c r="F38" s="237"/>
      <c r="G38" s="237"/>
      <c r="H38" s="237"/>
    </row>
    <row r="39" spans="3:8">
      <c r="C39" s="252"/>
      <c r="D39" s="237"/>
      <c r="E39" s="237"/>
      <c r="F39" s="237"/>
      <c r="G39" s="237"/>
      <c r="H39" s="237"/>
    </row>
    <row r="40" spans="3:8">
      <c r="C40" s="252"/>
      <c r="D40" s="237"/>
      <c r="E40" s="237"/>
      <c r="F40" s="237"/>
      <c r="G40" s="237"/>
      <c r="H40" s="237"/>
    </row>
    <row r="41" spans="3:8">
      <c r="C41" s="252"/>
      <c r="D41" s="237"/>
      <c r="E41" s="237"/>
      <c r="F41" s="237"/>
      <c r="G41" s="237"/>
      <c r="H41" s="237"/>
    </row>
    <row r="42" spans="3:8">
      <c r="C42" s="252"/>
      <c r="D42" s="237"/>
      <c r="E42" s="237"/>
      <c r="F42" s="237"/>
      <c r="G42" s="237"/>
      <c r="H42" s="237"/>
    </row>
    <row r="43" spans="3:8">
      <c r="C43" s="252"/>
      <c r="D43" s="237"/>
      <c r="E43" s="237"/>
      <c r="F43" s="237"/>
      <c r="G43" s="237"/>
      <c r="H43" s="237"/>
    </row>
    <row r="44" spans="3:8">
      <c r="C44" s="252"/>
      <c r="D44" s="237"/>
      <c r="E44" s="237"/>
      <c r="F44" s="237"/>
      <c r="G44" s="237"/>
      <c r="H44" s="237"/>
    </row>
    <row r="45" spans="3:8">
      <c r="C45" s="252"/>
      <c r="D45" s="237"/>
      <c r="E45" s="237"/>
      <c r="F45" s="237"/>
      <c r="G45" s="237"/>
      <c r="H45" s="237"/>
    </row>
    <row r="46" spans="3:8">
      <c r="C46" s="252"/>
      <c r="D46" s="237"/>
      <c r="E46" s="237"/>
      <c r="F46" s="237"/>
      <c r="G46" s="237"/>
      <c r="H46" s="237"/>
    </row>
    <row r="47" spans="3:8">
      <c r="C47" s="252"/>
      <c r="D47" s="237"/>
      <c r="E47" s="237"/>
      <c r="F47" s="237"/>
      <c r="G47" s="237"/>
      <c r="H47" s="237"/>
    </row>
    <row r="48" spans="3:8">
      <c r="C48" s="252"/>
      <c r="D48" s="237"/>
      <c r="E48" s="237"/>
      <c r="F48" s="237"/>
      <c r="G48" s="237"/>
      <c r="H48" s="237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50"/>
    <pageSetUpPr fitToPage="1"/>
  </sheetPr>
  <dimension ref="A1:N34"/>
  <sheetViews>
    <sheetView zoomScale="85" workbookViewId="0">
      <pane xSplit="1" ySplit="8" topLeftCell="B9" activePane="bottomRight" state="frozen"/>
      <selection sqref="A1:XFD1428"/>
      <selection pane="topRight" sqref="A1:XFD1428"/>
      <selection pane="bottomLeft" sqref="A1:XFD1428"/>
      <selection pane="bottomRight" activeCell="A2" sqref="A1:A2"/>
    </sheetView>
  </sheetViews>
  <sheetFormatPr defaultColWidth="9" defaultRowHeight="13.2"/>
  <cols>
    <col min="1" max="1" width="13.33203125" style="186" customWidth="1"/>
    <col min="2" max="13" width="10.6640625" style="186" customWidth="1"/>
    <col min="14" max="14" width="12.6640625" style="186" customWidth="1"/>
    <col min="15" max="16384" width="9" style="186"/>
  </cols>
  <sheetData>
    <row r="1" spans="1:14">
      <c r="A1" s="482" t="s">
        <v>485</v>
      </c>
    </row>
    <row r="2" spans="1:14">
      <c r="A2" s="482" t="s">
        <v>458</v>
      </c>
    </row>
    <row r="4" spans="1:14">
      <c r="A4" s="186" t="s">
        <v>41</v>
      </c>
    </row>
    <row r="5" spans="1:14">
      <c r="A5" s="186" t="s">
        <v>42</v>
      </c>
    </row>
    <row r="6" spans="1:14">
      <c r="A6" s="336" t="s">
        <v>316</v>
      </c>
    </row>
    <row r="8" spans="1:14">
      <c r="B8" s="188" t="s">
        <v>92</v>
      </c>
      <c r="C8" s="188" t="s">
        <v>93</v>
      </c>
      <c r="D8" s="188" t="s">
        <v>2</v>
      </c>
      <c r="E8" s="188" t="s">
        <v>95</v>
      </c>
      <c r="F8" s="188" t="s">
        <v>96</v>
      </c>
      <c r="G8" s="188" t="s">
        <v>195</v>
      </c>
      <c r="H8" s="188" t="s">
        <v>196</v>
      </c>
      <c r="I8" s="188" t="s">
        <v>99</v>
      </c>
      <c r="J8" s="188" t="s">
        <v>197</v>
      </c>
      <c r="K8" s="188" t="s">
        <v>101</v>
      </c>
      <c r="L8" s="188" t="s">
        <v>102</v>
      </c>
      <c r="M8" s="188" t="s">
        <v>103</v>
      </c>
      <c r="N8" s="187" t="s">
        <v>12</v>
      </c>
    </row>
    <row r="9" spans="1:14">
      <c r="A9" s="186" t="s">
        <v>43</v>
      </c>
      <c r="B9" s="282">
        <v>13007.96</v>
      </c>
      <c r="C9" s="282">
        <v>13007.96</v>
      </c>
      <c r="D9" s="282">
        <v>13007.96</v>
      </c>
      <c r="E9" s="282">
        <v>13007.96</v>
      </c>
      <c r="F9" s="282">
        <v>13007.96</v>
      </c>
      <c r="G9" s="282">
        <v>13007.96</v>
      </c>
      <c r="H9" s="282">
        <v>13007.96</v>
      </c>
      <c r="I9" s="282">
        <v>13007.96</v>
      </c>
      <c r="J9" s="282">
        <v>13007.96</v>
      </c>
      <c r="K9" s="282">
        <v>13007.96</v>
      </c>
      <c r="L9" s="282">
        <v>13007.96</v>
      </c>
      <c r="M9" s="282">
        <v>13007.96</v>
      </c>
      <c r="N9" s="223">
        <f>SUM(B9:M9)</f>
        <v>156095.51999999996</v>
      </c>
    </row>
    <row r="11" spans="1:14">
      <c r="A11" s="67"/>
      <c r="B11" s="67"/>
      <c r="C11" s="67"/>
    </row>
    <row r="12" spans="1:14">
      <c r="A12" s="67"/>
      <c r="B12" s="383" t="s">
        <v>315</v>
      </c>
      <c r="C12" s="384"/>
      <c r="D12" s="384"/>
      <c r="E12" s="384"/>
    </row>
    <row r="13" spans="1:14" ht="13.5" customHeight="1">
      <c r="A13" s="67"/>
      <c r="B13" s="67"/>
      <c r="C13" s="67"/>
    </row>
    <row r="14" spans="1:14" ht="14.4">
      <c r="A14" s="311"/>
      <c r="B14" s="337" t="s">
        <v>456</v>
      </c>
      <c r="C14" s="67"/>
    </row>
    <row r="15" spans="1:14">
      <c r="A15" s="67"/>
      <c r="B15" s="338"/>
      <c r="C15" s="67"/>
      <c r="D15" s="67"/>
      <c r="E15" s="67"/>
      <c r="F15" s="67"/>
    </row>
    <row r="16" spans="1:14">
      <c r="B16" s="339"/>
      <c r="C16" s="67"/>
      <c r="D16" s="223"/>
      <c r="E16" s="222"/>
      <c r="F16" s="67"/>
    </row>
    <row r="17" spans="2:6">
      <c r="B17" s="339"/>
      <c r="C17" s="67"/>
      <c r="D17" s="223"/>
      <c r="E17" s="223"/>
      <c r="F17" s="67"/>
    </row>
    <row r="18" spans="2:6">
      <c r="B18" s="339"/>
      <c r="C18" s="67"/>
      <c r="D18" s="223"/>
      <c r="E18" s="223"/>
      <c r="F18" s="67"/>
    </row>
    <row r="19" spans="2:6">
      <c r="B19" s="339"/>
      <c r="C19" s="67"/>
      <c r="D19" s="223"/>
      <c r="E19" s="223"/>
      <c r="F19" s="67"/>
    </row>
    <row r="20" spans="2:6">
      <c r="B20" s="339"/>
      <c r="C20" s="67"/>
      <c r="D20" s="223"/>
      <c r="E20" s="223"/>
      <c r="F20" s="67"/>
    </row>
    <row r="21" spans="2:6">
      <c r="B21" s="67"/>
      <c r="C21" s="67"/>
      <c r="D21" s="223"/>
      <c r="E21" s="223"/>
      <c r="F21" s="67"/>
    </row>
    <row r="22" spans="2:6">
      <c r="B22" s="67"/>
      <c r="C22" s="67"/>
      <c r="D22" s="223"/>
      <c r="E22" s="223"/>
      <c r="F22" s="67"/>
    </row>
    <row r="23" spans="2:6">
      <c r="B23" s="67"/>
      <c r="C23" s="67"/>
      <c r="D23" s="223"/>
      <c r="E23" s="223"/>
      <c r="F23" s="67"/>
    </row>
    <row r="24" spans="2:6">
      <c r="B24" s="67"/>
      <c r="C24" s="67"/>
      <c r="D24" s="223"/>
      <c r="E24" s="223"/>
      <c r="F24" s="67"/>
    </row>
    <row r="25" spans="2:6">
      <c r="B25" s="67"/>
      <c r="C25" s="67"/>
      <c r="D25" s="223"/>
      <c r="E25" s="223"/>
      <c r="F25" s="67"/>
    </row>
    <row r="26" spans="2:6">
      <c r="B26" s="67"/>
      <c r="C26" s="67"/>
      <c r="D26" s="223"/>
      <c r="E26" s="223"/>
      <c r="F26" s="67"/>
    </row>
    <row r="27" spans="2:6">
      <c r="B27" s="67"/>
      <c r="C27" s="67"/>
      <c r="D27" s="223"/>
      <c r="E27" s="223"/>
      <c r="F27" s="67"/>
    </row>
    <row r="28" spans="2:6">
      <c r="B28" s="67"/>
      <c r="C28" s="67"/>
      <c r="D28" s="223"/>
      <c r="E28" s="223"/>
      <c r="F28" s="67"/>
    </row>
    <row r="29" spans="2:6">
      <c r="B29" s="67"/>
      <c r="C29" s="67"/>
      <c r="D29" s="67"/>
      <c r="E29" s="223"/>
      <c r="F29" s="67"/>
    </row>
    <row r="30" spans="2:6">
      <c r="B30" s="67"/>
      <c r="C30" s="67"/>
      <c r="D30" s="281"/>
      <c r="E30" s="67"/>
      <c r="F30" s="67"/>
    </row>
    <row r="31" spans="2:6">
      <c r="B31" s="67"/>
      <c r="C31" s="67"/>
      <c r="D31" s="67"/>
      <c r="E31" s="67"/>
      <c r="F31" s="67"/>
    </row>
    <row r="32" spans="2:6">
      <c r="B32" s="67"/>
      <c r="C32" s="67"/>
      <c r="D32" s="67"/>
      <c r="E32" s="67"/>
      <c r="F32" s="67"/>
    </row>
    <row r="33" spans="2:6">
      <c r="B33" s="67"/>
      <c r="C33" s="67"/>
      <c r="D33" s="67"/>
      <c r="E33" s="67"/>
      <c r="F33" s="67"/>
    </row>
    <row r="34" spans="2:6">
      <c r="B34" s="67"/>
      <c r="C34" s="67"/>
      <c r="D34" s="67"/>
      <c r="E34" s="67"/>
      <c r="F34" s="67"/>
    </row>
  </sheetData>
  <phoneticPr fontId="23" type="noConversion"/>
  <pageMargins left="0.25" right="0.22" top="1" bottom="1" header="0.5" footer="0.5"/>
  <pageSetup scale="9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179"/>
  <sheetViews>
    <sheetView zoomScaleNormal="100" workbookViewId="0">
      <selection activeCell="A2" sqref="A1:A2"/>
    </sheetView>
  </sheetViews>
  <sheetFormatPr defaultColWidth="9" defaultRowHeight="12"/>
  <cols>
    <col min="1" max="1" width="14.33203125" style="21" customWidth="1"/>
    <col min="2" max="2" width="8.6640625" style="21" customWidth="1"/>
    <col min="3" max="6" width="7.33203125" style="21" customWidth="1"/>
    <col min="7" max="7" width="7.77734375" style="21" customWidth="1"/>
    <col min="8" max="8" width="7.88671875" style="21" customWidth="1"/>
    <col min="9" max="9" width="8.33203125" style="21" customWidth="1"/>
    <col min="10" max="10" width="7.88671875" style="21" customWidth="1"/>
    <col min="11" max="13" width="7.33203125" style="21" customWidth="1"/>
    <col min="14" max="14" width="9.33203125" style="21" customWidth="1"/>
    <col min="15" max="16384" width="9" style="21"/>
  </cols>
  <sheetData>
    <row r="1" spans="1:16" ht="12.6">
      <c r="A1" s="482" t="s">
        <v>486</v>
      </c>
    </row>
    <row r="2" spans="1:16" s="15" customFormat="1" ht="13.8">
      <c r="A2" s="482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5" customFormat="1" ht="13.8">
      <c r="A3" s="16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33" t="s">
        <v>122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</row>
    <row r="5" spans="1:16" s="15" customFormat="1" ht="13.8">
      <c r="A5" s="22"/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</row>
    <row r="6" spans="1:16" s="19" customFormat="1" ht="10.199999999999999">
      <c r="A6" s="24">
        <v>2014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6" s="19" customFormat="1" ht="9.75" customHeigh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s="19" customFormat="1" ht="10.199999999999999">
      <c r="A8" s="25" t="s">
        <v>37</v>
      </c>
      <c r="E8" s="298"/>
      <c r="F8" s="299"/>
    </row>
    <row r="9" spans="1:16" s="28" customFormat="1" ht="10.199999999999999">
      <c r="A9" s="26" t="s">
        <v>40</v>
      </c>
      <c r="B9" s="356">
        <v>183640</v>
      </c>
      <c r="C9" s="356">
        <v>147590</v>
      </c>
      <c r="D9" s="356">
        <v>129070</v>
      </c>
      <c r="E9" s="356">
        <v>133440</v>
      </c>
      <c r="F9" s="356">
        <v>148520</v>
      </c>
      <c r="G9" s="356">
        <v>162250</v>
      </c>
      <c r="H9" s="356">
        <v>160810</v>
      </c>
      <c r="I9" s="356">
        <v>173210</v>
      </c>
      <c r="J9" s="356">
        <v>162910</v>
      </c>
      <c r="K9" s="356">
        <v>151770</v>
      </c>
      <c r="L9" s="356">
        <v>131630</v>
      </c>
      <c r="M9" s="356">
        <v>138590</v>
      </c>
      <c r="N9" s="20">
        <f>SUM(B9:M9)</f>
        <v>1823430</v>
      </c>
    </row>
    <row r="10" spans="1:16" s="28" customFormat="1" ht="10.199999999999999">
      <c r="A10" s="26" t="s">
        <v>45</v>
      </c>
      <c r="B10" s="27">
        <f>ROUND(B9*'Transmission Formula Rate (7)'!$B$27,0)</f>
        <v>3397</v>
      </c>
      <c r="C10" s="27">
        <f>ROUND(C9*'Transmission Formula Rate (7)'!$B$27,0)</f>
        <v>2730</v>
      </c>
      <c r="D10" s="27">
        <f>ROUND(D9*'Transmission Formula Rate (7)'!$B$27,0)</f>
        <v>2388</v>
      </c>
      <c r="E10" s="27">
        <f>ROUND(E9*'Transmission Formula Rate (7)'!$B$27,0)</f>
        <v>2469</v>
      </c>
      <c r="F10" s="27">
        <f>ROUND(F9*'Transmission Formula Rate (7)'!$B$27,0)</f>
        <v>2748</v>
      </c>
      <c r="G10" s="27">
        <f>ROUND(G9*'Transmission Formula Rate (7)'!$B$27,0)</f>
        <v>3002</v>
      </c>
      <c r="H10" s="27">
        <f>ROUND(H9*'Transmission Formula Rate (7)'!$B$27,0)</f>
        <v>2975</v>
      </c>
      <c r="I10" s="27">
        <f>ROUND(I9*'Transmission Formula Rate (7)'!$B$27,0)</f>
        <v>3204</v>
      </c>
      <c r="J10" s="27">
        <f>ROUND(J9*'Transmission Formula Rate (7)'!$B$27,0)</f>
        <v>3014</v>
      </c>
      <c r="K10" s="27">
        <f>ROUND(K9*'Transmission Formula Rate (7)'!$B$27,0)</f>
        <v>2808</v>
      </c>
      <c r="L10" s="27">
        <f>ROUND(L9*'Transmission Formula Rate (7)'!$B$27,0)</f>
        <v>2435</v>
      </c>
      <c r="M10" s="27">
        <f>ROUND(M9*'Transmission Formula Rate (7)'!$B$27,0)</f>
        <v>2564</v>
      </c>
      <c r="N10" s="20">
        <f>SUM(B10:M10)</f>
        <v>33734</v>
      </c>
    </row>
    <row r="11" spans="1:16" s="28" customFormat="1" ht="10.199999999999999">
      <c r="A11" s="26" t="s">
        <v>123</v>
      </c>
      <c r="B11" s="27">
        <f t="shared" ref="B11:M11" si="0">B9+B10</f>
        <v>187037</v>
      </c>
      <c r="C11" s="27">
        <f t="shared" si="0"/>
        <v>150320</v>
      </c>
      <c r="D11" s="27">
        <f t="shared" si="0"/>
        <v>131458</v>
      </c>
      <c r="E11" s="27">
        <f t="shared" si="0"/>
        <v>135909</v>
      </c>
      <c r="F11" s="27">
        <f t="shared" si="0"/>
        <v>151268</v>
      </c>
      <c r="G11" s="27">
        <f t="shared" si="0"/>
        <v>165252</v>
      </c>
      <c r="H11" s="27">
        <f t="shared" si="0"/>
        <v>163785</v>
      </c>
      <c r="I11" s="27">
        <f t="shared" si="0"/>
        <v>176414</v>
      </c>
      <c r="J11" s="27">
        <f t="shared" si="0"/>
        <v>165924</v>
      </c>
      <c r="K11" s="27">
        <f t="shared" si="0"/>
        <v>154578</v>
      </c>
      <c r="L11" s="27">
        <f t="shared" si="0"/>
        <v>134065</v>
      </c>
      <c r="M11" s="27">
        <f t="shared" si="0"/>
        <v>141154</v>
      </c>
      <c r="N11" s="20">
        <f>SUM(B11:M11)</f>
        <v>1857164</v>
      </c>
    </row>
    <row r="12" spans="1:16" s="19" customFormat="1" ht="10.199999999999999">
      <c r="A12" s="25" t="s">
        <v>20</v>
      </c>
      <c r="B12" s="29">
        <f>'Transmission Formula Rate (7)'!B8</f>
        <v>1.59</v>
      </c>
      <c r="C12" s="29">
        <f>'Transmission Formula Rate (7)'!C8</f>
        <v>1.59</v>
      </c>
      <c r="D12" s="29">
        <f>'Transmission Formula Rate (7)'!D8</f>
        <v>1.59</v>
      </c>
      <c r="E12" s="29">
        <f>'Transmission Formula Rate (7)'!E8</f>
        <v>1.59</v>
      </c>
      <c r="F12" s="29">
        <f>'Transmission Formula Rate (7)'!F8</f>
        <v>1.59</v>
      </c>
      <c r="G12" s="29">
        <f>'Transmission Formula Rate (7)'!G8</f>
        <v>1.59</v>
      </c>
      <c r="H12" s="29">
        <f>'Transmission Formula Rate (7)'!H8</f>
        <v>1.59</v>
      </c>
      <c r="I12" s="29">
        <f>'Transmission Formula Rate (7)'!I8</f>
        <v>1.59</v>
      </c>
      <c r="J12" s="29">
        <f>'Transmission Formula Rate (7)'!J8</f>
        <v>1.59</v>
      </c>
      <c r="K12" s="29">
        <f>'Transmission Formula Rate (7)'!K8</f>
        <v>1.59</v>
      </c>
      <c r="L12" s="29">
        <f>'Transmission Formula Rate (7)'!L8</f>
        <v>1.59</v>
      </c>
      <c r="M12" s="29">
        <f>'Transmission Formula Rate (7)'!M8</f>
        <v>1.59</v>
      </c>
    </row>
    <row r="13" spans="1:16" s="19" customFormat="1" ht="10.199999999999999">
      <c r="A13" s="25" t="s">
        <v>17</v>
      </c>
      <c r="B13" s="192">
        <f t="shared" ref="B13:M13" si="1">B11*B12</f>
        <v>297388.83</v>
      </c>
      <c r="C13" s="192">
        <f t="shared" si="1"/>
        <v>239008.80000000002</v>
      </c>
      <c r="D13" s="192">
        <f t="shared" si="1"/>
        <v>209018.22</v>
      </c>
      <c r="E13" s="192">
        <f t="shared" si="1"/>
        <v>216095.31</v>
      </c>
      <c r="F13" s="192">
        <f t="shared" si="1"/>
        <v>240516.12000000002</v>
      </c>
      <c r="G13" s="192">
        <f t="shared" si="1"/>
        <v>262750.68</v>
      </c>
      <c r="H13" s="192">
        <f t="shared" si="1"/>
        <v>260418.15000000002</v>
      </c>
      <c r="I13" s="192">
        <f t="shared" si="1"/>
        <v>280498.26</v>
      </c>
      <c r="J13" s="192">
        <f t="shared" si="1"/>
        <v>263819.16000000003</v>
      </c>
      <c r="K13" s="192">
        <f t="shared" si="1"/>
        <v>245779.02000000002</v>
      </c>
      <c r="L13" s="192">
        <f t="shared" si="1"/>
        <v>213163.35</v>
      </c>
      <c r="M13" s="192">
        <f t="shared" si="1"/>
        <v>224434.86000000002</v>
      </c>
      <c r="N13" s="192">
        <f>SUM(B13:M13)</f>
        <v>2952890.76</v>
      </c>
    </row>
    <row r="14" spans="1:16" s="19" customFormat="1" ht="10.199999999999999"/>
    <row r="15" spans="1:16" s="19" customFormat="1" ht="10.199999999999999">
      <c r="A15" s="25" t="s">
        <v>135</v>
      </c>
    </row>
    <row r="16" spans="1:16" s="28" customFormat="1" ht="10.199999999999999">
      <c r="A16" s="26" t="s">
        <v>40</v>
      </c>
      <c r="B16" s="27">
        <f t="shared" ref="B16:M16" si="2">B9</f>
        <v>183640</v>
      </c>
      <c r="C16" s="27">
        <f t="shared" si="2"/>
        <v>147590</v>
      </c>
      <c r="D16" s="27">
        <f t="shared" si="2"/>
        <v>129070</v>
      </c>
      <c r="E16" s="27">
        <f t="shared" si="2"/>
        <v>133440</v>
      </c>
      <c r="F16" s="27">
        <f t="shared" si="2"/>
        <v>148520</v>
      </c>
      <c r="G16" s="27">
        <f t="shared" si="2"/>
        <v>162250</v>
      </c>
      <c r="H16" s="27">
        <f t="shared" si="2"/>
        <v>160810</v>
      </c>
      <c r="I16" s="27">
        <f t="shared" si="2"/>
        <v>173210</v>
      </c>
      <c r="J16" s="27">
        <f t="shared" si="2"/>
        <v>162910</v>
      </c>
      <c r="K16" s="27">
        <f t="shared" si="2"/>
        <v>151770</v>
      </c>
      <c r="L16" s="27">
        <f t="shared" si="2"/>
        <v>131630</v>
      </c>
      <c r="M16" s="27">
        <f t="shared" si="2"/>
        <v>138590</v>
      </c>
      <c r="N16" s="20">
        <f>SUM(B16:M16)</f>
        <v>1823430</v>
      </c>
    </row>
    <row r="17" spans="1:14" s="28" customFormat="1" ht="10.199999999999999">
      <c r="A17" s="26" t="s">
        <v>45</v>
      </c>
      <c r="B17" s="27">
        <f>B10</f>
        <v>3397</v>
      </c>
      <c r="C17" s="27">
        <f t="shared" ref="C17:M17" si="3">C10</f>
        <v>2730</v>
      </c>
      <c r="D17" s="27">
        <f t="shared" si="3"/>
        <v>2388</v>
      </c>
      <c r="E17" s="27">
        <f t="shared" si="3"/>
        <v>2469</v>
      </c>
      <c r="F17" s="27">
        <f t="shared" si="3"/>
        <v>2748</v>
      </c>
      <c r="G17" s="27">
        <f t="shared" si="3"/>
        <v>3002</v>
      </c>
      <c r="H17" s="27">
        <f t="shared" si="3"/>
        <v>2975</v>
      </c>
      <c r="I17" s="27">
        <f t="shared" si="3"/>
        <v>3204</v>
      </c>
      <c r="J17" s="27">
        <f t="shared" si="3"/>
        <v>3014</v>
      </c>
      <c r="K17" s="27">
        <f t="shared" si="3"/>
        <v>2808</v>
      </c>
      <c r="L17" s="27">
        <f t="shared" si="3"/>
        <v>2435</v>
      </c>
      <c r="M17" s="27">
        <f t="shared" si="3"/>
        <v>2564</v>
      </c>
      <c r="N17" s="20">
        <f>SUM(B17:M17)</f>
        <v>33734</v>
      </c>
    </row>
    <row r="18" spans="1:14" s="28" customFormat="1" ht="10.199999999999999">
      <c r="A18" s="26" t="str">
        <f>A11</f>
        <v xml:space="preserve">       Vero Beach Load</v>
      </c>
      <c r="B18" s="27">
        <f t="shared" ref="B18:M18" si="4">B16+B17</f>
        <v>187037</v>
      </c>
      <c r="C18" s="27">
        <f t="shared" si="4"/>
        <v>150320</v>
      </c>
      <c r="D18" s="27">
        <f t="shared" si="4"/>
        <v>131458</v>
      </c>
      <c r="E18" s="27">
        <f t="shared" si="4"/>
        <v>135909</v>
      </c>
      <c r="F18" s="27">
        <f t="shared" si="4"/>
        <v>151268</v>
      </c>
      <c r="G18" s="27">
        <f t="shared" si="4"/>
        <v>165252</v>
      </c>
      <c r="H18" s="27">
        <f t="shared" si="4"/>
        <v>163785</v>
      </c>
      <c r="I18" s="27">
        <f t="shared" si="4"/>
        <v>176414</v>
      </c>
      <c r="J18" s="27">
        <f t="shared" si="4"/>
        <v>165924</v>
      </c>
      <c r="K18" s="27">
        <f t="shared" si="4"/>
        <v>154578</v>
      </c>
      <c r="L18" s="27">
        <f t="shared" si="4"/>
        <v>134065</v>
      </c>
      <c r="M18" s="27">
        <f t="shared" si="4"/>
        <v>141154</v>
      </c>
      <c r="N18" s="20">
        <f>SUM(B18:M18)</f>
        <v>1857164</v>
      </c>
    </row>
    <row r="19" spans="1:14" s="19" customFormat="1" ht="10.199999999999999">
      <c r="A19" s="25" t="s">
        <v>20</v>
      </c>
      <c r="B19" s="31">
        <f>'charges (1 &amp; 2)'!$D$38</f>
        <v>1.274E-2</v>
      </c>
      <c r="C19" s="31">
        <f>B19</f>
        <v>1.274E-2</v>
      </c>
      <c r="D19" s="31">
        <f t="shared" ref="D19:M19" si="5">C19</f>
        <v>1.274E-2</v>
      </c>
      <c r="E19" s="31">
        <f t="shared" si="5"/>
        <v>1.274E-2</v>
      </c>
      <c r="F19" s="31">
        <f t="shared" si="5"/>
        <v>1.274E-2</v>
      </c>
      <c r="G19" s="31">
        <f t="shared" si="5"/>
        <v>1.274E-2</v>
      </c>
      <c r="H19" s="31">
        <f t="shared" si="5"/>
        <v>1.274E-2</v>
      </c>
      <c r="I19" s="31">
        <f t="shared" si="5"/>
        <v>1.274E-2</v>
      </c>
      <c r="J19" s="31">
        <f t="shared" si="5"/>
        <v>1.274E-2</v>
      </c>
      <c r="K19" s="31">
        <f t="shared" si="5"/>
        <v>1.274E-2</v>
      </c>
      <c r="L19" s="31">
        <f t="shared" si="5"/>
        <v>1.274E-2</v>
      </c>
      <c r="M19" s="31">
        <f t="shared" si="5"/>
        <v>1.274E-2</v>
      </c>
    </row>
    <row r="20" spans="1:14" s="19" customFormat="1" ht="10.199999999999999">
      <c r="A20" s="25" t="s">
        <v>17</v>
      </c>
      <c r="B20" s="192">
        <f t="shared" ref="B20:M20" si="6">B18*B19</f>
        <v>2382.8513800000001</v>
      </c>
      <c r="C20" s="192">
        <f t="shared" si="6"/>
        <v>1915.0768</v>
      </c>
      <c r="D20" s="192">
        <f t="shared" si="6"/>
        <v>1674.7749199999998</v>
      </c>
      <c r="E20" s="192">
        <f t="shared" si="6"/>
        <v>1731.4806599999999</v>
      </c>
      <c r="F20" s="192">
        <f t="shared" si="6"/>
        <v>1927.1543199999999</v>
      </c>
      <c r="G20" s="192">
        <f t="shared" si="6"/>
        <v>2105.3104800000001</v>
      </c>
      <c r="H20" s="192">
        <f t="shared" si="6"/>
        <v>2086.6208999999999</v>
      </c>
      <c r="I20" s="192">
        <f t="shared" si="6"/>
        <v>2247.5143600000001</v>
      </c>
      <c r="J20" s="192">
        <f t="shared" si="6"/>
        <v>2113.87176</v>
      </c>
      <c r="K20" s="192">
        <f t="shared" si="6"/>
        <v>1969.3237199999999</v>
      </c>
      <c r="L20" s="192">
        <f t="shared" si="6"/>
        <v>1707.9881</v>
      </c>
      <c r="M20" s="192">
        <f t="shared" si="6"/>
        <v>1798.30196</v>
      </c>
      <c r="N20" s="192">
        <f>SUM(B20:M20)</f>
        <v>23660.269359999998</v>
      </c>
    </row>
    <row r="21" spans="1:14" s="19" customFormat="1" ht="12.75" customHeight="1">
      <c r="B21" s="20"/>
    </row>
    <row r="22" spans="1:14" s="19" customFormat="1" ht="12.75" customHeight="1">
      <c r="A22" s="25" t="s">
        <v>38</v>
      </c>
    </row>
    <row r="23" spans="1:14" s="19" customFormat="1" ht="12.75" customHeight="1">
      <c r="A23" s="26" t="s">
        <v>40</v>
      </c>
      <c r="B23" s="27">
        <f t="shared" ref="B23:M23" si="7">B16</f>
        <v>183640</v>
      </c>
      <c r="C23" s="27">
        <f t="shared" si="7"/>
        <v>147590</v>
      </c>
      <c r="D23" s="27">
        <f t="shared" si="7"/>
        <v>129070</v>
      </c>
      <c r="E23" s="27">
        <f t="shared" si="7"/>
        <v>133440</v>
      </c>
      <c r="F23" s="27">
        <f t="shared" si="7"/>
        <v>148520</v>
      </c>
      <c r="G23" s="27">
        <f t="shared" si="7"/>
        <v>162250</v>
      </c>
      <c r="H23" s="27">
        <f t="shared" si="7"/>
        <v>160810</v>
      </c>
      <c r="I23" s="27">
        <f t="shared" si="7"/>
        <v>173210</v>
      </c>
      <c r="J23" s="27">
        <f t="shared" si="7"/>
        <v>162910</v>
      </c>
      <c r="K23" s="27">
        <f t="shared" si="7"/>
        <v>151770</v>
      </c>
      <c r="L23" s="27">
        <f t="shared" si="7"/>
        <v>131630</v>
      </c>
      <c r="M23" s="27">
        <f t="shared" si="7"/>
        <v>138590</v>
      </c>
      <c r="N23" s="20">
        <f>SUM(B23:M23)</f>
        <v>1823430</v>
      </c>
    </row>
    <row r="24" spans="1:14" s="19" customFormat="1" ht="12.75" customHeight="1">
      <c r="A24" s="26" t="s">
        <v>45</v>
      </c>
      <c r="B24" s="27">
        <f>ROUND(B23*'Transmission Formula Rate (7)'!$B$27,0)</f>
        <v>3397</v>
      </c>
      <c r="C24" s="27">
        <f>ROUND(C23*'Transmission Formula Rate (7)'!$B$27,0)</f>
        <v>2730</v>
      </c>
      <c r="D24" s="27">
        <f>ROUND(D23*'Transmission Formula Rate (7)'!$B$27,0)</f>
        <v>2388</v>
      </c>
      <c r="E24" s="27">
        <f>ROUND(E23*'Transmission Formula Rate (7)'!$B$27,0)</f>
        <v>2469</v>
      </c>
      <c r="F24" s="27">
        <f>ROUND(F23*'Transmission Formula Rate (7)'!$B$27,0)</f>
        <v>2748</v>
      </c>
      <c r="G24" s="27">
        <f>ROUND(G23*'Transmission Formula Rate (7)'!$B$27,0)</f>
        <v>3002</v>
      </c>
      <c r="H24" s="27">
        <f>ROUND(H23*'Transmission Formula Rate (7)'!$B$27,0)</f>
        <v>2975</v>
      </c>
      <c r="I24" s="27">
        <f>ROUND(I23*'Transmission Formula Rate (7)'!$B$27,0)</f>
        <v>3204</v>
      </c>
      <c r="J24" s="27">
        <f>ROUND(J23*'Transmission Formula Rate (7)'!$B$27,0)</f>
        <v>3014</v>
      </c>
      <c r="K24" s="27">
        <f>ROUND(K23*'Transmission Formula Rate (7)'!$B$27,0)</f>
        <v>2808</v>
      </c>
      <c r="L24" s="27">
        <f>ROUND(L23*'Transmission Formula Rate (7)'!$B$27,0)</f>
        <v>2435</v>
      </c>
      <c r="M24" s="27">
        <f>ROUND(M23*'Transmission Formula Rate (7)'!$B$27,0)</f>
        <v>2564</v>
      </c>
      <c r="N24" s="20">
        <f>SUM(B24:M24)</f>
        <v>33734</v>
      </c>
    </row>
    <row r="25" spans="1:14" s="19" customFormat="1" ht="12.75" customHeight="1">
      <c r="A25" s="26" t="str">
        <f>A18</f>
        <v xml:space="preserve">       Vero Beach Load</v>
      </c>
      <c r="B25" s="27">
        <f t="shared" ref="B25:M25" si="8">B23+B24</f>
        <v>187037</v>
      </c>
      <c r="C25" s="27">
        <f t="shared" si="8"/>
        <v>150320</v>
      </c>
      <c r="D25" s="27">
        <f t="shared" si="8"/>
        <v>131458</v>
      </c>
      <c r="E25" s="27">
        <f t="shared" si="8"/>
        <v>135909</v>
      </c>
      <c r="F25" s="27">
        <f t="shared" si="8"/>
        <v>151268</v>
      </c>
      <c r="G25" s="27">
        <f t="shared" si="8"/>
        <v>165252</v>
      </c>
      <c r="H25" s="27">
        <f t="shared" si="8"/>
        <v>163785</v>
      </c>
      <c r="I25" s="27">
        <f t="shared" si="8"/>
        <v>176414</v>
      </c>
      <c r="J25" s="27">
        <f t="shared" si="8"/>
        <v>165924</v>
      </c>
      <c r="K25" s="27">
        <f t="shared" si="8"/>
        <v>154578</v>
      </c>
      <c r="L25" s="27">
        <f t="shared" si="8"/>
        <v>134065</v>
      </c>
      <c r="M25" s="27">
        <f t="shared" si="8"/>
        <v>141154</v>
      </c>
      <c r="N25" s="20">
        <f>SUM(B25:M25)</f>
        <v>1857164</v>
      </c>
    </row>
    <row r="26" spans="1:14" s="19" customFormat="1" ht="12.75" customHeight="1">
      <c r="A26" s="25" t="s">
        <v>20</v>
      </c>
      <c r="B26" s="31">
        <f>'charges (1 &amp; 2)'!$C$37</f>
        <v>0.1008</v>
      </c>
      <c r="C26" s="31">
        <f>B26</f>
        <v>0.1008</v>
      </c>
      <c r="D26" s="31">
        <f t="shared" ref="D26:M26" si="9">C26</f>
        <v>0.1008</v>
      </c>
      <c r="E26" s="31">
        <f t="shared" si="9"/>
        <v>0.1008</v>
      </c>
      <c r="F26" s="31">
        <f t="shared" si="9"/>
        <v>0.1008</v>
      </c>
      <c r="G26" s="31">
        <f t="shared" si="9"/>
        <v>0.1008</v>
      </c>
      <c r="H26" s="31">
        <f t="shared" si="9"/>
        <v>0.1008</v>
      </c>
      <c r="I26" s="31">
        <f t="shared" si="9"/>
        <v>0.1008</v>
      </c>
      <c r="J26" s="31">
        <f t="shared" si="9"/>
        <v>0.1008</v>
      </c>
      <c r="K26" s="31">
        <f t="shared" si="9"/>
        <v>0.1008</v>
      </c>
      <c r="L26" s="31">
        <f t="shared" si="9"/>
        <v>0.1008</v>
      </c>
      <c r="M26" s="31">
        <f t="shared" si="9"/>
        <v>0.1008</v>
      </c>
    </row>
    <row r="27" spans="1:14" s="19" customFormat="1" ht="12.75" customHeight="1">
      <c r="A27" s="25" t="s">
        <v>17</v>
      </c>
      <c r="B27" s="192">
        <f t="shared" ref="B27:M27" si="10">B25*B26</f>
        <v>18853.329600000001</v>
      </c>
      <c r="C27" s="192">
        <f t="shared" si="10"/>
        <v>15152.255999999999</v>
      </c>
      <c r="D27" s="192">
        <f t="shared" si="10"/>
        <v>13250.966399999999</v>
      </c>
      <c r="E27" s="192">
        <f t="shared" si="10"/>
        <v>13699.627200000001</v>
      </c>
      <c r="F27" s="192">
        <f t="shared" si="10"/>
        <v>15247.814399999999</v>
      </c>
      <c r="G27" s="192">
        <f t="shared" si="10"/>
        <v>16657.401600000001</v>
      </c>
      <c r="H27" s="192">
        <f t="shared" si="10"/>
        <v>16509.527999999998</v>
      </c>
      <c r="I27" s="192">
        <f t="shared" si="10"/>
        <v>17782.531200000001</v>
      </c>
      <c r="J27" s="192">
        <f t="shared" si="10"/>
        <v>16725.139200000001</v>
      </c>
      <c r="K27" s="192">
        <f t="shared" si="10"/>
        <v>15581.4624</v>
      </c>
      <c r="L27" s="192">
        <f t="shared" si="10"/>
        <v>13513.752</v>
      </c>
      <c r="M27" s="192">
        <f t="shared" si="10"/>
        <v>14228.323200000001</v>
      </c>
      <c r="N27" s="192">
        <f>SUM(B27:M27)</f>
        <v>187202.1312</v>
      </c>
    </row>
    <row r="28" spans="1:14" s="19" customFormat="1" ht="12.75" customHeight="1">
      <c r="A28" s="25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 s="19" customFormat="1" ht="10.199999999999999">
      <c r="A29" s="25" t="s">
        <v>25</v>
      </c>
      <c r="B29" s="300">
        <f t="shared" ref="B29:G29" si="11">B13+B20</f>
        <v>299771.68138000002</v>
      </c>
      <c r="C29" s="300">
        <f t="shared" si="11"/>
        <v>240923.87680000003</v>
      </c>
      <c r="D29" s="300">
        <f t="shared" si="11"/>
        <v>210692.99492</v>
      </c>
      <c r="E29" s="300">
        <f t="shared" si="11"/>
        <v>217826.79066</v>
      </c>
      <c r="F29" s="300">
        <f t="shared" si="11"/>
        <v>242443.27432000003</v>
      </c>
      <c r="G29" s="300">
        <f t="shared" si="11"/>
        <v>264855.99047999998</v>
      </c>
      <c r="H29" s="300">
        <f t="shared" ref="H29:M29" si="12">H13+H20+H27</f>
        <v>279014.29889999999</v>
      </c>
      <c r="I29" s="300">
        <f t="shared" si="12"/>
        <v>300528.30556000001</v>
      </c>
      <c r="J29" s="300">
        <f t="shared" si="12"/>
        <v>282658.17096000002</v>
      </c>
      <c r="K29" s="300">
        <f t="shared" si="12"/>
        <v>263329.80612000002</v>
      </c>
      <c r="L29" s="300">
        <f t="shared" si="12"/>
        <v>228385.0901</v>
      </c>
      <c r="M29" s="300">
        <f t="shared" si="12"/>
        <v>240461.48516000004</v>
      </c>
      <c r="N29" s="300">
        <f>SUM(B29:M29)</f>
        <v>3070891.7653600005</v>
      </c>
    </row>
    <row r="30" spans="1:14" s="19" customFormat="1" ht="6" customHeight="1">
      <c r="A30" s="25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s="19" customFormat="1" ht="10.199999999999999">
      <c r="A31" s="24">
        <f>+A6+1</f>
        <v>2015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s="19" customFormat="1" ht="10.5" customHeight="1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28" s="19" customFormat="1" ht="10.199999999999999">
      <c r="A33" s="25" t="s">
        <v>37</v>
      </c>
    </row>
    <row r="34" spans="1:28" s="28" customFormat="1" ht="10.199999999999999">
      <c r="A34" s="26" t="s">
        <v>40</v>
      </c>
      <c r="B34" s="356">
        <v>175000</v>
      </c>
      <c r="C34" s="356">
        <v>151000</v>
      </c>
      <c r="D34" s="356">
        <v>121000</v>
      </c>
      <c r="E34" s="356">
        <v>126000</v>
      </c>
      <c r="F34" s="356">
        <v>138000</v>
      </c>
      <c r="G34" s="356">
        <v>152000</v>
      </c>
      <c r="H34" s="356">
        <v>151000</v>
      </c>
      <c r="I34" s="356">
        <v>162000</v>
      </c>
      <c r="J34" s="356">
        <v>153000</v>
      </c>
      <c r="K34" s="356">
        <v>144000</v>
      </c>
      <c r="L34" s="356">
        <v>123000</v>
      </c>
      <c r="M34" s="356">
        <v>138000</v>
      </c>
      <c r="N34" s="20">
        <f>SUM(B34:M34)</f>
        <v>1734000</v>
      </c>
      <c r="P34" s="28">
        <f>+B36-B35-B34</f>
        <v>0</v>
      </c>
      <c r="Q34" s="28">
        <f t="shared" ref="Q34:AB34" si="13">+C36-C35-C34</f>
        <v>0</v>
      </c>
      <c r="R34" s="28">
        <f t="shared" si="13"/>
        <v>0</v>
      </c>
      <c r="S34" s="28">
        <f t="shared" si="13"/>
        <v>0</v>
      </c>
      <c r="T34" s="28">
        <f t="shared" si="13"/>
        <v>0</v>
      </c>
      <c r="U34" s="28">
        <f t="shared" si="13"/>
        <v>0</v>
      </c>
      <c r="V34" s="28">
        <f t="shared" si="13"/>
        <v>0</v>
      </c>
      <c r="W34" s="28">
        <f t="shared" si="13"/>
        <v>0</v>
      </c>
      <c r="X34" s="28">
        <f t="shared" si="13"/>
        <v>0</v>
      </c>
      <c r="Y34" s="28">
        <f t="shared" si="13"/>
        <v>0</v>
      </c>
      <c r="Z34" s="28">
        <f t="shared" si="13"/>
        <v>0</v>
      </c>
      <c r="AA34" s="28">
        <f t="shared" si="13"/>
        <v>0</v>
      </c>
      <c r="AB34" s="28">
        <f t="shared" si="13"/>
        <v>0</v>
      </c>
    </row>
    <row r="35" spans="1:28" s="28" customFormat="1" ht="10.199999999999999">
      <c r="A35" s="26" t="s">
        <v>45</v>
      </c>
      <c r="B35" s="27">
        <f>ROUND(B34*'Transmission Formula Rate (7)'!$B$27,0)</f>
        <v>3238</v>
      </c>
      <c r="C35" s="27">
        <f>ROUND(C34*'Transmission Formula Rate (7)'!$B$27,0)</f>
        <v>2794</v>
      </c>
      <c r="D35" s="27">
        <f>ROUND(D34*'Transmission Formula Rate (7)'!$B$27,0)</f>
        <v>2239</v>
      </c>
      <c r="E35" s="27">
        <f>ROUND(E34*'Transmission Formula Rate (7)'!$B$27,0)</f>
        <v>2331</v>
      </c>
      <c r="F35" s="27">
        <f>ROUND(F34*'Transmission Formula Rate (7)'!$B$27,0)</f>
        <v>2553</v>
      </c>
      <c r="G35" s="27">
        <f>ROUND(G34*'Transmission Formula Rate (7)'!$B$27,0)</f>
        <v>2812</v>
      </c>
      <c r="H35" s="27">
        <f>ROUND(H34*'Transmission Formula Rate (7)'!$B$27,0)</f>
        <v>2794</v>
      </c>
      <c r="I35" s="27">
        <f>ROUND(I34*'Transmission Formula Rate (7)'!$B$27,0)</f>
        <v>2997</v>
      </c>
      <c r="J35" s="27">
        <f>ROUND(J34*'Transmission Formula Rate (7)'!$B$27,0)</f>
        <v>2831</v>
      </c>
      <c r="K35" s="27">
        <f>ROUND(K34*'Transmission Formula Rate (7)'!$B$27,0)</f>
        <v>2664</v>
      </c>
      <c r="L35" s="27">
        <f>ROUND(L34*'Transmission Formula Rate (7)'!$B$27,0)</f>
        <v>2276</v>
      </c>
      <c r="M35" s="27">
        <f>ROUND(M34*'Transmission Formula Rate (7)'!$B$27,0)</f>
        <v>2553</v>
      </c>
      <c r="N35" s="20">
        <f>SUM(B35:M35)</f>
        <v>32082</v>
      </c>
    </row>
    <row r="36" spans="1:28" s="28" customFormat="1" ht="10.199999999999999">
      <c r="A36" s="26" t="str">
        <f>A18</f>
        <v xml:space="preserve">       Vero Beach Load</v>
      </c>
      <c r="B36" s="27">
        <f t="shared" ref="B36:M36" si="14">B34+B35</f>
        <v>178238</v>
      </c>
      <c r="C36" s="27">
        <f t="shared" si="14"/>
        <v>153794</v>
      </c>
      <c r="D36" s="27">
        <f t="shared" si="14"/>
        <v>123239</v>
      </c>
      <c r="E36" s="27">
        <f t="shared" si="14"/>
        <v>128331</v>
      </c>
      <c r="F36" s="27">
        <f t="shared" si="14"/>
        <v>140553</v>
      </c>
      <c r="G36" s="27">
        <f t="shared" si="14"/>
        <v>154812</v>
      </c>
      <c r="H36" s="27">
        <f t="shared" si="14"/>
        <v>153794</v>
      </c>
      <c r="I36" s="27">
        <f t="shared" si="14"/>
        <v>164997</v>
      </c>
      <c r="J36" s="27">
        <f t="shared" si="14"/>
        <v>155831</v>
      </c>
      <c r="K36" s="27">
        <f t="shared" si="14"/>
        <v>146664</v>
      </c>
      <c r="L36" s="27">
        <f t="shared" si="14"/>
        <v>125276</v>
      </c>
      <c r="M36" s="27">
        <f t="shared" si="14"/>
        <v>140553</v>
      </c>
      <c r="N36" s="20">
        <f>SUM(B36:M36)</f>
        <v>1766082</v>
      </c>
    </row>
    <row r="37" spans="1:28" s="19" customFormat="1" ht="10.199999999999999">
      <c r="A37" s="25" t="s">
        <v>20</v>
      </c>
      <c r="B37" s="29">
        <f>'Transmission Formula Rate (7)'!B10</f>
        <v>1.59</v>
      </c>
      <c r="C37" s="29">
        <f>'Transmission Formula Rate (7)'!C10</f>
        <v>1.59</v>
      </c>
      <c r="D37" s="29">
        <f>'Transmission Formula Rate (7)'!D10</f>
        <v>1.59</v>
      </c>
      <c r="E37" s="29">
        <f>'Transmission Formula Rate (7)'!E10</f>
        <v>1.59</v>
      </c>
      <c r="F37" s="29">
        <f>'Transmission Formula Rate (7)'!F10</f>
        <v>1.59</v>
      </c>
      <c r="G37" s="29">
        <f>'Transmission Formula Rate (7)'!G10</f>
        <v>1.59</v>
      </c>
      <c r="H37" s="29">
        <f>'Transmission Formula Rate (7)'!H10</f>
        <v>1.59</v>
      </c>
      <c r="I37" s="29">
        <f>'Transmission Formula Rate (7)'!I10</f>
        <v>1.59</v>
      </c>
      <c r="J37" s="29">
        <f>'Transmission Formula Rate (7)'!J10</f>
        <v>1.59</v>
      </c>
      <c r="K37" s="29">
        <f>'Transmission Formula Rate (7)'!K10</f>
        <v>1.59</v>
      </c>
      <c r="L37" s="29">
        <f>'Transmission Formula Rate (7)'!L10</f>
        <v>1.59</v>
      </c>
      <c r="M37" s="29">
        <f>'Transmission Formula Rate (7)'!M10</f>
        <v>1.59</v>
      </c>
    </row>
    <row r="38" spans="1:28" s="19" customFormat="1" ht="10.199999999999999">
      <c r="A38" s="25" t="s">
        <v>17</v>
      </c>
      <c r="B38" s="192">
        <f t="shared" ref="B38:M38" si="15">B36*B37</f>
        <v>283398.42000000004</v>
      </c>
      <c r="C38" s="192">
        <f t="shared" si="15"/>
        <v>244532.46000000002</v>
      </c>
      <c r="D38" s="192">
        <f t="shared" si="15"/>
        <v>195950.01</v>
      </c>
      <c r="E38" s="192">
        <f t="shared" si="15"/>
        <v>204046.29</v>
      </c>
      <c r="F38" s="192">
        <f t="shared" si="15"/>
        <v>223479.27000000002</v>
      </c>
      <c r="G38" s="192">
        <f t="shared" si="15"/>
        <v>246151.08000000002</v>
      </c>
      <c r="H38" s="192">
        <f t="shared" si="15"/>
        <v>244532.46000000002</v>
      </c>
      <c r="I38" s="192">
        <f t="shared" si="15"/>
        <v>262345.23000000004</v>
      </c>
      <c r="J38" s="192">
        <f t="shared" si="15"/>
        <v>247771.29</v>
      </c>
      <c r="K38" s="192">
        <f t="shared" si="15"/>
        <v>233195.76</v>
      </c>
      <c r="L38" s="192">
        <f t="shared" si="15"/>
        <v>199188.84</v>
      </c>
      <c r="M38" s="192">
        <f t="shared" si="15"/>
        <v>223479.27000000002</v>
      </c>
      <c r="N38" s="192">
        <f>SUM(B38:M38)</f>
        <v>2808070.3800000004</v>
      </c>
    </row>
    <row r="39" spans="1:28" s="19" customFormat="1" ht="10.199999999999999">
      <c r="A39" s="25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28" s="19" customFormat="1" ht="10.199999999999999">
      <c r="A40" s="25" t="str">
        <f>A15</f>
        <v>TRANSMISSION SERVICE SCHEDULING CHARGE</v>
      </c>
    </row>
    <row r="41" spans="1:28" s="19" customFormat="1" ht="10.199999999999999">
      <c r="A41" s="26" t="s">
        <v>40</v>
      </c>
      <c r="B41" s="27">
        <f>B34</f>
        <v>175000</v>
      </c>
      <c r="C41" s="27">
        <f t="shared" ref="C41:M41" si="16">C34</f>
        <v>151000</v>
      </c>
      <c r="D41" s="27">
        <f t="shared" si="16"/>
        <v>121000</v>
      </c>
      <c r="E41" s="27">
        <f t="shared" si="16"/>
        <v>126000</v>
      </c>
      <c r="F41" s="27">
        <f t="shared" si="16"/>
        <v>138000</v>
      </c>
      <c r="G41" s="27">
        <f t="shared" si="16"/>
        <v>152000</v>
      </c>
      <c r="H41" s="27">
        <f t="shared" si="16"/>
        <v>151000</v>
      </c>
      <c r="I41" s="27">
        <f t="shared" si="16"/>
        <v>162000</v>
      </c>
      <c r="J41" s="27">
        <f t="shared" si="16"/>
        <v>153000</v>
      </c>
      <c r="K41" s="27">
        <f t="shared" si="16"/>
        <v>144000</v>
      </c>
      <c r="L41" s="27">
        <f t="shared" si="16"/>
        <v>123000</v>
      </c>
      <c r="M41" s="27">
        <f t="shared" si="16"/>
        <v>138000</v>
      </c>
      <c r="N41" s="20">
        <f>SUM(B41:M41)</f>
        <v>1734000</v>
      </c>
    </row>
    <row r="42" spans="1:28" s="19" customFormat="1" ht="10.199999999999999">
      <c r="A42" s="26" t="s">
        <v>45</v>
      </c>
      <c r="B42" s="27">
        <f>ROUND(B41*'Transmission Formula Rate (7)'!$B$27,0)</f>
        <v>3238</v>
      </c>
      <c r="C42" s="27">
        <f>ROUND(C41*'Transmission Formula Rate (7)'!$B$27,0)</f>
        <v>2794</v>
      </c>
      <c r="D42" s="27">
        <f>ROUND(D41*'Transmission Formula Rate (7)'!$B$27,0)</f>
        <v>2239</v>
      </c>
      <c r="E42" s="27">
        <f>ROUND(E41*'Transmission Formula Rate (7)'!$B$27,0)</f>
        <v>2331</v>
      </c>
      <c r="F42" s="27">
        <f>ROUND(F41*'Transmission Formula Rate (7)'!$B$27,0)</f>
        <v>2553</v>
      </c>
      <c r="G42" s="27">
        <f>ROUND(G41*'Transmission Formula Rate (7)'!$B$27,0)</f>
        <v>2812</v>
      </c>
      <c r="H42" s="27">
        <f>ROUND(H41*'Transmission Formula Rate (7)'!$B$27,0)</f>
        <v>2794</v>
      </c>
      <c r="I42" s="27">
        <f>ROUND(I41*'Transmission Formula Rate (7)'!$B$27,0)</f>
        <v>2997</v>
      </c>
      <c r="J42" s="27">
        <f>ROUND(J41*'Transmission Formula Rate (7)'!$B$27,0)</f>
        <v>2831</v>
      </c>
      <c r="K42" s="27">
        <f>ROUND(K41*'Transmission Formula Rate (7)'!$B$27,0)</f>
        <v>2664</v>
      </c>
      <c r="L42" s="27">
        <f>ROUND(L41*'Transmission Formula Rate (7)'!$B$27,0)</f>
        <v>2276</v>
      </c>
      <c r="M42" s="27">
        <f>ROUND(M41*'Transmission Formula Rate (7)'!$B$27,0)</f>
        <v>2553</v>
      </c>
      <c r="N42" s="20">
        <f>SUM(B42:M42)</f>
        <v>32082</v>
      </c>
    </row>
    <row r="43" spans="1:28" s="19" customFormat="1" ht="10.199999999999999">
      <c r="A43" s="26" t="str">
        <f>A25</f>
        <v xml:space="preserve">       Vero Beach Load</v>
      </c>
      <c r="B43" s="27">
        <f t="shared" ref="B43:M43" si="17">B41+B42</f>
        <v>178238</v>
      </c>
      <c r="C43" s="27">
        <f t="shared" si="17"/>
        <v>153794</v>
      </c>
      <c r="D43" s="27">
        <f t="shared" si="17"/>
        <v>123239</v>
      </c>
      <c r="E43" s="27">
        <f t="shared" si="17"/>
        <v>128331</v>
      </c>
      <c r="F43" s="27">
        <f t="shared" si="17"/>
        <v>140553</v>
      </c>
      <c r="G43" s="27">
        <f t="shared" si="17"/>
        <v>154812</v>
      </c>
      <c r="H43" s="27">
        <f t="shared" si="17"/>
        <v>153794</v>
      </c>
      <c r="I43" s="27">
        <f t="shared" si="17"/>
        <v>164997</v>
      </c>
      <c r="J43" s="27">
        <f t="shared" si="17"/>
        <v>155831</v>
      </c>
      <c r="K43" s="27">
        <f t="shared" si="17"/>
        <v>146664</v>
      </c>
      <c r="L43" s="27">
        <f t="shared" si="17"/>
        <v>125276</v>
      </c>
      <c r="M43" s="27">
        <f t="shared" si="17"/>
        <v>140553</v>
      </c>
      <c r="N43" s="20">
        <f>SUM(B43:M43)</f>
        <v>1766082</v>
      </c>
    </row>
    <row r="44" spans="1:28" s="19" customFormat="1" ht="10.199999999999999">
      <c r="A44" s="25" t="s">
        <v>20</v>
      </c>
      <c r="B44" s="31">
        <f>'charges (1 &amp; 2)'!D38</f>
        <v>1.274E-2</v>
      </c>
      <c r="C44" s="31">
        <f>B44</f>
        <v>1.274E-2</v>
      </c>
      <c r="D44" s="31">
        <f t="shared" ref="D44:M44" si="18">C44</f>
        <v>1.274E-2</v>
      </c>
      <c r="E44" s="31">
        <f t="shared" si="18"/>
        <v>1.274E-2</v>
      </c>
      <c r="F44" s="31">
        <f t="shared" si="18"/>
        <v>1.274E-2</v>
      </c>
      <c r="G44" s="31">
        <f t="shared" si="18"/>
        <v>1.274E-2</v>
      </c>
      <c r="H44" s="31">
        <f t="shared" si="18"/>
        <v>1.274E-2</v>
      </c>
      <c r="I44" s="31">
        <f t="shared" si="18"/>
        <v>1.274E-2</v>
      </c>
      <c r="J44" s="31">
        <f t="shared" si="18"/>
        <v>1.274E-2</v>
      </c>
      <c r="K44" s="31">
        <f t="shared" si="18"/>
        <v>1.274E-2</v>
      </c>
      <c r="L44" s="31">
        <f t="shared" si="18"/>
        <v>1.274E-2</v>
      </c>
      <c r="M44" s="31">
        <f t="shared" si="18"/>
        <v>1.274E-2</v>
      </c>
    </row>
    <row r="45" spans="1:28" s="19" customFormat="1" ht="10.199999999999999">
      <c r="A45" s="25" t="s">
        <v>17</v>
      </c>
      <c r="B45" s="192">
        <f t="shared" ref="B45:M45" si="19">B43*B44</f>
        <v>2270.7521200000001</v>
      </c>
      <c r="C45" s="192">
        <f t="shared" si="19"/>
        <v>1959.33556</v>
      </c>
      <c r="D45" s="192">
        <f t="shared" si="19"/>
        <v>1570.06486</v>
      </c>
      <c r="E45" s="192">
        <f t="shared" si="19"/>
        <v>1634.93694</v>
      </c>
      <c r="F45" s="192">
        <f t="shared" si="19"/>
        <v>1790.6452199999999</v>
      </c>
      <c r="G45" s="192">
        <f t="shared" si="19"/>
        <v>1972.3048799999999</v>
      </c>
      <c r="H45" s="192">
        <f t="shared" si="19"/>
        <v>1959.33556</v>
      </c>
      <c r="I45" s="192">
        <f t="shared" si="19"/>
        <v>2102.06178</v>
      </c>
      <c r="J45" s="192">
        <f t="shared" si="19"/>
        <v>1985.28694</v>
      </c>
      <c r="K45" s="192">
        <f t="shared" si="19"/>
        <v>1868.49936</v>
      </c>
      <c r="L45" s="192">
        <f t="shared" si="19"/>
        <v>1596.0162399999999</v>
      </c>
      <c r="M45" s="192">
        <f t="shared" si="19"/>
        <v>1790.6452199999999</v>
      </c>
      <c r="N45" s="192">
        <f>SUM(B45:M45)</f>
        <v>22499.884679999999</v>
      </c>
    </row>
    <row r="46" spans="1:28" s="19" customFormat="1" ht="8.25" customHeight="1"/>
    <row r="47" spans="1:28" s="19" customFormat="1" ht="10.199999999999999">
      <c r="A47" s="25" t="s">
        <v>38</v>
      </c>
    </row>
    <row r="48" spans="1:28" s="28" customFormat="1" ht="10.199999999999999">
      <c r="A48" s="26" t="s">
        <v>40</v>
      </c>
      <c r="B48" s="27">
        <f t="shared" ref="B48:M48" si="20">B34</f>
        <v>175000</v>
      </c>
      <c r="C48" s="27">
        <f t="shared" si="20"/>
        <v>151000</v>
      </c>
      <c r="D48" s="27">
        <f t="shared" si="20"/>
        <v>121000</v>
      </c>
      <c r="E48" s="27">
        <f t="shared" si="20"/>
        <v>126000</v>
      </c>
      <c r="F48" s="27">
        <f t="shared" si="20"/>
        <v>138000</v>
      </c>
      <c r="G48" s="27">
        <f t="shared" si="20"/>
        <v>152000</v>
      </c>
      <c r="H48" s="27">
        <f t="shared" si="20"/>
        <v>151000</v>
      </c>
      <c r="I48" s="27">
        <f t="shared" si="20"/>
        <v>162000</v>
      </c>
      <c r="J48" s="27">
        <f t="shared" si="20"/>
        <v>153000</v>
      </c>
      <c r="K48" s="27">
        <f t="shared" si="20"/>
        <v>144000</v>
      </c>
      <c r="L48" s="27">
        <f t="shared" si="20"/>
        <v>123000</v>
      </c>
      <c r="M48" s="27">
        <f t="shared" si="20"/>
        <v>138000</v>
      </c>
      <c r="N48" s="20">
        <f>SUM(B48:M48)</f>
        <v>1734000</v>
      </c>
    </row>
    <row r="49" spans="1:14" s="28" customFormat="1" ht="10.199999999999999">
      <c r="A49" s="26" t="s">
        <v>45</v>
      </c>
      <c r="B49" s="27">
        <f>ROUND(B48*'Transmission Formula Rate (7)'!$B$27,0)</f>
        <v>3238</v>
      </c>
      <c r="C49" s="27">
        <f>ROUND(C48*'Transmission Formula Rate (7)'!$B$27,0)</f>
        <v>2794</v>
      </c>
      <c r="D49" s="27">
        <f>ROUND(D48*'Transmission Formula Rate (7)'!$B$27,0)</f>
        <v>2239</v>
      </c>
      <c r="E49" s="27">
        <f>ROUND(E48*'Transmission Formula Rate (7)'!$B$27,0)</f>
        <v>2331</v>
      </c>
      <c r="F49" s="27">
        <f>ROUND(F48*'Transmission Formula Rate (7)'!$B$27,0)</f>
        <v>2553</v>
      </c>
      <c r="G49" s="27">
        <f>ROUND(G48*'Transmission Formula Rate (7)'!$B$27,0)</f>
        <v>2812</v>
      </c>
      <c r="H49" s="27">
        <f>ROUND(H48*'Transmission Formula Rate (7)'!$B$27,0)</f>
        <v>2794</v>
      </c>
      <c r="I49" s="27">
        <f>ROUND(I48*'Transmission Formula Rate (7)'!$B$27,0)</f>
        <v>2997</v>
      </c>
      <c r="J49" s="27">
        <f>ROUND(J48*'Transmission Formula Rate (7)'!$B$27,0)</f>
        <v>2831</v>
      </c>
      <c r="K49" s="27">
        <f>ROUND(K48*'Transmission Formula Rate (7)'!$B$27,0)</f>
        <v>2664</v>
      </c>
      <c r="L49" s="27">
        <f>ROUND(L48*'Transmission Formula Rate (7)'!$B$27,0)</f>
        <v>2276</v>
      </c>
      <c r="M49" s="27">
        <f>ROUND(M48*'Transmission Formula Rate (7)'!$B$27,0)</f>
        <v>2553</v>
      </c>
      <c r="N49" s="20">
        <f>SUM(B49:M49)</f>
        <v>32082</v>
      </c>
    </row>
    <row r="50" spans="1:14" s="28" customFormat="1" ht="10.199999999999999">
      <c r="A50" s="26" t="str">
        <f>A36</f>
        <v xml:space="preserve">       Vero Beach Load</v>
      </c>
      <c r="B50" s="27">
        <f t="shared" ref="B50:M50" si="21">B48+B49</f>
        <v>178238</v>
      </c>
      <c r="C50" s="27">
        <f t="shared" si="21"/>
        <v>153794</v>
      </c>
      <c r="D50" s="27">
        <f t="shared" si="21"/>
        <v>123239</v>
      </c>
      <c r="E50" s="27">
        <f t="shared" si="21"/>
        <v>128331</v>
      </c>
      <c r="F50" s="27">
        <f t="shared" si="21"/>
        <v>140553</v>
      </c>
      <c r="G50" s="27">
        <f t="shared" si="21"/>
        <v>154812</v>
      </c>
      <c r="H50" s="27">
        <f t="shared" si="21"/>
        <v>153794</v>
      </c>
      <c r="I50" s="27">
        <f t="shared" si="21"/>
        <v>164997</v>
      </c>
      <c r="J50" s="27">
        <f t="shared" si="21"/>
        <v>155831</v>
      </c>
      <c r="K50" s="27">
        <f t="shared" si="21"/>
        <v>146664</v>
      </c>
      <c r="L50" s="27">
        <f t="shared" si="21"/>
        <v>125276</v>
      </c>
      <c r="M50" s="27">
        <f t="shared" si="21"/>
        <v>140553</v>
      </c>
      <c r="N50" s="20">
        <f>SUM(B50:M50)</f>
        <v>1766082</v>
      </c>
    </row>
    <row r="51" spans="1:14" s="19" customFormat="1" ht="10.199999999999999">
      <c r="A51" s="25" t="s">
        <v>20</v>
      </c>
      <c r="B51" s="31">
        <f>'charges (1 &amp; 2)'!$D$37</f>
        <v>0.1008</v>
      </c>
      <c r="C51" s="31">
        <f>B51</f>
        <v>0.1008</v>
      </c>
      <c r="D51" s="31">
        <f t="shared" ref="D51:M51" si="22">C51</f>
        <v>0.1008</v>
      </c>
      <c r="E51" s="31">
        <f t="shared" si="22"/>
        <v>0.1008</v>
      </c>
      <c r="F51" s="31">
        <f t="shared" si="22"/>
        <v>0.1008</v>
      </c>
      <c r="G51" s="31">
        <f t="shared" si="22"/>
        <v>0.1008</v>
      </c>
      <c r="H51" s="31">
        <f t="shared" si="22"/>
        <v>0.1008</v>
      </c>
      <c r="I51" s="31">
        <f t="shared" si="22"/>
        <v>0.1008</v>
      </c>
      <c r="J51" s="31">
        <f t="shared" si="22"/>
        <v>0.1008</v>
      </c>
      <c r="K51" s="31">
        <f t="shared" si="22"/>
        <v>0.1008</v>
      </c>
      <c r="L51" s="31">
        <f t="shared" si="22"/>
        <v>0.1008</v>
      </c>
      <c r="M51" s="31">
        <f t="shared" si="22"/>
        <v>0.1008</v>
      </c>
    </row>
    <row r="52" spans="1:14" s="19" customFormat="1" ht="10.199999999999999">
      <c r="A52" s="25" t="s">
        <v>17</v>
      </c>
      <c r="B52" s="192">
        <f t="shared" ref="B52:M52" si="23">B50*B51</f>
        <v>17966.3904</v>
      </c>
      <c r="C52" s="192">
        <f t="shared" si="23"/>
        <v>15502.4352</v>
      </c>
      <c r="D52" s="192">
        <f t="shared" si="23"/>
        <v>12422.4912</v>
      </c>
      <c r="E52" s="192">
        <f t="shared" si="23"/>
        <v>12935.764800000001</v>
      </c>
      <c r="F52" s="192">
        <f t="shared" si="23"/>
        <v>14167.742400000001</v>
      </c>
      <c r="G52" s="192">
        <f t="shared" si="23"/>
        <v>15605.0496</v>
      </c>
      <c r="H52" s="192">
        <f t="shared" si="23"/>
        <v>15502.4352</v>
      </c>
      <c r="I52" s="192">
        <f t="shared" si="23"/>
        <v>16631.6976</v>
      </c>
      <c r="J52" s="192">
        <f t="shared" si="23"/>
        <v>15707.764800000001</v>
      </c>
      <c r="K52" s="192">
        <f t="shared" si="23"/>
        <v>14783.7312</v>
      </c>
      <c r="L52" s="192">
        <f t="shared" si="23"/>
        <v>12627.8208</v>
      </c>
      <c r="M52" s="192">
        <f t="shared" si="23"/>
        <v>14167.742400000001</v>
      </c>
      <c r="N52" s="192">
        <f>SUM(B52:M52)</f>
        <v>178021.06559999997</v>
      </c>
    </row>
    <row r="53" spans="1:14" s="19" customFormat="1" ht="10.199999999999999">
      <c r="A53" s="25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</row>
    <row r="54" spans="1:14" s="19" customFormat="1" ht="10.199999999999999">
      <c r="A54" s="25" t="s">
        <v>25</v>
      </c>
      <c r="B54" s="191">
        <f>B38+B52+B45</f>
        <v>303635.56252000004</v>
      </c>
      <c r="C54" s="191">
        <f t="shared" ref="C54:M54" si="24">C38+C52+C45</f>
        <v>261994.23076000003</v>
      </c>
      <c r="D54" s="191">
        <f t="shared" si="24"/>
        <v>209942.56606000001</v>
      </c>
      <c r="E54" s="191">
        <f t="shared" si="24"/>
        <v>218616.99174000003</v>
      </c>
      <c r="F54" s="191">
        <f t="shared" si="24"/>
        <v>239437.65762000001</v>
      </c>
      <c r="G54" s="191">
        <f t="shared" si="24"/>
        <v>263728.43448</v>
      </c>
      <c r="H54" s="191">
        <f t="shared" si="24"/>
        <v>261994.23076000003</v>
      </c>
      <c r="I54" s="191">
        <f t="shared" si="24"/>
        <v>281078.98938000004</v>
      </c>
      <c r="J54" s="191">
        <f t="shared" si="24"/>
        <v>265464.34174</v>
      </c>
      <c r="K54" s="191">
        <f t="shared" si="24"/>
        <v>249847.99056000001</v>
      </c>
      <c r="L54" s="191">
        <f t="shared" si="24"/>
        <v>213412.67703999998</v>
      </c>
      <c r="M54" s="191">
        <f t="shared" si="24"/>
        <v>239437.65762000001</v>
      </c>
      <c r="N54" s="191">
        <f>SUM(B54:M54)</f>
        <v>3008591.3302800003</v>
      </c>
    </row>
    <row r="55" spans="1:14" s="19" customFormat="1" ht="10.199999999999999">
      <c r="A55" s="25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s="19" customFormat="1" ht="10.199999999999999">
      <c r="A56" s="24">
        <f>+A31+1</f>
        <v>2016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s="19" customFormat="1" ht="10.199999999999999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s="19" customFormat="1" ht="10.199999999999999">
      <c r="A58" s="25" t="s">
        <v>37</v>
      </c>
    </row>
    <row r="59" spans="1:14" s="28" customFormat="1" ht="10.199999999999999">
      <c r="A59" s="26" t="s">
        <v>40</v>
      </c>
      <c r="B59" s="356">
        <v>177000</v>
      </c>
      <c r="C59" s="356">
        <v>154000</v>
      </c>
      <c r="D59" s="356">
        <v>123000</v>
      </c>
      <c r="E59" s="356">
        <v>127000</v>
      </c>
      <c r="F59" s="356">
        <v>140000</v>
      </c>
      <c r="G59" s="356">
        <v>154000</v>
      </c>
      <c r="H59" s="356">
        <v>152000</v>
      </c>
      <c r="I59" s="356">
        <v>164000</v>
      </c>
      <c r="J59" s="356">
        <v>154000</v>
      </c>
      <c r="K59" s="356">
        <v>145000</v>
      </c>
      <c r="L59" s="356">
        <v>124000</v>
      </c>
      <c r="M59" s="356">
        <v>139000</v>
      </c>
      <c r="N59" s="20">
        <f>SUM(B59:M59)</f>
        <v>1753000</v>
      </c>
    </row>
    <row r="60" spans="1:14" s="28" customFormat="1" ht="10.199999999999999">
      <c r="A60" s="26" t="s">
        <v>45</v>
      </c>
      <c r="B60" s="27">
        <f>ROUND(B59*'Transmission Formula Rate (7)'!$B$27,0)</f>
        <v>3275</v>
      </c>
      <c r="C60" s="27">
        <f>ROUND(C59*'Transmission Formula Rate (7)'!$B$27,0)</f>
        <v>2849</v>
      </c>
      <c r="D60" s="27">
        <f>ROUND(D59*'Transmission Formula Rate (7)'!$B$27,0)</f>
        <v>2276</v>
      </c>
      <c r="E60" s="27">
        <f>ROUND(E59*'Transmission Formula Rate (7)'!$B$27,0)</f>
        <v>2350</v>
      </c>
      <c r="F60" s="27">
        <f>ROUND(F59*'Transmission Formula Rate (7)'!$B$27,0)</f>
        <v>2590</v>
      </c>
      <c r="G60" s="27">
        <f>ROUND(G59*'Transmission Formula Rate (7)'!$B$27,0)</f>
        <v>2849</v>
      </c>
      <c r="H60" s="27">
        <f>ROUND(H59*'Transmission Formula Rate (7)'!$B$27,0)</f>
        <v>2812</v>
      </c>
      <c r="I60" s="27">
        <f>ROUND(I59*'Transmission Formula Rate (7)'!$B$27,0)</f>
        <v>3034</v>
      </c>
      <c r="J60" s="27">
        <f>ROUND(J59*'Transmission Formula Rate (7)'!$B$27,0)</f>
        <v>2849</v>
      </c>
      <c r="K60" s="27">
        <f>ROUND(K59*'Transmission Formula Rate (7)'!$B$27,0)</f>
        <v>2683</v>
      </c>
      <c r="L60" s="27">
        <f>ROUND(L59*'Transmission Formula Rate (7)'!$B$27,0)</f>
        <v>2294</v>
      </c>
      <c r="M60" s="27">
        <f>ROUND(M59*'Transmission Formula Rate (7)'!$B$27,0)</f>
        <v>2572</v>
      </c>
      <c r="N60" s="20">
        <f>SUM(B60:M60)</f>
        <v>32433</v>
      </c>
    </row>
    <row r="61" spans="1:14" s="28" customFormat="1" ht="10.199999999999999">
      <c r="A61" s="26" t="str">
        <f>A50</f>
        <v xml:space="preserve">       Vero Beach Load</v>
      </c>
      <c r="B61" s="27">
        <f t="shared" ref="B61:M61" si="25">B59+B60</f>
        <v>180275</v>
      </c>
      <c r="C61" s="27">
        <f t="shared" si="25"/>
        <v>156849</v>
      </c>
      <c r="D61" s="27">
        <f t="shared" si="25"/>
        <v>125276</v>
      </c>
      <c r="E61" s="27">
        <f t="shared" si="25"/>
        <v>129350</v>
      </c>
      <c r="F61" s="27">
        <f t="shared" si="25"/>
        <v>142590</v>
      </c>
      <c r="G61" s="27">
        <f t="shared" si="25"/>
        <v>156849</v>
      </c>
      <c r="H61" s="27">
        <f t="shared" si="25"/>
        <v>154812</v>
      </c>
      <c r="I61" s="27">
        <f t="shared" si="25"/>
        <v>167034</v>
      </c>
      <c r="J61" s="27">
        <f t="shared" si="25"/>
        <v>156849</v>
      </c>
      <c r="K61" s="27">
        <f t="shared" si="25"/>
        <v>147683</v>
      </c>
      <c r="L61" s="27">
        <f t="shared" si="25"/>
        <v>126294</v>
      </c>
      <c r="M61" s="27">
        <f t="shared" si="25"/>
        <v>141572</v>
      </c>
      <c r="N61" s="20">
        <f>SUM(B61:M61)</f>
        <v>1785433</v>
      </c>
    </row>
    <row r="62" spans="1:14" s="19" customFormat="1" ht="10.199999999999999">
      <c r="A62" s="25" t="s">
        <v>20</v>
      </c>
      <c r="B62" s="29">
        <f>'Transmission Formula Rate (7)'!B12</f>
        <v>1.59</v>
      </c>
      <c r="C62" s="29">
        <f>'Transmission Formula Rate (7)'!C12</f>
        <v>1.59</v>
      </c>
      <c r="D62" s="29">
        <f>'Transmission Formula Rate (7)'!D12</f>
        <v>1.59</v>
      </c>
      <c r="E62" s="29">
        <f>'Transmission Formula Rate (7)'!E12</f>
        <v>1.59</v>
      </c>
      <c r="F62" s="29">
        <f>'Transmission Formula Rate (7)'!F12</f>
        <v>1.59</v>
      </c>
      <c r="G62" s="29">
        <f>'Transmission Formula Rate (7)'!G12</f>
        <v>1.59</v>
      </c>
      <c r="H62" s="29">
        <f>'Transmission Formula Rate (7)'!H12</f>
        <v>1.59</v>
      </c>
      <c r="I62" s="29">
        <f>'Transmission Formula Rate (7)'!I12</f>
        <v>1.59</v>
      </c>
      <c r="J62" s="29">
        <f>'Transmission Formula Rate (7)'!J12</f>
        <v>1.59</v>
      </c>
      <c r="K62" s="29">
        <f>'Transmission Formula Rate (7)'!K12</f>
        <v>1.59</v>
      </c>
      <c r="L62" s="29">
        <f>'Transmission Formula Rate (7)'!L12</f>
        <v>1.59</v>
      </c>
      <c r="M62" s="29">
        <f>'Transmission Formula Rate (7)'!M12</f>
        <v>1.59</v>
      </c>
    </row>
    <row r="63" spans="1:14" s="19" customFormat="1" ht="10.199999999999999">
      <c r="A63" s="25" t="s">
        <v>17</v>
      </c>
      <c r="B63" s="192">
        <f t="shared" ref="B63:M63" si="26">B61*B62</f>
        <v>286637.25</v>
      </c>
      <c r="C63" s="192">
        <f t="shared" si="26"/>
        <v>249389.91</v>
      </c>
      <c r="D63" s="192">
        <f t="shared" si="26"/>
        <v>199188.84</v>
      </c>
      <c r="E63" s="192">
        <f t="shared" si="26"/>
        <v>205666.5</v>
      </c>
      <c r="F63" s="192">
        <f t="shared" si="26"/>
        <v>226718.1</v>
      </c>
      <c r="G63" s="192">
        <f t="shared" si="26"/>
        <v>249389.91</v>
      </c>
      <c r="H63" s="192">
        <f t="shared" si="26"/>
        <v>246151.08000000002</v>
      </c>
      <c r="I63" s="192">
        <f t="shared" si="26"/>
        <v>265584.06</v>
      </c>
      <c r="J63" s="192">
        <f t="shared" si="26"/>
        <v>249389.91</v>
      </c>
      <c r="K63" s="192">
        <f t="shared" si="26"/>
        <v>234815.97</v>
      </c>
      <c r="L63" s="192">
        <f t="shared" si="26"/>
        <v>200807.46000000002</v>
      </c>
      <c r="M63" s="192">
        <f t="shared" si="26"/>
        <v>225099.48</v>
      </c>
      <c r="N63" s="192">
        <f>SUM(B63:M63)</f>
        <v>2838838.47</v>
      </c>
    </row>
    <row r="64" spans="1:14" s="19" customFormat="1" ht="10.199999999999999"/>
    <row r="65" spans="1:14" s="19" customFormat="1" ht="10.199999999999999">
      <c r="A65" s="25" t="str">
        <f>A40</f>
        <v>TRANSMISSION SERVICE SCHEDULING CHARGE</v>
      </c>
    </row>
    <row r="66" spans="1:14" s="19" customFormat="1" ht="10.199999999999999">
      <c r="A66" s="26" t="s">
        <v>40</v>
      </c>
      <c r="B66" s="356">
        <f>B59</f>
        <v>177000</v>
      </c>
      <c r="C66" s="356">
        <f t="shared" ref="C66:M66" si="27">C59</f>
        <v>154000</v>
      </c>
      <c r="D66" s="356">
        <f t="shared" si="27"/>
        <v>123000</v>
      </c>
      <c r="E66" s="356">
        <f t="shared" si="27"/>
        <v>127000</v>
      </c>
      <c r="F66" s="356">
        <f t="shared" si="27"/>
        <v>140000</v>
      </c>
      <c r="G66" s="356">
        <f t="shared" si="27"/>
        <v>154000</v>
      </c>
      <c r="H66" s="356">
        <f t="shared" si="27"/>
        <v>152000</v>
      </c>
      <c r="I66" s="356">
        <f t="shared" si="27"/>
        <v>164000</v>
      </c>
      <c r="J66" s="356">
        <f t="shared" si="27"/>
        <v>154000</v>
      </c>
      <c r="K66" s="356">
        <f t="shared" si="27"/>
        <v>145000</v>
      </c>
      <c r="L66" s="356">
        <f t="shared" si="27"/>
        <v>124000</v>
      </c>
      <c r="M66" s="356">
        <f t="shared" si="27"/>
        <v>139000</v>
      </c>
      <c r="N66" s="20">
        <f>SUM(B66:M66)</f>
        <v>1753000</v>
      </c>
    </row>
    <row r="67" spans="1:14" s="19" customFormat="1" ht="10.199999999999999">
      <c r="A67" s="26" t="s">
        <v>45</v>
      </c>
      <c r="B67" s="27">
        <f>ROUND(B66*'Transmission Formula Rate (7)'!$B$27,0)</f>
        <v>3275</v>
      </c>
      <c r="C67" s="27">
        <f>ROUND(C66*'Transmission Formula Rate (7)'!$B$27,0)</f>
        <v>2849</v>
      </c>
      <c r="D67" s="27">
        <f>ROUND(D66*'Transmission Formula Rate (7)'!$B$27,0)</f>
        <v>2276</v>
      </c>
      <c r="E67" s="27">
        <f>ROUND(E66*'Transmission Formula Rate (7)'!$B$27,0)</f>
        <v>2350</v>
      </c>
      <c r="F67" s="27">
        <f>ROUND(F66*'Transmission Formula Rate (7)'!$B$27,0)</f>
        <v>2590</v>
      </c>
      <c r="G67" s="27">
        <f>ROUND(G66*'Transmission Formula Rate (7)'!$B$27,0)</f>
        <v>2849</v>
      </c>
      <c r="H67" s="27">
        <f>ROUND(H66*'Transmission Formula Rate (7)'!$B$27,0)</f>
        <v>2812</v>
      </c>
      <c r="I67" s="27">
        <f>ROUND(I66*'Transmission Formula Rate (7)'!$B$27,0)</f>
        <v>3034</v>
      </c>
      <c r="J67" s="27">
        <f>ROUND(J66*'Transmission Formula Rate (7)'!$B$27,0)</f>
        <v>2849</v>
      </c>
      <c r="K67" s="27">
        <f>ROUND(K66*'Transmission Formula Rate (7)'!$B$27,0)</f>
        <v>2683</v>
      </c>
      <c r="L67" s="27">
        <f>ROUND(L66*'Transmission Formula Rate (7)'!$B$27,0)</f>
        <v>2294</v>
      </c>
      <c r="M67" s="27">
        <f>ROUND(M66*'Transmission Formula Rate (7)'!$B$27,0)</f>
        <v>2572</v>
      </c>
      <c r="N67" s="20">
        <f>SUM(B67:M67)</f>
        <v>32433</v>
      </c>
    </row>
    <row r="68" spans="1:14" s="19" customFormat="1" ht="10.199999999999999">
      <c r="A68" s="26" t="str">
        <f>A61</f>
        <v xml:space="preserve">       Vero Beach Load</v>
      </c>
      <c r="B68" s="27">
        <f t="shared" ref="B68:M68" si="28">B66+B67</f>
        <v>180275</v>
      </c>
      <c r="C68" s="27">
        <f t="shared" si="28"/>
        <v>156849</v>
      </c>
      <c r="D68" s="27">
        <f t="shared" si="28"/>
        <v>125276</v>
      </c>
      <c r="E68" s="27">
        <f t="shared" si="28"/>
        <v>129350</v>
      </c>
      <c r="F68" s="27">
        <f t="shared" si="28"/>
        <v>142590</v>
      </c>
      <c r="G68" s="27">
        <f t="shared" si="28"/>
        <v>156849</v>
      </c>
      <c r="H68" s="27">
        <f t="shared" si="28"/>
        <v>154812</v>
      </c>
      <c r="I68" s="27">
        <f t="shared" si="28"/>
        <v>167034</v>
      </c>
      <c r="J68" s="27">
        <f t="shared" si="28"/>
        <v>156849</v>
      </c>
      <c r="K68" s="27">
        <f t="shared" si="28"/>
        <v>147683</v>
      </c>
      <c r="L68" s="27">
        <f t="shared" si="28"/>
        <v>126294</v>
      </c>
      <c r="M68" s="27">
        <f t="shared" si="28"/>
        <v>141572</v>
      </c>
      <c r="N68" s="20">
        <f>SUM(B68:M68)</f>
        <v>1785433</v>
      </c>
    </row>
    <row r="69" spans="1:14" s="19" customFormat="1" ht="10.199999999999999">
      <c r="A69" s="25" t="s">
        <v>20</v>
      </c>
      <c r="B69" s="31">
        <f>'charges (1 &amp; 2)'!E38</f>
        <v>1.274E-2</v>
      </c>
      <c r="C69" s="31">
        <f>B69</f>
        <v>1.274E-2</v>
      </c>
      <c r="D69" s="31">
        <f t="shared" ref="D69:M69" si="29">C69</f>
        <v>1.274E-2</v>
      </c>
      <c r="E69" s="31">
        <f t="shared" si="29"/>
        <v>1.274E-2</v>
      </c>
      <c r="F69" s="31">
        <f t="shared" si="29"/>
        <v>1.274E-2</v>
      </c>
      <c r="G69" s="31">
        <f t="shared" si="29"/>
        <v>1.274E-2</v>
      </c>
      <c r="H69" s="31">
        <f t="shared" si="29"/>
        <v>1.274E-2</v>
      </c>
      <c r="I69" s="31">
        <f t="shared" si="29"/>
        <v>1.274E-2</v>
      </c>
      <c r="J69" s="31">
        <f t="shared" si="29"/>
        <v>1.274E-2</v>
      </c>
      <c r="K69" s="31">
        <f t="shared" si="29"/>
        <v>1.274E-2</v>
      </c>
      <c r="L69" s="31">
        <f t="shared" si="29"/>
        <v>1.274E-2</v>
      </c>
      <c r="M69" s="31">
        <f t="shared" si="29"/>
        <v>1.274E-2</v>
      </c>
    </row>
    <row r="70" spans="1:14" s="19" customFormat="1" ht="10.199999999999999">
      <c r="A70" s="25" t="s">
        <v>17</v>
      </c>
      <c r="B70" s="192">
        <f t="shared" ref="B70:M70" si="30">B68*B69</f>
        <v>2296.7035000000001</v>
      </c>
      <c r="C70" s="192">
        <f t="shared" si="30"/>
        <v>1998.2562599999999</v>
      </c>
      <c r="D70" s="192">
        <f t="shared" si="30"/>
        <v>1596.0162399999999</v>
      </c>
      <c r="E70" s="192">
        <f t="shared" si="30"/>
        <v>1647.9189999999999</v>
      </c>
      <c r="F70" s="192">
        <f t="shared" si="30"/>
        <v>1816.5965999999999</v>
      </c>
      <c r="G70" s="192">
        <f t="shared" si="30"/>
        <v>1998.2562599999999</v>
      </c>
      <c r="H70" s="192">
        <f t="shared" si="30"/>
        <v>1972.3048799999999</v>
      </c>
      <c r="I70" s="192">
        <f t="shared" si="30"/>
        <v>2128.01316</v>
      </c>
      <c r="J70" s="192">
        <f t="shared" si="30"/>
        <v>1998.2562599999999</v>
      </c>
      <c r="K70" s="192">
        <f t="shared" si="30"/>
        <v>1881.4814199999998</v>
      </c>
      <c r="L70" s="192">
        <f t="shared" si="30"/>
        <v>1608.9855599999999</v>
      </c>
      <c r="M70" s="192">
        <f t="shared" si="30"/>
        <v>1803.6272799999999</v>
      </c>
      <c r="N70" s="192">
        <f>SUM(B70:M70)</f>
        <v>22746.416420000001</v>
      </c>
    </row>
    <row r="71" spans="1:14" s="19" customFormat="1" ht="10.199999999999999"/>
    <row r="72" spans="1:14" s="19" customFormat="1" ht="10.199999999999999">
      <c r="A72" s="25" t="s">
        <v>38</v>
      </c>
    </row>
    <row r="73" spans="1:14" s="28" customFormat="1" ht="10.199999999999999">
      <c r="A73" s="26" t="s">
        <v>40</v>
      </c>
      <c r="B73" s="356">
        <f>B66</f>
        <v>177000</v>
      </c>
      <c r="C73" s="356">
        <f t="shared" ref="C73:M73" si="31">C66</f>
        <v>154000</v>
      </c>
      <c r="D73" s="356">
        <f t="shared" si="31"/>
        <v>123000</v>
      </c>
      <c r="E73" s="356">
        <f t="shared" si="31"/>
        <v>127000</v>
      </c>
      <c r="F73" s="356">
        <f t="shared" si="31"/>
        <v>140000</v>
      </c>
      <c r="G73" s="356">
        <f t="shared" si="31"/>
        <v>154000</v>
      </c>
      <c r="H73" s="356">
        <f t="shared" si="31"/>
        <v>152000</v>
      </c>
      <c r="I73" s="356">
        <f t="shared" si="31"/>
        <v>164000</v>
      </c>
      <c r="J73" s="356">
        <f t="shared" si="31"/>
        <v>154000</v>
      </c>
      <c r="K73" s="356">
        <f t="shared" si="31"/>
        <v>145000</v>
      </c>
      <c r="L73" s="356">
        <f t="shared" si="31"/>
        <v>124000</v>
      </c>
      <c r="M73" s="356">
        <f t="shared" si="31"/>
        <v>139000</v>
      </c>
      <c r="N73" s="20">
        <f>SUM(B73:M73)</f>
        <v>1753000</v>
      </c>
    </row>
    <row r="74" spans="1:14" s="28" customFormat="1" ht="10.199999999999999">
      <c r="A74" s="26" t="s">
        <v>45</v>
      </c>
      <c r="B74" s="27">
        <f>ROUND(B73*'Transmission Formula Rate (7)'!$B$27,0)</f>
        <v>3275</v>
      </c>
      <c r="C74" s="27">
        <f>ROUND(C73*'Transmission Formula Rate (7)'!$B$27,0)</f>
        <v>2849</v>
      </c>
      <c r="D74" s="27">
        <f>ROUND(D73*'Transmission Formula Rate (7)'!$B$27,0)</f>
        <v>2276</v>
      </c>
      <c r="E74" s="27">
        <f>ROUND(E73*'Transmission Formula Rate (7)'!$B$27,0)</f>
        <v>2350</v>
      </c>
      <c r="F74" s="27">
        <f>ROUND(F73*'Transmission Formula Rate (7)'!$B$27,0)</f>
        <v>2590</v>
      </c>
      <c r="G74" s="27">
        <f>ROUND(G73*'Transmission Formula Rate (7)'!$B$27,0)</f>
        <v>2849</v>
      </c>
      <c r="H74" s="27">
        <f>ROUND(H73*'Transmission Formula Rate (7)'!$B$27,0)</f>
        <v>2812</v>
      </c>
      <c r="I74" s="27">
        <f>ROUND(I73*'Transmission Formula Rate (7)'!$B$27,0)</f>
        <v>3034</v>
      </c>
      <c r="J74" s="27">
        <f>ROUND(J73*'Transmission Formula Rate (7)'!$B$27,0)</f>
        <v>2849</v>
      </c>
      <c r="K74" s="27">
        <f>ROUND(K73*'Transmission Formula Rate (7)'!$B$27,0)</f>
        <v>2683</v>
      </c>
      <c r="L74" s="27">
        <f>ROUND(L73*'Transmission Formula Rate (7)'!$B$27,0)</f>
        <v>2294</v>
      </c>
      <c r="M74" s="27">
        <f>ROUND(M73*'Transmission Formula Rate (7)'!$B$27,0)</f>
        <v>2572</v>
      </c>
      <c r="N74" s="20">
        <f>SUM(B74:M74)</f>
        <v>32433</v>
      </c>
    </row>
    <row r="75" spans="1:14" s="28" customFormat="1" ht="10.199999999999999">
      <c r="A75" s="26" t="str">
        <f>A61</f>
        <v xml:space="preserve">       Vero Beach Load</v>
      </c>
      <c r="B75" s="27">
        <f t="shared" ref="B75:M75" si="32">B73+B74</f>
        <v>180275</v>
      </c>
      <c r="C75" s="27">
        <f t="shared" si="32"/>
        <v>156849</v>
      </c>
      <c r="D75" s="27">
        <f t="shared" si="32"/>
        <v>125276</v>
      </c>
      <c r="E75" s="27">
        <f t="shared" si="32"/>
        <v>129350</v>
      </c>
      <c r="F75" s="27">
        <f t="shared" si="32"/>
        <v>142590</v>
      </c>
      <c r="G75" s="27">
        <f t="shared" si="32"/>
        <v>156849</v>
      </c>
      <c r="H75" s="27">
        <f t="shared" si="32"/>
        <v>154812</v>
      </c>
      <c r="I75" s="27">
        <f t="shared" si="32"/>
        <v>167034</v>
      </c>
      <c r="J75" s="27">
        <f t="shared" si="32"/>
        <v>156849</v>
      </c>
      <c r="K75" s="27">
        <f t="shared" si="32"/>
        <v>147683</v>
      </c>
      <c r="L75" s="27">
        <f t="shared" si="32"/>
        <v>126294</v>
      </c>
      <c r="M75" s="27">
        <f t="shared" si="32"/>
        <v>141572</v>
      </c>
      <c r="N75" s="20">
        <f>SUM(B75:M75)</f>
        <v>1785433</v>
      </c>
    </row>
    <row r="76" spans="1:14" s="19" customFormat="1" ht="10.199999999999999">
      <c r="A76" s="25" t="s">
        <v>20</v>
      </c>
      <c r="B76" s="31">
        <f>'charges (1 &amp; 2)'!$E$37</f>
        <v>0.1008</v>
      </c>
      <c r="C76" s="31">
        <f>B76</f>
        <v>0.1008</v>
      </c>
      <c r="D76" s="31">
        <f t="shared" ref="D76:M76" si="33">C76</f>
        <v>0.1008</v>
      </c>
      <c r="E76" s="31">
        <f t="shared" si="33"/>
        <v>0.1008</v>
      </c>
      <c r="F76" s="31">
        <f t="shared" si="33"/>
        <v>0.1008</v>
      </c>
      <c r="G76" s="31">
        <f t="shared" si="33"/>
        <v>0.1008</v>
      </c>
      <c r="H76" s="31">
        <f t="shared" si="33"/>
        <v>0.1008</v>
      </c>
      <c r="I76" s="31">
        <f t="shared" si="33"/>
        <v>0.1008</v>
      </c>
      <c r="J76" s="31">
        <f t="shared" si="33"/>
        <v>0.1008</v>
      </c>
      <c r="K76" s="31">
        <f t="shared" si="33"/>
        <v>0.1008</v>
      </c>
      <c r="L76" s="31">
        <f t="shared" si="33"/>
        <v>0.1008</v>
      </c>
      <c r="M76" s="31">
        <f t="shared" si="33"/>
        <v>0.1008</v>
      </c>
    </row>
    <row r="77" spans="1:14" s="19" customFormat="1" ht="10.199999999999999">
      <c r="A77" s="25" t="s">
        <v>17</v>
      </c>
      <c r="B77" s="192">
        <f t="shared" ref="B77:M77" si="34">B75*B76</f>
        <v>18171.72</v>
      </c>
      <c r="C77" s="192">
        <f t="shared" si="34"/>
        <v>15810.379199999999</v>
      </c>
      <c r="D77" s="192">
        <f t="shared" si="34"/>
        <v>12627.8208</v>
      </c>
      <c r="E77" s="192">
        <f t="shared" si="34"/>
        <v>13038.48</v>
      </c>
      <c r="F77" s="192">
        <f t="shared" si="34"/>
        <v>14373.072</v>
      </c>
      <c r="G77" s="192">
        <f t="shared" si="34"/>
        <v>15810.379199999999</v>
      </c>
      <c r="H77" s="192">
        <f t="shared" si="34"/>
        <v>15605.0496</v>
      </c>
      <c r="I77" s="192">
        <f t="shared" si="34"/>
        <v>16837.0272</v>
      </c>
      <c r="J77" s="192">
        <f t="shared" si="34"/>
        <v>15810.379199999999</v>
      </c>
      <c r="K77" s="192">
        <f t="shared" si="34"/>
        <v>14886.446400000001</v>
      </c>
      <c r="L77" s="192">
        <f t="shared" si="34"/>
        <v>12730.4352</v>
      </c>
      <c r="M77" s="192">
        <f t="shared" si="34"/>
        <v>14270.4576</v>
      </c>
      <c r="N77" s="192">
        <f>SUM(B77:M77)</f>
        <v>179971.6464</v>
      </c>
    </row>
    <row r="78" spans="1:14" s="19" customFormat="1" ht="10.199999999999999">
      <c r="A78" s="25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3"/>
    </row>
    <row r="79" spans="1:14" s="19" customFormat="1" ht="10.199999999999999">
      <c r="A79" s="25" t="s">
        <v>25</v>
      </c>
      <c r="B79" s="191">
        <f>B63+B77+B70</f>
        <v>307105.67349999998</v>
      </c>
      <c r="C79" s="191">
        <f t="shared" ref="C79:L79" si="35">C63+C77+C70</f>
        <v>267198.54545999999</v>
      </c>
      <c r="D79" s="191">
        <f t="shared" si="35"/>
        <v>213412.67703999998</v>
      </c>
      <c r="E79" s="191">
        <f t="shared" si="35"/>
        <v>220352.899</v>
      </c>
      <c r="F79" s="191">
        <f t="shared" si="35"/>
        <v>242907.76860000001</v>
      </c>
      <c r="G79" s="191">
        <f t="shared" si="35"/>
        <v>267198.54545999999</v>
      </c>
      <c r="H79" s="191">
        <f t="shared" si="35"/>
        <v>263728.43448</v>
      </c>
      <c r="I79" s="191">
        <f t="shared" si="35"/>
        <v>284549.10035999998</v>
      </c>
      <c r="J79" s="191">
        <f t="shared" si="35"/>
        <v>267198.54545999999</v>
      </c>
      <c r="K79" s="191">
        <f t="shared" si="35"/>
        <v>251583.89781999998</v>
      </c>
      <c r="L79" s="191">
        <f t="shared" si="35"/>
        <v>215146.88076000003</v>
      </c>
      <c r="M79" s="191">
        <f>M63+M77+M70</f>
        <v>241173.56487999999</v>
      </c>
      <c r="N79" s="191">
        <f>SUM(B79:M79)</f>
        <v>3041556.5328200003</v>
      </c>
    </row>
    <row r="80" spans="1:14" s="19" customFormat="1" ht="10.199999999999999">
      <c r="A80" s="25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s="19" customFormat="1" ht="10.199999999999999">
      <c r="A81" s="24">
        <f>+A56+1</f>
        <v>2017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s="19" customFormat="1" ht="10.199999999999999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19" customFormat="1" ht="10.199999999999999">
      <c r="A83" s="25" t="s">
        <v>37</v>
      </c>
    </row>
    <row r="84" spans="1:14" s="28" customFormat="1" ht="10.199999999999999">
      <c r="A84" s="26" t="s">
        <v>40</v>
      </c>
      <c r="B84" s="356">
        <v>179000</v>
      </c>
      <c r="C84" s="356">
        <v>155000</v>
      </c>
      <c r="D84" s="356">
        <v>124000</v>
      </c>
      <c r="E84" s="356">
        <v>128000</v>
      </c>
      <c r="F84" s="356">
        <v>141000</v>
      </c>
      <c r="G84" s="356">
        <v>155000</v>
      </c>
      <c r="H84" s="356">
        <v>154000</v>
      </c>
      <c r="I84" s="356">
        <v>165000</v>
      </c>
      <c r="J84" s="356">
        <v>156000</v>
      </c>
      <c r="K84" s="356">
        <v>147000</v>
      </c>
      <c r="L84" s="356">
        <v>125000</v>
      </c>
      <c r="M84" s="356">
        <v>141000</v>
      </c>
      <c r="N84" s="20">
        <f>SUM(B84:M84)</f>
        <v>1770000</v>
      </c>
    </row>
    <row r="85" spans="1:14" s="28" customFormat="1" ht="10.199999999999999">
      <c r="A85" s="26" t="s">
        <v>45</v>
      </c>
      <c r="B85" s="27">
        <f>ROUND(B84*'Transmission Formula Rate (7)'!$B$27,0)</f>
        <v>3312</v>
      </c>
      <c r="C85" s="27">
        <f>ROUND(C84*'Transmission Formula Rate (7)'!$B$27,0)</f>
        <v>2868</v>
      </c>
      <c r="D85" s="27">
        <f>ROUND(D84*'Transmission Formula Rate (7)'!$B$27,0)</f>
        <v>2294</v>
      </c>
      <c r="E85" s="27">
        <f>ROUND(E84*'Transmission Formula Rate (7)'!$B$27,0)</f>
        <v>2368</v>
      </c>
      <c r="F85" s="27">
        <f>ROUND(F84*'Transmission Formula Rate (7)'!$B$27,0)</f>
        <v>2609</v>
      </c>
      <c r="G85" s="27">
        <f>ROUND(G84*'Transmission Formula Rate (7)'!$B$27,0)</f>
        <v>2868</v>
      </c>
      <c r="H85" s="27">
        <f>ROUND(H84*'Transmission Formula Rate (7)'!$B$27,0)</f>
        <v>2849</v>
      </c>
      <c r="I85" s="27">
        <f>ROUND(I84*'Transmission Formula Rate (7)'!$B$27,0)</f>
        <v>3053</v>
      </c>
      <c r="J85" s="27">
        <f>ROUND(J84*'Transmission Formula Rate (7)'!$B$27,0)</f>
        <v>2886</v>
      </c>
      <c r="K85" s="27">
        <f>ROUND(K84*'Transmission Formula Rate (7)'!$B$27,0)</f>
        <v>2720</v>
      </c>
      <c r="L85" s="27">
        <f>ROUND(L84*'Transmission Formula Rate (7)'!$B$27,0)</f>
        <v>2313</v>
      </c>
      <c r="M85" s="27">
        <f>ROUND(M84*'Transmission Formula Rate (7)'!$B$27,0)</f>
        <v>2609</v>
      </c>
      <c r="N85" s="20">
        <f>SUM(B85:M85)</f>
        <v>32749</v>
      </c>
    </row>
    <row r="86" spans="1:14" s="28" customFormat="1" ht="10.199999999999999">
      <c r="A86" s="26" t="str">
        <f>A75</f>
        <v xml:space="preserve">       Vero Beach Load</v>
      </c>
      <c r="B86" s="27">
        <f t="shared" ref="B86:N86" si="36">B84+B85</f>
        <v>182312</v>
      </c>
      <c r="C86" s="27">
        <f t="shared" si="36"/>
        <v>157868</v>
      </c>
      <c r="D86" s="27">
        <f t="shared" si="36"/>
        <v>126294</v>
      </c>
      <c r="E86" s="27">
        <f t="shared" si="36"/>
        <v>130368</v>
      </c>
      <c r="F86" s="27">
        <f t="shared" si="36"/>
        <v>143609</v>
      </c>
      <c r="G86" s="27">
        <f t="shared" si="36"/>
        <v>157868</v>
      </c>
      <c r="H86" s="27">
        <f t="shared" si="36"/>
        <v>156849</v>
      </c>
      <c r="I86" s="27">
        <f t="shared" si="36"/>
        <v>168053</v>
      </c>
      <c r="J86" s="27">
        <f t="shared" si="36"/>
        <v>158886</v>
      </c>
      <c r="K86" s="27">
        <f t="shared" si="36"/>
        <v>149720</v>
      </c>
      <c r="L86" s="27">
        <f t="shared" si="36"/>
        <v>127313</v>
      </c>
      <c r="M86" s="27">
        <f t="shared" si="36"/>
        <v>143609</v>
      </c>
      <c r="N86" s="27">
        <f t="shared" si="36"/>
        <v>1802749</v>
      </c>
    </row>
    <row r="87" spans="1:14" s="19" customFormat="1" ht="10.199999999999999">
      <c r="A87" s="25" t="s">
        <v>20</v>
      </c>
      <c r="B87" s="29">
        <f>'Transmission Formula Rate (7)'!B14</f>
        <v>1.59</v>
      </c>
      <c r="C87" s="29">
        <f>'Transmission Formula Rate (7)'!C14</f>
        <v>1.59</v>
      </c>
      <c r="D87" s="29">
        <f>'Transmission Formula Rate (7)'!D14</f>
        <v>1.59</v>
      </c>
      <c r="E87" s="29">
        <f>'Transmission Formula Rate (7)'!E14</f>
        <v>1.59</v>
      </c>
      <c r="F87" s="29">
        <f>'Transmission Formula Rate (7)'!F14</f>
        <v>1.59</v>
      </c>
      <c r="G87" s="29">
        <f>'Transmission Formula Rate (7)'!G14</f>
        <v>1.59</v>
      </c>
      <c r="H87" s="29">
        <f>'Transmission Formula Rate (7)'!H14</f>
        <v>1.59</v>
      </c>
      <c r="I87" s="29">
        <f>'Transmission Formula Rate (7)'!I14</f>
        <v>1.59</v>
      </c>
      <c r="J87" s="29">
        <f>'Transmission Formula Rate (7)'!J14</f>
        <v>1.59</v>
      </c>
      <c r="K87" s="29">
        <f>'Transmission Formula Rate (7)'!K14</f>
        <v>1.59</v>
      </c>
      <c r="L87" s="29">
        <f>'Transmission Formula Rate (7)'!L14</f>
        <v>1.59</v>
      </c>
      <c r="M87" s="29">
        <f>'Transmission Formula Rate (7)'!M14</f>
        <v>1.59</v>
      </c>
    </row>
    <row r="88" spans="1:14" s="19" customFormat="1" ht="10.199999999999999">
      <c r="A88" s="25" t="s">
        <v>17</v>
      </c>
      <c r="B88" s="192">
        <f t="shared" ref="B88:M88" si="37">B86*B87</f>
        <v>289876.08</v>
      </c>
      <c r="C88" s="192">
        <f t="shared" si="37"/>
        <v>251010.12000000002</v>
      </c>
      <c r="D88" s="192">
        <f t="shared" si="37"/>
        <v>200807.46000000002</v>
      </c>
      <c r="E88" s="192">
        <f t="shared" si="37"/>
        <v>207285.12000000002</v>
      </c>
      <c r="F88" s="192">
        <f t="shared" si="37"/>
        <v>228338.31</v>
      </c>
      <c r="G88" s="192">
        <f t="shared" si="37"/>
        <v>251010.12000000002</v>
      </c>
      <c r="H88" s="192">
        <f t="shared" si="37"/>
        <v>249389.91</v>
      </c>
      <c r="I88" s="192">
        <f t="shared" si="37"/>
        <v>267204.27</v>
      </c>
      <c r="J88" s="192">
        <f t="shared" si="37"/>
        <v>252628.74000000002</v>
      </c>
      <c r="K88" s="192">
        <f t="shared" si="37"/>
        <v>238054.80000000002</v>
      </c>
      <c r="L88" s="192">
        <f t="shared" si="37"/>
        <v>202427.67</v>
      </c>
      <c r="M88" s="192">
        <f t="shared" si="37"/>
        <v>228338.31</v>
      </c>
      <c r="N88" s="192">
        <f>SUM(B88:M88)</f>
        <v>2866370.91</v>
      </c>
    </row>
    <row r="89" spans="1:14" s="19" customFormat="1" ht="12.75" customHeight="1"/>
    <row r="90" spans="1:14" s="19" customFormat="1" ht="12.75" customHeight="1">
      <c r="A90" s="25" t="str">
        <f>A65</f>
        <v>TRANSMISSION SERVICE SCHEDULING CHARGE</v>
      </c>
    </row>
    <row r="91" spans="1:14" s="19" customFormat="1" ht="12.75" customHeight="1">
      <c r="A91" s="26" t="s">
        <v>40</v>
      </c>
      <c r="B91" s="27">
        <f>B84</f>
        <v>179000</v>
      </c>
      <c r="C91" s="27">
        <f t="shared" ref="C91:M91" si="38">C84</f>
        <v>155000</v>
      </c>
      <c r="D91" s="27">
        <f t="shared" si="38"/>
        <v>124000</v>
      </c>
      <c r="E91" s="27">
        <f t="shared" si="38"/>
        <v>128000</v>
      </c>
      <c r="F91" s="27">
        <f t="shared" si="38"/>
        <v>141000</v>
      </c>
      <c r="G91" s="27">
        <f t="shared" si="38"/>
        <v>155000</v>
      </c>
      <c r="H91" s="27">
        <f t="shared" si="38"/>
        <v>154000</v>
      </c>
      <c r="I91" s="27">
        <f t="shared" si="38"/>
        <v>165000</v>
      </c>
      <c r="J91" s="27">
        <f t="shared" si="38"/>
        <v>156000</v>
      </c>
      <c r="K91" s="27">
        <f t="shared" si="38"/>
        <v>147000</v>
      </c>
      <c r="L91" s="27">
        <f t="shared" si="38"/>
        <v>125000</v>
      </c>
      <c r="M91" s="27">
        <f t="shared" si="38"/>
        <v>141000</v>
      </c>
      <c r="N91" s="20">
        <f>SUM(B91:M91)</f>
        <v>1770000</v>
      </c>
    </row>
    <row r="92" spans="1:14" s="19" customFormat="1" ht="12.75" customHeight="1">
      <c r="A92" s="26" t="s">
        <v>45</v>
      </c>
      <c r="B92" s="27">
        <f>ROUND(B91*'Transmission Formula Rate (7)'!$B$27,0)</f>
        <v>3312</v>
      </c>
      <c r="C92" s="27">
        <f>ROUND(C91*'Transmission Formula Rate (7)'!$B$27,0)</f>
        <v>2868</v>
      </c>
      <c r="D92" s="27">
        <f>ROUND(D91*'Transmission Formula Rate (7)'!$B$27,0)</f>
        <v>2294</v>
      </c>
      <c r="E92" s="27">
        <f>ROUND(E91*'Transmission Formula Rate (7)'!$B$27,0)</f>
        <v>2368</v>
      </c>
      <c r="F92" s="27">
        <f>ROUND(F91*'Transmission Formula Rate (7)'!$B$27,0)</f>
        <v>2609</v>
      </c>
      <c r="G92" s="27">
        <f>ROUND(G91*'Transmission Formula Rate (7)'!$B$27,0)</f>
        <v>2868</v>
      </c>
      <c r="H92" s="27">
        <f>ROUND(H91*'Transmission Formula Rate (7)'!$B$27,0)</f>
        <v>2849</v>
      </c>
      <c r="I92" s="27">
        <f>ROUND(I91*'Transmission Formula Rate (7)'!$B$27,0)</f>
        <v>3053</v>
      </c>
      <c r="J92" s="27">
        <f>ROUND(J91*'Transmission Formula Rate (7)'!$B$27,0)</f>
        <v>2886</v>
      </c>
      <c r="K92" s="27">
        <f>ROUND(K91*'Transmission Formula Rate (7)'!$B$27,0)</f>
        <v>2720</v>
      </c>
      <c r="L92" s="27">
        <f>ROUND(L91*'Transmission Formula Rate (7)'!$B$27,0)</f>
        <v>2313</v>
      </c>
      <c r="M92" s="27">
        <f>ROUND(M91*'Transmission Formula Rate (7)'!$B$27,0)</f>
        <v>2609</v>
      </c>
      <c r="N92" s="20">
        <f>SUM(B92:M92)</f>
        <v>32749</v>
      </c>
    </row>
    <row r="93" spans="1:14" s="19" customFormat="1" ht="12.75" customHeight="1">
      <c r="A93" s="26" t="str">
        <f>A86</f>
        <v xml:space="preserve">       Vero Beach Load</v>
      </c>
      <c r="B93" s="27">
        <f t="shared" ref="B93:N93" si="39">B91+B92</f>
        <v>182312</v>
      </c>
      <c r="C93" s="27">
        <f t="shared" si="39"/>
        <v>157868</v>
      </c>
      <c r="D93" s="27">
        <f t="shared" si="39"/>
        <v>126294</v>
      </c>
      <c r="E93" s="27">
        <f t="shared" si="39"/>
        <v>130368</v>
      </c>
      <c r="F93" s="27">
        <f t="shared" si="39"/>
        <v>143609</v>
      </c>
      <c r="G93" s="27">
        <f t="shared" si="39"/>
        <v>157868</v>
      </c>
      <c r="H93" s="27">
        <f t="shared" si="39"/>
        <v>156849</v>
      </c>
      <c r="I93" s="27">
        <f t="shared" si="39"/>
        <v>168053</v>
      </c>
      <c r="J93" s="27">
        <f t="shared" si="39"/>
        <v>158886</v>
      </c>
      <c r="K93" s="27">
        <f t="shared" si="39"/>
        <v>149720</v>
      </c>
      <c r="L93" s="27">
        <f t="shared" si="39"/>
        <v>127313</v>
      </c>
      <c r="M93" s="27">
        <f t="shared" si="39"/>
        <v>143609</v>
      </c>
      <c r="N93" s="27">
        <f t="shared" si="39"/>
        <v>1802749</v>
      </c>
    </row>
    <row r="94" spans="1:14" s="19" customFormat="1" ht="12.75" customHeight="1">
      <c r="A94" s="25" t="s">
        <v>20</v>
      </c>
      <c r="B94" s="31">
        <f>'charges (1 &amp; 2)'!F38</f>
        <v>1.274E-2</v>
      </c>
      <c r="C94" s="31">
        <f>B94</f>
        <v>1.274E-2</v>
      </c>
      <c r="D94" s="31">
        <f t="shared" ref="D94:M94" si="40">C94</f>
        <v>1.274E-2</v>
      </c>
      <c r="E94" s="31">
        <f t="shared" si="40"/>
        <v>1.274E-2</v>
      </c>
      <c r="F94" s="31">
        <f t="shared" si="40"/>
        <v>1.274E-2</v>
      </c>
      <c r="G94" s="31">
        <f t="shared" si="40"/>
        <v>1.274E-2</v>
      </c>
      <c r="H94" s="31">
        <f t="shared" si="40"/>
        <v>1.274E-2</v>
      </c>
      <c r="I94" s="31">
        <f t="shared" si="40"/>
        <v>1.274E-2</v>
      </c>
      <c r="J94" s="31">
        <f t="shared" si="40"/>
        <v>1.274E-2</v>
      </c>
      <c r="K94" s="31">
        <f t="shared" si="40"/>
        <v>1.274E-2</v>
      </c>
      <c r="L94" s="31">
        <f t="shared" si="40"/>
        <v>1.274E-2</v>
      </c>
      <c r="M94" s="31">
        <f t="shared" si="40"/>
        <v>1.274E-2</v>
      </c>
    </row>
    <row r="95" spans="1:14" s="19" customFormat="1" ht="12.75" customHeight="1">
      <c r="A95" s="25" t="s">
        <v>17</v>
      </c>
      <c r="B95" s="192">
        <f t="shared" ref="B95:M95" si="41">B93*B94</f>
        <v>2322.65488</v>
      </c>
      <c r="C95" s="192">
        <f t="shared" si="41"/>
        <v>2011.2383199999999</v>
      </c>
      <c r="D95" s="192">
        <f t="shared" si="41"/>
        <v>1608.9855599999999</v>
      </c>
      <c r="E95" s="192">
        <f t="shared" si="41"/>
        <v>1660.88832</v>
      </c>
      <c r="F95" s="192">
        <f t="shared" si="41"/>
        <v>1829.5786599999999</v>
      </c>
      <c r="G95" s="192">
        <f t="shared" si="41"/>
        <v>2011.2383199999999</v>
      </c>
      <c r="H95" s="192">
        <f t="shared" si="41"/>
        <v>1998.2562599999999</v>
      </c>
      <c r="I95" s="192">
        <f t="shared" si="41"/>
        <v>2140.9952199999998</v>
      </c>
      <c r="J95" s="192">
        <f t="shared" si="41"/>
        <v>2024.2076399999999</v>
      </c>
      <c r="K95" s="192">
        <f t="shared" si="41"/>
        <v>1907.4328</v>
      </c>
      <c r="L95" s="192">
        <f t="shared" si="41"/>
        <v>1621.9676199999999</v>
      </c>
      <c r="M95" s="192">
        <f t="shared" si="41"/>
        <v>1829.5786599999999</v>
      </c>
      <c r="N95" s="192">
        <f>SUM(B95:M95)</f>
        <v>22967.022259999998</v>
      </c>
    </row>
    <row r="96" spans="1:14" s="19" customFormat="1" ht="12.75" customHeight="1"/>
    <row r="97" spans="1:14" s="19" customFormat="1" ht="10.199999999999999">
      <c r="A97" s="25" t="s">
        <v>38</v>
      </c>
    </row>
    <row r="98" spans="1:14" s="28" customFormat="1" ht="10.199999999999999">
      <c r="A98" s="26" t="s">
        <v>40</v>
      </c>
      <c r="B98" s="27">
        <f t="shared" ref="B98:M98" si="42">B84</f>
        <v>179000</v>
      </c>
      <c r="C98" s="27">
        <f t="shared" si="42"/>
        <v>155000</v>
      </c>
      <c r="D98" s="27">
        <f t="shared" si="42"/>
        <v>124000</v>
      </c>
      <c r="E98" s="27">
        <f t="shared" si="42"/>
        <v>128000</v>
      </c>
      <c r="F98" s="27">
        <f t="shared" si="42"/>
        <v>141000</v>
      </c>
      <c r="G98" s="27">
        <f t="shared" si="42"/>
        <v>155000</v>
      </c>
      <c r="H98" s="27">
        <f t="shared" si="42"/>
        <v>154000</v>
      </c>
      <c r="I98" s="27">
        <f t="shared" si="42"/>
        <v>165000</v>
      </c>
      <c r="J98" s="27">
        <f t="shared" si="42"/>
        <v>156000</v>
      </c>
      <c r="K98" s="27">
        <f t="shared" si="42"/>
        <v>147000</v>
      </c>
      <c r="L98" s="27">
        <f t="shared" si="42"/>
        <v>125000</v>
      </c>
      <c r="M98" s="27">
        <f t="shared" si="42"/>
        <v>141000</v>
      </c>
      <c r="N98" s="20">
        <f>SUM(B98:M98)</f>
        <v>1770000</v>
      </c>
    </row>
    <row r="99" spans="1:14" s="28" customFormat="1" ht="10.199999999999999">
      <c r="A99" s="26" t="s">
        <v>45</v>
      </c>
      <c r="B99" s="27">
        <f>ROUND(B98*'Transmission Formula Rate (7)'!$B$27,0)</f>
        <v>3312</v>
      </c>
      <c r="C99" s="27">
        <f>ROUND(C98*'Transmission Formula Rate (7)'!$B$27,0)</f>
        <v>2868</v>
      </c>
      <c r="D99" s="27">
        <f>ROUND(D98*'Transmission Formula Rate (7)'!$B$27,0)</f>
        <v>2294</v>
      </c>
      <c r="E99" s="27">
        <f>ROUND(E98*'Transmission Formula Rate (7)'!$B$27,0)</f>
        <v>2368</v>
      </c>
      <c r="F99" s="27">
        <f>ROUND(F98*'Transmission Formula Rate (7)'!$B$27,0)</f>
        <v>2609</v>
      </c>
      <c r="G99" s="27">
        <f>ROUND(G98*'Transmission Formula Rate (7)'!$B$27,0)</f>
        <v>2868</v>
      </c>
      <c r="H99" s="27">
        <f>ROUND(H98*'Transmission Formula Rate (7)'!$B$27,0)</f>
        <v>2849</v>
      </c>
      <c r="I99" s="27">
        <f>ROUND(I98*'Transmission Formula Rate (7)'!$B$27,0)</f>
        <v>3053</v>
      </c>
      <c r="J99" s="27">
        <f>ROUND(J98*'Transmission Formula Rate (7)'!$B$27,0)</f>
        <v>2886</v>
      </c>
      <c r="K99" s="27">
        <f>ROUND(K98*'Transmission Formula Rate (7)'!$B$27,0)</f>
        <v>2720</v>
      </c>
      <c r="L99" s="27">
        <f>ROUND(L98*'Transmission Formula Rate (7)'!$B$27,0)</f>
        <v>2313</v>
      </c>
      <c r="M99" s="27">
        <f>ROUND(M98*'Transmission Formula Rate (7)'!$B$27,0)</f>
        <v>2609</v>
      </c>
      <c r="N99" s="20">
        <f>SUM(B99:M99)</f>
        <v>32749</v>
      </c>
    </row>
    <row r="100" spans="1:14" s="28" customFormat="1" ht="10.199999999999999">
      <c r="A100" s="26" t="str">
        <f>A86</f>
        <v xml:space="preserve">       Vero Beach Load</v>
      </c>
      <c r="B100" s="27">
        <f t="shared" ref="B100:M100" si="43">B98+B99</f>
        <v>182312</v>
      </c>
      <c r="C100" s="27">
        <f t="shared" si="43"/>
        <v>157868</v>
      </c>
      <c r="D100" s="27">
        <f t="shared" si="43"/>
        <v>126294</v>
      </c>
      <c r="E100" s="27">
        <f t="shared" si="43"/>
        <v>130368</v>
      </c>
      <c r="F100" s="27">
        <f t="shared" si="43"/>
        <v>143609</v>
      </c>
      <c r="G100" s="27">
        <f t="shared" si="43"/>
        <v>157868</v>
      </c>
      <c r="H100" s="27">
        <f t="shared" si="43"/>
        <v>156849</v>
      </c>
      <c r="I100" s="27">
        <f t="shared" si="43"/>
        <v>168053</v>
      </c>
      <c r="J100" s="27">
        <f t="shared" si="43"/>
        <v>158886</v>
      </c>
      <c r="K100" s="27">
        <f t="shared" si="43"/>
        <v>149720</v>
      </c>
      <c r="L100" s="27">
        <f t="shared" si="43"/>
        <v>127313</v>
      </c>
      <c r="M100" s="27">
        <f t="shared" si="43"/>
        <v>143609</v>
      </c>
      <c r="N100" s="20">
        <f>SUM(B100:M100)</f>
        <v>1802749</v>
      </c>
    </row>
    <row r="101" spans="1:14" s="19" customFormat="1" ht="10.199999999999999">
      <c r="A101" s="25" t="s">
        <v>20</v>
      </c>
      <c r="B101" s="31">
        <f>'charges (1 &amp; 2)'!$F$37</f>
        <v>0.1008</v>
      </c>
      <c r="C101" s="31">
        <f>B101</f>
        <v>0.1008</v>
      </c>
      <c r="D101" s="31">
        <f t="shared" ref="D101:M101" si="44">C101</f>
        <v>0.1008</v>
      </c>
      <c r="E101" s="31">
        <f t="shared" si="44"/>
        <v>0.1008</v>
      </c>
      <c r="F101" s="31">
        <f t="shared" si="44"/>
        <v>0.1008</v>
      </c>
      <c r="G101" s="31">
        <f t="shared" si="44"/>
        <v>0.1008</v>
      </c>
      <c r="H101" s="31">
        <f t="shared" si="44"/>
        <v>0.1008</v>
      </c>
      <c r="I101" s="31">
        <f t="shared" si="44"/>
        <v>0.1008</v>
      </c>
      <c r="J101" s="31">
        <f t="shared" si="44"/>
        <v>0.1008</v>
      </c>
      <c r="K101" s="31">
        <f t="shared" si="44"/>
        <v>0.1008</v>
      </c>
      <c r="L101" s="31">
        <f t="shared" si="44"/>
        <v>0.1008</v>
      </c>
      <c r="M101" s="31">
        <f t="shared" si="44"/>
        <v>0.1008</v>
      </c>
    </row>
    <row r="102" spans="1:14" s="19" customFormat="1" ht="10.199999999999999">
      <c r="A102" s="25" t="s">
        <v>17</v>
      </c>
      <c r="B102" s="192">
        <f t="shared" ref="B102:M102" si="45">B100*B101</f>
        <v>18377.049599999998</v>
      </c>
      <c r="C102" s="192">
        <f t="shared" si="45"/>
        <v>15913.0944</v>
      </c>
      <c r="D102" s="192">
        <f t="shared" si="45"/>
        <v>12730.4352</v>
      </c>
      <c r="E102" s="192">
        <f t="shared" si="45"/>
        <v>13141.0944</v>
      </c>
      <c r="F102" s="192">
        <f t="shared" si="45"/>
        <v>14475.787200000001</v>
      </c>
      <c r="G102" s="192">
        <f t="shared" si="45"/>
        <v>15913.0944</v>
      </c>
      <c r="H102" s="192">
        <f t="shared" si="45"/>
        <v>15810.379199999999</v>
      </c>
      <c r="I102" s="192">
        <f t="shared" si="45"/>
        <v>16939.742399999999</v>
      </c>
      <c r="J102" s="192">
        <f t="shared" si="45"/>
        <v>16015.7088</v>
      </c>
      <c r="K102" s="192">
        <f t="shared" si="45"/>
        <v>15091.776</v>
      </c>
      <c r="L102" s="192">
        <f t="shared" si="45"/>
        <v>12833.1504</v>
      </c>
      <c r="M102" s="192">
        <f t="shared" si="45"/>
        <v>14475.787200000001</v>
      </c>
      <c r="N102" s="192">
        <f>SUM(B102:M102)</f>
        <v>181717.09920000003</v>
      </c>
    </row>
    <row r="103" spans="1:14" s="19" customFormat="1" ht="10.199999999999999">
      <c r="A103" s="25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</row>
    <row r="104" spans="1:14" s="19" customFormat="1" ht="10.199999999999999">
      <c r="A104" s="25" t="s">
        <v>25</v>
      </c>
      <c r="B104" s="191">
        <f>B88+B102+B95</f>
        <v>310575.78447999997</v>
      </c>
      <c r="C104" s="191">
        <f t="shared" ref="C104:L104" si="46">C88+C102+C95</f>
        <v>268934.45272</v>
      </c>
      <c r="D104" s="191">
        <f t="shared" si="46"/>
        <v>215146.88076000003</v>
      </c>
      <c r="E104" s="191">
        <f t="shared" si="46"/>
        <v>222087.10272000002</v>
      </c>
      <c r="F104" s="191">
        <f t="shared" si="46"/>
        <v>244643.67585999999</v>
      </c>
      <c r="G104" s="191">
        <f t="shared" si="46"/>
        <v>268934.45272</v>
      </c>
      <c r="H104" s="191">
        <f t="shared" si="46"/>
        <v>267198.54545999999</v>
      </c>
      <c r="I104" s="191">
        <f t="shared" si="46"/>
        <v>286285.00761999999</v>
      </c>
      <c r="J104" s="191">
        <f t="shared" si="46"/>
        <v>270668.65643999999</v>
      </c>
      <c r="K104" s="191">
        <f t="shared" si="46"/>
        <v>255054.00880000004</v>
      </c>
      <c r="L104" s="191">
        <f t="shared" si="46"/>
        <v>216882.78802000004</v>
      </c>
      <c r="M104" s="191">
        <f>M88+M102+M95</f>
        <v>244643.67585999999</v>
      </c>
      <c r="N104" s="191">
        <f>SUM(B104:M104)</f>
        <v>3071055.0314599997</v>
      </c>
    </row>
    <row r="106" spans="1:14">
      <c r="A106" s="24">
        <f>+A81+1</f>
        <v>2018</v>
      </c>
      <c r="B106" s="273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1:14">
      <c r="A108" s="25" t="s">
        <v>37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>
      <c r="A109" s="26" t="s">
        <v>40</v>
      </c>
      <c r="B109" s="356">
        <v>180000</v>
      </c>
      <c r="C109" s="356">
        <v>157000</v>
      </c>
      <c r="D109" s="356">
        <v>125000</v>
      </c>
      <c r="E109" s="356">
        <v>129000</v>
      </c>
      <c r="F109" s="356">
        <v>143000</v>
      </c>
      <c r="G109" s="356">
        <v>157000</v>
      </c>
      <c r="H109" s="356">
        <v>155000</v>
      </c>
      <c r="I109" s="356">
        <v>166000</v>
      </c>
      <c r="J109" s="356">
        <v>157000</v>
      </c>
      <c r="K109" s="356">
        <v>148000</v>
      </c>
      <c r="L109" s="356">
        <v>126000</v>
      </c>
      <c r="M109" s="356">
        <v>142000</v>
      </c>
      <c r="N109" s="357">
        <f>SUM(B109:M109)</f>
        <v>1785000</v>
      </c>
    </row>
    <row r="110" spans="1:14">
      <c r="A110" s="26" t="s">
        <v>45</v>
      </c>
      <c r="B110" s="27">
        <f>ROUND(B109*'Transmission Formula Rate (7)'!$B$27,0)</f>
        <v>3330</v>
      </c>
      <c r="C110" s="27">
        <f>ROUND(C109*'Transmission Formula Rate (7)'!$B$27,0)</f>
        <v>2905</v>
      </c>
      <c r="D110" s="27">
        <f>ROUND(D109*'Transmission Formula Rate (7)'!$B$27,0)</f>
        <v>2313</v>
      </c>
      <c r="E110" s="27">
        <f>ROUND(E109*'Transmission Formula Rate (7)'!$B$27,0)</f>
        <v>2387</v>
      </c>
      <c r="F110" s="27">
        <f>ROUND(F109*'Transmission Formula Rate (7)'!$B$27,0)</f>
        <v>2646</v>
      </c>
      <c r="G110" s="27">
        <f>ROUND(G109*'Transmission Formula Rate (7)'!$B$27,0)</f>
        <v>2905</v>
      </c>
      <c r="H110" s="27">
        <f>ROUND(H109*'Transmission Formula Rate (7)'!$B$27,0)</f>
        <v>2868</v>
      </c>
      <c r="I110" s="27">
        <f>ROUND(I109*'Transmission Formula Rate (7)'!$B$27,0)</f>
        <v>3071</v>
      </c>
      <c r="J110" s="27">
        <f>ROUND(J109*'Transmission Formula Rate (7)'!$B$27,0)</f>
        <v>2905</v>
      </c>
      <c r="K110" s="27">
        <f>ROUND(K109*'Transmission Formula Rate (7)'!$B$27,0)</f>
        <v>2738</v>
      </c>
      <c r="L110" s="27">
        <f>ROUND(L109*'Transmission Formula Rate (7)'!$B$27,0)</f>
        <v>2331</v>
      </c>
      <c r="M110" s="27">
        <f>ROUND(M109*'Transmission Formula Rate (7)'!$B$27,0)</f>
        <v>2627</v>
      </c>
      <c r="N110" s="20">
        <f>SUM(B110:M110)</f>
        <v>33026</v>
      </c>
    </row>
    <row r="111" spans="1:14">
      <c r="A111" s="26" t="str">
        <f>A100</f>
        <v xml:space="preserve">       Vero Beach Load</v>
      </c>
      <c r="B111" s="27">
        <f t="shared" ref="B111:M111" si="47">B109+B110</f>
        <v>183330</v>
      </c>
      <c r="C111" s="27">
        <f t="shared" si="47"/>
        <v>159905</v>
      </c>
      <c r="D111" s="27">
        <f t="shared" si="47"/>
        <v>127313</v>
      </c>
      <c r="E111" s="27">
        <f t="shared" si="47"/>
        <v>131387</v>
      </c>
      <c r="F111" s="27">
        <f t="shared" si="47"/>
        <v>145646</v>
      </c>
      <c r="G111" s="27">
        <f t="shared" si="47"/>
        <v>159905</v>
      </c>
      <c r="H111" s="27">
        <f t="shared" si="47"/>
        <v>157868</v>
      </c>
      <c r="I111" s="27">
        <f t="shared" si="47"/>
        <v>169071</v>
      </c>
      <c r="J111" s="27">
        <f t="shared" si="47"/>
        <v>159905</v>
      </c>
      <c r="K111" s="27">
        <f t="shared" si="47"/>
        <v>150738</v>
      </c>
      <c r="L111" s="27">
        <f t="shared" si="47"/>
        <v>128331</v>
      </c>
      <c r="M111" s="27">
        <f t="shared" si="47"/>
        <v>144627</v>
      </c>
      <c r="N111" s="20">
        <f>SUM(B111:M111)</f>
        <v>1818026</v>
      </c>
    </row>
    <row r="112" spans="1:14">
      <c r="A112" s="25" t="s">
        <v>20</v>
      </c>
      <c r="B112" s="29">
        <f>'Transmission Formula Rate (7)'!B16</f>
        <v>1.59</v>
      </c>
      <c r="C112" s="29">
        <f>'Transmission Formula Rate (7)'!C16</f>
        <v>1.59</v>
      </c>
      <c r="D112" s="29">
        <f>'Transmission Formula Rate (7)'!D16</f>
        <v>1.59</v>
      </c>
      <c r="E112" s="29">
        <f>'Transmission Formula Rate (7)'!E16</f>
        <v>1.59</v>
      </c>
      <c r="F112" s="29">
        <f>'Transmission Formula Rate (7)'!F16</f>
        <v>1.59</v>
      </c>
      <c r="G112" s="29">
        <f>'Transmission Formula Rate (7)'!G16</f>
        <v>1.59</v>
      </c>
      <c r="H112" s="29">
        <f>'Transmission Formula Rate (7)'!H16</f>
        <v>1.59</v>
      </c>
      <c r="I112" s="29">
        <f>'Transmission Formula Rate (7)'!I16</f>
        <v>1.59</v>
      </c>
      <c r="J112" s="29">
        <f>'Transmission Formula Rate (7)'!J16</f>
        <v>1.59</v>
      </c>
      <c r="K112" s="29">
        <f>'Transmission Formula Rate (7)'!K16</f>
        <v>1.59</v>
      </c>
      <c r="L112" s="29">
        <f>'Transmission Formula Rate (7)'!L16</f>
        <v>1.59</v>
      </c>
      <c r="M112" s="29">
        <f>'Transmission Formula Rate (7)'!M16</f>
        <v>1.59</v>
      </c>
      <c r="N112" s="19"/>
    </row>
    <row r="113" spans="1:14">
      <c r="A113" s="25" t="s">
        <v>17</v>
      </c>
      <c r="B113" s="192">
        <f t="shared" ref="B113:M113" si="48">B111*B112</f>
        <v>291494.7</v>
      </c>
      <c r="C113" s="192">
        <f t="shared" si="48"/>
        <v>254248.95</v>
      </c>
      <c r="D113" s="192">
        <f t="shared" si="48"/>
        <v>202427.67</v>
      </c>
      <c r="E113" s="192">
        <f t="shared" si="48"/>
        <v>208905.33000000002</v>
      </c>
      <c r="F113" s="192">
        <f t="shared" si="48"/>
        <v>231577.14</v>
      </c>
      <c r="G113" s="192">
        <f t="shared" si="48"/>
        <v>254248.95</v>
      </c>
      <c r="H113" s="192">
        <f t="shared" si="48"/>
        <v>251010.12000000002</v>
      </c>
      <c r="I113" s="192">
        <f t="shared" si="48"/>
        <v>268822.89</v>
      </c>
      <c r="J113" s="192">
        <f t="shared" si="48"/>
        <v>254248.95</v>
      </c>
      <c r="K113" s="192">
        <f t="shared" si="48"/>
        <v>239673.42</v>
      </c>
      <c r="L113" s="192">
        <f t="shared" si="48"/>
        <v>204046.29</v>
      </c>
      <c r="M113" s="192">
        <f t="shared" si="48"/>
        <v>229956.93000000002</v>
      </c>
      <c r="N113" s="192">
        <f>SUM(B113:M113)</f>
        <v>2890661.3400000003</v>
      </c>
    </row>
    <row r="114" spans="1:14" ht="8.2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12.75" customHeight="1">
      <c r="A115" s="25" t="str">
        <f>A90</f>
        <v>TRANSMISSION SERVICE SCHEDULING CHARGE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ht="12.75" customHeight="1">
      <c r="A116" s="26" t="s">
        <v>40</v>
      </c>
      <c r="B116" s="27">
        <f>B109</f>
        <v>180000</v>
      </c>
      <c r="C116" s="27">
        <f t="shared" ref="C116:M116" si="49">C109</f>
        <v>157000</v>
      </c>
      <c r="D116" s="27">
        <f t="shared" si="49"/>
        <v>125000</v>
      </c>
      <c r="E116" s="27">
        <f t="shared" si="49"/>
        <v>129000</v>
      </c>
      <c r="F116" s="27">
        <f t="shared" si="49"/>
        <v>143000</v>
      </c>
      <c r="G116" s="27">
        <f t="shared" si="49"/>
        <v>157000</v>
      </c>
      <c r="H116" s="27">
        <f t="shared" si="49"/>
        <v>155000</v>
      </c>
      <c r="I116" s="27">
        <f t="shared" si="49"/>
        <v>166000</v>
      </c>
      <c r="J116" s="27">
        <f t="shared" si="49"/>
        <v>157000</v>
      </c>
      <c r="K116" s="27">
        <f t="shared" si="49"/>
        <v>148000</v>
      </c>
      <c r="L116" s="27">
        <f t="shared" si="49"/>
        <v>126000</v>
      </c>
      <c r="M116" s="27">
        <f t="shared" si="49"/>
        <v>142000</v>
      </c>
      <c r="N116" s="20">
        <f>SUM(B116:M116)</f>
        <v>1785000</v>
      </c>
    </row>
    <row r="117" spans="1:14" ht="12.75" customHeight="1">
      <c r="A117" s="26" t="s">
        <v>45</v>
      </c>
      <c r="B117" s="27">
        <f>ROUND(B116*'Transmission Formula Rate (7)'!$B$27,0)</f>
        <v>3330</v>
      </c>
      <c r="C117" s="27">
        <f>ROUND(C116*'Transmission Formula Rate (7)'!$B$27,0)</f>
        <v>2905</v>
      </c>
      <c r="D117" s="27">
        <f>ROUND(D116*'Transmission Formula Rate (7)'!$B$27,0)</f>
        <v>2313</v>
      </c>
      <c r="E117" s="27">
        <f>ROUND(E116*'Transmission Formula Rate (7)'!$B$27,0)</f>
        <v>2387</v>
      </c>
      <c r="F117" s="27">
        <f>ROUND(F116*'Transmission Formula Rate (7)'!$B$27,0)</f>
        <v>2646</v>
      </c>
      <c r="G117" s="27">
        <f>ROUND(G116*'Transmission Formula Rate (7)'!$B$27,0)</f>
        <v>2905</v>
      </c>
      <c r="H117" s="27">
        <f>ROUND(H116*'Transmission Formula Rate (7)'!$B$27,0)</f>
        <v>2868</v>
      </c>
      <c r="I117" s="27">
        <f>ROUND(I116*'Transmission Formula Rate (7)'!$B$27,0)</f>
        <v>3071</v>
      </c>
      <c r="J117" s="27">
        <f>ROUND(J116*'Transmission Formula Rate (7)'!$B$27,0)</f>
        <v>2905</v>
      </c>
      <c r="K117" s="27">
        <f>ROUND(K116*'Transmission Formula Rate (7)'!$B$27,0)</f>
        <v>2738</v>
      </c>
      <c r="L117" s="27">
        <f>ROUND(L116*'Transmission Formula Rate (7)'!$B$27,0)</f>
        <v>2331</v>
      </c>
      <c r="M117" s="27">
        <f>ROUND(M116*'Transmission Formula Rate (7)'!$B$27,0)</f>
        <v>2627</v>
      </c>
      <c r="N117" s="20">
        <f>SUM(B117:M117)</f>
        <v>33026</v>
      </c>
    </row>
    <row r="118" spans="1:14" ht="12.75" customHeight="1">
      <c r="A118" s="26" t="str">
        <f>A111</f>
        <v xml:space="preserve">       Vero Beach Load</v>
      </c>
      <c r="B118" s="27">
        <f t="shared" ref="B118:M118" si="50">B116+B117</f>
        <v>183330</v>
      </c>
      <c r="C118" s="27">
        <f t="shared" si="50"/>
        <v>159905</v>
      </c>
      <c r="D118" s="27">
        <f t="shared" si="50"/>
        <v>127313</v>
      </c>
      <c r="E118" s="27">
        <f t="shared" si="50"/>
        <v>131387</v>
      </c>
      <c r="F118" s="27">
        <f t="shared" si="50"/>
        <v>145646</v>
      </c>
      <c r="G118" s="27">
        <f t="shared" si="50"/>
        <v>159905</v>
      </c>
      <c r="H118" s="27">
        <f t="shared" si="50"/>
        <v>157868</v>
      </c>
      <c r="I118" s="27">
        <f t="shared" si="50"/>
        <v>169071</v>
      </c>
      <c r="J118" s="27">
        <f t="shared" si="50"/>
        <v>159905</v>
      </c>
      <c r="K118" s="27">
        <f t="shared" si="50"/>
        <v>150738</v>
      </c>
      <c r="L118" s="27">
        <f t="shared" si="50"/>
        <v>128331</v>
      </c>
      <c r="M118" s="27">
        <f t="shared" si="50"/>
        <v>144627</v>
      </c>
      <c r="N118" s="20">
        <f>SUM(B118:M118)</f>
        <v>1818026</v>
      </c>
    </row>
    <row r="119" spans="1:14" ht="12.75" customHeight="1">
      <c r="A119" s="25" t="s">
        <v>20</v>
      </c>
      <c r="B119" s="31">
        <f>'charges (1 &amp; 2)'!G38</f>
        <v>1.274E-2</v>
      </c>
      <c r="C119" s="31">
        <f>B119</f>
        <v>1.274E-2</v>
      </c>
      <c r="D119" s="31">
        <f t="shared" ref="D119:M119" si="51">C119</f>
        <v>1.274E-2</v>
      </c>
      <c r="E119" s="31">
        <f t="shared" si="51"/>
        <v>1.274E-2</v>
      </c>
      <c r="F119" s="31">
        <f t="shared" si="51"/>
        <v>1.274E-2</v>
      </c>
      <c r="G119" s="31">
        <f t="shared" si="51"/>
        <v>1.274E-2</v>
      </c>
      <c r="H119" s="31">
        <f t="shared" si="51"/>
        <v>1.274E-2</v>
      </c>
      <c r="I119" s="31">
        <f t="shared" si="51"/>
        <v>1.274E-2</v>
      </c>
      <c r="J119" s="31">
        <f t="shared" si="51"/>
        <v>1.274E-2</v>
      </c>
      <c r="K119" s="31">
        <f t="shared" si="51"/>
        <v>1.274E-2</v>
      </c>
      <c r="L119" s="31">
        <f t="shared" si="51"/>
        <v>1.274E-2</v>
      </c>
      <c r="M119" s="31">
        <f t="shared" si="51"/>
        <v>1.274E-2</v>
      </c>
      <c r="N119" s="19"/>
    </row>
    <row r="120" spans="1:14" ht="12.75" customHeight="1">
      <c r="A120" s="25" t="s">
        <v>17</v>
      </c>
      <c r="B120" s="192">
        <f t="shared" ref="B120:M120" si="52">B118*B119</f>
        <v>2335.6241999999997</v>
      </c>
      <c r="C120" s="192">
        <f t="shared" si="52"/>
        <v>2037.1896999999999</v>
      </c>
      <c r="D120" s="192">
        <f t="shared" si="52"/>
        <v>1621.9676199999999</v>
      </c>
      <c r="E120" s="192">
        <f t="shared" si="52"/>
        <v>1673.8703799999998</v>
      </c>
      <c r="F120" s="192">
        <f t="shared" si="52"/>
        <v>1855.5300399999999</v>
      </c>
      <c r="G120" s="192">
        <f t="shared" si="52"/>
        <v>2037.1896999999999</v>
      </c>
      <c r="H120" s="192">
        <f t="shared" si="52"/>
        <v>2011.2383199999999</v>
      </c>
      <c r="I120" s="192">
        <f t="shared" si="52"/>
        <v>2153.9645399999999</v>
      </c>
      <c r="J120" s="192">
        <f t="shared" si="52"/>
        <v>2037.1896999999999</v>
      </c>
      <c r="K120" s="192">
        <f t="shared" si="52"/>
        <v>1920.40212</v>
      </c>
      <c r="L120" s="192">
        <f t="shared" si="52"/>
        <v>1634.93694</v>
      </c>
      <c r="M120" s="192">
        <f t="shared" si="52"/>
        <v>1842.5479800000001</v>
      </c>
      <c r="N120" s="192">
        <f>SUM(B120:M120)</f>
        <v>23161.651239999996</v>
      </c>
    </row>
    <row r="121" spans="1:14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25" t="s">
        <v>38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>
      <c r="A123" s="26" t="s">
        <v>40</v>
      </c>
      <c r="B123" s="27">
        <f t="shared" ref="B123:M123" si="53">B109</f>
        <v>180000</v>
      </c>
      <c r="C123" s="27">
        <f t="shared" si="53"/>
        <v>157000</v>
      </c>
      <c r="D123" s="27">
        <f t="shared" si="53"/>
        <v>125000</v>
      </c>
      <c r="E123" s="27">
        <f t="shared" si="53"/>
        <v>129000</v>
      </c>
      <c r="F123" s="27">
        <f t="shared" si="53"/>
        <v>143000</v>
      </c>
      <c r="G123" s="27">
        <f t="shared" si="53"/>
        <v>157000</v>
      </c>
      <c r="H123" s="27">
        <f t="shared" si="53"/>
        <v>155000</v>
      </c>
      <c r="I123" s="27">
        <f t="shared" si="53"/>
        <v>166000</v>
      </c>
      <c r="J123" s="27">
        <f t="shared" si="53"/>
        <v>157000</v>
      </c>
      <c r="K123" s="27">
        <f t="shared" si="53"/>
        <v>148000</v>
      </c>
      <c r="L123" s="27">
        <f t="shared" si="53"/>
        <v>126000</v>
      </c>
      <c r="M123" s="27">
        <f t="shared" si="53"/>
        <v>142000</v>
      </c>
      <c r="N123" s="20">
        <f>SUM(B123:M123)</f>
        <v>1785000</v>
      </c>
    </row>
    <row r="124" spans="1:14">
      <c r="A124" s="26" t="s">
        <v>45</v>
      </c>
      <c r="B124" s="27">
        <f>ROUND(B123*'Transmission Formula Rate (7)'!$B$27,0)</f>
        <v>3330</v>
      </c>
      <c r="C124" s="27">
        <f>ROUND(C123*'Transmission Formula Rate (7)'!$B$27,0)</f>
        <v>2905</v>
      </c>
      <c r="D124" s="27">
        <f>ROUND(D123*'Transmission Formula Rate (7)'!$B$27,0)</f>
        <v>2313</v>
      </c>
      <c r="E124" s="27">
        <f>ROUND(E123*'Transmission Formula Rate (7)'!$B$27,0)</f>
        <v>2387</v>
      </c>
      <c r="F124" s="27">
        <f>ROUND(F123*'Transmission Formula Rate (7)'!$B$27,0)</f>
        <v>2646</v>
      </c>
      <c r="G124" s="27">
        <f>ROUND(G123*'Transmission Formula Rate (7)'!$B$27,0)</f>
        <v>2905</v>
      </c>
      <c r="H124" s="27">
        <f>ROUND(H123*'Transmission Formula Rate (7)'!$B$27,0)</f>
        <v>2868</v>
      </c>
      <c r="I124" s="27">
        <f>ROUND(I123*'Transmission Formula Rate (7)'!$B$27,0)</f>
        <v>3071</v>
      </c>
      <c r="J124" s="27">
        <f>ROUND(J123*'Transmission Formula Rate (7)'!$B$27,0)</f>
        <v>2905</v>
      </c>
      <c r="K124" s="27">
        <f>ROUND(K123*'Transmission Formula Rate (7)'!$B$27,0)</f>
        <v>2738</v>
      </c>
      <c r="L124" s="27">
        <f>ROUND(L123*'Transmission Formula Rate (7)'!$B$27,0)</f>
        <v>2331</v>
      </c>
      <c r="M124" s="27">
        <f>ROUND(M123*'Transmission Formula Rate (7)'!$B$27,0)</f>
        <v>2627</v>
      </c>
      <c r="N124" s="20">
        <f>SUM(B124:M124)</f>
        <v>33026</v>
      </c>
    </row>
    <row r="125" spans="1:14">
      <c r="A125" s="26" t="str">
        <f>A111</f>
        <v xml:space="preserve">       Vero Beach Load</v>
      </c>
      <c r="B125" s="27">
        <f t="shared" ref="B125:M125" si="54">B123+B124</f>
        <v>183330</v>
      </c>
      <c r="C125" s="27">
        <f t="shared" si="54"/>
        <v>159905</v>
      </c>
      <c r="D125" s="27">
        <f t="shared" si="54"/>
        <v>127313</v>
      </c>
      <c r="E125" s="27">
        <f t="shared" si="54"/>
        <v>131387</v>
      </c>
      <c r="F125" s="27">
        <f t="shared" si="54"/>
        <v>145646</v>
      </c>
      <c r="G125" s="27">
        <f t="shared" si="54"/>
        <v>159905</v>
      </c>
      <c r="H125" s="27">
        <f t="shared" si="54"/>
        <v>157868</v>
      </c>
      <c r="I125" s="27">
        <f t="shared" si="54"/>
        <v>169071</v>
      </c>
      <c r="J125" s="27">
        <f t="shared" si="54"/>
        <v>159905</v>
      </c>
      <c r="K125" s="27">
        <f t="shared" si="54"/>
        <v>150738</v>
      </c>
      <c r="L125" s="27">
        <f t="shared" si="54"/>
        <v>128331</v>
      </c>
      <c r="M125" s="27">
        <f t="shared" si="54"/>
        <v>144627</v>
      </c>
      <c r="N125" s="20">
        <f>SUM(B125:M125)</f>
        <v>1818026</v>
      </c>
    </row>
    <row r="126" spans="1:14">
      <c r="A126" s="25" t="s">
        <v>20</v>
      </c>
      <c r="B126" s="31">
        <f>'charges (1 &amp; 2)'!$G$37</f>
        <v>0.1008</v>
      </c>
      <c r="C126" s="31">
        <f>B126</f>
        <v>0.1008</v>
      </c>
      <c r="D126" s="31">
        <f t="shared" ref="D126:M126" si="55">C126</f>
        <v>0.1008</v>
      </c>
      <c r="E126" s="31">
        <f t="shared" si="55"/>
        <v>0.1008</v>
      </c>
      <c r="F126" s="31">
        <f t="shared" si="55"/>
        <v>0.1008</v>
      </c>
      <c r="G126" s="31">
        <f t="shared" si="55"/>
        <v>0.1008</v>
      </c>
      <c r="H126" s="31">
        <f t="shared" si="55"/>
        <v>0.1008</v>
      </c>
      <c r="I126" s="31">
        <f t="shared" si="55"/>
        <v>0.1008</v>
      </c>
      <c r="J126" s="31">
        <f t="shared" si="55"/>
        <v>0.1008</v>
      </c>
      <c r="K126" s="31">
        <f t="shared" si="55"/>
        <v>0.1008</v>
      </c>
      <c r="L126" s="31">
        <f t="shared" si="55"/>
        <v>0.1008</v>
      </c>
      <c r="M126" s="31">
        <f t="shared" si="55"/>
        <v>0.1008</v>
      </c>
      <c r="N126" s="19"/>
    </row>
    <row r="127" spans="1:14">
      <c r="A127" s="25" t="s">
        <v>17</v>
      </c>
      <c r="B127" s="192">
        <f t="shared" ref="B127:M127" si="56">B125*B126</f>
        <v>18479.664000000001</v>
      </c>
      <c r="C127" s="192">
        <f t="shared" si="56"/>
        <v>16118.424000000001</v>
      </c>
      <c r="D127" s="192">
        <f t="shared" si="56"/>
        <v>12833.1504</v>
      </c>
      <c r="E127" s="192">
        <f t="shared" si="56"/>
        <v>13243.809600000001</v>
      </c>
      <c r="F127" s="192">
        <f t="shared" si="56"/>
        <v>14681.1168</v>
      </c>
      <c r="G127" s="192">
        <f t="shared" si="56"/>
        <v>16118.424000000001</v>
      </c>
      <c r="H127" s="192">
        <f t="shared" si="56"/>
        <v>15913.0944</v>
      </c>
      <c r="I127" s="192">
        <f t="shared" si="56"/>
        <v>17042.356800000001</v>
      </c>
      <c r="J127" s="192">
        <f t="shared" si="56"/>
        <v>16118.424000000001</v>
      </c>
      <c r="K127" s="192">
        <f t="shared" si="56"/>
        <v>15194.3904</v>
      </c>
      <c r="L127" s="192">
        <f t="shared" si="56"/>
        <v>12935.764800000001</v>
      </c>
      <c r="M127" s="192">
        <f t="shared" si="56"/>
        <v>14578.401599999999</v>
      </c>
      <c r="N127" s="192">
        <f>SUM(B127:M127)</f>
        <v>183257.02080000003</v>
      </c>
    </row>
    <row r="128" spans="1:14" ht="6.75" customHeight="1">
      <c r="A128" s="25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>
      <c r="A129" s="25" t="s">
        <v>25</v>
      </c>
      <c r="B129" s="355">
        <f>B113+B127+B120</f>
        <v>312309.98820000002</v>
      </c>
      <c r="C129" s="355">
        <f t="shared" ref="C129:M129" si="57">C113+C127+C120</f>
        <v>272404.5637</v>
      </c>
      <c r="D129" s="355">
        <f t="shared" si="57"/>
        <v>216882.78802000004</v>
      </c>
      <c r="E129" s="355">
        <f t="shared" si="57"/>
        <v>223823.00998000003</v>
      </c>
      <c r="F129" s="355">
        <f t="shared" si="57"/>
        <v>248113.78684000002</v>
      </c>
      <c r="G129" s="355">
        <f t="shared" si="57"/>
        <v>272404.5637</v>
      </c>
      <c r="H129" s="355">
        <f t="shared" si="57"/>
        <v>268934.45272</v>
      </c>
      <c r="I129" s="355">
        <f t="shared" si="57"/>
        <v>288019.21134000004</v>
      </c>
      <c r="J129" s="355">
        <f t="shared" si="57"/>
        <v>272404.5637</v>
      </c>
      <c r="K129" s="355">
        <f t="shared" si="57"/>
        <v>256788.21252000003</v>
      </c>
      <c r="L129" s="355">
        <f t="shared" si="57"/>
        <v>218616.99174000003</v>
      </c>
      <c r="M129" s="355">
        <f t="shared" si="57"/>
        <v>246377.87958000004</v>
      </c>
      <c r="N129" s="355">
        <f>SUM(B129:M129)</f>
        <v>3097080.0120399999</v>
      </c>
    </row>
    <row r="130" spans="1:14" ht="10.5" customHeight="1"/>
    <row r="131" spans="1:14">
      <c r="A131" s="24">
        <f>+A106+1</f>
        <v>2019</v>
      </c>
      <c r="B131" s="273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1:14">
      <c r="A133" s="25" t="s">
        <v>37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>
      <c r="A134" s="26" t="s">
        <v>40</v>
      </c>
      <c r="B134" s="356">
        <v>182000</v>
      </c>
      <c r="C134" s="356">
        <v>158000</v>
      </c>
      <c r="D134" s="356">
        <v>126000</v>
      </c>
      <c r="E134" s="356">
        <v>131000</v>
      </c>
      <c r="F134" s="356">
        <v>144000</v>
      </c>
      <c r="G134" s="356">
        <v>158000</v>
      </c>
      <c r="H134" s="356">
        <v>157000</v>
      </c>
      <c r="I134" s="356">
        <v>168000</v>
      </c>
      <c r="J134" s="356">
        <v>159000</v>
      </c>
      <c r="K134" s="356">
        <v>149000</v>
      </c>
      <c r="L134" s="356">
        <v>128000</v>
      </c>
      <c r="M134" s="356">
        <v>143000</v>
      </c>
      <c r="N134" s="357">
        <f>SUM(B134:M134)</f>
        <v>1803000</v>
      </c>
    </row>
    <row r="135" spans="1:14">
      <c r="A135" s="26" t="s">
        <v>45</v>
      </c>
      <c r="B135" s="27">
        <f>ROUND(B134*'Transmission Formula Rate (7)'!$B$27,0)</f>
        <v>3367</v>
      </c>
      <c r="C135" s="27">
        <f>ROUND(C134*'Transmission Formula Rate (7)'!$B$27,0)</f>
        <v>2923</v>
      </c>
      <c r="D135" s="27">
        <f>ROUND(D134*'Transmission Formula Rate (7)'!$B$27,0)</f>
        <v>2331</v>
      </c>
      <c r="E135" s="27">
        <f>ROUND(E134*'Transmission Formula Rate (7)'!$B$27,0)</f>
        <v>2424</v>
      </c>
      <c r="F135" s="27">
        <f>ROUND(F134*'Transmission Formula Rate (7)'!$B$27,0)</f>
        <v>2664</v>
      </c>
      <c r="G135" s="27">
        <f>ROUND(G134*'Transmission Formula Rate (7)'!$B$27,0)</f>
        <v>2923</v>
      </c>
      <c r="H135" s="27">
        <f>ROUND(H134*'Transmission Formula Rate (7)'!$B$27,0)</f>
        <v>2905</v>
      </c>
      <c r="I135" s="27">
        <f>ROUND(I134*'Transmission Formula Rate (7)'!$B$27,0)</f>
        <v>3108</v>
      </c>
      <c r="J135" s="27">
        <f>ROUND(J134*'Transmission Formula Rate (7)'!$B$27,0)</f>
        <v>2942</v>
      </c>
      <c r="K135" s="27">
        <f>ROUND(K134*'Transmission Formula Rate (7)'!$B$27,0)</f>
        <v>2757</v>
      </c>
      <c r="L135" s="27">
        <f>ROUND(L134*'Transmission Formula Rate (7)'!$B$27,0)</f>
        <v>2368</v>
      </c>
      <c r="M135" s="27">
        <f>ROUND(M134*'Transmission Formula Rate (7)'!$B$27,0)</f>
        <v>2646</v>
      </c>
      <c r="N135" s="20">
        <f>SUM(B135:M135)</f>
        <v>33358</v>
      </c>
    </row>
    <row r="136" spans="1:14">
      <c r="A136" s="26" t="str">
        <f>A125</f>
        <v xml:space="preserve">       Vero Beach Load</v>
      </c>
      <c r="B136" s="27">
        <f t="shared" ref="B136:M136" si="58">B134+B135</f>
        <v>185367</v>
      </c>
      <c r="C136" s="27">
        <f t="shared" si="58"/>
        <v>160923</v>
      </c>
      <c r="D136" s="27">
        <f t="shared" si="58"/>
        <v>128331</v>
      </c>
      <c r="E136" s="27">
        <f t="shared" si="58"/>
        <v>133424</v>
      </c>
      <c r="F136" s="27">
        <f t="shared" si="58"/>
        <v>146664</v>
      </c>
      <c r="G136" s="27">
        <f t="shared" si="58"/>
        <v>160923</v>
      </c>
      <c r="H136" s="27">
        <f t="shared" si="58"/>
        <v>159905</v>
      </c>
      <c r="I136" s="27">
        <f t="shared" si="58"/>
        <v>171108</v>
      </c>
      <c r="J136" s="27">
        <f t="shared" si="58"/>
        <v>161942</v>
      </c>
      <c r="K136" s="27">
        <f t="shared" si="58"/>
        <v>151757</v>
      </c>
      <c r="L136" s="27">
        <f t="shared" si="58"/>
        <v>130368</v>
      </c>
      <c r="M136" s="27">
        <f t="shared" si="58"/>
        <v>145646</v>
      </c>
      <c r="N136" s="20">
        <f>SUM(B136:M136)</f>
        <v>1836358</v>
      </c>
    </row>
    <row r="137" spans="1:14">
      <c r="A137" s="25" t="s">
        <v>20</v>
      </c>
      <c r="B137" s="29">
        <f>'Transmission Formula Rate (7)'!B20</f>
        <v>1.59</v>
      </c>
      <c r="C137" s="29">
        <f>'Transmission Formula Rate (7)'!C20</f>
        <v>1.59</v>
      </c>
      <c r="D137" s="29">
        <f>'Transmission Formula Rate (7)'!D20</f>
        <v>1.59</v>
      </c>
      <c r="E137" s="29">
        <f>'Transmission Formula Rate (7)'!E20</f>
        <v>1.59</v>
      </c>
      <c r="F137" s="29">
        <f>'Transmission Formula Rate (7)'!F20</f>
        <v>1.59</v>
      </c>
      <c r="G137" s="29">
        <f>'Transmission Formula Rate (7)'!G20</f>
        <v>1.59</v>
      </c>
      <c r="H137" s="29">
        <f>'Transmission Formula Rate (7)'!H20</f>
        <v>1.59</v>
      </c>
      <c r="I137" s="29">
        <f>'Transmission Formula Rate (7)'!I20</f>
        <v>1.59</v>
      </c>
      <c r="J137" s="29">
        <f>'Transmission Formula Rate (7)'!J20</f>
        <v>1.59</v>
      </c>
      <c r="K137" s="29">
        <f>'Transmission Formula Rate (7)'!K20</f>
        <v>1.59</v>
      </c>
      <c r="L137" s="29">
        <f>'Transmission Formula Rate (7)'!L20</f>
        <v>1.59</v>
      </c>
      <c r="M137" s="29">
        <f>'Transmission Formula Rate (7)'!M20</f>
        <v>1.59</v>
      </c>
      <c r="N137" s="19"/>
    </row>
    <row r="138" spans="1:14">
      <c r="A138" s="25" t="s">
        <v>17</v>
      </c>
      <c r="B138" s="192">
        <f t="shared" ref="B138:M138" si="59">B136*B137</f>
        <v>294733.53000000003</v>
      </c>
      <c r="C138" s="192">
        <f t="shared" si="59"/>
        <v>255867.57</v>
      </c>
      <c r="D138" s="192">
        <f t="shared" si="59"/>
        <v>204046.29</v>
      </c>
      <c r="E138" s="192">
        <f t="shared" si="59"/>
        <v>212144.16</v>
      </c>
      <c r="F138" s="192">
        <f t="shared" si="59"/>
        <v>233195.76</v>
      </c>
      <c r="G138" s="192">
        <f t="shared" si="59"/>
        <v>255867.57</v>
      </c>
      <c r="H138" s="192">
        <f t="shared" si="59"/>
        <v>254248.95</v>
      </c>
      <c r="I138" s="192">
        <f t="shared" si="59"/>
        <v>272061.72000000003</v>
      </c>
      <c r="J138" s="192">
        <f t="shared" si="59"/>
        <v>257487.78</v>
      </c>
      <c r="K138" s="192">
        <f t="shared" si="59"/>
        <v>241293.63</v>
      </c>
      <c r="L138" s="192">
        <f t="shared" si="59"/>
        <v>207285.12000000002</v>
      </c>
      <c r="M138" s="192">
        <f t="shared" si="59"/>
        <v>231577.14</v>
      </c>
      <c r="N138" s="192">
        <f>SUM(B138:M138)</f>
        <v>2919809.22</v>
      </c>
    </row>
    <row r="139" spans="1:14" ht="8.2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4" ht="12.75" customHeight="1">
      <c r="A140" s="25" t="str">
        <f>A115</f>
        <v>TRANSMISSION SERVICE SCHEDULING CHARGE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 ht="12.75" customHeight="1">
      <c r="A141" s="26" t="s">
        <v>40</v>
      </c>
      <c r="B141" s="27">
        <f>B134</f>
        <v>182000</v>
      </c>
      <c r="C141" s="27">
        <f t="shared" ref="C141:M141" si="60">C134</f>
        <v>158000</v>
      </c>
      <c r="D141" s="27">
        <f t="shared" si="60"/>
        <v>126000</v>
      </c>
      <c r="E141" s="27">
        <f t="shared" si="60"/>
        <v>131000</v>
      </c>
      <c r="F141" s="27">
        <f t="shared" si="60"/>
        <v>144000</v>
      </c>
      <c r="G141" s="27">
        <f t="shared" si="60"/>
        <v>158000</v>
      </c>
      <c r="H141" s="27">
        <f t="shared" si="60"/>
        <v>157000</v>
      </c>
      <c r="I141" s="27">
        <f t="shared" si="60"/>
        <v>168000</v>
      </c>
      <c r="J141" s="27">
        <f t="shared" si="60"/>
        <v>159000</v>
      </c>
      <c r="K141" s="27">
        <f t="shared" si="60"/>
        <v>149000</v>
      </c>
      <c r="L141" s="27">
        <f t="shared" si="60"/>
        <v>128000</v>
      </c>
      <c r="M141" s="27">
        <f t="shared" si="60"/>
        <v>143000</v>
      </c>
      <c r="N141" s="20">
        <f>SUM(B141:M141)</f>
        <v>1803000</v>
      </c>
    </row>
    <row r="142" spans="1:14" ht="12.75" customHeight="1">
      <c r="A142" s="26" t="s">
        <v>45</v>
      </c>
      <c r="B142" s="27">
        <f>ROUND(B141*'Transmission Formula Rate (7)'!$B$27,0)</f>
        <v>3367</v>
      </c>
      <c r="C142" s="27">
        <f>ROUND(C141*'Transmission Formula Rate (7)'!$B$27,0)</f>
        <v>2923</v>
      </c>
      <c r="D142" s="27">
        <f>ROUND(D141*'Transmission Formula Rate (7)'!$B$27,0)</f>
        <v>2331</v>
      </c>
      <c r="E142" s="27">
        <f>ROUND(E141*'Transmission Formula Rate (7)'!$B$27,0)</f>
        <v>2424</v>
      </c>
      <c r="F142" s="27">
        <f>ROUND(F141*'Transmission Formula Rate (7)'!$B$27,0)</f>
        <v>2664</v>
      </c>
      <c r="G142" s="27">
        <f>ROUND(G141*'Transmission Formula Rate (7)'!$B$27,0)</f>
        <v>2923</v>
      </c>
      <c r="H142" s="27">
        <f>ROUND(H141*'Transmission Formula Rate (7)'!$B$27,0)</f>
        <v>2905</v>
      </c>
      <c r="I142" s="27">
        <f>ROUND(I141*'Transmission Formula Rate (7)'!$B$27,0)</f>
        <v>3108</v>
      </c>
      <c r="J142" s="27">
        <f>ROUND(J141*'Transmission Formula Rate (7)'!$B$27,0)</f>
        <v>2942</v>
      </c>
      <c r="K142" s="27">
        <f>ROUND(K141*'Transmission Formula Rate (7)'!$B$27,0)</f>
        <v>2757</v>
      </c>
      <c r="L142" s="27">
        <f>ROUND(L141*'Transmission Formula Rate (7)'!$B$27,0)</f>
        <v>2368</v>
      </c>
      <c r="M142" s="27">
        <f>ROUND(M141*'Transmission Formula Rate (7)'!$B$27,0)</f>
        <v>2646</v>
      </c>
      <c r="N142" s="20">
        <f>SUM(B142:M142)</f>
        <v>33358</v>
      </c>
    </row>
    <row r="143" spans="1:14" ht="12.75" customHeight="1">
      <c r="A143" s="26" t="str">
        <f>A136</f>
        <v xml:space="preserve">       Vero Beach Load</v>
      </c>
      <c r="B143" s="27">
        <f t="shared" ref="B143:M143" si="61">B141+B142</f>
        <v>185367</v>
      </c>
      <c r="C143" s="27">
        <f t="shared" si="61"/>
        <v>160923</v>
      </c>
      <c r="D143" s="27">
        <f t="shared" si="61"/>
        <v>128331</v>
      </c>
      <c r="E143" s="27">
        <f t="shared" si="61"/>
        <v>133424</v>
      </c>
      <c r="F143" s="27">
        <f t="shared" si="61"/>
        <v>146664</v>
      </c>
      <c r="G143" s="27">
        <f t="shared" si="61"/>
        <v>160923</v>
      </c>
      <c r="H143" s="27">
        <f t="shared" si="61"/>
        <v>159905</v>
      </c>
      <c r="I143" s="27">
        <f t="shared" si="61"/>
        <v>171108</v>
      </c>
      <c r="J143" s="27">
        <f t="shared" si="61"/>
        <v>161942</v>
      </c>
      <c r="K143" s="27">
        <f t="shared" si="61"/>
        <v>151757</v>
      </c>
      <c r="L143" s="27">
        <f t="shared" si="61"/>
        <v>130368</v>
      </c>
      <c r="M143" s="27">
        <f t="shared" si="61"/>
        <v>145646</v>
      </c>
      <c r="N143" s="20">
        <f>SUM(B143:M143)</f>
        <v>1836358</v>
      </c>
    </row>
    <row r="144" spans="1:14" ht="12.75" customHeight="1">
      <c r="A144" s="25" t="s">
        <v>20</v>
      </c>
      <c r="B144" s="31">
        <f>'charges (1 &amp; 2)'!H38</f>
        <v>1.274E-2</v>
      </c>
      <c r="C144" s="31">
        <f>B144</f>
        <v>1.274E-2</v>
      </c>
      <c r="D144" s="31">
        <f t="shared" ref="D144" si="62">C144</f>
        <v>1.274E-2</v>
      </c>
      <c r="E144" s="31">
        <f t="shared" ref="E144" si="63">D144</f>
        <v>1.274E-2</v>
      </c>
      <c r="F144" s="31">
        <f t="shared" ref="F144" si="64">E144</f>
        <v>1.274E-2</v>
      </c>
      <c r="G144" s="31">
        <f t="shared" ref="G144" si="65">F144</f>
        <v>1.274E-2</v>
      </c>
      <c r="H144" s="31">
        <f t="shared" ref="H144" si="66">G144</f>
        <v>1.274E-2</v>
      </c>
      <c r="I144" s="31">
        <f t="shared" ref="I144" si="67">H144</f>
        <v>1.274E-2</v>
      </c>
      <c r="J144" s="31">
        <f t="shared" ref="J144" si="68">I144</f>
        <v>1.274E-2</v>
      </c>
      <c r="K144" s="31">
        <f t="shared" ref="K144" si="69">J144</f>
        <v>1.274E-2</v>
      </c>
      <c r="L144" s="31">
        <f t="shared" ref="L144" si="70">K144</f>
        <v>1.274E-2</v>
      </c>
      <c r="M144" s="31">
        <f t="shared" ref="M144" si="71">L144</f>
        <v>1.274E-2</v>
      </c>
      <c r="N144" s="19"/>
    </row>
    <row r="145" spans="1:14" ht="12.75" customHeight="1">
      <c r="A145" s="25" t="s">
        <v>17</v>
      </c>
      <c r="B145" s="192">
        <f t="shared" ref="B145:M145" si="72">B143*B144</f>
        <v>2361.5755799999997</v>
      </c>
      <c r="C145" s="192">
        <f t="shared" si="72"/>
        <v>2050.1590200000001</v>
      </c>
      <c r="D145" s="192">
        <f t="shared" si="72"/>
        <v>1634.93694</v>
      </c>
      <c r="E145" s="192">
        <f t="shared" si="72"/>
        <v>1699.82176</v>
      </c>
      <c r="F145" s="192">
        <f t="shared" si="72"/>
        <v>1868.49936</v>
      </c>
      <c r="G145" s="192">
        <f t="shared" si="72"/>
        <v>2050.1590200000001</v>
      </c>
      <c r="H145" s="192">
        <f t="shared" si="72"/>
        <v>2037.1896999999999</v>
      </c>
      <c r="I145" s="192">
        <f t="shared" si="72"/>
        <v>2179.9159199999999</v>
      </c>
      <c r="J145" s="192">
        <f t="shared" si="72"/>
        <v>2063.1410799999999</v>
      </c>
      <c r="K145" s="192">
        <f t="shared" si="72"/>
        <v>1933.38418</v>
      </c>
      <c r="L145" s="192">
        <f t="shared" si="72"/>
        <v>1660.88832</v>
      </c>
      <c r="M145" s="192">
        <f t="shared" si="72"/>
        <v>1855.5300399999999</v>
      </c>
      <c r="N145" s="192">
        <f>SUM(B145:M145)</f>
        <v>23395.200919999999</v>
      </c>
    </row>
    <row r="146" spans="1:14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14">
      <c r="A147" s="25" t="s">
        <v>38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>
      <c r="A148" s="26" t="s">
        <v>40</v>
      </c>
      <c r="B148" s="27">
        <f t="shared" ref="B148:M148" si="73">B134</f>
        <v>182000</v>
      </c>
      <c r="C148" s="27">
        <f t="shared" si="73"/>
        <v>158000</v>
      </c>
      <c r="D148" s="27">
        <f t="shared" si="73"/>
        <v>126000</v>
      </c>
      <c r="E148" s="27">
        <f t="shared" si="73"/>
        <v>131000</v>
      </c>
      <c r="F148" s="27">
        <f t="shared" si="73"/>
        <v>144000</v>
      </c>
      <c r="G148" s="27">
        <f t="shared" si="73"/>
        <v>158000</v>
      </c>
      <c r="H148" s="27">
        <f t="shared" si="73"/>
        <v>157000</v>
      </c>
      <c r="I148" s="27">
        <f t="shared" si="73"/>
        <v>168000</v>
      </c>
      <c r="J148" s="27">
        <f t="shared" si="73"/>
        <v>159000</v>
      </c>
      <c r="K148" s="27">
        <f t="shared" si="73"/>
        <v>149000</v>
      </c>
      <c r="L148" s="27">
        <f t="shared" si="73"/>
        <v>128000</v>
      </c>
      <c r="M148" s="27">
        <f t="shared" si="73"/>
        <v>143000</v>
      </c>
      <c r="N148" s="20">
        <f>SUM(B148:M148)</f>
        <v>1803000</v>
      </c>
    </row>
    <row r="149" spans="1:14">
      <c r="A149" s="26" t="s">
        <v>45</v>
      </c>
      <c r="B149" s="27">
        <f>ROUND(B148*'Transmission Formula Rate (7)'!$B$27,0)</f>
        <v>3367</v>
      </c>
      <c r="C149" s="27">
        <f>ROUND(C148*'Transmission Formula Rate (7)'!$B$27,0)</f>
        <v>2923</v>
      </c>
      <c r="D149" s="27">
        <f>ROUND(D148*'Transmission Formula Rate (7)'!$B$27,0)</f>
        <v>2331</v>
      </c>
      <c r="E149" s="27">
        <f>ROUND(E148*'Transmission Formula Rate (7)'!$B$27,0)</f>
        <v>2424</v>
      </c>
      <c r="F149" s="27">
        <f>ROUND(F148*'Transmission Formula Rate (7)'!$B$27,0)</f>
        <v>2664</v>
      </c>
      <c r="G149" s="27">
        <f>ROUND(G148*'Transmission Formula Rate (7)'!$B$27,0)</f>
        <v>2923</v>
      </c>
      <c r="H149" s="27">
        <f>ROUND(H148*'Transmission Formula Rate (7)'!$B$27,0)</f>
        <v>2905</v>
      </c>
      <c r="I149" s="27">
        <f>ROUND(I148*'Transmission Formula Rate (7)'!$B$27,0)</f>
        <v>3108</v>
      </c>
      <c r="J149" s="27">
        <f>ROUND(J148*'Transmission Formula Rate (7)'!$B$27,0)</f>
        <v>2942</v>
      </c>
      <c r="K149" s="27">
        <f>ROUND(K148*'Transmission Formula Rate (7)'!$B$27,0)</f>
        <v>2757</v>
      </c>
      <c r="L149" s="27">
        <f>ROUND(L148*'Transmission Formula Rate (7)'!$B$27,0)</f>
        <v>2368</v>
      </c>
      <c r="M149" s="27">
        <f>ROUND(M148*'Transmission Formula Rate (7)'!$B$27,0)</f>
        <v>2646</v>
      </c>
      <c r="N149" s="20">
        <f>SUM(B149:M149)</f>
        <v>33358</v>
      </c>
    </row>
    <row r="150" spans="1:14">
      <c r="A150" s="26" t="str">
        <f>A136</f>
        <v xml:space="preserve">       Vero Beach Load</v>
      </c>
      <c r="B150" s="27">
        <f t="shared" ref="B150:M150" si="74">B148+B149</f>
        <v>185367</v>
      </c>
      <c r="C150" s="27">
        <f t="shared" si="74"/>
        <v>160923</v>
      </c>
      <c r="D150" s="27">
        <f t="shared" si="74"/>
        <v>128331</v>
      </c>
      <c r="E150" s="27">
        <f t="shared" si="74"/>
        <v>133424</v>
      </c>
      <c r="F150" s="27">
        <f t="shared" si="74"/>
        <v>146664</v>
      </c>
      <c r="G150" s="27">
        <f t="shared" si="74"/>
        <v>160923</v>
      </c>
      <c r="H150" s="27">
        <f t="shared" si="74"/>
        <v>159905</v>
      </c>
      <c r="I150" s="27">
        <f t="shared" si="74"/>
        <v>171108</v>
      </c>
      <c r="J150" s="27">
        <f t="shared" si="74"/>
        <v>161942</v>
      </c>
      <c r="K150" s="27">
        <f t="shared" si="74"/>
        <v>151757</v>
      </c>
      <c r="L150" s="27">
        <f t="shared" si="74"/>
        <v>130368</v>
      </c>
      <c r="M150" s="27">
        <f t="shared" si="74"/>
        <v>145646</v>
      </c>
      <c r="N150" s="20">
        <f>SUM(B150:M150)</f>
        <v>1836358</v>
      </c>
    </row>
    <row r="151" spans="1:14">
      <c r="A151" s="25" t="s">
        <v>20</v>
      </c>
      <c r="B151" s="31">
        <f>'charges (1 &amp; 2)'!$G$37</f>
        <v>0.1008</v>
      </c>
      <c r="C151" s="31">
        <f>B151</f>
        <v>0.1008</v>
      </c>
      <c r="D151" s="31">
        <f t="shared" ref="D151" si="75">C151</f>
        <v>0.1008</v>
      </c>
      <c r="E151" s="31">
        <f t="shared" ref="E151" si="76">D151</f>
        <v>0.1008</v>
      </c>
      <c r="F151" s="31">
        <f t="shared" ref="F151" si="77">E151</f>
        <v>0.1008</v>
      </c>
      <c r="G151" s="31">
        <f t="shared" ref="G151" si="78">F151</f>
        <v>0.1008</v>
      </c>
      <c r="H151" s="31">
        <f t="shared" ref="H151" si="79">G151</f>
        <v>0.1008</v>
      </c>
      <c r="I151" s="31">
        <f t="shared" ref="I151" si="80">H151</f>
        <v>0.1008</v>
      </c>
      <c r="J151" s="31">
        <f t="shared" ref="J151" si="81">I151</f>
        <v>0.1008</v>
      </c>
      <c r="K151" s="31">
        <f t="shared" ref="K151" si="82">J151</f>
        <v>0.1008</v>
      </c>
      <c r="L151" s="31">
        <f t="shared" ref="L151" si="83">K151</f>
        <v>0.1008</v>
      </c>
      <c r="M151" s="31">
        <f t="shared" ref="M151" si="84">L151</f>
        <v>0.1008</v>
      </c>
      <c r="N151" s="19"/>
    </row>
    <row r="152" spans="1:14">
      <c r="A152" s="25" t="s">
        <v>17</v>
      </c>
      <c r="B152" s="192">
        <f t="shared" ref="B152:M152" si="85">B150*B151</f>
        <v>18684.993600000002</v>
      </c>
      <c r="C152" s="192">
        <f t="shared" si="85"/>
        <v>16221.038399999999</v>
      </c>
      <c r="D152" s="192">
        <f t="shared" si="85"/>
        <v>12935.764800000001</v>
      </c>
      <c r="E152" s="192">
        <f t="shared" si="85"/>
        <v>13449.1392</v>
      </c>
      <c r="F152" s="192">
        <f t="shared" si="85"/>
        <v>14783.7312</v>
      </c>
      <c r="G152" s="192">
        <f t="shared" si="85"/>
        <v>16221.038399999999</v>
      </c>
      <c r="H152" s="192">
        <f t="shared" si="85"/>
        <v>16118.424000000001</v>
      </c>
      <c r="I152" s="192">
        <f t="shared" si="85"/>
        <v>17247.686399999999</v>
      </c>
      <c r="J152" s="192">
        <f t="shared" si="85"/>
        <v>16323.7536</v>
      </c>
      <c r="K152" s="192">
        <f t="shared" si="85"/>
        <v>15297.105600000001</v>
      </c>
      <c r="L152" s="192">
        <f t="shared" si="85"/>
        <v>13141.0944</v>
      </c>
      <c r="M152" s="192">
        <f t="shared" si="85"/>
        <v>14681.1168</v>
      </c>
      <c r="N152" s="192">
        <f>SUM(B152:M152)</f>
        <v>185104.88639999999</v>
      </c>
    </row>
    <row r="153" spans="1:14" ht="6.75" customHeight="1">
      <c r="A153" s="25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>
      <c r="A154" s="25" t="s">
        <v>25</v>
      </c>
      <c r="B154" s="355">
        <f>B138+B152+B145</f>
        <v>315780.09918000002</v>
      </c>
      <c r="C154" s="355">
        <f t="shared" ref="C154:M154" si="86">C138+C152+C145</f>
        <v>274138.76742000005</v>
      </c>
      <c r="D154" s="355">
        <f t="shared" si="86"/>
        <v>218616.99174000003</v>
      </c>
      <c r="E154" s="355">
        <f t="shared" si="86"/>
        <v>227293.12096</v>
      </c>
      <c r="F154" s="355">
        <f t="shared" si="86"/>
        <v>249847.99056000001</v>
      </c>
      <c r="G154" s="355">
        <f t="shared" si="86"/>
        <v>274138.76742000005</v>
      </c>
      <c r="H154" s="355">
        <f t="shared" si="86"/>
        <v>272404.5637</v>
      </c>
      <c r="I154" s="355">
        <f t="shared" si="86"/>
        <v>291489.32232000004</v>
      </c>
      <c r="J154" s="355">
        <f t="shared" si="86"/>
        <v>275874.67468</v>
      </c>
      <c r="K154" s="355">
        <f t="shared" si="86"/>
        <v>258524.11978000001</v>
      </c>
      <c r="L154" s="355">
        <f t="shared" si="86"/>
        <v>222087.10272000002</v>
      </c>
      <c r="M154" s="355">
        <f t="shared" si="86"/>
        <v>248113.78684000002</v>
      </c>
      <c r="N154" s="355">
        <f>SUM(B154:M154)</f>
        <v>3128309.3073200001</v>
      </c>
    </row>
    <row r="156" spans="1:14">
      <c r="A156" s="24">
        <f>+A131+1</f>
        <v>2020</v>
      </c>
      <c r="B156" s="273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4">
      <c r="A158" s="25" t="s">
        <v>37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>
      <c r="A159" s="26" t="s">
        <v>40</v>
      </c>
      <c r="B159" s="356">
        <v>183000</v>
      </c>
      <c r="C159" s="356">
        <v>160000</v>
      </c>
      <c r="D159" s="356">
        <v>128000</v>
      </c>
      <c r="E159" s="356">
        <v>131000</v>
      </c>
      <c r="F159" s="356">
        <v>145000</v>
      </c>
      <c r="G159" s="356">
        <v>160000</v>
      </c>
      <c r="H159" s="356">
        <v>158000</v>
      </c>
      <c r="I159" s="356">
        <v>169000</v>
      </c>
      <c r="J159" s="356">
        <v>160000</v>
      </c>
      <c r="K159" s="356">
        <v>151000</v>
      </c>
      <c r="L159" s="356">
        <v>129000</v>
      </c>
      <c r="M159" s="356">
        <v>145000</v>
      </c>
      <c r="N159" s="357">
        <f>SUM(B159:M159)</f>
        <v>1819000</v>
      </c>
    </row>
    <row r="160" spans="1:14">
      <c r="A160" s="26" t="s">
        <v>45</v>
      </c>
      <c r="B160" s="27">
        <f>ROUND(B159*'Transmission Formula Rate (7)'!$B$27,0)</f>
        <v>3386</v>
      </c>
      <c r="C160" s="27">
        <f>ROUND(C159*'Transmission Formula Rate (7)'!$B$27,0)</f>
        <v>2960</v>
      </c>
      <c r="D160" s="27">
        <f>ROUND(D159*'Transmission Formula Rate (7)'!$B$27,0)</f>
        <v>2368</v>
      </c>
      <c r="E160" s="27">
        <f>ROUND(E159*'Transmission Formula Rate (7)'!$B$27,0)</f>
        <v>2424</v>
      </c>
      <c r="F160" s="27">
        <f>ROUND(F159*'Transmission Formula Rate (7)'!$B$27,0)</f>
        <v>2683</v>
      </c>
      <c r="G160" s="27">
        <f>ROUND(G159*'Transmission Formula Rate (7)'!$B$27,0)</f>
        <v>2960</v>
      </c>
      <c r="H160" s="27">
        <f>ROUND(H159*'Transmission Formula Rate (7)'!$B$27,0)</f>
        <v>2923</v>
      </c>
      <c r="I160" s="27">
        <f>ROUND(I159*'Transmission Formula Rate (7)'!$B$27,0)</f>
        <v>3127</v>
      </c>
      <c r="J160" s="27">
        <f>ROUND(J159*'Transmission Formula Rate (7)'!$B$27,0)</f>
        <v>2960</v>
      </c>
      <c r="K160" s="27">
        <f>ROUND(K159*'Transmission Formula Rate (7)'!$B$27,0)</f>
        <v>2794</v>
      </c>
      <c r="L160" s="27">
        <f>ROUND(L159*'Transmission Formula Rate (7)'!$B$27,0)</f>
        <v>2387</v>
      </c>
      <c r="M160" s="27">
        <f>ROUND(M159*'Transmission Formula Rate (7)'!$B$27,0)</f>
        <v>2683</v>
      </c>
      <c r="N160" s="20">
        <f>SUM(B160:M160)</f>
        <v>33655</v>
      </c>
    </row>
    <row r="161" spans="1:14">
      <c r="A161" s="26" t="str">
        <f>A150</f>
        <v xml:space="preserve">       Vero Beach Load</v>
      </c>
      <c r="B161" s="27">
        <f t="shared" ref="B161:M161" si="87">B159+B160</f>
        <v>186386</v>
      </c>
      <c r="C161" s="27">
        <f t="shared" si="87"/>
        <v>162960</v>
      </c>
      <c r="D161" s="27">
        <f t="shared" si="87"/>
        <v>130368</v>
      </c>
      <c r="E161" s="27">
        <f t="shared" si="87"/>
        <v>133424</v>
      </c>
      <c r="F161" s="27">
        <f t="shared" si="87"/>
        <v>147683</v>
      </c>
      <c r="G161" s="27">
        <f t="shared" si="87"/>
        <v>162960</v>
      </c>
      <c r="H161" s="27">
        <f t="shared" si="87"/>
        <v>160923</v>
      </c>
      <c r="I161" s="27">
        <f t="shared" si="87"/>
        <v>172127</v>
      </c>
      <c r="J161" s="27">
        <f t="shared" si="87"/>
        <v>162960</v>
      </c>
      <c r="K161" s="27">
        <f t="shared" si="87"/>
        <v>153794</v>
      </c>
      <c r="L161" s="27">
        <f t="shared" si="87"/>
        <v>131387</v>
      </c>
      <c r="M161" s="27">
        <f t="shared" si="87"/>
        <v>147683</v>
      </c>
      <c r="N161" s="20">
        <f>SUM(B161:M161)</f>
        <v>1852655</v>
      </c>
    </row>
    <row r="162" spans="1:14">
      <c r="A162" s="25" t="s">
        <v>20</v>
      </c>
      <c r="B162" s="29">
        <f>B137</f>
        <v>1.59</v>
      </c>
      <c r="C162" s="29">
        <f t="shared" ref="C162:M162" si="88">C137</f>
        <v>1.59</v>
      </c>
      <c r="D162" s="29">
        <f t="shared" si="88"/>
        <v>1.59</v>
      </c>
      <c r="E162" s="29">
        <f t="shared" si="88"/>
        <v>1.59</v>
      </c>
      <c r="F162" s="29">
        <f t="shared" si="88"/>
        <v>1.59</v>
      </c>
      <c r="G162" s="29">
        <f t="shared" si="88"/>
        <v>1.59</v>
      </c>
      <c r="H162" s="29">
        <f t="shared" si="88"/>
        <v>1.59</v>
      </c>
      <c r="I162" s="29">
        <f t="shared" si="88"/>
        <v>1.59</v>
      </c>
      <c r="J162" s="29">
        <f t="shared" si="88"/>
        <v>1.59</v>
      </c>
      <c r="K162" s="29">
        <f t="shared" si="88"/>
        <v>1.59</v>
      </c>
      <c r="L162" s="29">
        <f t="shared" si="88"/>
        <v>1.59</v>
      </c>
      <c r="M162" s="29">
        <f t="shared" si="88"/>
        <v>1.59</v>
      </c>
      <c r="N162" s="19"/>
    </row>
    <row r="163" spans="1:14">
      <c r="A163" s="25" t="s">
        <v>17</v>
      </c>
      <c r="B163" s="192">
        <f t="shared" ref="B163:M163" si="89">B161*B162</f>
        <v>296353.74</v>
      </c>
      <c r="C163" s="192">
        <f t="shared" si="89"/>
        <v>259106.40000000002</v>
      </c>
      <c r="D163" s="192">
        <f t="shared" si="89"/>
        <v>207285.12000000002</v>
      </c>
      <c r="E163" s="192">
        <f t="shared" si="89"/>
        <v>212144.16</v>
      </c>
      <c r="F163" s="192">
        <f t="shared" si="89"/>
        <v>234815.97</v>
      </c>
      <c r="G163" s="192">
        <f t="shared" si="89"/>
        <v>259106.40000000002</v>
      </c>
      <c r="H163" s="192">
        <f t="shared" si="89"/>
        <v>255867.57</v>
      </c>
      <c r="I163" s="192">
        <f t="shared" si="89"/>
        <v>273681.93</v>
      </c>
      <c r="J163" s="192">
        <f t="shared" si="89"/>
        <v>259106.40000000002</v>
      </c>
      <c r="K163" s="192">
        <f t="shared" si="89"/>
        <v>244532.46000000002</v>
      </c>
      <c r="L163" s="192">
        <f t="shared" si="89"/>
        <v>208905.33000000002</v>
      </c>
      <c r="M163" s="192">
        <f t="shared" si="89"/>
        <v>234815.97</v>
      </c>
      <c r="N163" s="192">
        <f>SUM(B163:M163)</f>
        <v>2945721.45</v>
      </c>
    </row>
    <row r="164" spans="1:14" ht="8.2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 ht="12.75" customHeight="1">
      <c r="A165" s="25" t="str">
        <f>A140</f>
        <v>TRANSMISSION SERVICE SCHEDULING CHARGE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 ht="12.75" customHeight="1">
      <c r="A166" s="26" t="s">
        <v>40</v>
      </c>
      <c r="B166" s="27">
        <f>B159</f>
        <v>183000</v>
      </c>
      <c r="C166" s="27">
        <f t="shared" ref="C166:M166" si="90">C159</f>
        <v>160000</v>
      </c>
      <c r="D166" s="27">
        <f t="shared" si="90"/>
        <v>128000</v>
      </c>
      <c r="E166" s="27">
        <f t="shared" si="90"/>
        <v>131000</v>
      </c>
      <c r="F166" s="27">
        <f t="shared" si="90"/>
        <v>145000</v>
      </c>
      <c r="G166" s="27">
        <f t="shared" si="90"/>
        <v>160000</v>
      </c>
      <c r="H166" s="27">
        <f t="shared" si="90"/>
        <v>158000</v>
      </c>
      <c r="I166" s="27">
        <f t="shared" si="90"/>
        <v>169000</v>
      </c>
      <c r="J166" s="27">
        <f t="shared" si="90"/>
        <v>160000</v>
      </c>
      <c r="K166" s="27">
        <f t="shared" si="90"/>
        <v>151000</v>
      </c>
      <c r="L166" s="27">
        <f t="shared" si="90"/>
        <v>129000</v>
      </c>
      <c r="M166" s="27">
        <f t="shared" si="90"/>
        <v>145000</v>
      </c>
      <c r="N166" s="20">
        <f>SUM(B166:M166)</f>
        <v>1819000</v>
      </c>
    </row>
    <row r="167" spans="1:14" ht="12.75" customHeight="1">
      <c r="A167" s="26" t="s">
        <v>45</v>
      </c>
      <c r="B167" s="27">
        <f>ROUND(B166*'Transmission Formula Rate (7)'!$B$27,0)</f>
        <v>3386</v>
      </c>
      <c r="C167" s="27">
        <f>ROUND(C166*'Transmission Formula Rate (7)'!$B$27,0)</f>
        <v>2960</v>
      </c>
      <c r="D167" s="27">
        <f>ROUND(D166*'Transmission Formula Rate (7)'!$B$27,0)</f>
        <v>2368</v>
      </c>
      <c r="E167" s="27">
        <f>ROUND(E166*'Transmission Formula Rate (7)'!$B$27,0)</f>
        <v>2424</v>
      </c>
      <c r="F167" s="27">
        <f>ROUND(F166*'Transmission Formula Rate (7)'!$B$27,0)</f>
        <v>2683</v>
      </c>
      <c r="G167" s="27">
        <f>ROUND(G166*'Transmission Formula Rate (7)'!$B$27,0)</f>
        <v>2960</v>
      </c>
      <c r="H167" s="27">
        <f>ROUND(H166*'Transmission Formula Rate (7)'!$B$27,0)</f>
        <v>2923</v>
      </c>
      <c r="I167" s="27">
        <f>ROUND(I166*'Transmission Formula Rate (7)'!$B$27,0)</f>
        <v>3127</v>
      </c>
      <c r="J167" s="27">
        <f>ROUND(J166*'Transmission Formula Rate (7)'!$B$27,0)</f>
        <v>2960</v>
      </c>
      <c r="K167" s="27">
        <f>ROUND(K166*'Transmission Formula Rate (7)'!$B$27,0)</f>
        <v>2794</v>
      </c>
      <c r="L167" s="27">
        <f>ROUND(L166*'Transmission Formula Rate (7)'!$B$27,0)</f>
        <v>2387</v>
      </c>
      <c r="M167" s="27">
        <f>ROUND(M166*'Transmission Formula Rate (7)'!$B$27,0)</f>
        <v>2683</v>
      </c>
      <c r="N167" s="20">
        <f>SUM(B167:M167)</f>
        <v>33655</v>
      </c>
    </row>
    <row r="168" spans="1:14" ht="12.75" customHeight="1">
      <c r="A168" s="26" t="str">
        <f>A161</f>
        <v xml:space="preserve">       Vero Beach Load</v>
      </c>
      <c r="B168" s="27">
        <f t="shared" ref="B168:M168" si="91">B166+B167</f>
        <v>186386</v>
      </c>
      <c r="C168" s="27">
        <f t="shared" si="91"/>
        <v>162960</v>
      </c>
      <c r="D168" s="27">
        <f t="shared" si="91"/>
        <v>130368</v>
      </c>
      <c r="E168" s="27">
        <f t="shared" si="91"/>
        <v>133424</v>
      </c>
      <c r="F168" s="27">
        <f t="shared" si="91"/>
        <v>147683</v>
      </c>
      <c r="G168" s="27">
        <f t="shared" si="91"/>
        <v>162960</v>
      </c>
      <c r="H168" s="27">
        <f t="shared" si="91"/>
        <v>160923</v>
      </c>
      <c r="I168" s="27">
        <f t="shared" si="91"/>
        <v>172127</v>
      </c>
      <c r="J168" s="27">
        <f t="shared" si="91"/>
        <v>162960</v>
      </c>
      <c r="K168" s="27">
        <f t="shared" si="91"/>
        <v>153794</v>
      </c>
      <c r="L168" s="27">
        <f t="shared" si="91"/>
        <v>131387</v>
      </c>
      <c r="M168" s="27">
        <f t="shared" si="91"/>
        <v>147683</v>
      </c>
      <c r="N168" s="20">
        <f>SUM(B168:M168)</f>
        <v>1852655</v>
      </c>
    </row>
    <row r="169" spans="1:14" ht="12.75" customHeight="1">
      <c r="A169" s="25" t="s">
        <v>20</v>
      </c>
      <c r="B169" s="31">
        <f>B144</f>
        <v>1.274E-2</v>
      </c>
      <c r="C169" s="31">
        <f>B169</f>
        <v>1.274E-2</v>
      </c>
      <c r="D169" s="31">
        <f t="shared" ref="D169" si="92">C169</f>
        <v>1.274E-2</v>
      </c>
      <c r="E169" s="31">
        <f t="shared" ref="E169" si="93">D169</f>
        <v>1.274E-2</v>
      </c>
      <c r="F169" s="31">
        <f t="shared" ref="F169" si="94">E169</f>
        <v>1.274E-2</v>
      </c>
      <c r="G169" s="31">
        <f t="shared" ref="G169" si="95">F169</f>
        <v>1.274E-2</v>
      </c>
      <c r="H169" s="31">
        <f t="shared" ref="H169" si="96">G169</f>
        <v>1.274E-2</v>
      </c>
      <c r="I169" s="31">
        <f t="shared" ref="I169" si="97">H169</f>
        <v>1.274E-2</v>
      </c>
      <c r="J169" s="31">
        <f t="shared" ref="J169" si="98">I169</f>
        <v>1.274E-2</v>
      </c>
      <c r="K169" s="31">
        <f t="shared" ref="K169" si="99">J169</f>
        <v>1.274E-2</v>
      </c>
      <c r="L169" s="31">
        <f t="shared" ref="L169" si="100">K169</f>
        <v>1.274E-2</v>
      </c>
      <c r="M169" s="31">
        <f t="shared" ref="M169" si="101">L169</f>
        <v>1.274E-2</v>
      </c>
      <c r="N169" s="19"/>
    </row>
    <row r="170" spans="1:14" ht="12.75" customHeight="1">
      <c r="A170" s="25" t="s">
        <v>17</v>
      </c>
      <c r="B170" s="192">
        <f t="shared" ref="B170:M170" si="102">B168*B169</f>
        <v>2374.55764</v>
      </c>
      <c r="C170" s="192">
        <f t="shared" si="102"/>
        <v>2076.1104</v>
      </c>
      <c r="D170" s="192">
        <f t="shared" si="102"/>
        <v>1660.88832</v>
      </c>
      <c r="E170" s="192">
        <f t="shared" si="102"/>
        <v>1699.82176</v>
      </c>
      <c r="F170" s="192">
        <f t="shared" si="102"/>
        <v>1881.4814199999998</v>
      </c>
      <c r="G170" s="192">
        <f t="shared" si="102"/>
        <v>2076.1104</v>
      </c>
      <c r="H170" s="192">
        <f t="shared" si="102"/>
        <v>2050.1590200000001</v>
      </c>
      <c r="I170" s="192">
        <f t="shared" si="102"/>
        <v>2192.8979799999997</v>
      </c>
      <c r="J170" s="192">
        <f t="shared" si="102"/>
        <v>2076.1104</v>
      </c>
      <c r="K170" s="192">
        <f t="shared" si="102"/>
        <v>1959.33556</v>
      </c>
      <c r="L170" s="192">
        <f t="shared" si="102"/>
        <v>1673.8703799999998</v>
      </c>
      <c r="M170" s="192">
        <f t="shared" si="102"/>
        <v>1881.4814199999998</v>
      </c>
      <c r="N170" s="192">
        <f>SUM(B170:M170)</f>
        <v>23602.824699999997</v>
      </c>
    </row>
    <row r="171" spans="1:14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1:14">
      <c r="A172" s="25" t="s">
        <v>38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>
      <c r="A173" s="26" t="s">
        <v>40</v>
      </c>
      <c r="B173" s="27">
        <f t="shared" ref="B173:M173" si="103">B159</f>
        <v>183000</v>
      </c>
      <c r="C173" s="27">
        <f t="shared" si="103"/>
        <v>160000</v>
      </c>
      <c r="D173" s="27">
        <f t="shared" si="103"/>
        <v>128000</v>
      </c>
      <c r="E173" s="27">
        <f t="shared" si="103"/>
        <v>131000</v>
      </c>
      <c r="F173" s="27">
        <f t="shared" si="103"/>
        <v>145000</v>
      </c>
      <c r="G173" s="27">
        <f t="shared" si="103"/>
        <v>160000</v>
      </c>
      <c r="H173" s="27">
        <f t="shared" si="103"/>
        <v>158000</v>
      </c>
      <c r="I173" s="27">
        <f t="shared" si="103"/>
        <v>169000</v>
      </c>
      <c r="J173" s="27">
        <f t="shared" si="103"/>
        <v>160000</v>
      </c>
      <c r="K173" s="27">
        <f t="shared" si="103"/>
        <v>151000</v>
      </c>
      <c r="L173" s="27">
        <f t="shared" si="103"/>
        <v>129000</v>
      </c>
      <c r="M173" s="27">
        <f t="shared" si="103"/>
        <v>145000</v>
      </c>
      <c r="N173" s="20">
        <f>SUM(B173:M173)</f>
        <v>1819000</v>
      </c>
    </row>
    <row r="174" spans="1:14">
      <c r="A174" s="26" t="s">
        <v>45</v>
      </c>
      <c r="B174" s="27">
        <f>ROUND(B173*'Transmission Formula Rate (7)'!$B$27,0)</f>
        <v>3386</v>
      </c>
      <c r="C174" s="27">
        <f>ROUND(C173*'Transmission Formula Rate (7)'!$B$27,0)</f>
        <v>2960</v>
      </c>
      <c r="D174" s="27">
        <f>ROUND(D173*'Transmission Formula Rate (7)'!$B$27,0)</f>
        <v>2368</v>
      </c>
      <c r="E174" s="27">
        <f>ROUND(E173*'Transmission Formula Rate (7)'!$B$27,0)</f>
        <v>2424</v>
      </c>
      <c r="F174" s="27">
        <f>ROUND(F173*'Transmission Formula Rate (7)'!$B$27,0)</f>
        <v>2683</v>
      </c>
      <c r="G174" s="27">
        <f>ROUND(G173*'Transmission Formula Rate (7)'!$B$27,0)</f>
        <v>2960</v>
      </c>
      <c r="H174" s="27">
        <f>ROUND(H173*'Transmission Formula Rate (7)'!$B$27,0)</f>
        <v>2923</v>
      </c>
      <c r="I174" s="27">
        <f>ROUND(I173*'Transmission Formula Rate (7)'!$B$27,0)</f>
        <v>3127</v>
      </c>
      <c r="J174" s="27">
        <f>ROUND(J173*'Transmission Formula Rate (7)'!$B$27,0)</f>
        <v>2960</v>
      </c>
      <c r="K174" s="27">
        <f>ROUND(K173*'Transmission Formula Rate (7)'!$B$27,0)</f>
        <v>2794</v>
      </c>
      <c r="L174" s="27">
        <f>ROUND(L173*'Transmission Formula Rate (7)'!$B$27,0)</f>
        <v>2387</v>
      </c>
      <c r="M174" s="27">
        <f>ROUND(M173*'Transmission Formula Rate (7)'!$B$27,0)</f>
        <v>2683</v>
      </c>
      <c r="N174" s="20">
        <f>SUM(B174:M174)</f>
        <v>33655</v>
      </c>
    </row>
    <row r="175" spans="1:14">
      <c r="A175" s="26" t="str">
        <f>A161</f>
        <v xml:space="preserve">       Vero Beach Load</v>
      </c>
      <c r="B175" s="27">
        <f t="shared" ref="B175:M175" si="104">B173+B174</f>
        <v>186386</v>
      </c>
      <c r="C175" s="27">
        <f t="shared" si="104"/>
        <v>162960</v>
      </c>
      <c r="D175" s="27">
        <f t="shared" si="104"/>
        <v>130368</v>
      </c>
      <c r="E175" s="27">
        <f t="shared" si="104"/>
        <v>133424</v>
      </c>
      <c r="F175" s="27">
        <f t="shared" si="104"/>
        <v>147683</v>
      </c>
      <c r="G175" s="27">
        <f t="shared" si="104"/>
        <v>162960</v>
      </c>
      <c r="H175" s="27">
        <f t="shared" si="104"/>
        <v>160923</v>
      </c>
      <c r="I175" s="27">
        <f t="shared" si="104"/>
        <v>172127</v>
      </c>
      <c r="J175" s="27">
        <f t="shared" si="104"/>
        <v>162960</v>
      </c>
      <c r="K175" s="27">
        <f t="shared" si="104"/>
        <v>153794</v>
      </c>
      <c r="L175" s="27">
        <f t="shared" si="104"/>
        <v>131387</v>
      </c>
      <c r="M175" s="27">
        <f t="shared" si="104"/>
        <v>147683</v>
      </c>
      <c r="N175" s="20">
        <f>SUM(B175:M175)</f>
        <v>1852655</v>
      </c>
    </row>
    <row r="176" spans="1:14">
      <c r="A176" s="25" t="s">
        <v>20</v>
      </c>
      <c r="B176" s="31">
        <f>'charges (1 &amp; 2)'!$G$37</f>
        <v>0.1008</v>
      </c>
      <c r="C176" s="31">
        <f>B176</f>
        <v>0.1008</v>
      </c>
      <c r="D176" s="31">
        <f t="shared" ref="D176" si="105">C176</f>
        <v>0.1008</v>
      </c>
      <c r="E176" s="31">
        <f t="shared" ref="E176" si="106">D176</f>
        <v>0.1008</v>
      </c>
      <c r="F176" s="31">
        <f t="shared" ref="F176" si="107">E176</f>
        <v>0.1008</v>
      </c>
      <c r="G176" s="31">
        <f t="shared" ref="G176" si="108">F176</f>
        <v>0.1008</v>
      </c>
      <c r="H176" s="31">
        <f t="shared" ref="H176" si="109">G176</f>
        <v>0.1008</v>
      </c>
      <c r="I176" s="31">
        <f t="shared" ref="I176" si="110">H176</f>
        <v>0.1008</v>
      </c>
      <c r="J176" s="31">
        <f t="shared" ref="J176" si="111">I176</f>
        <v>0.1008</v>
      </c>
      <c r="K176" s="31">
        <f t="shared" ref="K176" si="112">J176</f>
        <v>0.1008</v>
      </c>
      <c r="L176" s="31">
        <f t="shared" ref="L176" si="113">K176</f>
        <v>0.1008</v>
      </c>
      <c r="M176" s="31">
        <f t="shared" ref="M176" si="114">L176</f>
        <v>0.1008</v>
      </c>
      <c r="N176" s="19"/>
    </row>
    <row r="177" spans="1:14">
      <c r="A177" s="25" t="s">
        <v>17</v>
      </c>
      <c r="B177" s="192">
        <f t="shared" ref="B177:M177" si="115">B175*B176</f>
        <v>18787.7088</v>
      </c>
      <c r="C177" s="192">
        <f t="shared" si="115"/>
        <v>16426.367999999999</v>
      </c>
      <c r="D177" s="192">
        <f t="shared" si="115"/>
        <v>13141.0944</v>
      </c>
      <c r="E177" s="192">
        <f t="shared" si="115"/>
        <v>13449.1392</v>
      </c>
      <c r="F177" s="192">
        <f t="shared" si="115"/>
        <v>14886.446400000001</v>
      </c>
      <c r="G177" s="192">
        <f t="shared" si="115"/>
        <v>16426.367999999999</v>
      </c>
      <c r="H177" s="192">
        <f t="shared" si="115"/>
        <v>16221.038399999999</v>
      </c>
      <c r="I177" s="192">
        <f t="shared" si="115"/>
        <v>17350.401600000001</v>
      </c>
      <c r="J177" s="192">
        <f t="shared" si="115"/>
        <v>16426.367999999999</v>
      </c>
      <c r="K177" s="192">
        <f t="shared" si="115"/>
        <v>15502.4352</v>
      </c>
      <c r="L177" s="192">
        <f t="shared" si="115"/>
        <v>13243.809600000001</v>
      </c>
      <c r="M177" s="192">
        <f t="shared" si="115"/>
        <v>14886.446400000001</v>
      </c>
      <c r="N177" s="192">
        <f>SUM(B177:M177)</f>
        <v>186747.62400000001</v>
      </c>
    </row>
    <row r="178" spans="1:14" ht="6.75" customHeight="1">
      <c r="A178" s="25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>
      <c r="A179" s="25" t="s">
        <v>25</v>
      </c>
      <c r="B179" s="355">
        <f>B163+B177+B170</f>
        <v>317516.00644000003</v>
      </c>
      <c r="C179" s="355">
        <f t="shared" ref="C179:M179" si="116">C163+C177+C170</f>
        <v>277608.87840000005</v>
      </c>
      <c r="D179" s="355">
        <f t="shared" si="116"/>
        <v>222087.10272000002</v>
      </c>
      <c r="E179" s="355">
        <f t="shared" si="116"/>
        <v>227293.12096</v>
      </c>
      <c r="F179" s="355">
        <f t="shared" si="116"/>
        <v>251583.89781999998</v>
      </c>
      <c r="G179" s="355">
        <f t="shared" si="116"/>
        <v>277608.87840000005</v>
      </c>
      <c r="H179" s="355">
        <f t="shared" si="116"/>
        <v>274138.76742000005</v>
      </c>
      <c r="I179" s="355">
        <f t="shared" si="116"/>
        <v>293225.22957999998</v>
      </c>
      <c r="J179" s="355">
        <f t="shared" si="116"/>
        <v>277608.87840000005</v>
      </c>
      <c r="K179" s="355">
        <f t="shared" si="116"/>
        <v>261994.23076000003</v>
      </c>
      <c r="L179" s="355">
        <f t="shared" si="116"/>
        <v>223823.00998000003</v>
      </c>
      <c r="M179" s="355">
        <f t="shared" si="116"/>
        <v>251583.89781999998</v>
      </c>
      <c r="N179" s="355">
        <f>SUM(B179:M179)</f>
        <v>3156071.8987000003</v>
      </c>
    </row>
  </sheetData>
  <phoneticPr fontId="23" type="noConversion"/>
  <pageMargins left="0.19" right="0.2" top="0.62" bottom="0.46" header="0.4" footer="0.18"/>
  <pageSetup pageOrder="overThenDown" orientation="landscape" r:id="rId1"/>
  <headerFooter alignWithMargins="0">
    <oddHeader>&amp;A</oddHeader>
    <oddFooter>&amp;Z&amp;F</oddFooter>
  </headerFooter>
  <rowBreaks count="6" manualBreakCount="6">
    <brk id="29" max="16383" man="1"/>
    <brk id="54" max="16383" man="1"/>
    <brk id="79" max="16383" man="1"/>
    <brk id="104" max="16383" man="1"/>
    <brk id="129" max="16383" man="1"/>
    <brk id="203" max="65535" man="1"/>
  </rowBreaks>
  <ignoredErrors>
    <ignoredError sqref="N16 N91 N23 N41 N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0" customWidth="1"/>
    <col min="2" max="2" width="10.77734375" style="460" bestFit="1" customWidth="1"/>
    <col min="3" max="13" width="9.33203125" style="460" bestFit="1" customWidth="1"/>
    <col min="14" max="14" width="10.109375" style="460" bestFit="1" customWidth="1"/>
    <col min="15" max="15" width="9.21875" style="460" bestFit="1" customWidth="1"/>
    <col min="16" max="16384" width="9" style="460"/>
  </cols>
  <sheetData>
    <row r="1" spans="1:15">
      <c r="A1" s="471" t="s">
        <v>460</v>
      </c>
    </row>
    <row r="2" spans="1:15">
      <c r="A2" s="471" t="s">
        <v>458</v>
      </c>
    </row>
    <row r="3" spans="1:15" ht="17.399999999999999">
      <c r="A3" s="483" t="s">
        <v>378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5.6">
      <c r="A4" s="484" t="s">
        <v>411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</row>
    <row r="5" spans="1:15" ht="15.6">
      <c r="A5" s="461"/>
    </row>
    <row r="6" spans="1:15" ht="13.8" thickBot="1"/>
    <row r="7" spans="1:15" ht="13.8" thickBot="1">
      <c r="O7" s="462"/>
    </row>
    <row r="8" spans="1:15" ht="13.8" thickBot="1">
      <c r="A8" s="463"/>
      <c r="B8" s="464">
        <v>42736</v>
      </c>
      <c r="C8" s="464">
        <v>42767</v>
      </c>
      <c r="D8" s="464">
        <v>42795</v>
      </c>
      <c r="E8" s="464">
        <v>42826</v>
      </c>
      <c r="F8" s="464">
        <v>42856</v>
      </c>
      <c r="G8" s="464">
        <v>42887</v>
      </c>
      <c r="H8" s="464">
        <v>42917</v>
      </c>
      <c r="I8" s="464">
        <v>42948</v>
      </c>
      <c r="J8" s="464">
        <v>42979</v>
      </c>
      <c r="K8" s="464">
        <v>43009</v>
      </c>
      <c r="L8" s="464">
        <v>43040</v>
      </c>
      <c r="M8" s="464">
        <v>43070</v>
      </c>
      <c r="N8" s="465" t="s">
        <v>33</v>
      </c>
      <c r="O8" s="466" t="s">
        <v>379</v>
      </c>
    </row>
    <row r="9" spans="1:15">
      <c r="A9" s="467" t="s">
        <v>380</v>
      </c>
      <c r="O9" s="468"/>
    </row>
    <row r="10" spans="1:15">
      <c r="A10" s="460" t="s">
        <v>381</v>
      </c>
      <c r="B10" s="469">
        <f>'Blountstown Network'!B63/(1+'Transmission Formula Rate (7)'!$B$27)</f>
        <v>8836.5243004418262</v>
      </c>
      <c r="C10" s="469">
        <f>'Blountstown Network'!C63/(1+'Transmission Formula Rate (7)'!$B$27)</f>
        <v>0</v>
      </c>
      <c r="D10" s="469">
        <f>'Blountstown Network'!D63/(1+'Transmission Formula Rate (7)'!$B$27)</f>
        <v>0</v>
      </c>
      <c r="E10" s="469">
        <f>'Blountstown Network'!E63/(1+'Transmission Formula Rate (7)'!$B$27)</f>
        <v>0</v>
      </c>
      <c r="F10" s="469">
        <f>'Blountstown Network'!F63/(1+'Transmission Formula Rate (7)'!$B$27)</f>
        <v>0</v>
      </c>
      <c r="G10" s="469">
        <f>'Blountstown Network'!G63/(1+'Transmission Formula Rate (7)'!$B$27)</f>
        <v>0</v>
      </c>
      <c r="H10" s="469">
        <f>'Blountstown Network'!H63/(1+'Transmission Formula Rate (7)'!$B$27)</f>
        <v>0</v>
      </c>
      <c r="I10" s="469">
        <f>'Blountstown Network'!I63/(1+'Transmission Formula Rate (7)'!$B$27)</f>
        <v>0</v>
      </c>
      <c r="J10" s="469">
        <f>'Blountstown Network'!J63/(1+'Transmission Formula Rate (7)'!$B$27)</f>
        <v>0</v>
      </c>
      <c r="K10" s="469">
        <f>'Blountstown Network'!K63/(1+'Transmission Formula Rate (7)'!$B$27)</f>
        <v>0</v>
      </c>
      <c r="L10" s="469">
        <f>'Blountstown Network'!L63/(1+'Transmission Formula Rate (7)'!$B$27)</f>
        <v>0</v>
      </c>
      <c r="M10" s="469">
        <f>'Blountstown Network'!M63/(1+'Transmission Formula Rate (7)'!$B$27)</f>
        <v>0</v>
      </c>
      <c r="N10" s="469">
        <f t="shared" ref="N10:N21" si="0">SUM(B10:M10)</f>
        <v>8836.5243004418262</v>
      </c>
      <c r="O10" s="470">
        <f t="shared" ref="O10:O22" si="1">AVERAGE(B10:M10)</f>
        <v>736.37702503681885</v>
      </c>
    </row>
    <row r="11" spans="1:15">
      <c r="A11" s="460" t="s">
        <v>382</v>
      </c>
      <c r="B11" s="469">
        <f>'Winter Park Network'!B57/(1+'Transmission Formula Rate (7)'!$B$27)</f>
        <v>58910.162002945508</v>
      </c>
      <c r="C11" s="469">
        <f>'Winter Park Network'!C57/(1+'Transmission Formula Rate (7)'!$B$27)</f>
        <v>58910.162002945508</v>
      </c>
      <c r="D11" s="469">
        <f>'Winter Park Network'!D57/(1+'Transmission Formula Rate (7)'!$B$27)</f>
        <v>43167.277859597445</v>
      </c>
      <c r="E11" s="469">
        <f>'Winter Park Network'!E57/(1+'Transmission Formula Rate (7)'!$B$27)</f>
        <v>46480.410898379967</v>
      </c>
      <c r="F11" s="469">
        <f>'Winter Park Network'!F57/(1+'Transmission Formula Rate (7)'!$B$27)</f>
        <v>63874.35935198822</v>
      </c>
      <c r="G11" s="469">
        <f>'Winter Park Network'!G57/(1+'Transmission Formula Rate (7)'!$B$27)</f>
        <v>65530.925871379477</v>
      </c>
      <c r="H11" s="469">
        <f>'Winter Park Network'!H57/(1+'Transmission Formula Rate (7)'!$B$27)</f>
        <v>63046.076092292577</v>
      </c>
      <c r="I11" s="469">
        <f>'Winter Park Network'!I57/(1+'Transmission Formula Rate (7)'!$B$27)</f>
        <v>70500.625429553256</v>
      </c>
      <c r="J11" s="469">
        <f>'Winter Park Network'!J57/(1+'Transmission Formula Rate (7)'!$B$27)</f>
        <v>58910.162002945508</v>
      </c>
      <c r="K11" s="469">
        <f>'Winter Park Network'!K57/(1+'Transmission Formula Rate (7)'!$B$27)</f>
        <v>59732.943053510069</v>
      </c>
      <c r="L11" s="469">
        <f>'Winter Park Network'!L57/(1+'Transmission Formula Rate (7)'!$B$27)</f>
        <v>42338.994599901816</v>
      </c>
      <c r="M11" s="469">
        <f>'Winter Park Network'!M57/(1+'Transmission Formula Rate (7)'!$B$27)</f>
        <v>42338.994599901816</v>
      </c>
      <c r="N11" s="469">
        <f t="shared" si="0"/>
        <v>673741.09376534121</v>
      </c>
      <c r="O11" s="470">
        <f t="shared" si="1"/>
        <v>56145.091147111765</v>
      </c>
    </row>
    <row r="12" spans="1:15">
      <c r="A12" s="460" t="s">
        <v>383</v>
      </c>
      <c r="B12" s="469">
        <f>'LCEC Network'!B64/(1+'Transmission Formula Rate (7)'!$B$27)</f>
        <v>535761.10522349365</v>
      </c>
      <c r="C12" s="469">
        <f>'LCEC Network'!C64/(1+'Transmission Formula Rate (7)'!$B$27)</f>
        <v>731632.66532773932</v>
      </c>
      <c r="D12" s="469">
        <f>'LCEC Network'!D64/(1+'Transmission Formula Rate (7)'!$B$27)</f>
        <v>656795.09253987262</v>
      </c>
      <c r="E12" s="469">
        <f>'LCEC Network'!E64/(1+'Transmission Formula Rate (7)'!$B$27)</f>
        <v>605251.97682608163</v>
      </c>
      <c r="F12" s="469">
        <f>'LCEC Network'!F64/(1+'Transmission Formula Rate (7)'!$B$27)</f>
        <v>592948.6788618596</v>
      </c>
      <c r="G12" s="469">
        <f>'LCEC Network'!G64/(1+'Transmission Formula Rate (7)'!$B$27)</f>
        <v>687090.81544073543</v>
      </c>
      <c r="H12" s="469">
        <f>'LCEC Network'!H64/(1+'Transmission Formula Rate (7)'!$B$27)</f>
        <v>754572.80918783415</v>
      </c>
      <c r="I12" s="469">
        <f>'LCEC Network'!I64/(1+'Transmission Formula Rate (7)'!$B$27)</f>
        <v>735516.90850418457</v>
      </c>
      <c r="J12" s="469">
        <f>'LCEC Network'!J64/(1+'Transmission Formula Rate (7)'!$B$27)</f>
        <v>769244.6509878186</v>
      </c>
      <c r="K12" s="469">
        <f>'LCEC Network'!K64/(1+'Transmission Formula Rate (7)'!$B$27)</f>
        <v>660594.94835775346</v>
      </c>
      <c r="L12" s="469">
        <f>'LCEC Network'!L64/(1+'Transmission Formula Rate (7)'!$B$27)</f>
        <v>695796.81723342882</v>
      </c>
      <c r="M12" s="469">
        <f>'LCEC Network'!M64/(1+'Transmission Formula Rate (7)'!$B$27)</f>
        <v>571543.56593823468</v>
      </c>
      <c r="N12" s="469">
        <f t="shared" si="0"/>
        <v>7996750.0344290361</v>
      </c>
      <c r="O12" s="470">
        <f t="shared" si="1"/>
        <v>666395.83620241971</v>
      </c>
    </row>
    <row r="13" spans="1:15">
      <c r="A13" s="460" t="s">
        <v>384</v>
      </c>
      <c r="B13" s="469">
        <f>'FKEC Network'!B64/(1+'Transmission Formula Rate (7)'!$B$27)</f>
        <v>113036.94809690383</v>
      </c>
      <c r="C13" s="469">
        <f>'FKEC Network'!C64/(1+'Transmission Formula Rate (7)'!$B$27)</f>
        <v>110361.70131651708</v>
      </c>
      <c r="D13" s="469">
        <f>'FKEC Network'!D64/(1+'Transmission Formula Rate (7)'!$B$27)</f>
        <v>117428.81150249574</v>
      </c>
      <c r="E13" s="469">
        <f>'FKEC Network'!E64/(1+'Transmission Formula Rate (7)'!$B$27)</f>
        <v>111436.47664945188</v>
      </c>
      <c r="F13" s="469">
        <f>'FKEC Network'!F64/(1+'Transmission Formula Rate (7)'!$B$27)</f>
        <v>132336.685664624</v>
      </c>
      <c r="G13" s="469">
        <f>'FKEC Network'!G64/(1+'Transmission Formula Rate (7)'!$B$27)</f>
        <v>140672.54549865509</v>
      </c>
      <c r="H13" s="469">
        <f>'FKEC Network'!H64/(1+'Transmission Formula Rate (7)'!$B$27)</f>
        <v>144773.88215694122</v>
      </c>
      <c r="I13" s="469">
        <f>'FKEC Network'!I64/(1+'Transmission Formula Rate (7)'!$B$27)</f>
        <v>155855.58134548677</v>
      </c>
      <c r="J13" s="469">
        <f>'FKEC Network'!J64/(1+'Transmission Formula Rate (7)'!$B$27)</f>
        <v>152983.01584252287</v>
      </c>
      <c r="K13" s="469">
        <f>'FKEC Network'!K64/(1+'Transmission Formula Rate (7)'!$B$27)</f>
        <v>141133.2514094646</v>
      </c>
      <c r="L13" s="469">
        <f>'FKEC Network'!L64/(1+'Transmission Formula Rate (7)'!$B$27)</f>
        <v>134934.84612420044</v>
      </c>
      <c r="M13" s="469">
        <f>'FKEC Network'!M64/(1+'Transmission Formula Rate (7)'!$B$27)</f>
        <v>119710.9532005659</v>
      </c>
      <c r="N13" s="469">
        <f t="shared" si="0"/>
        <v>1574664.6988078293</v>
      </c>
      <c r="O13" s="470">
        <f t="shared" si="1"/>
        <v>131222.05823398576</v>
      </c>
    </row>
    <row r="14" spans="1:15">
      <c r="A14" s="460" t="s">
        <v>385</v>
      </c>
      <c r="B14" s="469">
        <f>'Wauchula Network'!B64/(1+'Transmission Formula Rate (7)'!$B$27)</f>
        <v>12763.868433971527</v>
      </c>
      <c r="C14" s="469">
        <f>'Wauchula Network'!C64/(1+'Transmission Formula Rate (7)'!$B$27)</f>
        <v>0</v>
      </c>
      <c r="D14" s="469">
        <f>'Wauchula Network'!D64/(1+'Transmission Formula Rate (7)'!$B$27)</f>
        <v>0</v>
      </c>
      <c r="E14" s="469">
        <f>'Wauchula Network'!E64/(1+'Transmission Formula Rate (7)'!$B$27)</f>
        <v>0</v>
      </c>
      <c r="F14" s="469">
        <f>'Wauchula Network'!F64/(1+'Transmission Formula Rate (7)'!$B$27)</f>
        <v>0</v>
      </c>
      <c r="G14" s="469">
        <f>'Wauchula Network'!G64/(1+'Transmission Formula Rate (7)'!$B$27)</f>
        <v>0</v>
      </c>
      <c r="H14" s="469">
        <f>'Wauchula Network'!H64/(1+'Transmission Formula Rate (7)'!$B$27)</f>
        <v>0</v>
      </c>
      <c r="I14" s="469">
        <f>'Wauchula Network'!I64/(1+'Transmission Formula Rate (7)'!$B$27)</f>
        <v>0</v>
      </c>
      <c r="J14" s="469">
        <f>'Wauchula Network'!J64/(1+'Transmission Formula Rate (7)'!$B$27)</f>
        <v>0</v>
      </c>
      <c r="K14" s="469">
        <f>'Wauchula Network'!K64/(1+'Transmission Formula Rate (7)'!$B$27)</f>
        <v>0</v>
      </c>
      <c r="L14" s="469">
        <f>'Wauchula Network'!L64/(1+'Transmission Formula Rate (7)'!$B$27)</f>
        <v>0</v>
      </c>
      <c r="M14" s="469">
        <f>'Wauchula Network'!M64/(1+'Transmission Formula Rate (7)'!$B$27)</f>
        <v>0</v>
      </c>
      <c r="N14" s="469">
        <f t="shared" si="0"/>
        <v>12763.868433971527</v>
      </c>
      <c r="O14" s="470">
        <f t="shared" si="1"/>
        <v>1063.6557028309605</v>
      </c>
    </row>
    <row r="15" spans="1:15">
      <c r="A15" s="460" t="s">
        <v>386</v>
      </c>
      <c r="B15" s="469">
        <f>'Vero Beach Network'!B84</f>
        <v>179000</v>
      </c>
      <c r="C15" s="469">
        <f>'Vero Beach Network'!C84</f>
        <v>155000</v>
      </c>
      <c r="D15" s="469">
        <f>'Vero Beach Network'!D84</f>
        <v>124000</v>
      </c>
      <c r="E15" s="469">
        <f>'Vero Beach Network'!E84</f>
        <v>128000</v>
      </c>
      <c r="F15" s="469">
        <f>'Vero Beach Network'!F84</f>
        <v>141000</v>
      </c>
      <c r="G15" s="469">
        <f>'Vero Beach Network'!G84</f>
        <v>155000</v>
      </c>
      <c r="H15" s="469">
        <f>'Vero Beach Network'!H84</f>
        <v>154000</v>
      </c>
      <c r="I15" s="469">
        <f>'Vero Beach Network'!I84</f>
        <v>165000</v>
      </c>
      <c r="J15" s="469">
        <f>'Vero Beach Network'!J84</f>
        <v>156000</v>
      </c>
      <c r="K15" s="469">
        <f>'Vero Beach Network'!K84</f>
        <v>147000</v>
      </c>
      <c r="L15" s="469">
        <f>'Vero Beach Network'!L84</f>
        <v>125000</v>
      </c>
      <c r="M15" s="469">
        <f>'Vero Beach Network'!M84</f>
        <v>141000</v>
      </c>
      <c r="N15" s="469">
        <f t="shared" si="0"/>
        <v>1770000</v>
      </c>
      <c r="O15" s="470">
        <f t="shared" si="1"/>
        <v>147500</v>
      </c>
    </row>
    <row r="16" spans="1:15">
      <c r="A16" s="460" t="s">
        <v>277</v>
      </c>
      <c r="B16" s="469">
        <f>'FMPA Network'!B86</f>
        <v>423800</v>
      </c>
      <c r="C16" s="469">
        <f>'FMPA Network'!C86</f>
        <v>394800</v>
      </c>
      <c r="D16" s="469">
        <f>'FMPA Network'!D86</f>
        <v>345300</v>
      </c>
      <c r="E16" s="469">
        <f>'FMPA Network'!E86</f>
        <v>371000</v>
      </c>
      <c r="F16" s="469">
        <f>'FMPA Network'!F86</f>
        <v>418600</v>
      </c>
      <c r="G16" s="469">
        <f>'FMPA Network'!G86</f>
        <v>455300</v>
      </c>
      <c r="H16" s="469">
        <f>'FMPA Network'!H86</f>
        <v>471100</v>
      </c>
      <c r="I16" s="469">
        <f>'FMPA Network'!I86</f>
        <v>479100</v>
      </c>
      <c r="J16" s="469">
        <f>'FMPA Network'!J86</f>
        <v>437100</v>
      </c>
      <c r="K16" s="469">
        <f>'FMPA Network'!K86</f>
        <v>403900</v>
      </c>
      <c r="L16" s="469">
        <f>'FMPA Network'!L86</f>
        <v>361600</v>
      </c>
      <c r="M16" s="469">
        <f>'FMPA Network'!M86</f>
        <v>347100</v>
      </c>
      <c r="N16" s="469">
        <f t="shared" si="0"/>
        <v>4908700</v>
      </c>
      <c r="O16" s="470">
        <f t="shared" si="1"/>
        <v>409058.33333333331</v>
      </c>
    </row>
    <row r="17" spans="1:15">
      <c r="A17" s="460" t="s">
        <v>387</v>
      </c>
      <c r="B17" s="469">
        <f>'SECI Network'!B85</f>
        <v>531216</v>
      </c>
      <c r="C17" s="469">
        <f>'SECI Network'!C85</f>
        <v>421803</v>
      </c>
      <c r="D17" s="469">
        <f>'SECI Network'!D85</f>
        <v>388042</v>
      </c>
      <c r="E17" s="469">
        <f>'SECI Network'!E85</f>
        <v>367173</v>
      </c>
      <c r="F17" s="469">
        <f>'SECI Network'!F85</f>
        <v>415663</v>
      </c>
      <c r="G17" s="469">
        <f>'SECI Network'!G85</f>
        <v>449990</v>
      </c>
      <c r="H17" s="469">
        <f>'SECI Network'!H85</f>
        <v>446398</v>
      </c>
      <c r="I17" s="469">
        <f>'SECI Network'!I85</f>
        <v>445351</v>
      </c>
      <c r="J17" s="469">
        <f>'SECI Network'!J85</f>
        <v>450611</v>
      </c>
      <c r="K17" s="469">
        <f>'SECI Network'!K85</f>
        <v>390875</v>
      </c>
      <c r="L17" s="469">
        <f>'SECI Network'!L85</f>
        <v>377082</v>
      </c>
      <c r="M17" s="469">
        <f>'SECI Network'!M85</f>
        <v>408350</v>
      </c>
      <c r="N17" s="469">
        <f t="shared" si="0"/>
        <v>5092554</v>
      </c>
      <c r="O17" s="470">
        <f t="shared" si="1"/>
        <v>424379.5</v>
      </c>
    </row>
    <row r="18" spans="1:15">
      <c r="A18" s="460" t="s">
        <v>44</v>
      </c>
      <c r="B18" s="469">
        <f>'Georgia Trans Network'!B76</f>
        <v>18450</v>
      </c>
      <c r="C18" s="469">
        <f>'Georgia Trans Network'!C76</f>
        <v>18450</v>
      </c>
      <c r="D18" s="469">
        <f>'Georgia Trans Network'!D76</f>
        <v>18450</v>
      </c>
      <c r="E18" s="469">
        <f>'Georgia Trans Network'!E76</f>
        <v>18450</v>
      </c>
      <c r="F18" s="469">
        <f>'Georgia Trans Network'!F76</f>
        <v>18450</v>
      </c>
      <c r="G18" s="469">
        <f>'Georgia Trans Network'!G76</f>
        <v>15914</v>
      </c>
      <c r="H18" s="469">
        <f>'Georgia Trans Network'!H76</f>
        <v>15914</v>
      </c>
      <c r="I18" s="469">
        <f>'Georgia Trans Network'!I76</f>
        <v>15914</v>
      </c>
      <c r="J18" s="469">
        <f>'Georgia Trans Network'!J76</f>
        <v>15914</v>
      </c>
      <c r="K18" s="469">
        <f>'Georgia Trans Network'!K76</f>
        <v>18911</v>
      </c>
      <c r="L18" s="469">
        <f>'Georgia Trans Network'!L76</f>
        <v>18911</v>
      </c>
      <c r="M18" s="469">
        <f>'Georgia Trans Network'!M76</f>
        <v>18911</v>
      </c>
      <c r="N18" s="469">
        <f t="shared" si="0"/>
        <v>212639</v>
      </c>
      <c r="O18" s="470">
        <f t="shared" si="1"/>
        <v>17719.916666666668</v>
      </c>
    </row>
    <row r="19" spans="1:15">
      <c r="A19" s="460" t="s">
        <v>388</v>
      </c>
      <c r="B19" s="469">
        <f>'Lake Worth Forecast'!E13</f>
        <v>69383.549041638515</v>
      </c>
      <c r="C19" s="469">
        <f>'Lake Worth Forecast'!F13</f>
        <v>67764.130167225085</v>
      </c>
      <c r="D19" s="469">
        <f>'Lake Worth Forecast'!G13</f>
        <v>70751.505357913207</v>
      </c>
      <c r="E19" s="469">
        <f>'Lake Worth Forecast'!H13</f>
        <v>73980.284604414512</v>
      </c>
      <c r="F19" s="469">
        <f>'Lake Worth Forecast'!I13</f>
        <v>82660.772111363491</v>
      </c>
      <c r="G19" s="469">
        <f>'Lake Worth Forecast'!J13</f>
        <v>86784.75806483865</v>
      </c>
      <c r="H19" s="469">
        <f>'Lake Worth Forecast'!K13</f>
        <v>90204.648855525404</v>
      </c>
      <c r="I19" s="469">
        <f>'Lake Worth Forecast'!L13</f>
        <v>90727.69097645396</v>
      </c>
      <c r="J19" s="469">
        <f>'Lake Worth Forecast'!M13</f>
        <v>87589.438250882595</v>
      </c>
      <c r="K19" s="469">
        <f>'Lake Worth Forecast'!N13</f>
        <v>82258.432018341511</v>
      </c>
      <c r="L19" s="469">
        <f>'Lake Worth Forecast'!O13</f>
        <v>73447.183981160386</v>
      </c>
      <c r="M19" s="469">
        <f>'Lake Worth Forecast'!P13</f>
        <v>69765.772130009384</v>
      </c>
      <c r="N19" s="469">
        <f t="shared" si="0"/>
        <v>945318.16555976658</v>
      </c>
      <c r="O19" s="470">
        <f t="shared" si="1"/>
        <v>78776.51379664721</v>
      </c>
    </row>
    <row r="20" spans="1:15">
      <c r="A20" s="460" t="s">
        <v>111</v>
      </c>
      <c r="B20" s="469">
        <f>'Homestead Network Transmission'!B75/(1+'Transmission Formula Rate (7)'!$B$27)</f>
        <v>20618.556701030928</v>
      </c>
      <c r="C20" s="469">
        <f>'Homestead Network Transmission'!C75/(1+'Transmission Formula Rate (7)'!$B$27)</f>
        <v>5891.0162002945508</v>
      </c>
      <c r="D20" s="469">
        <f>'Homestead Network Transmission'!D75/(1+'Transmission Formula Rate (7)'!$B$27)</f>
        <v>0</v>
      </c>
      <c r="E20" s="469">
        <f>'Homestead Network Transmission'!E75/(1+'Transmission Formula Rate (7)'!$B$27)</f>
        <v>2945.5081001472754</v>
      </c>
      <c r="F20" s="469">
        <f>'Homestead Network Transmission'!F75/(1+'Transmission Formula Rate (7)'!$B$27)</f>
        <v>11782.032400589102</v>
      </c>
      <c r="G20" s="469">
        <f>'Homestead Network Transmission'!G75/(1+'Transmission Formula Rate (7)'!$B$27)</f>
        <v>19636.720667648504</v>
      </c>
      <c r="H20" s="469">
        <f>'Homestead Network Transmission'!H75/(1+'Transmission Formula Rate (7)'!$B$27)</f>
        <v>24545.900834560631</v>
      </c>
      <c r="I20" s="469">
        <f>'Homestead Network Transmission'!I75/(1+'Transmission Formula Rate (7)'!$B$27)</f>
        <v>20618.556701030928</v>
      </c>
      <c r="J20" s="469">
        <f>'Homestead Network Transmission'!J75/(1+'Transmission Formula Rate (7)'!$B$27)</f>
        <v>20618.556701030928</v>
      </c>
      <c r="K20" s="469">
        <f>'Homestead Network Transmission'!K75/(1+'Transmission Formula Rate (7)'!$B$27)</f>
        <v>7854.6882670594014</v>
      </c>
      <c r="L20" s="469">
        <f>'Homestead Network Transmission'!L75/(1+'Transmission Formula Rate (7)'!$B$27)</f>
        <v>0</v>
      </c>
      <c r="M20" s="469">
        <f>'Homestead Network Transmission'!M75/(1+'Transmission Formula Rate (7)'!$B$27)</f>
        <v>0</v>
      </c>
      <c r="N20" s="469">
        <f>'Homestead Network Transmission'!N75/(1+'Transmission Formula Rate (7)'!$B$27)</f>
        <v>134511.53657339225</v>
      </c>
      <c r="O20" s="470">
        <f t="shared" si="1"/>
        <v>11209.294714449354</v>
      </c>
    </row>
    <row r="21" spans="1:15">
      <c r="A21" s="460" t="s">
        <v>393</v>
      </c>
      <c r="B21" s="469">
        <f>'New Smyrna Network'!B75/(1+'Transmission Formula Rate (7)'!$B$27)</f>
        <v>24545.900834560631</v>
      </c>
      <c r="C21" s="469">
        <f>'New Smyrna Network'!C75/(1+'Transmission Formula Rate (7)'!$B$27)</f>
        <v>44182.621502209135</v>
      </c>
      <c r="D21" s="469">
        <f>'New Smyrna Network'!D75/(1+'Transmission Formula Rate (7)'!$B$27)</f>
        <v>44182.621502209135</v>
      </c>
      <c r="E21" s="469">
        <f>'New Smyrna Network'!E75/(1+'Transmission Formula Rate (7)'!$B$27)</f>
        <v>29455.081001472754</v>
      </c>
      <c r="F21" s="469">
        <f>'New Smyrna Network'!F75/(1+'Transmission Formula Rate (7)'!$B$27)</f>
        <v>19636.720667648504</v>
      </c>
      <c r="G21" s="469">
        <f>'New Smyrna Network'!G75/(1+'Transmission Formula Rate (7)'!$B$27)</f>
        <v>29455.081001472754</v>
      </c>
      <c r="H21" s="469">
        <f>'New Smyrna Network'!H75/(1+'Transmission Formula Rate (7)'!$B$27)</f>
        <v>44182.621502209135</v>
      </c>
      <c r="I21" s="469">
        <f>'New Smyrna Network'!I75/(1+'Transmission Formula Rate (7)'!$B$27)</f>
        <v>44182.621502209135</v>
      </c>
      <c r="J21" s="469">
        <f>'New Smyrna Network'!J75/(1+'Transmission Formula Rate (7)'!$B$27)</f>
        <v>44182.621502209135</v>
      </c>
      <c r="K21" s="469">
        <f>'New Smyrna Network'!K75/(1+'Transmission Formula Rate (7)'!$B$27)</f>
        <v>29455.081001472754</v>
      </c>
      <c r="L21" s="469">
        <f>'New Smyrna Network'!L75/(1+'Transmission Formula Rate (7)'!$B$27)</f>
        <v>34364.261168384881</v>
      </c>
      <c r="M21" s="469">
        <f>'New Smyrna Network'!M75/(1+'Transmission Formula Rate (7)'!$B$27)</f>
        <v>0</v>
      </c>
      <c r="N21" s="469">
        <f t="shared" si="0"/>
        <v>387825.23318605794</v>
      </c>
      <c r="O21" s="470">
        <f t="shared" si="1"/>
        <v>32318.769432171495</v>
      </c>
    </row>
    <row r="22" spans="1:15">
      <c r="A22" s="460" t="s">
        <v>435</v>
      </c>
      <c r="B22" s="469">
        <f>'Quincy Transmission'!B56/(1+'Transmission Formula Rate (7)'!$B$27)</f>
        <v>18654.88463426608</v>
      </c>
      <c r="C22" s="469">
        <f>'Quincy Transmission'!C56/(1+'Transmission Formula Rate (7)'!$B$27)</f>
        <v>23342.474226804126</v>
      </c>
      <c r="D22" s="469">
        <f>'Quincy Transmission'!D56/(1+'Transmission Formula Rate (7)'!$B$27)</f>
        <v>21369.366715758471</v>
      </c>
      <c r="E22" s="469">
        <f>'Quincy Transmission'!E56/(1+'Transmission Formula Rate (7)'!$B$27)</f>
        <v>19162.444771723123</v>
      </c>
      <c r="F22" s="469">
        <f>'Quincy Transmission'!F56/(1+'Transmission Formula Rate (7)'!$B$27)</f>
        <v>22637.054491899853</v>
      </c>
      <c r="G22" s="469">
        <f>'Quincy Transmission'!G56/(1+'Transmission Formula Rate (7)'!$B$27)</f>
        <v>27179.73490427099</v>
      </c>
      <c r="H22" s="469">
        <f>'Quincy Transmission'!H56/(1+'Transmission Formula Rate (7)'!$B$27)</f>
        <v>26867.982326951402</v>
      </c>
      <c r="I22" s="469">
        <f>'Quincy Transmission'!I56/(1+'Transmission Formula Rate (7)'!$B$27)</f>
        <v>18654.88463426608</v>
      </c>
      <c r="J22" s="469">
        <f>'Quincy Transmission'!J56/(1+'Transmission Formula Rate (7)'!$B$27)</f>
        <v>24822.503681885126</v>
      </c>
      <c r="K22" s="469">
        <f>'Quincy Transmission'!K56/(1+'Transmission Formula Rate (7)'!$B$27)</f>
        <v>21870.397643593522</v>
      </c>
      <c r="L22" s="469">
        <f>'Quincy Transmission'!L56/(1+'Transmission Formula Rate (7)'!$B$27)</f>
        <v>25166.863033873346</v>
      </c>
      <c r="M22" s="469">
        <f>'Quincy Transmission'!M56/(1+'Transmission Formula Rate (7)'!$B$27)</f>
        <v>22615.581737849781</v>
      </c>
      <c r="N22" s="469">
        <f>'Quincy Transmission'!N56/(1+'Transmission Formula Rate (7)'!$B$27)</f>
        <v>272344.17280314193</v>
      </c>
      <c r="O22" s="470">
        <f t="shared" si="1"/>
        <v>22695.347733595161</v>
      </c>
    </row>
    <row r="23" spans="1:15">
      <c r="A23" s="471" t="s">
        <v>389</v>
      </c>
      <c r="B23" s="472">
        <f>SUM(B10:B22)</f>
        <v>2014977.4992692526</v>
      </c>
      <c r="C23" s="472">
        <f t="shared" ref="C23:O23" si="2">SUM(C10:C22)</f>
        <v>2032137.7707437351</v>
      </c>
      <c r="D23" s="472">
        <f t="shared" si="2"/>
        <v>1829486.6754778468</v>
      </c>
      <c r="E23" s="472">
        <f t="shared" si="2"/>
        <v>1773335.1828516712</v>
      </c>
      <c r="F23" s="472">
        <f t="shared" si="2"/>
        <v>1919589.3035499728</v>
      </c>
      <c r="G23" s="472">
        <f t="shared" si="2"/>
        <v>2132554.5814490011</v>
      </c>
      <c r="H23" s="472">
        <f t="shared" si="2"/>
        <v>2235605.9209563145</v>
      </c>
      <c r="I23" s="472">
        <f t="shared" si="2"/>
        <v>2241421.8690931848</v>
      </c>
      <c r="J23" s="472">
        <f t="shared" si="2"/>
        <v>2217975.9489692948</v>
      </c>
      <c r="K23" s="472">
        <f t="shared" si="2"/>
        <v>1963585.7417511952</v>
      </c>
      <c r="L23" s="472">
        <f t="shared" si="2"/>
        <v>1888641.9661409496</v>
      </c>
      <c r="M23" s="472">
        <f t="shared" si="2"/>
        <v>1741335.8676065619</v>
      </c>
      <c r="N23" s="472">
        <f t="shared" si="2"/>
        <v>23990648.327858977</v>
      </c>
      <c r="O23" s="472">
        <f t="shared" si="2"/>
        <v>1999220.6939882485</v>
      </c>
    </row>
    <row r="24" spans="1:15">
      <c r="O24" s="468"/>
    </row>
    <row r="25" spans="1:15">
      <c r="A25" s="467" t="s">
        <v>390</v>
      </c>
      <c r="O25" s="468"/>
    </row>
    <row r="26" spans="1:15">
      <c r="A26" s="460" t="s">
        <v>23</v>
      </c>
      <c r="B26" s="469">
        <f>'TSAS Demand Revenues (7)'!B225</f>
        <v>37056</v>
      </c>
      <c r="C26" s="469">
        <f>'TSAS Demand Revenues (7)'!C156</f>
        <v>37056</v>
      </c>
      <c r="D26" s="469">
        <f>'TSAS Demand Revenues (7)'!D156</f>
        <v>37056</v>
      </c>
      <c r="E26" s="469">
        <f>'TSAS Demand Revenues (7)'!E156</f>
        <v>37056</v>
      </c>
      <c r="F26" s="469">
        <f>'TSAS Demand Revenues (7)'!F156</f>
        <v>37056</v>
      </c>
      <c r="G26" s="469">
        <f>'TSAS Demand Revenues (7)'!G156</f>
        <v>37056</v>
      </c>
      <c r="H26" s="469">
        <f>'TSAS Demand Revenues (7)'!H156</f>
        <v>37056</v>
      </c>
      <c r="I26" s="469">
        <f>'TSAS Demand Revenues (7)'!I156</f>
        <v>37056</v>
      </c>
      <c r="J26" s="469">
        <f>'TSAS Demand Revenues (7)'!J156</f>
        <v>37056</v>
      </c>
      <c r="K26" s="469">
        <f>'TSAS Demand Revenues (7)'!K156</f>
        <v>37056</v>
      </c>
      <c r="L26" s="469">
        <f>'TSAS Demand Revenues (7)'!L156</f>
        <v>37056</v>
      </c>
      <c r="M26" s="469">
        <f>'TSAS Demand Revenues (7)'!M156</f>
        <v>37056</v>
      </c>
      <c r="N26" s="480">
        <f>SUM(B26:M26)</f>
        <v>444672</v>
      </c>
      <c r="O26" s="470">
        <f t="shared" ref="O26:O32" si="3">AVERAGE(B26:M26)</f>
        <v>37056</v>
      </c>
    </row>
    <row r="27" spans="1:15">
      <c r="A27" s="460" t="s">
        <v>24</v>
      </c>
      <c r="B27" s="469">
        <f>'TSAS Demand Revenues (7)'!B230</f>
        <v>62000</v>
      </c>
      <c r="C27" s="469">
        <f>'TSAS Demand Revenues (7)'!C161</f>
        <v>62000</v>
      </c>
      <c r="D27" s="469">
        <f>'TSAS Demand Revenues (7)'!D161</f>
        <v>62000</v>
      </c>
      <c r="E27" s="469">
        <f>'TSAS Demand Revenues (7)'!E161</f>
        <v>62000</v>
      </c>
      <c r="F27" s="469">
        <f>'TSAS Demand Revenues (7)'!F161</f>
        <v>62000</v>
      </c>
      <c r="G27" s="469">
        <f>'TSAS Demand Revenues (7)'!G161</f>
        <v>62000</v>
      </c>
      <c r="H27" s="469">
        <f>'TSAS Demand Revenues (7)'!H161</f>
        <v>62000</v>
      </c>
      <c r="I27" s="469">
        <f>'TSAS Demand Revenues (7)'!I161</f>
        <v>62000</v>
      </c>
      <c r="J27" s="469">
        <f>'TSAS Demand Revenues (7)'!J161</f>
        <v>62000</v>
      </c>
      <c r="K27" s="469">
        <f>'TSAS Demand Revenues (7)'!K161</f>
        <v>62000</v>
      </c>
      <c r="L27" s="469">
        <f>'TSAS Demand Revenues (7)'!L161</f>
        <v>62000</v>
      </c>
      <c r="M27" s="469">
        <f>'TSAS Demand Revenues (7)'!M161</f>
        <v>62000</v>
      </c>
      <c r="N27" s="480">
        <f t="shared" ref="N27:N32" si="4">SUM(B27:M27)</f>
        <v>744000</v>
      </c>
      <c r="O27" s="470">
        <f t="shared" si="3"/>
        <v>62000</v>
      </c>
    </row>
    <row r="28" spans="1:15">
      <c r="A28" s="460" t="s">
        <v>111</v>
      </c>
      <c r="B28" s="469">
        <f>'TSAS Demand Revenues (7)'!B235</f>
        <v>40000</v>
      </c>
      <c r="C28" s="469">
        <f>'TSAS Demand Revenues (7)'!C166</f>
        <v>40000</v>
      </c>
      <c r="D28" s="469">
        <f>'TSAS Demand Revenues (7)'!D166</f>
        <v>40000</v>
      </c>
      <c r="E28" s="469">
        <f>'TSAS Demand Revenues (7)'!E166</f>
        <v>40000</v>
      </c>
      <c r="F28" s="469">
        <f>'TSAS Demand Revenues (7)'!F166</f>
        <v>40000</v>
      </c>
      <c r="G28" s="469">
        <f>'TSAS Demand Revenues (7)'!G166</f>
        <v>40000</v>
      </c>
      <c r="H28" s="469">
        <f>'TSAS Demand Revenues (7)'!H166</f>
        <v>40000</v>
      </c>
      <c r="I28" s="469">
        <f>'TSAS Demand Revenues (7)'!I166</f>
        <v>40000</v>
      </c>
      <c r="J28" s="469">
        <f>'TSAS Demand Revenues (7)'!J166</f>
        <v>40000</v>
      </c>
      <c r="K28" s="469">
        <f>'TSAS Demand Revenues (7)'!K166</f>
        <v>40000</v>
      </c>
      <c r="L28" s="469">
        <f>'TSAS Demand Revenues (7)'!L166</f>
        <v>40000</v>
      </c>
      <c r="M28" s="469">
        <f>'TSAS Demand Revenues (7)'!M166</f>
        <v>40000</v>
      </c>
      <c r="N28" s="480">
        <f t="shared" si="4"/>
        <v>480000</v>
      </c>
      <c r="O28" s="470">
        <f t="shared" si="3"/>
        <v>40000</v>
      </c>
    </row>
    <row r="29" spans="1:15">
      <c r="A29" s="460" t="s">
        <v>222</v>
      </c>
      <c r="B29" s="469">
        <f>'TSAS Demand Revenues (7)'!B240</f>
        <v>3000</v>
      </c>
      <c r="C29" s="469">
        <f>'TSAS Demand Revenues (7)'!C171</f>
        <v>4000</v>
      </c>
      <c r="D29" s="469">
        <f>'TSAS Demand Revenues (7)'!D171</f>
        <v>4000</v>
      </c>
      <c r="E29" s="469">
        <f>'TSAS Demand Revenues (7)'!E171</f>
        <v>4000</v>
      </c>
      <c r="F29" s="469">
        <f>'TSAS Demand Revenues (7)'!F171</f>
        <v>4000</v>
      </c>
      <c r="G29" s="469">
        <f>'TSAS Demand Revenues (7)'!G171</f>
        <v>4000</v>
      </c>
      <c r="H29" s="469">
        <f>'TSAS Demand Revenues (7)'!H171</f>
        <v>4000</v>
      </c>
      <c r="I29" s="469">
        <f>'TSAS Demand Revenues (7)'!I171</f>
        <v>4000</v>
      </c>
      <c r="J29" s="469">
        <f>'TSAS Demand Revenues (7)'!J171</f>
        <v>4000</v>
      </c>
      <c r="K29" s="469">
        <f>'TSAS Demand Revenues (7)'!K171</f>
        <v>4000</v>
      </c>
      <c r="L29" s="469">
        <f>'TSAS Demand Revenues (7)'!L171</f>
        <v>3000</v>
      </c>
      <c r="M29" s="469">
        <f>'TSAS Demand Revenues (7)'!M171</f>
        <v>3000</v>
      </c>
      <c r="N29" s="480">
        <f t="shared" si="4"/>
        <v>45000</v>
      </c>
      <c r="O29" s="470">
        <f t="shared" si="3"/>
        <v>3750</v>
      </c>
    </row>
    <row r="30" spans="1:15">
      <c r="A30" s="460" t="s">
        <v>112</v>
      </c>
      <c r="B30" s="469">
        <f>'TSAS Demand Revenues (7)'!B255</f>
        <v>150000</v>
      </c>
      <c r="C30" s="469">
        <f>'TSAS Demand Revenues (7)'!C186</f>
        <v>150000</v>
      </c>
      <c r="D30" s="469">
        <f>'TSAS Demand Revenues (7)'!D186</f>
        <v>150000</v>
      </c>
      <c r="E30" s="469">
        <f>'TSAS Demand Revenues (7)'!E186</f>
        <v>150000</v>
      </c>
      <c r="F30" s="469">
        <f>'TSAS Demand Revenues (7)'!F186</f>
        <v>150000</v>
      </c>
      <c r="G30" s="469">
        <f>'TSAS Demand Revenues (7)'!G186</f>
        <v>150000</v>
      </c>
      <c r="H30" s="469">
        <f>'TSAS Demand Revenues (7)'!H186</f>
        <v>150000</v>
      </c>
      <c r="I30" s="469">
        <f>'TSAS Demand Revenues (7)'!I186</f>
        <v>150000</v>
      </c>
      <c r="J30" s="469">
        <f>'TSAS Demand Revenues (7)'!J186</f>
        <v>150000</v>
      </c>
      <c r="K30" s="469">
        <f>'TSAS Demand Revenues (7)'!K186</f>
        <v>150000</v>
      </c>
      <c r="L30" s="469">
        <f>'TSAS Demand Revenues (7)'!L186</f>
        <v>150000</v>
      </c>
      <c r="M30" s="469">
        <f>'TSAS Demand Revenues (7)'!M186</f>
        <v>150000</v>
      </c>
      <c r="N30" s="480">
        <f t="shared" si="4"/>
        <v>1800000</v>
      </c>
      <c r="O30" s="470">
        <f t="shared" si="3"/>
        <v>150000</v>
      </c>
    </row>
    <row r="31" spans="1:15">
      <c r="A31" s="460" t="s">
        <v>395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80">
        <f t="shared" si="4"/>
        <v>0</v>
      </c>
      <c r="O31" s="470">
        <f t="shared" si="3"/>
        <v>0</v>
      </c>
    </row>
    <row r="32" spans="1:15">
      <c r="A32" s="460" t="s">
        <v>391</v>
      </c>
      <c r="B32" s="469">
        <f>'TSAS Demand Revenues (7)'!B210</f>
        <v>5000</v>
      </c>
      <c r="C32" s="469">
        <f>'TSAS Demand Revenues (7)'!C210</f>
        <v>5000</v>
      </c>
      <c r="D32" s="469">
        <f>'TSAS Demand Revenues (7)'!D210</f>
        <v>5000</v>
      </c>
      <c r="E32" s="469">
        <f>'TSAS Demand Revenues (7)'!E210</f>
        <v>5000</v>
      </c>
      <c r="F32" s="469">
        <f>'TSAS Demand Revenues (7)'!F210</f>
        <v>5000</v>
      </c>
      <c r="G32" s="469">
        <f>'TSAS Demand Revenues (7)'!G210</f>
        <v>5000</v>
      </c>
      <c r="H32" s="469">
        <f>'TSAS Demand Revenues (7)'!H210</f>
        <v>5000</v>
      </c>
      <c r="I32" s="469">
        <f>'TSAS Demand Revenues (7)'!I210</f>
        <v>5000</v>
      </c>
      <c r="J32" s="469">
        <f>'TSAS Demand Revenues (7)'!J210</f>
        <v>5000</v>
      </c>
      <c r="K32" s="469">
        <f>'TSAS Demand Revenues (7)'!K210</f>
        <v>5000</v>
      </c>
      <c r="L32" s="469">
        <f>'TSAS Demand Revenues (7)'!L210</f>
        <v>5000</v>
      </c>
      <c r="M32" s="469">
        <f>'TSAS Demand Revenues (7)'!M210</f>
        <v>5000</v>
      </c>
      <c r="N32" s="480">
        <f t="shared" si="4"/>
        <v>60000</v>
      </c>
      <c r="O32" s="470">
        <f t="shared" si="3"/>
        <v>5000</v>
      </c>
    </row>
    <row r="33" spans="1:15">
      <c r="A33" s="471" t="s">
        <v>392</v>
      </c>
      <c r="B33" s="472">
        <f t="shared" ref="B33:O33" si="5">SUM(B26:B32)</f>
        <v>297056</v>
      </c>
      <c r="C33" s="472">
        <f t="shared" si="5"/>
        <v>298056</v>
      </c>
      <c r="D33" s="472">
        <f t="shared" si="5"/>
        <v>298056</v>
      </c>
      <c r="E33" s="472">
        <f t="shared" si="5"/>
        <v>298056</v>
      </c>
      <c r="F33" s="472">
        <f t="shared" si="5"/>
        <v>298056</v>
      </c>
      <c r="G33" s="472">
        <f t="shared" si="5"/>
        <v>298056</v>
      </c>
      <c r="H33" s="472">
        <f t="shared" si="5"/>
        <v>298056</v>
      </c>
      <c r="I33" s="472">
        <f t="shared" si="5"/>
        <v>298056</v>
      </c>
      <c r="J33" s="472">
        <f t="shared" si="5"/>
        <v>298056</v>
      </c>
      <c r="K33" s="472">
        <f t="shared" si="5"/>
        <v>298056</v>
      </c>
      <c r="L33" s="472">
        <f t="shared" si="5"/>
        <v>297056</v>
      </c>
      <c r="M33" s="472">
        <f t="shared" si="5"/>
        <v>297056</v>
      </c>
      <c r="N33" s="472">
        <f t="shared" si="5"/>
        <v>3573672</v>
      </c>
      <c r="O33" s="473">
        <f t="shared" si="5"/>
        <v>297806</v>
      </c>
    </row>
    <row r="34" spans="1:15">
      <c r="O34" s="468"/>
    </row>
    <row r="35" spans="1:15">
      <c r="O35" s="468"/>
    </row>
    <row r="36" spans="1:15" ht="13.8" thickBot="1">
      <c r="A36" s="471" t="s">
        <v>452</v>
      </c>
      <c r="B36" s="474">
        <f t="shared" ref="B36:O36" si="6">+B23+B33</f>
        <v>2312033.4992692526</v>
      </c>
      <c r="C36" s="474">
        <f t="shared" si="6"/>
        <v>2330193.7707437351</v>
      </c>
      <c r="D36" s="474">
        <f t="shared" si="6"/>
        <v>2127542.6754778465</v>
      </c>
      <c r="E36" s="474">
        <f t="shared" si="6"/>
        <v>2071391.1828516712</v>
      </c>
      <c r="F36" s="474">
        <f t="shared" si="6"/>
        <v>2217645.3035499728</v>
      </c>
      <c r="G36" s="474">
        <f t="shared" si="6"/>
        <v>2430610.5814490011</v>
      </c>
      <c r="H36" s="474">
        <f t="shared" si="6"/>
        <v>2533661.9209563145</v>
      </c>
      <c r="I36" s="474">
        <f t="shared" si="6"/>
        <v>2539477.8690931848</v>
      </c>
      <c r="J36" s="474">
        <f t="shared" si="6"/>
        <v>2516031.9489692948</v>
      </c>
      <c r="K36" s="474">
        <f t="shared" si="6"/>
        <v>2261641.7417511949</v>
      </c>
      <c r="L36" s="474">
        <f t="shared" si="6"/>
        <v>2185697.9661409496</v>
      </c>
      <c r="M36" s="474">
        <f t="shared" si="6"/>
        <v>2038391.8676065619</v>
      </c>
      <c r="N36" s="474">
        <f t="shared" si="6"/>
        <v>27564320.327858977</v>
      </c>
      <c r="O36" s="475">
        <f t="shared" si="6"/>
        <v>2297026.6939882487</v>
      </c>
    </row>
    <row r="37" spans="1:15" ht="14.4" thickTop="1" thickBot="1">
      <c r="O37" s="476"/>
    </row>
  </sheetData>
  <mergeCells count="2">
    <mergeCell ref="A3:O3"/>
    <mergeCell ref="A4:O4"/>
  </mergeCells>
  <pageMargins left="0.7" right="0.7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B050"/>
  </sheetPr>
  <dimension ref="A1:R181"/>
  <sheetViews>
    <sheetView zoomScaleNormal="100" zoomScaleSheetLayoutView="100" workbookViewId="0">
      <pane xSplit="1" ySplit="6" topLeftCell="B7" activePane="bottomRight" state="frozen"/>
      <selection sqref="A1:XFD1428"/>
      <selection pane="topRight" sqref="A1:XFD1428"/>
      <selection pane="bottomLeft" sqref="A1:XFD1428"/>
      <selection pane="bottomRight" activeCell="C28" activeCellId="1" sqref="A1:A2 C28"/>
    </sheetView>
  </sheetViews>
  <sheetFormatPr defaultColWidth="9" defaultRowHeight="12"/>
  <cols>
    <col min="1" max="1" width="12.77734375" style="21" customWidth="1"/>
    <col min="2" max="2" width="9.6640625" style="21" customWidth="1"/>
    <col min="3" max="3" width="8.88671875" style="21" customWidth="1"/>
    <col min="4" max="5" width="8.44140625" style="21" customWidth="1"/>
    <col min="6" max="6" width="9.109375" style="21" customWidth="1"/>
    <col min="7" max="7" width="8" style="21" customWidth="1"/>
    <col min="8" max="8" width="7.88671875" style="21" customWidth="1"/>
    <col min="9" max="9" width="8.33203125" style="21" customWidth="1"/>
    <col min="10" max="10" width="7.88671875" style="21" customWidth="1"/>
    <col min="11" max="11" width="8.33203125" style="21" customWidth="1"/>
    <col min="12" max="12" width="9.109375" style="21" customWidth="1"/>
    <col min="13" max="13" width="8.21875" style="21" customWidth="1"/>
    <col min="14" max="14" width="9.33203125" style="21" customWidth="1"/>
    <col min="15" max="15" width="10.109375" style="270" bestFit="1" customWidth="1"/>
    <col min="16" max="16" width="9" style="270"/>
    <col min="17" max="16384" width="9" style="21"/>
  </cols>
  <sheetData>
    <row r="1" spans="1:18" ht="12.6">
      <c r="A1" s="482" t="s">
        <v>487</v>
      </c>
    </row>
    <row r="2" spans="1:18" ht="12.6">
      <c r="A2" s="482" t="s">
        <v>458</v>
      </c>
    </row>
    <row r="3" spans="1:18" s="15" customFormat="1" ht="13.8">
      <c r="A3" s="21"/>
      <c r="B3" s="13"/>
      <c r="C3" s="14"/>
      <c r="D3" s="16" t="s">
        <v>15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267"/>
      <c r="P3" s="267"/>
      <c r="Q3" s="14"/>
      <c r="R3" s="14"/>
    </row>
    <row r="4" spans="1:18" s="15" customFormat="1" ht="13.8">
      <c r="A4" s="16"/>
      <c r="B4" s="17">
        <f ca="1">NOW()</f>
        <v>42476.370215393516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267"/>
      <c r="P4" s="267"/>
      <c r="Q4" s="14"/>
      <c r="R4" s="14"/>
    </row>
    <row r="5" spans="1:18" s="15" customFormat="1" ht="13.8">
      <c r="A5" s="33" t="s">
        <v>334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O5" s="267"/>
      <c r="P5" s="267"/>
      <c r="Q5" s="14"/>
      <c r="R5" s="14"/>
    </row>
    <row r="6" spans="1:18" s="15" customFormat="1" ht="13.8">
      <c r="A6" s="22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  <c r="O6" s="280" t="s">
        <v>127</v>
      </c>
      <c r="P6" s="268"/>
    </row>
    <row r="7" spans="1:18" s="19" customFormat="1" ht="6" customHeight="1">
      <c r="A7" s="25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69"/>
      <c r="P7" s="269"/>
    </row>
    <row r="8" spans="1:18" s="19" customFormat="1" ht="10.199999999999999">
      <c r="A8" s="24">
        <f>2014</f>
        <v>2014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69"/>
      <c r="P8" s="269"/>
    </row>
    <row r="9" spans="1:18" s="19" customFormat="1" ht="13.2">
      <c r="A9" s="2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69"/>
      <c r="P9" s="269"/>
    </row>
    <row r="10" spans="1:18" s="19" customFormat="1" ht="10.199999999999999">
      <c r="A10" s="25" t="s">
        <v>37</v>
      </c>
      <c r="O10" s="269"/>
      <c r="P10" s="269"/>
    </row>
    <row r="11" spans="1:18" s="28" customFormat="1">
      <c r="A11" s="26" t="s">
        <v>40</v>
      </c>
      <c r="B11" s="232">
        <f>'FMPA Network Forecast'!D19*1000</f>
        <v>413200</v>
      </c>
      <c r="C11" s="232">
        <f>'FMPA Network Forecast'!E19*1000</f>
        <v>385500</v>
      </c>
      <c r="D11" s="232">
        <f>'FMPA Network Forecast'!F19*1000</f>
        <v>337200</v>
      </c>
      <c r="E11" s="232">
        <f>'FMPA Network Forecast'!G19*1000</f>
        <v>362300</v>
      </c>
      <c r="F11" s="232">
        <f>'FMPA Network Forecast'!H19*1000</f>
        <v>408700</v>
      </c>
      <c r="G11" s="232">
        <f>'FMPA Network Forecast'!I19*1000</f>
        <v>444600</v>
      </c>
      <c r="H11" s="232">
        <f>'FMPA Network Forecast'!J19*1000</f>
        <v>460000</v>
      </c>
      <c r="I11" s="232">
        <f>'FMPA Network Forecast'!K19*1000</f>
        <v>467800</v>
      </c>
      <c r="J11" s="232">
        <f>'FMPA Network Forecast'!L19*1000</f>
        <v>426800</v>
      </c>
      <c r="K11" s="232">
        <f>'FMPA Network Forecast'!M19*1000</f>
        <v>394300</v>
      </c>
      <c r="L11" s="232">
        <f>'FMPA Network Forecast'!N19*1000</f>
        <v>353000</v>
      </c>
      <c r="M11" s="232">
        <f>'FMPA Network Forecast'!O19*1000</f>
        <v>338900</v>
      </c>
      <c r="N11" s="20">
        <f>SUM(B11:M11)</f>
        <v>4792300</v>
      </c>
      <c r="O11" s="277">
        <f>SUM('FMPA Network Forecast'!D19:O19)*1000</f>
        <v>4792300</v>
      </c>
      <c r="P11" s="270">
        <f>N11-O11</f>
        <v>0</v>
      </c>
    </row>
    <row r="12" spans="1:18" s="28" customFormat="1">
      <c r="A12" s="26" t="s">
        <v>45</v>
      </c>
      <c r="B12" s="27">
        <f>ROUND(B11*'Transmission Formula Rate (7)'!$B$27,0)</f>
        <v>7644</v>
      </c>
      <c r="C12" s="27">
        <f>ROUND(C11*'Transmission Formula Rate (7)'!$B$27,0)</f>
        <v>7132</v>
      </c>
      <c r="D12" s="27">
        <f>ROUND(D11*'Transmission Formula Rate (7)'!$B$27,0)</f>
        <v>6238</v>
      </c>
      <c r="E12" s="27">
        <f>ROUND(E11*'Transmission Formula Rate (7)'!$B$27,0)</f>
        <v>6703</v>
      </c>
      <c r="F12" s="27">
        <f>ROUND(F11*'Transmission Formula Rate (7)'!$B$27,0)</f>
        <v>7561</v>
      </c>
      <c r="G12" s="27">
        <f>ROUND(G11*'Transmission Formula Rate (7)'!$B$27,0)</f>
        <v>8225</v>
      </c>
      <c r="H12" s="27">
        <f>ROUND(H11*'Transmission Formula Rate (7)'!$B$27,0)</f>
        <v>8510</v>
      </c>
      <c r="I12" s="27">
        <f>ROUND(I11*'Transmission Formula Rate (7)'!$B$27,0)</f>
        <v>8654</v>
      </c>
      <c r="J12" s="27">
        <f>ROUND(J11*'Transmission Formula Rate (7)'!$B$27,0)</f>
        <v>7896</v>
      </c>
      <c r="K12" s="27">
        <f>ROUND(K11*'Transmission Formula Rate (7)'!$B$27,0)</f>
        <v>7295</v>
      </c>
      <c r="L12" s="27">
        <f>ROUND(L11*'Transmission Formula Rate (7)'!$B$27,0)</f>
        <v>6531</v>
      </c>
      <c r="M12" s="27">
        <f>ROUND(M11*'Transmission Formula Rate (7)'!$B$27,0)</f>
        <v>6270</v>
      </c>
      <c r="N12" s="20">
        <f>SUM(B12:M12)</f>
        <v>88659</v>
      </c>
      <c r="O12" s="270"/>
      <c r="P12" s="271"/>
    </row>
    <row r="13" spans="1:18" s="28" customFormat="1">
      <c r="A13" s="26" t="s">
        <v>46</v>
      </c>
      <c r="B13" s="27">
        <f>B11+B12</f>
        <v>420844</v>
      </c>
      <c r="C13" s="27">
        <f t="shared" ref="C13:M13" si="0">C11+C12</f>
        <v>392632</v>
      </c>
      <c r="D13" s="27">
        <f t="shared" si="0"/>
        <v>343438</v>
      </c>
      <c r="E13" s="27">
        <f t="shared" si="0"/>
        <v>369003</v>
      </c>
      <c r="F13" s="27">
        <f t="shared" si="0"/>
        <v>416261</v>
      </c>
      <c r="G13" s="27">
        <f t="shared" si="0"/>
        <v>452825</v>
      </c>
      <c r="H13" s="27">
        <f t="shared" si="0"/>
        <v>468510</v>
      </c>
      <c r="I13" s="27">
        <f t="shared" si="0"/>
        <v>476454</v>
      </c>
      <c r="J13" s="27">
        <f t="shared" si="0"/>
        <v>434696</v>
      </c>
      <c r="K13" s="27">
        <f t="shared" si="0"/>
        <v>401595</v>
      </c>
      <c r="L13" s="27">
        <f t="shared" si="0"/>
        <v>359531</v>
      </c>
      <c r="M13" s="27">
        <f t="shared" si="0"/>
        <v>345170</v>
      </c>
      <c r="N13" s="20">
        <f>SUM(B13:M13)</f>
        <v>4880959</v>
      </c>
      <c r="O13" s="270"/>
      <c r="P13" s="271"/>
    </row>
    <row r="14" spans="1:18" s="19" customFormat="1">
      <c r="A14" s="25" t="s">
        <v>20</v>
      </c>
      <c r="B14" s="29">
        <f>'Transmission Formula Rate (7)'!B8</f>
        <v>1.59</v>
      </c>
      <c r="C14" s="29">
        <f>'Transmission Formula Rate (7)'!C8</f>
        <v>1.59</v>
      </c>
      <c r="D14" s="29">
        <f>'Transmission Formula Rate (7)'!D8</f>
        <v>1.59</v>
      </c>
      <c r="E14" s="29">
        <f>'Transmission Formula Rate (7)'!E8</f>
        <v>1.59</v>
      </c>
      <c r="F14" s="29">
        <f>'Transmission Formula Rate (7)'!F8</f>
        <v>1.59</v>
      </c>
      <c r="G14" s="29">
        <f>'Transmission Formula Rate (7)'!G8</f>
        <v>1.59</v>
      </c>
      <c r="H14" s="29">
        <f>'Transmission Formula Rate (7)'!H8</f>
        <v>1.59</v>
      </c>
      <c r="I14" s="29">
        <f>'Transmission Formula Rate (7)'!I8</f>
        <v>1.59</v>
      </c>
      <c r="J14" s="29">
        <f>'Transmission Formula Rate (7)'!J8</f>
        <v>1.59</v>
      </c>
      <c r="K14" s="29">
        <f>'Transmission Formula Rate (7)'!K8</f>
        <v>1.59</v>
      </c>
      <c r="L14" s="29">
        <f>'Transmission Formula Rate (7)'!L8</f>
        <v>1.59</v>
      </c>
      <c r="M14" s="29">
        <f>'Transmission Formula Rate (7)'!M8</f>
        <v>1.59</v>
      </c>
      <c r="O14" s="270"/>
      <c r="P14" s="269"/>
    </row>
    <row r="15" spans="1:18" s="19" customFormat="1">
      <c r="A15" s="25" t="s">
        <v>17</v>
      </c>
      <c r="B15" s="192">
        <f>B13*B14</f>
        <v>669141.96000000008</v>
      </c>
      <c r="C15" s="192">
        <f t="shared" ref="C15:M15" si="1">C13*C14</f>
        <v>624284.88</v>
      </c>
      <c r="D15" s="192">
        <f t="shared" si="1"/>
        <v>546066.42000000004</v>
      </c>
      <c r="E15" s="192">
        <f t="shared" si="1"/>
        <v>586714.77</v>
      </c>
      <c r="F15" s="192">
        <f t="shared" si="1"/>
        <v>661854.99</v>
      </c>
      <c r="G15" s="192">
        <f t="shared" si="1"/>
        <v>719991.75</v>
      </c>
      <c r="H15" s="192">
        <f t="shared" si="1"/>
        <v>744930.9</v>
      </c>
      <c r="I15" s="192">
        <f t="shared" si="1"/>
        <v>757561.86</v>
      </c>
      <c r="J15" s="192">
        <f t="shared" si="1"/>
        <v>691166.64</v>
      </c>
      <c r="K15" s="192">
        <f t="shared" si="1"/>
        <v>638536.05000000005</v>
      </c>
      <c r="L15" s="192">
        <f t="shared" si="1"/>
        <v>571654.29</v>
      </c>
      <c r="M15" s="192">
        <f t="shared" si="1"/>
        <v>548820.30000000005</v>
      </c>
      <c r="N15" s="192">
        <f>SUM(B15:M15)</f>
        <v>7760724.8100000005</v>
      </c>
      <c r="O15" s="270"/>
      <c r="P15" s="269"/>
    </row>
    <row r="16" spans="1:18" s="19" customFormat="1" ht="8.25" customHeight="1">
      <c r="O16" s="270"/>
      <c r="P16" s="269"/>
    </row>
    <row r="17" spans="1:16" s="19" customFormat="1" ht="12.75" customHeight="1">
      <c r="A17" s="25" t="s">
        <v>135</v>
      </c>
      <c r="O17" s="270"/>
      <c r="P17" s="269"/>
    </row>
    <row r="18" spans="1:16" s="19" customFormat="1" ht="12.75" customHeight="1">
      <c r="A18" s="26" t="s">
        <v>40</v>
      </c>
      <c r="B18" s="27">
        <f>B11</f>
        <v>413200</v>
      </c>
      <c r="C18" s="27">
        <f t="shared" ref="C18:M18" si="2">C11</f>
        <v>385500</v>
      </c>
      <c r="D18" s="27">
        <f t="shared" si="2"/>
        <v>337200</v>
      </c>
      <c r="E18" s="27">
        <f t="shared" si="2"/>
        <v>362300</v>
      </c>
      <c r="F18" s="27">
        <f t="shared" si="2"/>
        <v>408700</v>
      </c>
      <c r="G18" s="27">
        <f t="shared" si="2"/>
        <v>444600</v>
      </c>
      <c r="H18" s="27">
        <f t="shared" si="2"/>
        <v>460000</v>
      </c>
      <c r="I18" s="27">
        <f t="shared" si="2"/>
        <v>467800</v>
      </c>
      <c r="J18" s="27">
        <f t="shared" si="2"/>
        <v>426800</v>
      </c>
      <c r="K18" s="27">
        <f t="shared" si="2"/>
        <v>394300</v>
      </c>
      <c r="L18" s="27">
        <f t="shared" si="2"/>
        <v>353000</v>
      </c>
      <c r="M18" s="27">
        <f t="shared" si="2"/>
        <v>338900</v>
      </c>
      <c r="N18" s="20">
        <f>SUM(B18:M18)</f>
        <v>4792300</v>
      </c>
      <c r="O18" s="270"/>
      <c r="P18" s="269"/>
    </row>
    <row r="19" spans="1:16" s="19" customFormat="1" ht="12.75" customHeight="1">
      <c r="A19" s="26" t="s">
        <v>45</v>
      </c>
      <c r="B19" s="27">
        <f>ROUND(B18*'Transmission Formula Rate (7)'!$B$27,0)</f>
        <v>7644</v>
      </c>
      <c r="C19" s="27">
        <f>ROUND(C18*'Transmission Formula Rate (7)'!$B$27,0)</f>
        <v>7132</v>
      </c>
      <c r="D19" s="27">
        <f>ROUND(D18*'Transmission Formula Rate (7)'!$B$27,0)</f>
        <v>6238</v>
      </c>
      <c r="E19" s="27">
        <f>ROUND(E18*'Transmission Formula Rate (7)'!$B$27,0)</f>
        <v>6703</v>
      </c>
      <c r="F19" s="27">
        <f>ROUND(F18*'Transmission Formula Rate (7)'!$B$27,0)</f>
        <v>7561</v>
      </c>
      <c r="G19" s="27">
        <f>ROUND(G18*'Transmission Formula Rate (7)'!$B$27,0)</f>
        <v>8225</v>
      </c>
      <c r="H19" s="27">
        <f>ROUND(H18*'Transmission Formula Rate (7)'!$B$27,0)</f>
        <v>8510</v>
      </c>
      <c r="I19" s="27">
        <f>ROUND(I18*'Transmission Formula Rate (7)'!$B$27,0)</f>
        <v>8654</v>
      </c>
      <c r="J19" s="27">
        <f>ROUND(J18*'Transmission Formula Rate (7)'!$B$27,0)</f>
        <v>7896</v>
      </c>
      <c r="K19" s="27">
        <f>ROUND(K18*'Transmission Formula Rate (7)'!$B$27,0)</f>
        <v>7295</v>
      </c>
      <c r="L19" s="27">
        <f>ROUND(L18*'Transmission Formula Rate (7)'!$B$27,0)</f>
        <v>6531</v>
      </c>
      <c r="M19" s="27">
        <f>ROUND(M18*'Transmission Formula Rate (7)'!$B$27,0)</f>
        <v>6270</v>
      </c>
      <c r="N19" s="20">
        <f>SUM(B19:M19)</f>
        <v>88659</v>
      </c>
      <c r="O19" s="270"/>
      <c r="P19" s="269"/>
    </row>
    <row r="20" spans="1:16" s="19" customFormat="1" ht="12.75" customHeight="1">
      <c r="A20" s="26" t="s">
        <v>46</v>
      </c>
      <c r="B20" s="27">
        <f t="shared" ref="B20:M20" si="3">B18+B19</f>
        <v>420844</v>
      </c>
      <c r="C20" s="27">
        <f t="shared" si="3"/>
        <v>392632</v>
      </c>
      <c r="D20" s="27">
        <f t="shared" si="3"/>
        <v>343438</v>
      </c>
      <c r="E20" s="27">
        <f t="shared" si="3"/>
        <v>369003</v>
      </c>
      <c r="F20" s="27">
        <f t="shared" si="3"/>
        <v>416261</v>
      </c>
      <c r="G20" s="27">
        <f t="shared" si="3"/>
        <v>452825</v>
      </c>
      <c r="H20" s="27">
        <f t="shared" si="3"/>
        <v>468510</v>
      </c>
      <c r="I20" s="27">
        <f t="shared" si="3"/>
        <v>476454</v>
      </c>
      <c r="J20" s="27">
        <f t="shared" si="3"/>
        <v>434696</v>
      </c>
      <c r="K20" s="27">
        <f t="shared" si="3"/>
        <v>401595</v>
      </c>
      <c r="L20" s="27">
        <f t="shared" si="3"/>
        <v>359531</v>
      </c>
      <c r="M20" s="27">
        <f t="shared" si="3"/>
        <v>345170</v>
      </c>
      <c r="N20" s="20">
        <f>SUM(B20:M20)</f>
        <v>4880959</v>
      </c>
      <c r="O20" s="270"/>
      <c r="P20" s="269"/>
    </row>
    <row r="21" spans="1:16" s="19" customFormat="1" ht="12.75" customHeight="1">
      <c r="A21" s="25" t="s">
        <v>20</v>
      </c>
      <c r="B21" s="31">
        <f>'charges (1 &amp; 2)'!D26</f>
        <v>1.274E-2</v>
      </c>
      <c r="C21" s="31">
        <f>B21</f>
        <v>1.274E-2</v>
      </c>
      <c r="D21" s="31">
        <f t="shared" ref="D21:M21" si="4">C21</f>
        <v>1.274E-2</v>
      </c>
      <c r="E21" s="31">
        <f t="shared" si="4"/>
        <v>1.274E-2</v>
      </c>
      <c r="F21" s="31">
        <f t="shared" si="4"/>
        <v>1.274E-2</v>
      </c>
      <c r="G21" s="31">
        <f t="shared" si="4"/>
        <v>1.274E-2</v>
      </c>
      <c r="H21" s="31">
        <f t="shared" si="4"/>
        <v>1.274E-2</v>
      </c>
      <c r="I21" s="31">
        <f t="shared" si="4"/>
        <v>1.274E-2</v>
      </c>
      <c r="J21" s="31">
        <f t="shared" si="4"/>
        <v>1.274E-2</v>
      </c>
      <c r="K21" s="31">
        <f t="shared" si="4"/>
        <v>1.274E-2</v>
      </c>
      <c r="L21" s="31">
        <f t="shared" si="4"/>
        <v>1.274E-2</v>
      </c>
      <c r="M21" s="31">
        <f t="shared" si="4"/>
        <v>1.274E-2</v>
      </c>
      <c r="O21" s="270"/>
      <c r="P21" s="269"/>
    </row>
    <row r="22" spans="1:16" s="19" customFormat="1" ht="12.75" customHeight="1">
      <c r="A22" s="25" t="s">
        <v>17</v>
      </c>
      <c r="B22" s="192">
        <f t="shared" ref="B22:M22" si="5">B20*B21</f>
        <v>5361.5525600000001</v>
      </c>
      <c r="C22" s="192">
        <f t="shared" si="5"/>
        <v>5002.1316799999995</v>
      </c>
      <c r="D22" s="192">
        <f t="shared" si="5"/>
        <v>4375.4001200000002</v>
      </c>
      <c r="E22" s="192">
        <f t="shared" si="5"/>
        <v>4701.0982199999999</v>
      </c>
      <c r="F22" s="192">
        <f t="shared" si="5"/>
        <v>5303.1651400000001</v>
      </c>
      <c r="G22" s="192">
        <f t="shared" si="5"/>
        <v>5768.9904999999999</v>
      </c>
      <c r="H22" s="192">
        <f t="shared" si="5"/>
        <v>5968.8173999999999</v>
      </c>
      <c r="I22" s="192">
        <f t="shared" si="5"/>
        <v>6070.0239599999995</v>
      </c>
      <c r="J22" s="192">
        <f t="shared" si="5"/>
        <v>5538.0270399999999</v>
      </c>
      <c r="K22" s="192">
        <f t="shared" si="5"/>
        <v>5116.3202999999994</v>
      </c>
      <c r="L22" s="192">
        <f t="shared" si="5"/>
        <v>4580.4249399999999</v>
      </c>
      <c r="M22" s="192">
        <f t="shared" si="5"/>
        <v>4397.4657999999999</v>
      </c>
      <c r="N22" s="192">
        <f>SUM(B22:M22)</f>
        <v>62183.417659999999</v>
      </c>
      <c r="O22" s="270"/>
      <c r="P22" s="269"/>
    </row>
    <row r="23" spans="1:16" s="19" customFormat="1" ht="8.25" customHeight="1">
      <c r="O23" s="270"/>
      <c r="P23" s="269"/>
    </row>
    <row r="24" spans="1:16" s="19" customFormat="1">
      <c r="A24" s="25" t="s">
        <v>38</v>
      </c>
      <c r="O24" s="270"/>
      <c r="P24" s="269"/>
    </row>
    <row r="25" spans="1:16" s="28" customFormat="1">
      <c r="A25" s="26" t="s">
        <v>40</v>
      </c>
      <c r="B25" s="27">
        <f>B11</f>
        <v>413200</v>
      </c>
      <c r="C25" s="27">
        <f t="shared" ref="C25:M25" si="6">C11</f>
        <v>385500</v>
      </c>
      <c r="D25" s="27">
        <f t="shared" si="6"/>
        <v>337200</v>
      </c>
      <c r="E25" s="27">
        <f t="shared" si="6"/>
        <v>362300</v>
      </c>
      <c r="F25" s="27">
        <f t="shared" si="6"/>
        <v>408700</v>
      </c>
      <c r="G25" s="27">
        <f t="shared" si="6"/>
        <v>444600</v>
      </c>
      <c r="H25" s="27">
        <f t="shared" si="6"/>
        <v>460000</v>
      </c>
      <c r="I25" s="27">
        <f t="shared" si="6"/>
        <v>467800</v>
      </c>
      <c r="J25" s="27">
        <f t="shared" si="6"/>
        <v>426800</v>
      </c>
      <c r="K25" s="27">
        <f t="shared" si="6"/>
        <v>394300</v>
      </c>
      <c r="L25" s="27">
        <f t="shared" si="6"/>
        <v>353000</v>
      </c>
      <c r="M25" s="27">
        <f t="shared" si="6"/>
        <v>338900</v>
      </c>
      <c r="N25" s="20">
        <f>SUM(B25:M25)</f>
        <v>4792300</v>
      </c>
      <c r="O25" s="270"/>
      <c r="P25" s="271"/>
    </row>
    <row r="26" spans="1:16" s="28" customFormat="1">
      <c r="A26" s="26" t="s">
        <v>45</v>
      </c>
      <c r="B26" s="27">
        <f>ROUND(B25*'Transmission Formula Rate (7)'!$B$27,0)</f>
        <v>7644</v>
      </c>
      <c r="C26" s="27">
        <f>ROUND(C25*'Transmission Formula Rate (7)'!$B$27,0)</f>
        <v>7132</v>
      </c>
      <c r="D26" s="27">
        <f>ROUND(D25*'Transmission Formula Rate (7)'!$B$27,0)</f>
        <v>6238</v>
      </c>
      <c r="E26" s="27">
        <f>ROUND(E25*'Transmission Formula Rate (7)'!$B$27,0)</f>
        <v>6703</v>
      </c>
      <c r="F26" s="27">
        <f>ROUND(F25*'Transmission Formula Rate (7)'!$B$27,0)</f>
        <v>7561</v>
      </c>
      <c r="G26" s="27">
        <f>ROUND(G25*'Transmission Formula Rate (7)'!$B$27,0)</f>
        <v>8225</v>
      </c>
      <c r="H26" s="27">
        <f>ROUND(H25*'Transmission Formula Rate (7)'!$B$27,0)</f>
        <v>8510</v>
      </c>
      <c r="I26" s="27">
        <f>ROUND(I25*'Transmission Formula Rate (7)'!$B$27,0)</f>
        <v>8654</v>
      </c>
      <c r="J26" s="27">
        <f>ROUND(J25*'Transmission Formula Rate (7)'!$B$27,0)</f>
        <v>7896</v>
      </c>
      <c r="K26" s="27">
        <f>ROUND(K25*'Transmission Formula Rate (7)'!$B$27,0)</f>
        <v>7295</v>
      </c>
      <c r="L26" s="27">
        <f>ROUND(L25*'Transmission Formula Rate (7)'!$B$27,0)</f>
        <v>6531</v>
      </c>
      <c r="M26" s="27">
        <f>ROUND(M25*'Transmission Formula Rate (7)'!$B$27,0)</f>
        <v>6270</v>
      </c>
      <c r="N26" s="20">
        <f>SUM(B26:M26)</f>
        <v>88659</v>
      </c>
      <c r="O26" s="270"/>
      <c r="P26" s="271"/>
    </row>
    <row r="27" spans="1:16" s="28" customFormat="1">
      <c r="A27" s="26" t="s">
        <v>46</v>
      </c>
      <c r="B27" s="27">
        <f>B25+B26</f>
        <v>420844</v>
      </c>
      <c r="C27" s="27">
        <f t="shared" ref="C27:M27" si="7">C25+C26</f>
        <v>392632</v>
      </c>
      <c r="D27" s="27">
        <f t="shared" si="7"/>
        <v>343438</v>
      </c>
      <c r="E27" s="27">
        <f t="shared" si="7"/>
        <v>369003</v>
      </c>
      <c r="F27" s="27">
        <f t="shared" si="7"/>
        <v>416261</v>
      </c>
      <c r="G27" s="27">
        <f t="shared" si="7"/>
        <v>452825</v>
      </c>
      <c r="H27" s="27">
        <f t="shared" si="7"/>
        <v>468510</v>
      </c>
      <c r="I27" s="27">
        <f t="shared" si="7"/>
        <v>476454</v>
      </c>
      <c r="J27" s="27">
        <f t="shared" si="7"/>
        <v>434696</v>
      </c>
      <c r="K27" s="27">
        <f t="shared" si="7"/>
        <v>401595</v>
      </c>
      <c r="L27" s="27">
        <f t="shared" si="7"/>
        <v>359531</v>
      </c>
      <c r="M27" s="27">
        <f t="shared" si="7"/>
        <v>345170</v>
      </c>
      <c r="N27" s="20">
        <f>SUM(B27:M27)</f>
        <v>4880959</v>
      </c>
      <c r="O27" s="270"/>
      <c r="P27" s="271"/>
    </row>
    <row r="28" spans="1:16" s="19" customFormat="1">
      <c r="A28" s="25" t="s">
        <v>20</v>
      </c>
      <c r="B28" s="31">
        <f>'charges (1 &amp; 2)'!$D$25</f>
        <v>7.0000000000000007E-2</v>
      </c>
      <c r="C28" s="31">
        <f>'charges (1 &amp; 2)'!$D$25</f>
        <v>7.0000000000000007E-2</v>
      </c>
      <c r="D28" s="31">
        <f>'charges (1 &amp; 2)'!$D$25</f>
        <v>7.0000000000000007E-2</v>
      </c>
      <c r="E28" s="31">
        <f>'charges (1 &amp; 2)'!$D$25</f>
        <v>7.0000000000000007E-2</v>
      </c>
      <c r="F28" s="31">
        <f>'charges (1 &amp; 2)'!$D$25</f>
        <v>7.0000000000000007E-2</v>
      </c>
      <c r="G28" s="31">
        <f>'charges (1 &amp; 2)'!$D$25</f>
        <v>7.0000000000000007E-2</v>
      </c>
      <c r="H28" s="31">
        <f>'charges (1 &amp; 2)'!$D$25</f>
        <v>7.0000000000000007E-2</v>
      </c>
      <c r="I28" s="31">
        <f>'charges (1 &amp; 2)'!$D$25</f>
        <v>7.0000000000000007E-2</v>
      </c>
      <c r="J28" s="31">
        <f>'charges (1 &amp; 2)'!$D$25</f>
        <v>7.0000000000000007E-2</v>
      </c>
      <c r="K28" s="31">
        <f>'charges (1 &amp; 2)'!$D$25</f>
        <v>7.0000000000000007E-2</v>
      </c>
      <c r="L28" s="31">
        <f>'charges (1 &amp; 2)'!$D$25</f>
        <v>7.0000000000000007E-2</v>
      </c>
      <c r="M28" s="31">
        <f>'charges (1 &amp; 2)'!$D$25</f>
        <v>7.0000000000000007E-2</v>
      </c>
      <c r="O28" s="270"/>
      <c r="P28" s="269"/>
    </row>
    <row r="29" spans="1:16" s="19" customFormat="1">
      <c r="A29" s="25" t="s">
        <v>17</v>
      </c>
      <c r="B29" s="192">
        <f>B27*B28</f>
        <v>29459.08</v>
      </c>
      <c r="C29" s="192">
        <f t="shared" ref="C29:M29" si="8">C27*C28</f>
        <v>27484.240000000002</v>
      </c>
      <c r="D29" s="192">
        <f t="shared" si="8"/>
        <v>24040.660000000003</v>
      </c>
      <c r="E29" s="192">
        <f t="shared" si="8"/>
        <v>25830.210000000003</v>
      </c>
      <c r="F29" s="192">
        <f t="shared" si="8"/>
        <v>29138.270000000004</v>
      </c>
      <c r="G29" s="192">
        <f t="shared" si="8"/>
        <v>31697.750000000004</v>
      </c>
      <c r="H29" s="192">
        <f t="shared" si="8"/>
        <v>32795.700000000004</v>
      </c>
      <c r="I29" s="192">
        <f t="shared" si="8"/>
        <v>33351.780000000006</v>
      </c>
      <c r="J29" s="192">
        <f t="shared" si="8"/>
        <v>30428.720000000001</v>
      </c>
      <c r="K29" s="192">
        <f t="shared" si="8"/>
        <v>28111.65</v>
      </c>
      <c r="L29" s="192">
        <f t="shared" si="8"/>
        <v>25167.170000000002</v>
      </c>
      <c r="M29" s="192">
        <f t="shared" si="8"/>
        <v>24161.9</v>
      </c>
      <c r="N29" s="192">
        <f>SUM(B29:M29)</f>
        <v>341667.13000000006</v>
      </c>
      <c r="O29" s="270"/>
      <c r="P29" s="269"/>
    </row>
    <row r="30" spans="1:16" s="19" customFormat="1" ht="10.199999999999999">
      <c r="A30" s="25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269"/>
      <c r="P30" s="269"/>
    </row>
    <row r="31" spans="1:16" s="19" customFormat="1" ht="10.199999999999999">
      <c r="A31" s="25" t="s">
        <v>25</v>
      </c>
      <c r="B31" s="191">
        <f>B15+B29+B22</f>
        <v>703962.59256000002</v>
      </c>
      <c r="C31" s="191">
        <f t="shared" ref="C31:M31" si="9">C15+C29+C22</f>
        <v>656771.25167999999</v>
      </c>
      <c r="D31" s="191">
        <f t="shared" si="9"/>
        <v>574482.48012000008</v>
      </c>
      <c r="E31" s="191">
        <f t="shared" si="9"/>
        <v>617246.07822000002</v>
      </c>
      <c r="F31" s="191">
        <f t="shared" si="9"/>
        <v>696296.42514000006</v>
      </c>
      <c r="G31" s="191">
        <f t="shared" si="9"/>
        <v>757458.49049999996</v>
      </c>
      <c r="H31" s="191">
        <f t="shared" si="9"/>
        <v>783695.41739999992</v>
      </c>
      <c r="I31" s="191">
        <f t="shared" si="9"/>
        <v>796983.66396000003</v>
      </c>
      <c r="J31" s="191">
        <f t="shared" si="9"/>
        <v>727133.38703999994</v>
      </c>
      <c r="K31" s="191">
        <f t="shared" si="9"/>
        <v>671764.02030000009</v>
      </c>
      <c r="L31" s="191">
        <f t="shared" si="9"/>
        <v>601401.88494000013</v>
      </c>
      <c r="M31" s="191">
        <f t="shared" si="9"/>
        <v>577379.66580000008</v>
      </c>
      <c r="N31" s="191">
        <f>SUM(B31:M31)</f>
        <v>8164575.3576600011</v>
      </c>
      <c r="O31" s="269"/>
      <c r="P31" s="269"/>
    </row>
    <row r="32" spans="1:16" s="19" customFormat="1" ht="10.199999999999999">
      <c r="A32" s="25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69"/>
      <c r="P32" s="269"/>
    </row>
    <row r="33" spans="1:16" s="19" customFormat="1" ht="10.199999999999999">
      <c r="A33" s="24">
        <f>+A8+1</f>
        <v>2015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69"/>
      <c r="P33" s="269"/>
    </row>
    <row r="34" spans="1:16" s="19" customFormat="1" ht="10.199999999999999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69"/>
      <c r="P34" s="269"/>
    </row>
    <row r="35" spans="1:16" s="19" customFormat="1" ht="10.199999999999999">
      <c r="A35" s="25" t="s">
        <v>37</v>
      </c>
      <c r="O35" s="269"/>
      <c r="P35" s="269"/>
    </row>
    <row r="36" spans="1:16" s="28" customFormat="1">
      <c r="A36" s="26" t="s">
        <v>40</v>
      </c>
      <c r="B36" s="232">
        <f>'FMPA Network Forecast'!D20*1000</f>
        <v>416700.00000000006</v>
      </c>
      <c r="C36" s="232">
        <f>'FMPA Network Forecast'!E20*1000</f>
        <v>388500</v>
      </c>
      <c r="D36" s="232">
        <f>'FMPA Network Forecast'!F20*1000</f>
        <v>339800</v>
      </c>
      <c r="E36" s="232">
        <f>'FMPA Network Forecast'!G20*1000</f>
        <v>365100</v>
      </c>
      <c r="F36" s="232">
        <f>'FMPA Network Forecast'!H20*1000</f>
        <v>411900</v>
      </c>
      <c r="G36" s="232">
        <f>'FMPA Network Forecast'!I20*1000</f>
        <v>448000</v>
      </c>
      <c r="H36" s="232">
        <f>'FMPA Network Forecast'!J20*1000</f>
        <v>463500</v>
      </c>
      <c r="I36" s="232">
        <f>'FMPA Network Forecast'!K20*1000</f>
        <v>471400</v>
      </c>
      <c r="J36" s="232">
        <f>'FMPA Network Forecast'!L20*1000</f>
        <v>430100</v>
      </c>
      <c r="K36" s="232">
        <f>'FMPA Network Forecast'!M20*1000</f>
        <v>397400</v>
      </c>
      <c r="L36" s="232">
        <f>'FMPA Network Forecast'!N20*1000</f>
        <v>355800</v>
      </c>
      <c r="M36" s="232">
        <f>'FMPA Network Forecast'!O20*1000</f>
        <v>341500</v>
      </c>
      <c r="N36" s="20">
        <f>SUM(B36:M36)</f>
        <v>4829700</v>
      </c>
      <c r="O36" s="277">
        <f>SUM('FMPA Network Forecast'!D20:O20)*1000</f>
        <v>4829700</v>
      </c>
      <c r="P36" s="270">
        <f>N36-O36</f>
        <v>0</v>
      </c>
    </row>
    <row r="37" spans="1:16" s="28" customFormat="1">
      <c r="A37" s="26" t="s">
        <v>45</v>
      </c>
      <c r="B37" s="27">
        <f>ROUND(B36*'Transmission Formula Rate (7)'!$B$27,0)</f>
        <v>7709</v>
      </c>
      <c r="C37" s="27">
        <f>ROUND(C36*'Transmission Formula Rate (7)'!$B$27,0)</f>
        <v>7187</v>
      </c>
      <c r="D37" s="27">
        <f>ROUND(D36*'Transmission Formula Rate (7)'!$B$27,0)</f>
        <v>6286</v>
      </c>
      <c r="E37" s="27">
        <f>ROUND(E36*'Transmission Formula Rate (7)'!$B$27,0)</f>
        <v>6754</v>
      </c>
      <c r="F37" s="27">
        <f>ROUND(F36*'Transmission Formula Rate (7)'!$B$27,0)</f>
        <v>7620</v>
      </c>
      <c r="G37" s="27">
        <f>ROUND(G36*'Transmission Formula Rate (7)'!$B$27,0)</f>
        <v>8288</v>
      </c>
      <c r="H37" s="27">
        <f>ROUND(H36*'Transmission Formula Rate (7)'!$B$27,0)</f>
        <v>8575</v>
      </c>
      <c r="I37" s="27">
        <f>ROUND(I36*'Transmission Formula Rate (7)'!$B$27,0)</f>
        <v>8721</v>
      </c>
      <c r="J37" s="27">
        <f>ROUND(J36*'Transmission Formula Rate (7)'!$B$27,0)</f>
        <v>7957</v>
      </c>
      <c r="K37" s="27">
        <f>ROUND(K36*'Transmission Formula Rate (7)'!$B$27,0)</f>
        <v>7352</v>
      </c>
      <c r="L37" s="27">
        <f>ROUND(L36*'Transmission Formula Rate (7)'!$B$27,0)</f>
        <v>6582</v>
      </c>
      <c r="M37" s="27">
        <f>ROUND(M36*'Transmission Formula Rate (7)'!$B$27,0)</f>
        <v>6318</v>
      </c>
      <c r="N37" s="20">
        <f>SUM(B37:M37)</f>
        <v>89349</v>
      </c>
      <c r="O37" s="270"/>
      <c r="P37" s="271"/>
    </row>
    <row r="38" spans="1:16" s="28" customFormat="1">
      <c r="A38" s="26" t="s">
        <v>46</v>
      </c>
      <c r="B38" s="27">
        <f>B36+B37</f>
        <v>424409.00000000006</v>
      </c>
      <c r="C38" s="27">
        <f t="shared" ref="C38:M38" si="10">C36+C37</f>
        <v>395687</v>
      </c>
      <c r="D38" s="27">
        <f t="shared" si="10"/>
        <v>346086</v>
      </c>
      <c r="E38" s="27">
        <f t="shared" si="10"/>
        <v>371854</v>
      </c>
      <c r="F38" s="27">
        <f t="shared" si="10"/>
        <v>419520</v>
      </c>
      <c r="G38" s="27">
        <f t="shared" si="10"/>
        <v>456288</v>
      </c>
      <c r="H38" s="27">
        <f t="shared" si="10"/>
        <v>472075</v>
      </c>
      <c r="I38" s="27">
        <f t="shared" si="10"/>
        <v>480121</v>
      </c>
      <c r="J38" s="27">
        <f t="shared" si="10"/>
        <v>438057</v>
      </c>
      <c r="K38" s="27">
        <f t="shared" si="10"/>
        <v>404752</v>
      </c>
      <c r="L38" s="27">
        <f t="shared" si="10"/>
        <v>362382</v>
      </c>
      <c r="M38" s="27">
        <f t="shared" si="10"/>
        <v>347818</v>
      </c>
      <c r="N38" s="20">
        <f>SUM(B38:M38)</f>
        <v>4919049</v>
      </c>
      <c r="O38" s="270"/>
      <c r="P38" s="271"/>
    </row>
    <row r="39" spans="1:16" s="19" customFormat="1">
      <c r="A39" s="25" t="s">
        <v>20</v>
      </c>
      <c r="B39" s="29">
        <f>'Transmission Formula Rate (7)'!B10</f>
        <v>1.59</v>
      </c>
      <c r="C39" s="29">
        <f>'Transmission Formula Rate (7)'!C10</f>
        <v>1.59</v>
      </c>
      <c r="D39" s="29">
        <f>'Transmission Formula Rate (7)'!D10</f>
        <v>1.59</v>
      </c>
      <c r="E39" s="29">
        <f>'Transmission Formula Rate (7)'!E10</f>
        <v>1.59</v>
      </c>
      <c r="F39" s="29">
        <f>'Transmission Formula Rate (7)'!F10</f>
        <v>1.59</v>
      </c>
      <c r="G39" s="29">
        <f>'Transmission Formula Rate (7)'!G10</f>
        <v>1.59</v>
      </c>
      <c r="H39" s="29">
        <f>'Transmission Formula Rate (7)'!H10</f>
        <v>1.59</v>
      </c>
      <c r="I39" s="29">
        <f>'Transmission Formula Rate (7)'!I10</f>
        <v>1.59</v>
      </c>
      <c r="J39" s="29">
        <f>'Transmission Formula Rate (7)'!J10</f>
        <v>1.59</v>
      </c>
      <c r="K39" s="29">
        <f>'Transmission Formula Rate (7)'!K10</f>
        <v>1.59</v>
      </c>
      <c r="L39" s="29">
        <f>'Transmission Formula Rate (7)'!L10</f>
        <v>1.59</v>
      </c>
      <c r="M39" s="29">
        <f>'Transmission Formula Rate (7)'!M10</f>
        <v>1.59</v>
      </c>
      <c r="O39" s="270"/>
      <c r="P39" s="269"/>
    </row>
    <row r="40" spans="1:16" s="19" customFormat="1">
      <c r="A40" s="25" t="s">
        <v>17</v>
      </c>
      <c r="B40" s="192">
        <f>B38*B39</f>
        <v>674810.31000000017</v>
      </c>
      <c r="C40" s="192">
        <f t="shared" ref="C40:M40" si="11">C38*C39</f>
        <v>629142.33000000007</v>
      </c>
      <c r="D40" s="192">
        <f t="shared" si="11"/>
        <v>550276.74</v>
      </c>
      <c r="E40" s="192">
        <f t="shared" si="11"/>
        <v>591247.86</v>
      </c>
      <c r="F40" s="192">
        <f t="shared" si="11"/>
        <v>667036.80000000005</v>
      </c>
      <c r="G40" s="192">
        <f t="shared" si="11"/>
        <v>725497.92</v>
      </c>
      <c r="H40" s="192">
        <f t="shared" si="11"/>
        <v>750599.25</v>
      </c>
      <c r="I40" s="192">
        <f t="shared" si="11"/>
        <v>763392.39</v>
      </c>
      <c r="J40" s="192">
        <f t="shared" si="11"/>
        <v>696510.63</v>
      </c>
      <c r="K40" s="192">
        <f t="shared" si="11"/>
        <v>643555.68000000005</v>
      </c>
      <c r="L40" s="192">
        <f t="shared" si="11"/>
        <v>576187.38</v>
      </c>
      <c r="M40" s="192">
        <f t="shared" si="11"/>
        <v>553030.62</v>
      </c>
      <c r="N40" s="192">
        <f>SUM(B40:M40)</f>
        <v>7821287.9099999992</v>
      </c>
      <c r="O40" s="270"/>
      <c r="P40" s="269"/>
    </row>
    <row r="41" spans="1:16" s="19" customFormat="1">
      <c r="O41" s="270"/>
      <c r="P41" s="269"/>
    </row>
    <row r="42" spans="1:16" s="19" customFormat="1">
      <c r="A42" s="25" t="s">
        <v>135</v>
      </c>
      <c r="O42" s="270"/>
      <c r="P42" s="269"/>
    </row>
    <row r="43" spans="1:16" s="19" customFormat="1">
      <c r="A43" s="26" t="s">
        <v>40</v>
      </c>
      <c r="B43" s="27">
        <f>B36</f>
        <v>416700.00000000006</v>
      </c>
      <c r="C43" s="27">
        <f t="shared" ref="C43:M43" si="12">C36</f>
        <v>388500</v>
      </c>
      <c r="D43" s="27">
        <f t="shared" si="12"/>
        <v>339800</v>
      </c>
      <c r="E43" s="27">
        <f t="shared" si="12"/>
        <v>365100</v>
      </c>
      <c r="F43" s="27">
        <f t="shared" si="12"/>
        <v>411900</v>
      </c>
      <c r="G43" s="27">
        <f t="shared" si="12"/>
        <v>448000</v>
      </c>
      <c r="H43" s="27">
        <f t="shared" si="12"/>
        <v>463500</v>
      </c>
      <c r="I43" s="27">
        <f t="shared" si="12"/>
        <v>471400</v>
      </c>
      <c r="J43" s="27">
        <f t="shared" si="12"/>
        <v>430100</v>
      </c>
      <c r="K43" s="27">
        <f t="shared" si="12"/>
        <v>397400</v>
      </c>
      <c r="L43" s="27">
        <f t="shared" si="12"/>
        <v>355800</v>
      </c>
      <c r="M43" s="27">
        <f t="shared" si="12"/>
        <v>341500</v>
      </c>
      <c r="N43" s="20">
        <f>SUM(B43:M43)</f>
        <v>4829700</v>
      </c>
      <c r="O43" s="270"/>
      <c r="P43" s="269"/>
    </row>
    <row r="44" spans="1:16" s="19" customFormat="1">
      <c r="A44" s="26" t="s">
        <v>45</v>
      </c>
      <c r="B44" s="27">
        <f>ROUND(B43*'Transmission Formula Rate (7)'!$B$27,0)</f>
        <v>7709</v>
      </c>
      <c r="C44" s="27">
        <f>ROUND(C43*'Transmission Formula Rate (7)'!$B$27,0)</f>
        <v>7187</v>
      </c>
      <c r="D44" s="27">
        <f>ROUND(D43*'Transmission Formula Rate (7)'!$B$27,0)</f>
        <v>6286</v>
      </c>
      <c r="E44" s="27">
        <f>ROUND(E43*'Transmission Formula Rate (7)'!$B$27,0)</f>
        <v>6754</v>
      </c>
      <c r="F44" s="27">
        <f>ROUND(F43*'Transmission Formula Rate (7)'!$B$27,0)</f>
        <v>7620</v>
      </c>
      <c r="G44" s="27">
        <f>ROUND(G43*'Transmission Formula Rate (7)'!$B$27,0)</f>
        <v>8288</v>
      </c>
      <c r="H44" s="27">
        <f>ROUND(H43*'Transmission Formula Rate (7)'!$B$27,0)</f>
        <v>8575</v>
      </c>
      <c r="I44" s="27">
        <f>ROUND(I43*'Transmission Formula Rate (7)'!$B$27,0)</f>
        <v>8721</v>
      </c>
      <c r="J44" s="27">
        <f>ROUND(J43*'Transmission Formula Rate (7)'!$B$27,0)</f>
        <v>7957</v>
      </c>
      <c r="K44" s="27">
        <f>ROUND(K43*'Transmission Formula Rate (7)'!$B$27,0)</f>
        <v>7352</v>
      </c>
      <c r="L44" s="27">
        <f>ROUND(L43*'Transmission Formula Rate (7)'!$B$27,0)</f>
        <v>6582</v>
      </c>
      <c r="M44" s="27">
        <f>ROUND(M43*'Transmission Formula Rate (7)'!$B$27,0)</f>
        <v>6318</v>
      </c>
      <c r="N44" s="20">
        <f>SUM(B44:M44)</f>
        <v>89349</v>
      </c>
      <c r="O44" s="270"/>
      <c r="P44" s="269"/>
    </row>
    <row r="45" spans="1:16" s="19" customFormat="1">
      <c r="A45" s="26" t="s">
        <v>46</v>
      </c>
      <c r="B45" s="27">
        <f t="shared" ref="B45:M45" si="13">B43+B44</f>
        <v>424409.00000000006</v>
      </c>
      <c r="C45" s="27">
        <f t="shared" si="13"/>
        <v>395687</v>
      </c>
      <c r="D45" s="27">
        <f t="shared" si="13"/>
        <v>346086</v>
      </c>
      <c r="E45" s="27">
        <f t="shared" si="13"/>
        <v>371854</v>
      </c>
      <c r="F45" s="27">
        <f t="shared" si="13"/>
        <v>419520</v>
      </c>
      <c r="G45" s="27">
        <f t="shared" si="13"/>
        <v>456288</v>
      </c>
      <c r="H45" s="27">
        <f t="shared" si="13"/>
        <v>472075</v>
      </c>
      <c r="I45" s="27">
        <f t="shared" si="13"/>
        <v>480121</v>
      </c>
      <c r="J45" s="27">
        <f t="shared" si="13"/>
        <v>438057</v>
      </c>
      <c r="K45" s="27">
        <f t="shared" si="13"/>
        <v>404752</v>
      </c>
      <c r="L45" s="27">
        <f t="shared" si="13"/>
        <v>362382</v>
      </c>
      <c r="M45" s="27">
        <f t="shared" si="13"/>
        <v>347818</v>
      </c>
      <c r="N45" s="20">
        <f>SUM(B45:M45)</f>
        <v>4919049</v>
      </c>
      <c r="O45" s="270"/>
      <c r="P45" s="269"/>
    </row>
    <row r="46" spans="1:16" s="19" customFormat="1">
      <c r="A46" s="25" t="s">
        <v>20</v>
      </c>
      <c r="B46" s="31">
        <f>'charges (1 &amp; 2)'!E26</f>
        <v>1.274E-2</v>
      </c>
      <c r="C46" s="31">
        <f>B46</f>
        <v>1.274E-2</v>
      </c>
      <c r="D46" s="31">
        <f t="shared" ref="D46:M46" si="14">C46</f>
        <v>1.274E-2</v>
      </c>
      <c r="E46" s="31">
        <f t="shared" si="14"/>
        <v>1.274E-2</v>
      </c>
      <c r="F46" s="31">
        <f t="shared" si="14"/>
        <v>1.274E-2</v>
      </c>
      <c r="G46" s="31">
        <f t="shared" si="14"/>
        <v>1.274E-2</v>
      </c>
      <c r="H46" s="31">
        <f t="shared" si="14"/>
        <v>1.274E-2</v>
      </c>
      <c r="I46" s="31">
        <f t="shared" si="14"/>
        <v>1.274E-2</v>
      </c>
      <c r="J46" s="31">
        <f t="shared" si="14"/>
        <v>1.274E-2</v>
      </c>
      <c r="K46" s="31">
        <f t="shared" si="14"/>
        <v>1.274E-2</v>
      </c>
      <c r="L46" s="31">
        <f t="shared" si="14"/>
        <v>1.274E-2</v>
      </c>
      <c r="M46" s="31">
        <f t="shared" si="14"/>
        <v>1.274E-2</v>
      </c>
      <c r="O46" s="270"/>
      <c r="P46" s="269"/>
    </row>
    <row r="47" spans="1:16" s="19" customFormat="1">
      <c r="A47" s="25" t="s">
        <v>17</v>
      </c>
      <c r="B47" s="192">
        <f t="shared" ref="B47:M47" si="15">B45*B46</f>
        <v>5406.9706600000009</v>
      </c>
      <c r="C47" s="192">
        <f t="shared" si="15"/>
        <v>5041.0523800000001</v>
      </c>
      <c r="D47" s="192">
        <f t="shared" si="15"/>
        <v>4409.1356399999995</v>
      </c>
      <c r="E47" s="192">
        <f t="shared" si="15"/>
        <v>4737.4199600000002</v>
      </c>
      <c r="F47" s="192">
        <f t="shared" si="15"/>
        <v>5344.6848</v>
      </c>
      <c r="G47" s="192">
        <f t="shared" si="15"/>
        <v>5813.1091200000001</v>
      </c>
      <c r="H47" s="192">
        <f t="shared" si="15"/>
        <v>6014.2354999999998</v>
      </c>
      <c r="I47" s="192">
        <f t="shared" si="15"/>
        <v>6116.74154</v>
      </c>
      <c r="J47" s="192">
        <f t="shared" si="15"/>
        <v>5580.8461799999995</v>
      </c>
      <c r="K47" s="192">
        <f t="shared" si="15"/>
        <v>5156.5404799999997</v>
      </c>
      <c r="L47" s="192">
        <f t="shared" si="15"/>
        <v>4616.7466800000002</v>
      </c>
      <c r="M47" s="192">
        <f t="shared" si="15"/>
        <v>4431.2013200000001</v>
      </c>
      <c r="N47" s="192">
        <f>SUM(B47:M47)</f>
        <v>62668.684260000002</v>
      </c>
      <c r="O47" s="270"/>
      <c r="P47" s="269"/>
    </row>
    <row r="48" spans="1:16" s="19" customFormat="1">
      <c r="O48" s="270"/>
      <c r="P48" s="269"/>
    </row>
    <row r="49" spans="1:16" s="19" customFormat="1">
      <c r="A49" s="25" t="s">
        <v>38</v>
      </c>
      <c r="O49" s="270"/>
      <c r="P49" s="269"/>
    </row>
    <row r="50" spans="1:16" s="28" customFormat="1">
      <c r="A50" s="26" t="s">
        <v>40</v>
      </c>
      <c r="B50" s="27">
        <f>B36</f>
        <v>416700.00000000006</v>
      </c>
      <c r="C50" s="27">
        <f t="shared" ref="C50:M50" si="16">C36</f>
        <v>388500</v>
      </c>
      <c r="D50" s="27">
        <f t="shared" si="16"/>
        <v>339800</v>
      </c>
      <c r="E50" s="27">
        <f t="shared" si="16"/>
        <v>365100</v>
      </c>
      <c r="F50" s="27">
        <f t="shared" si="16"/>
        <v>411900</v>
      </c>
      <c r="G50" s="27">
        <f t="shared" si="16"/>
        <v>448000</v>
      </c>
      <c r="H50" s="27">
        <f t="shared" si="16"/>
        <v>463500</v>
      </c>
      <c r="I50" s="27">
        <f t="shared" si="16"/>
        <v>471400</v>
      </c>
      <c r="J50" s="27">
        <f t="shared" si="16"/>
        <v>430100</v>
      </c>
      <c r="K50" s="27">
        <f t="shared" si="16"/>
        <v>397400</v>
      </c>
      <c r="L50" s="27">
        <f t="shared" si="16"/>
        <v>355800</v>
      </c>
      <c r="M50" s="27">
        <f t="shared" si="16"/>
        <v>341500</v>
      </c>
      <c r="N50" s="20">
        <f>SUM(B50:M50)</f>
        <v>4829700</v>
      </c>
      <c r="O50" s="270"/>
      <c r="P50" s="271"/>
    </row>
    <row r="51" spans="1:16" s="28" customFormat="1">
      <c r="A51" s="26" t="s">
        <v>45</v>
      </c>
      <c r="B51" s="27">
        <f>ROUND(B50*'Transmission Formula Rate (7)'!$B$27,0)</f>
        <v>7709</v>
      </c>
      <c r="C51" s="27">
        <f>ROUND(C50*'Transmission Formula Rate (7)'!$B$27,0)</f>
        <v>7187</v>
      </c>
      <c r="D51" s="27">
        <f>ROUND(D50*'Transmission Formula Rate (7)'!$B$27,0)</f>
        <v>6286</v>
      </c>
      <c r="E51" s="27">
        <f>ROUND(E50*'Transmission Formula Rate (7)'!$B$27,0)</f>
        <v>6754</v>
      </c>
      <c r="F51" s="27">
        <f>ROUND(F50*'Transmission Formula Rate (7)'!$B$27,0)</f>
        <v>7620</v>
      </c>
      <c r="G51" s="27">
        <f>ROUND(G50*'Transmission Formula Rate (7)'!$B$27,0)</f>
        <v>8288</v>
      </c>
      <c r="H51" s="27">
        <f>ROUND(H50*'Transmission Formula Rate (7)'!$B$27,0)</f>
        <v>8575</v>
      </c>
      <c r="I51" s="27">
        <f>ROUND(I50*'Transmission Formula Rate (7)'!$B$27,0)</f>
        <v>8721</v>
      </c>
      <c r="J51" s="27">
        <f>ROUND(J50*'Transmission Formula Rate (7)'!$B$27,0)</f>
        <v>7957</v>
      </c>
      <c r="K51" s="27">
        <f>ROUND(K50*'Transmission Formula Rate (7)'!$B$27,0)</f>
        <v>7352</v>
      </c>
      <c r="L51" s="27">
        <f>ROUND(L50*'Transmission Formula Rate (7)'!$B$27,0)</f>
        <v>6582</v>
      </c>
      <c r="M51" s="27">
        <f>ROUND(M50*'Transmission Formula Rate (7)'!$B$27,0)</f>
        <v>6318</v>
      </c>
      <c r="N51" s="20">
        <f>SUM(B51:M51)</f>
        <v>89349</v>
      </c>
      <c r="O51" s="270"/>
      <c r="P51" s="271"/>
    </row>
    <row r="52" spans="1:16" s="28" customFormat="1">
      <c r="A52" s="26" t="s">
        <v>46</v>
      </c>
      <c r="B52" s="27">
        <f>B50+B51</f>
        <v>424409.00000000006</v>
      </c>
      <c r="C52" s="27">
        <f t="shared" ref="C52:M52" si="17">C50+C51</f>
        <v>395687</v>
      </c>
      <c r="D52" s="27">
        <f t="shared" si="17"/>
        <v>346086</v>
      </c>
      <c r="E52" s="27">
        <f t="shared" si="17"/>
        <v>371854</v>
      </c>
      <c r="F52" s="27">
        <f t="shared" si="17"/>
        <v>419520</v>
      </c>
      <c r="G52" s="27">
        <f t="shared" si="17"/>
        <v>456288</v>
      </c>
      <c r="H52" s="27">
        <f t="shared" si="17"/>
        <v>472075</v>
      </c>
      <c r="I52" s="27">
        <f t="shared" si="17"/>
        <v>480121</v>
      </c>
      <c r="J52" s="27">
        <f t="shared" si="17"/>
        <v>438057</v>
      </c>
      <c r="K52" s="27">
        <f t="shared" si="17"/>
        <v>404752</v>
      </c>
      <c r="L52" s="27">
        <f t="shared" si="17"/>
        <v>362382</v>
      </c>
      <c r="M52" s="27">
        <f t="shared" si="17"/>
        <v>347818</v>
      </c>
      <c r="N52" s="20">
        <f>SUM(B52:M52)</f>
        <v>4919049</v>
      </c>
      <c r="O52" s="270"/>
      <c r="P52" s="271"/>
    </row>
    <row r="53" spans="1:16" s="19" customFormat="1">
      <c r="A53" s="25" t="s">
        <v>20</v>
      </c>
      <c r="B53" s="31">
        <f>'charges (1 &amp; 2)'!$E$25</f>
        <v>7.0000000000000007E-2</v>
      </c>
      <c r="C53" s="31">
        <f>'charges (1 &amp; 2)'!$E$25</f>
        <v>7.0000000000000007E-2</v>
      </c>
      <c r="D53" s="31">
        <f>'charges (1 &amp; 2)'!$E$25</f>
        <v>7.0000000000000007E-2</v>
      </c>
      <c r="E53" s="31">
        <f>'charges (1 &amp; 2)'!$E$25</f>
        <v>7.0000000000000007E-2</v>
      </c>
      <c r="F53" s="31">
        <f>'charges (1 &amp; 2)'!$E$25</f>
        <v>7.0000000000000007E-2</v>
      </c>
      <c r="G53" s="31">
        <f>'charges (1 &amp; 2)'!$E$25</f>
        <v>7.0000000000000007E-2</v>
      </c>
      <c r="H53" s="31">
        <f>'charges (1 &amp; 2)'!$E$25</f>
        <v>7.0000000000000007E-2</v>
      </c>
      <c r="I53" s="31">
        <f>'charges (1 &amp; 2)'!$E$25</f>
        <v>7.0000000000000007E-2</v>
      </c>
      <c r="J53" s="31">
        <f>'charges (1 &amp; 2)'!$E$25</f>
        <v>7.0000000000000007E-2</v>
      </c>
      <c r="K53" s="31">
        <f>'charges (1 &amp; 2)'!$E$25</f>
        <v>7.0000000000000007E-2</v>
      </c>
      <c r="L53" s="31">
        <f>'charges (1 &amp; 2)'!$E$25</f>
        <v>7.0000000000000007E-2</v>
      </c>
      <c r="M53" s="31">
        <f>'charges (1 &amp; 2)'!$E$25</f>
        <v>7.0000000000000007E-2</v>
      </c>
      <c r="O53" s="270"/>
      <c r="P53" s="269"/>
    </row>
    <row r="54" spans="1:16" s="19" customFormat="1">
      <c r="A54" s="25" t="s">
        <v>17</v>
      </c>
      <c r="B54" s="192">
        <f>B52*B53</f>
        <v>29708.630000000008</v>
      </c>
      <c r="C54" s="192">
        <f t="shared" ref="C54:M54" si="18">C52*C53</f>
        <v>27698.090000000004</v>
      </c>
      <c r="D54" s="192">
        <f t="shared" si="18"/>
        <v>24226.020000000004</v>
      </c>
      <c r="E54" s="192">
        <f t="shared" si="18"/>
        <v>26029.780000000002</v>
      </c>
      <c r="F54" s="192">
        <f t="shared" si="18"/>
        <v>29366.400000000001</v>
      </c>
      <c r="G54" s="192">
        <f t="shared" si="18"/>
        <v>31940.160000000003</v>
      </c>
      <c r="H54" s="192">
        <f t="shared" si="18"/>
        <v>33045.25</v>
      </c>
      <c r="I54" s="192">
        <f t="shared" si="18"/>
        <v>33608.47</v>
      </c>
      <c r="J54" s="192">
        <f t="shared" si="18"/>
        <v>30663.99</v>
      </c>
      <c r="K54" s="192">
        <f t="shared" si="18"/>
        <v>28332.640000000003</v>
      </c>
      <c r="L54" s="192">
        <f t="shared" si="18"/>
        <v>25366.74</v>
      </c>
      <c r="M54" s="192">
        <f t="shared" si="18"/>
        <v>24347.260000000002</v>
      </c>
      <c r="N54" s="192">
        <f>SUM(B54:M54)</f>
        <v>344333.43000000005</v>
      </c>
      <c r="O54" s="270"/>
      <c r="P54" s="269"/>
    </row>
    <row r="55" spans="1:16" s="19" customFormat="1" ht="10.199999999999999">
      <c r="A55" s="25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3"/>
      <c r="O55" s="269"/>
      <c r="P55" s="269"/>
    </row>
    <row r="56" spans="1:16" s="19" customFormat="1" ht="10.199999999999999">
      <c r="A56" s="25" t="s">
        <v>25</v>
      </c>
      <c r="B56" s="191">
        <f>B40+B54+B47</f>
        <v>709925.91066000017</v>
      </c>
      <c r="C56" s="191">
        <f t="shared" ref="C56:M56" si="19">C40+C54+C47</f>
        <v>661881.47238000005</v>
      </c>
      <c r="D56" s="191">
        <f t="shared" si="19"/>
        <v>578911.89564</v>
      </c>
      <c r="E56" s="191">
        <f t="shared" si="19"/>
        <v>622015.05995999998</v>
      </c>
      <c r="F56" s="191">
        <f t="shared" si="19"/>
        <v>701747.88480000012</v>
      </c>
      <c r="G56" s="191">
        <f t="shared" si="19"/>
        <v>763251.18912000011</v>
      </c>
      <c r="H56" s="191">
        <f t="shared" si="19"/>
        <v>789658.73549999995</v>
      </c>
      <c r="I56" s="191">
        <f t="shared" si="19"/>
        <v>803117.60153999995</v>
      </c>
      <c r="J56" s="191">
        <f t="shared" si="19"/>
        <v>732755.46617999999</v>
      </c>
      <c r="K56" s="191">
        <f t="shared" si="19"/>
        <v>677044.86048000003</v>
      </c>
      <c r="L56" s="191">
        <f t="shared" si="19"/>
        <v>606170.86667999998</v>
      </c>
      <c r="M56" s="191">
        <f t="shared" si="19"/>
        <v>581809.08132</v>
      </c>
      <c r="N56" s="191">
        <f>SUM(B56:M56)</f>
        <v>8228290.0242600013</v>
      </c>
      <c r="O56" s="269"/>
      <c r="P56" s="269"/>
    </row>
    <row r="57" spans="1:16" s="19" customFormat="1" ht="10.199999999999999">
      <c r="A57" s="25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69"/>
      <c r="P57" s="269"/>
    </row>
    <row r="58" spans="1:16" s="19" customFormat="1" ht="10.199999999999999">
      <c r="A58" s="24">
        <f>+A33+1</f>
        <v>2016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69"/>
      <c r="P58" s="269"/>
    </row>
    <row r="59" spans="1:16" s="19" customFormat="1" ht="10.199999999999999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69"/>
      <c r="P59" s="269"/>
    </row>
    <row r="60" spans="1:16" s="19" customFormat="1" ht="10.199999999999999">
      <c r="A60" s="25" t="s">
        <v>37</v>
      </c>
      <c r="O60" s="269"/>
      <c r="P60" s="269"/>
    </row>
    <row r="61" spans="1:16" s="28" customFormat="1">
      <c r="A61" s="26" t="s">
        <v>40</v>
      </c>
      <c r="B61" s="232">
        <f>'FMPA Network Forecast'!D21*1000</f>
        <v>420200</v>
      </c>
      <c r="C61" s="232">
        <f>'FMPA Network Forecast'!E21*1000</f>
        <v>391600</v>
      </c>
      <c r="D61" s="232">
        <f>'FMPA Network Forecast'!F21*1000</f>
        <v>342500</v>
      </c>
      <c r="E61" s="232">
        <f>'FMPA Network Forecast'!G21*1000</f>
        <v>368000</v>
      </c>
      <c r="F61" s="232">
        <f>'FMPA Network Forecast'!H21*1000</f>
        <v>415200</v>
      </c>
      <c r="G61" s="232">
        <f>'FMPA Network Forecast'!I21*1000</f>
        <v>451600</v>
      </c>
      <c r="H61" s="232">
        <f>'FMPA Network Forecast'!J21*1000</f>
        <v>467200</v>
      </c>
      <c r="I61" s="232">
        <f>'FMPA Network Forecast'!K21*1000</f>
        <v>475200.00000000006</v>
      </c>
      <c r="J61" s="232">
        <f>'FMPA Network Forecast'!L21*1000</f>
        <v>433500</v>
      </c>
      <c r="K61" s="232">
        <f>'FMPA Network Forecast'!M21*1000</f>
        <v>400600</v>
      </c>
      <c r="L61" s="232">
        <f>'FMPA Network Forecast'!N21*1000</f>
        <v>358600</v>
      </c>
      <c r="M61" s="232">
        <f>'FMPA Network Forecast'!O21*1000</f>
        <v>344200</v>
      </c>
      <c r="N61" s="20">
        <f>SUM(B61:M61)</f>
        <v>4868400</v>
      </c>
      <c r="O61" s="277">
        <f>SUM('FMPA Network Forecast'!D21:O21)*1000</f>
        <v>4868400.0000000009</v>
      </c>
      <c r="P61" s="270">
        <f>N61-O61</f>
        <v>0</v>
      </c>
    </row>
    <row r="62" spans="1:16" s="28" customFormat="1">
      <c r="A62" s="26" t="s">
        <v>45</v>
      </c>
      <c r="B62" s="27">
        <f>ROUND(B61*'Transmission Formula Rate (7)'!$B$27,0)</f>
        <v>7774</v>
      </c>
      <c r="C62" s="27">
        <f>ROUND(C61*'Transmission Formula Rate (7)'!$B$27,0)</f>
        <v>7245</v>
      </c>
      <c r="D62" s="27">
        <f>ROUND(D61*'Transmission Formula Rate (7)'!$B$27,0)</f>
        <v>6336</v>
      </c>
      <c r="E62" s="27">
        <f>ROUND(E61*'Transmission Formula Rate (7)'!$B$27,0)</f>
        <v>6808</v>
      </c>
      <c r="F62" s="27">
        <f>ROUND(F61*'Transmission Formula Rate (7)'!$B$27,0)</f>
        <v>7681</v>
      </c>
      <c r="G62" s="27">
        <f>ROUND(G61*'Transmission Formula Rate (7)'!$B$27,0)</f>
        <v>8355</v>
      </c>
      <c r="H62" s="27">
        <f>ROUND(H61*'Transmission Formula Rate (7)'!$B$27,0)</f>
        <v>8643</v>
      </c>
      <c r="I62" s="27">
        <f>ROUND(I61*'Transmission Formula Rate (7)'!$B$27,0)</f>
        <v>8791</v>
      </c>
      <c r="J62" s="27">
        <f>ROUND(J61*'Transmission Formula Rate (7)'!$B$27,0)</f>
        <v>8020</v>
      </c>
      <c r="K62" s="27">
        <f>ROUND(K61*'Transmission Formula Rate (7)'!$B$27,0)</f>
        <v>7411</v>
      </c>
      <c r="L62" s="27">
        <f>ROUND(L61*'Transmission Formula Rate (7)'!$B$27,0)</f>
        <v>6634</v>
      </c>
      <c r="M62" s="27">
        <f>ROUND(M61*'Transmission Formula Rate (7)'!$B$27,0)</f>
        <v>6368</v>
      </c>
      <c r="N62" s="20">
        <f>SUM(B62:M62)</f>
        <v>90066</v>
      </c>
      <c r="O62" s="270"/>
      <c r="P62" s="271"/>
    </row>
    <row r="63" spans="1:16" s="28" customFormat="1">
      <c r="A63" s="26" t="s">
        <v>46</v>
      </c>
      <c r="B63" s="27">
        <f>B61+B62</f>
        <v>427974</v>
      </c>
      <c r="C63" s="27">
        <f t="shared" ref="C63:M63" si="20">C61+C62</f>
        <v>398845</v>
      </c>
      <c r="D63" s="27">
        <f t="shared" si="20"/>
        <v>348836</v>
      </c>
      <c r="E63" s="27">
        <f t="shared" si="20"/>
        <v>374808</v>
      </c>
      <c r="F63" s="27">
        <f t="shared" si="20"/>
        <v>422881</v>
      </c>
      <c r="G63" s="27">
        <f t="shared" si="20"/>
        <v>459955</v>
      </c>
      <c r="H63" s="27">
        <f t="shared" si="20"/>
        <v>475843</v>
      </c>
      <c r="I63" s="27">
        <f t="shared" si="20"/>
        <v>483991.00000000006</v>
      </c>
      <c r="J63" s="27">
        <f t="shared" si="20"/>
        <v>441520</v>
      </c>
      <c r="K63" s="27">
        <f t="shared" si="20"/>
        <v>408011</v>
      </c>
      <c r="L63" s="27">
        <f t="shared" si="20"/>
        <v>365234</v>
      </c>
      <c r="M63" s="27">
        <f t="shared" si="20"/>
        <v>350568</v>
      </c>
      <c r="N63" s="27">
        <f>N61+N62</f>
        <v>4958466</v>
      </c>
      <c r="O63" s="270"/>
      <c r="P63" s="271"/>
    </row>
    <row r="64" spans="1:16" s="19" customFormat="1">
      <c r="A64" s="25" t="s">
        <v>20</v>
      </c>
      <c r="B64" s="29">
        <f>'Transmission Formula Rate (7)'!B12</f>
        <v>1.59</v>
      </c>
      <c r="C64" s="29">
        <f>'Transmission Formula Rate (7)'!C12</f>
        <v>1.59</v>
      </c>
      <c r="D64" s="29">
        <f>'Transmission Formula Rate (7)'!D12</f>
        <v>1.59</v>
      </c>
      <c r="E64" s="29">
        <f>'Transmission Formula Rate (7)'!E12</f>
        <v>1.59</v>
      </c>
      <c r="F64" s="29">
        <f>'Transmission Formula Rate (7)'!F12</f>
        <v>1.59</v>
      </c>
      <c r="G64" s="29">
        <f>'Transmission Formula Rate (7)'!G12</f>
        <v>1.59</v>
      </c>
      <c r="H64" s="29">
        <f>'Transmission Formula Rate (7)'!H12</f>
        <v>1.59</v>
      </c>
      <c r="I64" s="29">
        <f>'Transmission Formula Rate (7)'!I12</f>
        <v>1.59</v>
      </c>
      <c r="J64" s="29">
        <f>'Transmission Formula Rate (7)'!J12</f>
        <v>1.59</v>
      </c>
      <c r="K64" s="29">
        <f>'Transmission Formula Rate (7)'!K12</f>
        <v>1.59</v>
      </c>
      <c r="L64" s="29">
        <f>'Transmission Formula Rate (7)'!L12</f>
        <v>1.59</v>
      </c>
      <c r="M64" s="29">
        <f>'Transmission Formula Rate (7)'!M12</f>
        <v>1.59</v>
      </c>
      <c r="O64" s="270"/>
      <c r="P64" s="269"/>
    </row>
    <row r="65" spans="1:16" s="19" customFormat="1">
      <c r="A65" s="25" t="s">
        <v>17</v>
      </c>
      <c r="B65" s="192">
        <f>B63*B64</f>
        <v>680478.66</v>
      </c>
      <c r="C65" s="192">
        <f t="shared" ref="C65:M65" si="21">C63*C64</f>
        <v>634163.55000000005</v>
      </c>
      <c r="D65" s="192">
        <f t="shared" si="21"/>
        <v>554649.24</v>
      </c>
      <c r="E65" s="192">
        <f t="shared" si="21"/>
        <v>595944.72</v>
      </c>
      <c r="F65" s="192">
        <f t="shared" si="21"/>
        <v>672380.79</v>
      </c>
      <c r="G65" s="192">
        <f t="shared" si="21"/>
        <v>731328.45000000007</v>
      </c>
      <c r="H65" s="192">
        <f t="shared" si="21"/>
        <v>756590.37</v>
      </c>
      <c r="I65" s="192">
        <f t="shared" si="21"/>
        <v>769545.69000000018</v>
      </c>
      <c r="J65" s="192">
        <f t="shared" si="21"/>
        <v>702016.8</v>
      </c>
      <c r="K65" s="192">
        <f t="shared" si="21"/>
        <v>648737.49</v>
      </c>
      <c r="L65" s="192">
        <f t="shared" si="21"/>
        <v>580722.06000000006</v>
      </c>
      <c r="M65" s="192">
        <f t="shared" si="21"/>
        <v>557403.12</v>
      </c>
      <c r="N65" s="192">
        <f>SUM(B65:M65)</f>
        <v>7883960.9400000004</v>
      </c>
      <c r="O65" s="270"/>
      <c r="P65" s="269"/>
    </row>
    <row r="66" spans="1:16" s="19" customFormat="1" ht="12.75" customHeight="1">
      <c r="O66" s="270"/>
      <c r="P66" s="269"/>
    </row>
    <row r="67" spans="1:16" s="19" customFormat="1" ht="12.75" customHeight="1">
      <c r="A67" s="25" t="s">
        <v>135</v>
      </c>
      <c r="O67" s="270"/>
      <c r="P67" s="269"/>
    </row>
    <row r="68" spans="1:16" s="19" customFormat="1" ht="12.75" customHeight="1">
      <c r="A68" s="26" t="s">
        <v>40</v>
      </c>
      <c r="B68" s="27">
        <f>B61</f>
        <v>420200</v>
      </c>
      <c r="C68" s="27">
        <f t="shared" ref="C68:M68" si="22">C61</f>
        <v>391600</v>
      </c>
      <c r="D68" s="27">
        <f t="shared" si="22"/>
        <v>342500</v>
      </c>
      <c r="E68" s="27">
        <f t="shared" si="22"/>
        <v>368000</v>
      </c>
      <c r="F68" s="27">
        <f t="shared" si="22"/>
        <v>415200</v>
      </c>
      <c r="G68" s="27">
        <f t="shared" si="22"/>
        <v>451600</v>
      </c>
      <c r="H68" s="27">
        <f t="shared" si="22"/>
        <v>467200</v>
      </c>
      <c r="I68" s="27">
        <f t="shared" si="22"/>
        <v>475200.00000000006</v>
      </c>
      <c r="J68" s="27">
        <f t="shared" si="22"/>
        <v>433500</v>
      </c>
      <c r="K68" s="27">
        <f t="shared" si="22"/>
        <v>400600</v>
      </c>
      <c r="L68" s="27">
        <f t="shared" si="22"/>
        <v>358600</v>
      </c>
      <c r="M68" s="27">
        <f t="shared" si="22"/>
        <v>344200</v>
      </c>
      <c r="N68" s="20">
        <f>SUM(B68:M68)</f>
        <v>4868400</v>
      </c>
      <c r="O68" s="270"/>
      <c r="P68" s="269"/>
    </row>
    <row r="69" spans="1:16" s="19" customFormat="1" ht="12.75" customHeight="1">
      <c r="A69" s="26" t="s">
        <v>45</v>
      </c>
      <c r="B69" s="27">
        <f>ROUND(B68*'Transmission Formula Rate (7)'!$B$27,0)</f>
        <v>7774</v>
      </c>
      <c r="C69" s="27">
        <f>ROUND(C68*'Transmission Formula Rate (7)'!$B$27,0)</f>
        <v>7245</v>
      </c>
      <c r="D69" s="27">
        <f>ROUND(D68*'Transmission Formula Rate (7)'!$B$27,0)</f>
        <v>6336</v>
      </c>
      <c r="E69" s="27">
        <f>ROUND(E68*'Transmission Formula Rate (7)'!$B$27,0)</f>
        <v>6808</v>
      </c>
      <c r="F69" s="27">
        <f>ROUND(F68*'Transmission Formula Rate (7)'!$B$27,0)</f>
        <v>7681</v>
      </c>
      <c r="G69" s="27">
        <f>ROUND(G68*'Transmission Formula Rate (7)'!$B$27,0)</f>
        <v>8355</v>
      </c>
      <c r="H69" s="27">
        <f>ROUND(H68*'Transmission Formula Rate (7)'!$B$27,0)</f>
        <v>8643</v>
      </c>
      <c r="I69" s="27">
        <f>ROUND(I68*'Transmission Formula Rate (7)'!$B$27,0)</f>
        <v>8791</v>
      </c>
      <c r="J69" s="27">
        <f>ROUND(J68*'Transmission Formula Rate (7)'!$B$27,0)</f>
        <v>8020</v>
      </c>
      <c r="K69" s="27">
        <f>ROUND(K68*'Transmission Formula Rate (7)'!$B$27,0)</f>
        <v>7411</v>
      </c>
      <c r="L69" s="27">
        <f>ROUND(L68*'Transmission Formula Rate (7)'!$B$27,0)</f>
        <v>6634</v>
      </c>
      <c r="M69" s="27">
        <f>ROUND(M68*'Transmission Formula Rate (7)'!$B$27,0)</f>
        <v>6368</v>
      </c>
      <c r="N69" s="20">
        <f>SUM(B69:M69)</f>
        <v>90066</v>
      </c>
      <c r="O69" s="270"/>
      <c r="P69" s="269"/>
    </row>
    <row r="70" spans="1:16" s="19" customFormat="1" ht="12.75" customHeight="1">
      <c r="A70" s="26" t="s">
        <v>46</v>
      </c>
      <c r="B70" s="27">
        <f t="shared" ref="B70:N70" si="23">B68+B69</f>
        <v>427974</v>
      </c>
      <c r="C70" s="27">
        <f t="shared" si="23"/>
        <v>398845</v>
      </c>
      <c r="D70" s="27">
        <f t="shared" si="23"/>
        <v>348836</v>
      </c>
      <c r="E70" s="27">
        <f t="shared" si="23"/>
        <v>374808</v>
      </c>
      <c r="F70" s="27">
        <f t="shared" si="23"/>
        <v>422881</v>
      </c>
      <c r="G70" s="27">
        <f t="shared" si="23"/>
        <v>459955</v>
      </c>
      <c r="H70" s="27">
        <f t="shared" si="23"/>
        <v>475843</v>
      </c>
      <c r="I70" s="27">
        <f t="shared" si="23"/>
        <v>483991.00000000006</v>
      </c>
      <c r="J70" s="27">
        <f t="shared" si="23"/>
        <v>441520</v>
      </c>
      <c r="K70" s="27">
        <f t="shared" si="23"/>
        <v>408011</v>
      </c>
      <c r="L70" s="27">
        <f t="shared" si="23"/>
        <v>365234</v>
      </c>
      <c r="M70" s="27">
        <f t="shared" si="23"/>
        <v>350568</v>
      </c>
      <c r="N70" s="27">
        <f t="shared" si="23"/>
        <v>4958466</v>
      </c>
      <c r="O70" s="270"/>
      <c r="P70" s="269"/>
    </row>
    <row r="71" spans="1:16" s="19" customFormat="1" ht="12.75" customHeight="1">
      <c r="A71" s="25" t="s">
        <v>20</v>
      </c>
      <c r="B71" s="31">
        <f>'charges (1 &amp; 2)'!F29</f>
        <v>1.274E-2</v>
      </c>
      <c r="C71" s="31">
        <f>B71</f>
        <v>1.274E-2</v>
      </c>
      <c r="D71" s="31">
        <f t="shared" ref="D71:M71" si="24">C71</f>
        <v>1.274E-2</v>
      </c>
      <c r="E71" s="31">
        <f t="shared" si="24"/>
        <v>1.274E-2</v>
      </c>
      <c r="F71" s="31">
        <f t="shared" si="24"/>
        <v>1.274E-2</v>
      </c>
      <c r="G71" s="31">
        <f t="shared" si="24"/>
        <v>1.274E-2</v>
      </c>
      <c r="H71" s="31">
        <f t="shared" si="24"/>
        <v>1.274E-2</v>
      </c>
      <c r="I71" s="31">
        <f t="shared" si="24"/>
        <v>1.274E-2</v>
      </c>
      <c r="J71" s="31">
        <f t="shared" si="24"/>
        <v>1.274E-2</v>
      </c>
      <c r="K71" s="31">
        <f t="shared" si="24"/>
        <v>1.274E-2</v>
      </c>
      <c r="L71" s="31">
        <f t="shared" si="24"/>
        <v>1.274E-2</v>
      </c>
      <c r="M71" s="31">
        <f t="shared" si="24"/>
        <v>1.274E-2</v>
      </c>
      <c r="O71" s="270"/>
      <c r="P71" s="269"/>
    </row>
    <row r="72" spans="1:16" s="19" customFormat="1" ht="12.75" customHeight="1">
      <c r="A72" s="25" t="s">
        <v>17</v>
      </c>
      <c r="B72" s="192">
        <f t="shared" ref="B72:M72" si="25">B70*B71</f>
        <v>5452.3887599999998</v>
      </c>
      <c r="C72" s="192">
        <f t="shared" si="25"/>
        <v>5081.2852999999996</v>
      </c>
      <c r="D72" s="192">
        <f t="shared" si="25"/>
        <v>4444.1706400000003</v>
      </c>
      <c r="E72" s="192">
        <f t="shared" si="25"/>
        <v>4775.0539200000003</v>
      </c>
      <c r="F72" s="192">
        <f t="shared" si="25"/>
        <v>5387.5039399999996</v>
      </c>
      <c r="G72" s="192">
        <f t="shared" si="25"/>
        <v>5859.8266999999996</v>
      </c>
      <c r="H72" s="192">
        <f t="shared" si="25"/>
        <v>6062.2398199999998</v>
      </c>
      <c r="I72" s="192">
        <f t="shared" si="25"/>
        <v>6166.0453400000006</v>
      </c>
      <c r="J72" s="192">
        <f t="shared" si="25"/>
        <v>5624.9647999999997</v>
      </c>
      <c r="K72" s="192">
        <f t="shared" si="25"/>
        <v>5198.0601399999996</v>
      </c>
      <c r="L72" s="192">
        <f t="shared" si="25"/>
        <v>4653.0811599999997</v>
      </c>
      <c r="M72" s="192">
        <f t="shared" si="25"/>
        <v>4466.23632</v>
      </c>
      <c r="N72" s="192">
        <f>SUM(B72:M72)</f>
        <v>63170.856840000008</v>
      </c>
      <c r="O72" s="270"/>
      <c r="P72" s="269"/>
    </row>
    <row r="73" spans="1:16" s="19" customFormat="1" ht="12.75" customHeight="1">
      <c r="O73" s="270"/>
      <c r="P73" s="269"/>
    </row>
    <row r="74" spans="1:16" s="19" customFormat="1">
      <c r="A74" s="25" t="s">
        <v>38</v>
      </c>
      <c r="O74" s="270"/>
      <c r="P74" s="269"/>
    </row>
    <row r="75" spans="1:16" s="28" customFormat="1">
      <c r="A75" s="26" t="s">
        <v>40</v>
      </c>
      <c r="B75" s="27">
        <f>B61</f>
        <v>420200</v>
      </c>
      <c r="C75" s="27">
        <f t="shared" ref="C75:M75" si="26">C61</f>
        <v>391600</v>
      </c>
      <c r="D75" s="27">
        <f t="shared" si="26"/>
        <v>342500</v>
      </c>
      <c r="E75" s="27">
        <f t="shared" si="26"/>
        <v>368000</v>
      </c>
      <c r="F75" s="27">
        <f t="shared" si="26"/>
        <v>415200</v>
      </c>
      <c r="G75" s="27">
        <f t="shared" si="26"/>
        <v>451600</v>
      </c>
      <c r="H75" s="27">
        <f t="shared" si="26"/>
        <v>467200</v>
      </c>
      <c r="I75" s="27">
        <f t="shared" si="26"/>
        <v>475200.00000000006</v>
      </c>
      <c r="J75" s="27">
        <f t="shared" si="26"/>
        <v>433500</v>
      </c>
      <c r="K75" s="27">
        <f t="shared" si="26"/>
        <v>400600</v>
      </c>
      <c r="L75" s="27">
        <f t="shared" si="26"/>
        <v>358600</v>
      </c>
      <c r="M75" s="27">
        <f t="shared" si="26"/>
        <v>344200</v>
      </c>
      <c r="N75" s="20">
        <f>SUM(B75:M75)</f>
        <v>4868400</v>
      </c>
      <c r="O75" s="270"/>
      <c r="P75" s="271"/>
    </row>
    <row r="76" spans="1:16" s="28" customFormat="1">
      <c r="A76" s="26" t="s">
        <v>45</v>
      </c>
      <c r="B76" s="27">
        <f>ROUND(B75*'Transmission Formula Rate (7)'!$B$27,0)</f>
        <v>7774</v>
      </c>
      <c r="C76" s="27">
        <f>ROUND(C75*'Transmission Formula Rate (7)'!$B$27,0)</f>
        <v>7245</v>
      </c>
      <c r="D76" s="27">
        <f>ROUND(D75*'Transmission Formula Rate (7)'!$B$27,0)</f>
        <v>6336</v>
      </c>
      <c r="E76" s="27">
        <f>ROUND(E75*'Transmission Formula Rate (7)'!$B$27,0)</f>
        <v>6808</v>
      </c>
      <c r="F76" s="27">
        <f>ROUND(F75*'Transmission Formula Rate (7)'!$B$27,0)</f>
        <v>7681</v>
      </c>
      <c r="G76" s="27">
        <f>ROUND(G75*'Transmission Formula Rate (7)'!$B$27,0)</f>
        <v>8355</v>
      </c>
      <c r="H76" s="27">
        <f>ROUND(H75*'Transmission Formula Rate (7)'!$B$27,0)</f>
        <v>8643</v>
      </c>
      <c r="I76" s="27">
        <f>ROUND(I75*'Transmission Formula Rate (7)'!$B$27,0)</f>
        <v>8791</v>
      </c>
      <c r="J76" s="27">
        <f>ROUND(J75*'Transmission Formula Rate (7)'!$B$27,0)</f>
        <v>8020</v>
      </c>
      <c r="K76" s="27">
        <f>ROUND(K75*'Transmission Formula Rate (7)'!$B$27,0)</f>
        <v>7411</v>
      </c>
      <c r="L76" s="27">
        <f>ROUND(L75*'Transmission Formula Rate (7)'!$B$27,0)</f>
        <v>6634</v>
      </c>
      <c r="M76" s="27">
        <f>ROUND(M75*'Transmission Formula Rate (7)'!$B$27,0)</f>
        <v>6368</v>
      </c>
      <c r="N76" s="20">
        <f>SUM(B76:M76)</f>
        <v>90066</v>
      </c>
      <c r="O76" s="270"/>
      <c r="P76" s="271"/>
    </row>
    <row r="77" spans="1:16" s="28" customFormat="1">
      <c r="A77" s="26" t="s">
        <v>46</v>
      </c>
      <c r="B77" s="27">
        <f>B75+B76</f>
        <v>427974</v>
      </c>
      <c r="C77" s="27">
        <f t="shared" ref="C77:M77" si="27">C75+C76</f>
        <v>398845</v>
      </c>
      <c r="D77" s="27">
        <f t="shared" si="27"/>
        <v>348836</v>
      </c>
      <c r="E77" s="27">
        <f t="shared" si="27"/>
        <v>374808</v>
      </c>
      <c r="F77" s="27">
        <f t="shared" si="27"/>
        <v>422881</v>
      </c>
      <c r="G77" s="27">
        <f t="shared" si="27"/>
        <v>459955</v>
      </c>
      <c r="H77" s="27">
        <f t="shared" si="27"/>
        <v>475843</v>
      </c>
      <c r="I77" s="27">
        <f t="shared" si="27"/>
        <v>483991.00000000006</v>
      </c>
      <c r="J77" s="27">
        <f t="shared" si="27"/>
        <v>441520</v>
      </c>
      <c r="K77" s="27">
        <f t="shared" si="27"/>
        <v>408011</v>
      </c>
      <c r="L77" s="27">
        <f t="shared" si="27"/>
        <v>365234</v>
      </c>
      <c r="M77" s="27">
        <f t="shared" si="27"/>
        <v>350568</v>
      </c>
      <c r="N77" s="20">
        <f>SUM(B77:M77)</f>
        <v>4958466</v>
      </c>
      <c r="O77" s="270"/>
      <c r="P77" s="271"/>
    </row>
    <row r="78" spans="1:16" s="19" customFormat="1">
      <c r="A78" s="25" t="s">
        <v>20</v>
      </c>
      <c r="B78" s="31">
        <f>'charges (1 &amp; 2)'!$F$25</f>
        <v>7.0000000000000007E-2</v>
      </c>
      <c r="C78" s="31">
        <f>'charges (1 &amp; 2)'!$F$25</f>
        <v>7.0000000000000007E-2</v>
      </c>
      <c r="D78" s="31">
        <f>'charges (1 &amp; 2)'!$F$25</f>
        <v>7.0000000000000007E-2</v>
      </c>
      <c r="E78" s="31">
        <f>'charges (1 &amp; 2)'!$F$25</f>
        <v>7.0000000000000007E-2</v>
      </c>
      <c r="F78" s="31">
        <f>'charges (1 &amp; 2)'!$F$25</f>
        <v>7.0000000000000007E-2</v>
      </c>
      <c r="G78" s="31">
        <f>'charges (1 &amp; 2)'!$F$25</f>
        <v>7.0000000000000007E-2</v>
      </c>
      <c r="H78" s="31">
        <f>'charges (1 &amp; 2)'!$F$25</f>
        <v>7.0000000000000007E-2</v>
      </c>
      <c r="I78" s="31">
        <f>'charges (1 &amp; 2)'!$F$25</f>
        <v>7.0000000000000007E-2</v>
      </c>
      <c r="J78" s="31">
        <f>'charges (1 &amp; 2)'!$F$25</f>
        <v>7.0000000000000007E-2</v>
      </c>
      <c r="K78" s="31">
        <f>'charges (1 &amp; 2)'!$F$25</f>
        <v>7.0000000000000007E-2</v>
      </c>
      <c r="L78" s="31">
        <f>'charges (1 &amp; 2)'!$F$25</f>
        <v>7.0000000000000007E-2</v>
      </c>
      <c r="M78" s="31">
        <f>'charges (1 &amp; 2)'!$F$25</f>
        <v>7.0000000000000007E-2</v>
      </c>
      <c r="O78" s="270"/>
      <c r="P78" s="269"/>
    </row>
    <row r="79" spans="1:16" s="19" customFormat="1">
      <c r="A79" s="25" t="s">
        <v>17</v>
      </c>
      <c r="B79" s="192">
        <f>B77*B78</f>
        <v>29958.180000000004</v>
      </c>
      <c r="C79" s="192">
        <f t="shared" ref="C79:M79" si="28">C77*C78</f>
        <v>27919.15</v>
      </c>
      <c r="D79" s="192">
        <f t="shared" si="28"/>
        <v>24418.520000000004</v>
      </c>
      <c r="E79" s="192">
        <f t="shared" si="28"/>
        <v>26236.560000000001</v>
      </c>
      <c r="F79" s="192">
        <f t="shared" si="28"/>
        <v>29601.670000000002</v>
      </c>
      <c r="G79" s="192">
        <f t="shared" si="28"/>
        <v>32196.850000000002</v>
      </c>
      <c r="H79" s="192">
        <f t="shared" si="28"/>
        <v>33309.01</v>
      </c>
      <c r="I79" s="192">
        <f t="shared" si="28"/>
        <v>33879.37000000001</v>
      </c>
      <c r="J79" s="192">
        <f t="shared" si="28"/>
        <v>30906.400000000001</v>
      </c>
      <c r="K79" s="192">
        <f t="shared" si="28"/>
        <v>28560.770000000004</v>
      </c>
      <c r="L79" s="192">
        <f t="shared" si="28"/>
        <v>25566.38</v>
      </c>
      <c r="M79" s="192">
        <f t="shared" si="28"/>
        <v>24539.760000000002</v>
      </c>
      <c r="N79" s="192">
        <f>SUM(B79:M79)</f>
        <v>347092.62000000011</v>
      </c>
      <c r="O79" s="270"/>
      <c r="P79" s="269"/>
    </row>
    <row r="80" spans="1:16" s="19" customFormat="1" ht="10.199999999999999">
      <c r="A80" s="25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269"/>
      <c r="P80" s="269"/>
    </row>
    <row r="81" spans="1:16" s="19" customFormat="1" ht="10.199999999999999">
      <c r="A81" s="25" t="s">
        <v>25</v>
      </c>
      <c r="B81" s="191">
        <f>B65+B79+B72</f>
        <v>715889.22876000009</v>
      </c>
      <c r="C81" s="191">
        <f t="shared" ref="C81:M81" si="29">C65+C79+C72</f>
        <v>667163.98530000006</v>
      </c>
      <c r="D81" s="191">
        <f t="shared" si="29"/>
        <v>583511.93064000004</v>
      </c>
      <c r="E81" s="191">
        <f t="shared" si="29"/>
        <v>626956.33392</v>
      </c>
      <c r="F81" s="191">
        <f t="shared" si="29"/>
        <v>707369.96394000005</v>
      </c>
      <c r="G81" s="191">
        <f t="shared" si="29"/>
        <v>769385.12670000002</v>
      </c>
      <c r="H81" s="191">
        <f t="shared" si="29"/>
        <v>795961.61982000002</v>
      </c>
      <c r="I81" s="191">
        <f t="shared" si="29"/>
        <v>809591.10534000013</v>
      </c>
      <c r="J81" s="191">
        <f t="shared" si="29"/>
        <v>738548.16480000003</v>
      </c>
      <c r="K81" s="191">
        <f t="shared" si="29"/>
        <v>682496.32013999997</v>
      </c>
      <c r="L81" s="191">
        <f t="shared" si="29"/>
        <v>610941.52116</v>
      </c>
      <c r="M81" s="191">
        <f t="shared" si="29"/>
        <v>586409.11632000003</v>
      </c>
      <c r="N81" s="191">
        <f>SUM(B81:M81)</f>
        <v>8294224.4168400001</v>
      </c>
      <c r="O81" s="269"/>
      <c r="P81" s="269"/>
    </row>
    <row r="83" spans="1:16">
      <c r="A83" s="24">
        <f>+A58+1</f>
        <v>2017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6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6">
      <c r="A85" s="25" t="s">
        <v>37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6">
      <c r="A86" s="26" t="s">
        <v>40</v>
      </c>
      <c r="B86" s="232">
        <f>'FMPA Network Forecast'!D22*1000</f>
        <v>423800</v>
      </c>
      <c r="C86" s="232">
        <f>'FMPA Network Forecast'!E22*1000</f>
        <v>394800</v>
      </c>
      <c r="D86" s="232">
        <f>'FMPA Network Forecast'!F22*1000</f>
        <v>345300</v>
      </c>
      <c r="E86" s="232">
        <f>'FMPA Network Forecast'!G22*1000</f>
        <v>371000</v>
      </c>
      <c r="F86" s="232">
        <f>'FMPA Network Forecast'!H22*1000</f>
        <v>418600</v>
      </c>
      <c r="G86" s="232">
        <f>'FMPA Network Forecast'!I22*1000</f>
        <v>455300</v>
      </c>
      <c r="H86" s="232">
        <f>'FMPA Network Forecast'!J22*1000</f>
        <v>471100</v>
      </c>
      <c r="I86" s="232">
        <f>'FMPA Network Forecast'!K22*1000</f>
        <v>479100</v>
      </c>
      <c r="J86" s="232">
        <f>'FMPA Network Forecast'!L22*1000</f>
        <v>437100</v>
      </c>
      <c r="K86" s="232">
        <f>'FMPA Network Forecast'!M22*1000</f>
        <v>403900</v>
      </c>
      <c r="L86" s="232">
        <f>'FMPA Network Forecast'!N22*1000</f>
        <v>361600</v>
      </c>
      <c r="M86" s="232">
        <f>'FMPA Network Forecast'!O22*1000</f>
        <v>347100</v>
      </c>
      <c r="N86" s="20">
        <f>SUM(B86:M86)</f>
        <v>4908700</v>
      </c>
      <c r="O86" s="277">
        <f>SUM('FMPA Network Forecast'!D22:O22)*1000</f>
        <v>4908700.0000000009</v>
      </c>
      <c r="P86" s="270">
        <f>N86-O86</f>
        <v>0</v>
      </c>
    </row>
    <row r="87" spans="1:16">
      <c r="A87" s="26" t="s">
        <v>45</v>
      </c>
      <c r="B87" s="27">
        <f>ROUND(B86*'Transmission Formula Rate (7)'!$B$27,0)</f>
        <v>7840</v>
      </c>
      <c r="C87" s="27">
        <f>ROUND(C86*'Transmission Formula Rate (7)'!$B$27,0)</f>
        <v>7304</v>
      </c>
      <c r="D87" s="27">
        <f>ROUND(D86*'Transmission Formula Rate (7)'!$B$27,0)</f>
        <v>6388</v>
      </c>
      <c r="E87" s="27">
        <f>ROUND(E86*'Transmission Formula Rate (7)'!$B$27,0)</f>
        <v>6864</v>
      </c>
      <c r="F87" s="27">
        <f>ROUND(F86*'Transmission Formula Rate (7)'!$B$27,0)</f>
        <v>7744</v>
      </c>
      <c r="G87" s="27">
        <f>ROUND(G86*'Transmission Formula Rate (7)'!$B$27,0)</f>
        <v>8423</v>
      </c>
      <c r="H87" s="27">
        <f>ROUND(H86*'Transmission Formula Rate (7)'!$B$27,0)</f>
        <v>8715</v>
      </c>
      <c r="I87" s="27">
        <f>ROUND(I86*'Transmission Formula Rate (7)'!$B$27,0)</f>
        <v>8863</v>
      </c>
      <c r="J87" s="27">
        <f>ROUND(J86*'Transmission Formula Rate (7)'!$B$27,0)</f>
        <v>8086</v>
      </c>
      <c r="K87" s="27">
        <f>ROUND(K86*'Transmission Formula Rate (7)'!$B$27,0)</f>
        <v>7472</v>
      </c>
      <c r="L87" s="27">
        <f>ROUND(L86*'Transmission Formula Rate (7)'!$B$27,0)</f>
        <v>6690</v>
      </c>
      <c r="M87" s="27">
        <f>ROUND(M86*'Transmission Formula Rate (7)'!$B$27,0)</f>
        <v>6421</v>
      </c>
      <c r="N87" s="20">
        <f>SUM(B87:M87)</f>
        <v>90810</v>
      </c>
    </row>
    <row r="88" spans="1:16">
      <c r="A88" s="26" t="s">
        <v>46</v>
      </c>
      <c r="B88" s="27">
        <f>B86+B87</f>
        <v>431640</v>
      </c>
      <c r="C88" s="27">
        <f t="shared" ref="C88:M88" si="30">C86+C87</f>
        <v>402104</v>
      </c>
      <c r="D88" s="27">
        <f t="shared" si="30"/>
        <v>351688</v>
      </c>
      <c r="E88" s="27">
        <f t="shared" si="30"/>
        <v>377864</v>
      </c>
      <c r="F88" s="27">
        <f t="shared" si="30"/>
        <v>426344</v>
      </c>
      <c r="G88" s="27">
        <f t="shared" si="30"/>
        <v>463723</v>
      </c>
      <c r="H88" s="27">
        <f t="shared" si="30"/>
        <v>479815</v>
      </c>
      <c r="I88" s="27">
        <f t="shared" si="30"/>
        <v>487963</v>
      </c>
      <c r="J88" s="27">
        <f t="shared" si="30"/>
        <v>445186</v>
      </c>
      <c r="K88" s="27">
        <f t="shared" si="30"/>
        <v>411372</v>
      </c>
      <c r="L88" s="27">
        <f t="shared" si="30"/>
        <v>368290</v>
      </c>
      <c r="M88" s="27">
        <f t="shared" si="30"/>
        <v>353521</v>
      </c>
      <c r="N88" s="20">
        <f>SUM(B88:M88)</f>
        <v>4999510</v>
      </c>
    </row>
    <row r="89" spans="1:16">
      <c r="A89" s="25" t="s">
        <v>20</v>
      </c>
      <c r="B89" s="29">
        <f>'Transmission Formula Rate (7)'!B14</f>
        <v>1.59</v>
      </c>
      <c r="C89" s="29">
        <f>'Transmission Formula Rate (7)'!C14</f>
        <v>1.59</v>
      </c>
      <c r="D89" s="29">
        <f>'Transmission Formula Rate (7)'!D14</f>
        <v>1.59</v>
      </c>
      <c r="E89" s="29">
        <f>'Transmission Formula Rate (7)'!E14</f>
        <v>1.59</v>
      </c>
      <c r="F89" s="29">
        <f>'Transmission Formula Rate (7)'!F14</f>
        <v>1.59</v>
      </c>
      <c r="G89" s="29">
        <f>'Transmission Formula Rate (7)'!G14</f>
        <v>1.59</v>
      </c>
      <c r="H89" s="29">
        <f>'Transmission Formula Rate (7)'!H14</f>
        <v>1.59</v>
      </c>
      <c r="I89" s="29">
        <f>'Transmission Formula Rate (7)'!I14</f>
        <v>1.59</v>
      </c>
      <c r="J89" s="29">
        <f>'Transmission Formula Rate (7)'!J14</f>
        <v>1.59</v>
      </c>
      <c r="K89" s="29">
        <f>'Transmission Formula Rate (7)'!K14</f>
        <v>1.59</v>
      </c>
      <c r="L89" s="29">
        <f>'Transmission Formula Rate (7)'!L14</f>
        <v>1.59</v>
      </c>
      <c r="M89" s="29">
        <f>'Transmission Formula Rate (7)'!M14</f>
        <v>1.59</v>
      </c>
      <c r="N89" s="19"/>
    </row>
    <row r="90" spans="1:16">
      <c r="A90" s="25" t="s">
        <v>17</v>
      </c>
      <c r="B90" s="192">
        <f>B88*B89</f>
        <v>686307.6</v>
      </c>
      <c r="C90" s="192">
        <f t="shared" ref="C90:M90" si="31">C88*C89</f>
        <v>639345.36</v>
      </c>
      <c r="D90" s="192">
        <f t="shared" si="31"/>
        <v>559183.92000000004</v>
      </c>
      <c r="E90" s="192">
        <f t="shared" si="31"/>
        <v>600803.76</v>
      </c>
      <c r="F90" s="192">
        <f t="shared" si="31"/>
        <v>677886.96000000008</v>
      </c>
      <c r="G90" s="192">
        <f t="shared" si="31"/>
        <v>737319.57000000007</v>
      </c>
      <c r="H90" s="192">
        <f t="shared" si="31"/>
        <v>762905.85000000009</v>
      </c>
      <c r="I90" s="192">
        <f t="shared" si="31"/>
        <v>775861.17</v>
      </c>
      <c r="J90" s="192">
        <f t="shared" si="31"/>
        <v>707845.74</v>
      </c>
      <c r="K90" s="192">
        <f t="shared" si="31"/>
        <v>654081.48</v>
      </c>
      <c r="L90" s="192">
        <f t="shared" si="31"/>
        <v>585581.1</v>
      </c>
      <c r="M90" s="192">
        <f t="shared" si="31"/>
        <v>562098.39</v>
      </c>
      <c r="N90" s="192">
        <f>SUM(B90:M90)</f>
        <v>7949220.8999999994</v>
      </c>
    </row>
    <row r="91" spans="1:16" ht="8.2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6" ht="12.75" customHeight="1">
      <c r="A92" s="25" t="s">
        <v>135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6" ht="12.75" customHeight="1">
      <c r="A93" s="26" t="s">
        <v>40</v>
      </c>
      <c r="B93" s="27">
        <f>B86</f>
        <v>423800</v>
      </c>
      <c r="C93" s="27">
        <f t="shared" ref="C93:M93" si="32">C86</f>
        <v>394800</v>
      </c>
      <c r="D93" s="27">
        <f t="shared" si="32"/>
        <v>345300</v>
      </c>
      <c r="E93" s="27">
        <f t="shared" si="32"/>
        <v>371000</v>
      </c>
      <c r="F93" s="27">
        <f t="shared" si="32"/>
        <v>418600</v>
      </c>
      <c r="G93" s="27">
        <f t="shared" si="32"/>
        <v>455300</v>
      </c>
      <c r="H93" s="27">
        <f t="shared" si="32"/>
        <v>471100</v>
      </c>
      <c r="I93" s="27">
        <f t="shared" si="32"/>
        <v>479100</v>
      </c>
      <c r="J93" s="27">
        <f t="shared" si="32"/>
        <v>437100</v>
      </c>
      <c r="K93" s="27">
        <f t="shared" si="32"/>
        <v>403900</v>
      </c>
      <c r="L93" s="27">
        <f t="shared" si="32"/>
        <v>361600</v>
      </c>
      <c r="M93" s="27">
        <f t="shared" si="32"/>
        <v>347100</v>
      </c>
      <c r="N93" s="20">
        <f>SUM(B93:M93)</f>
        <v>4908700</v>
      </c>
    </row>
    <row r="94" spans="1:16" ht="12.75" customHeight="1">
      <c r="A94" s="26" t="s">
        <v>45</v>
      </c>
      <c r="B94" s="27">
        <f>ROUND(B93*'Transmission Formula Rate (7)'!$B$27,0)</f>
        <v>7840</v>
      </c>
      <c r="C94" s="27">
        <f>ROUND(C93*'Transmission Formula Rate (7)'!$B$27,0)</f>
        <v>7304</v>
      </c>
      <c r="D94" s="27">
        <f>ROUND(D93*'Transmission Formula Rate (7)'!$B$27,0)</f>
        <v>6388</v>
      </c>
      <c r="E94" s="27">
        <f>ROUND(E93*'Transmission Formula Rate (7)'!$B$27,0)</f>
        <v>6864</v>
      </c>
      <c r="F94" s="27">
        <f>ROUND(F93*'Transmission Formula Rate (7)'!$B$27,0)</f>
        <v>7744</v>
      </c>
      <c r="G94" s="27">
        <f>ROUND(G93*'Transmission Formula Rate (7)'!$B$27,0)</f>
        <v>8423</v>
      </c>
      <c r="H94" s="27">
        <f>ROUND(H93*'Transmission Formula Rate (7)'!$B$27,0)</f>
        <v>8715</v>
      </c>
      <c r="I94" s="27">
        <f>ROUND(I93*'Transmission Formula Rate (7)'!$B$27,0)</f>
        <v>8863</v>
      </c>
      <c r="J94" s="27">
        <f>ROUND(J93*'Transmission Formula Rate (7)'!$B$27,0)</f>
        <v>8086</v>
      </c>
      <c r="K94" s="27">
        <f>ROUND(K93*'Transmission Formula Rate (7)'!$B$27,0)</f>
        <v>7472</v>
      </c>
      <c r="L94" s="27">
        <f>ROUND(L93*'Transmission Formula Rate (7)'!$B$27,0)</f>
        <v>6690</v>
      </c>
      <c r="M94" s="27">
        <f>ROUND(M93*'Transmission Formula Rate (7)'!$B$27,0)</f>
        <v>6421</v>
      </c>
      <c r="N94" s="20">
        <f>SUM(B94:M94)</f>
        <v>90810</v>
      </c>
    </row>
    <row r="95" spans="1:16" ht="12.75" customHeight="1">
      <c r="A95" s="26" t="s">
        <v>46</v>
      </c>
      <c r="B95" s="27">
        <f t="shared" ref="B95:M95" si="33">B93+B94</f>
        <v>431640</v>
      </c>
      <c r="C95" s="27">
        <f t="shared" si="33"/>
        <v>402104</v>
      </c>
      <c r="D95" s="27">
        <f t="shared" si="33"/>
        <v>351688</v>
      </c>
      <c r="E95" s="27">
        <f t="shared" si="33"/>
        <v>377864</v>
      </c>
      <c r="F95" s="27">
        <f t="shared" si="33"/>
        <v>426344</v>
      </c>
      <c r="G95" s="27">
        <f t="shared" si="33"/>
        <v>463723</v>
      </c>
      <c r="H95" s="27">
        <f t="shared" si="33"/>
        <v>479815</v>
      </c>
      <c r="I95" s="27">
        <f t="shared" si="33"/>
        <v>487963</v>
      </c>
      <c r="J95" s="27">
        <f t="shared" si="33"/>
        <v>445186</v>
      </c>
      <c r="K95" s="27">
        <f t="shared" si="33"/>
        <v>411372</v>
      </c>
      <c r="L95" s="27">
        <f t="shared" si="33"/>
        <v>368290</v>
      </c>
      <c r="M95" s="27">
        <f t="shared" si="33"/>
        <v>353521</v>
      </c>
      <c r="N95" s="20">
        <f>SUM(B95:M95)</f>
        <v>4999510</v>
      </c>
    </row>
    <row r="96" spans="1:16" ht="12.75" customHeight="1">
      <c r="A96" s="25" t="s">
        <v>20</v>
      </c>
      <c r="B96" s="31">
        <f>'charges (1 &amp; 2)'!G26</f>
        <v>1.274E-2</v>
      </c>
      <c r="C96" s="31">
        <f>B96</f>
        <v>1.274E-2</v>
      </c>
      <c r="D96" s="31">
        <f t="shared" ref="D96:M96" si="34">C96</f>
        <v>1.274E-2</v>
      </c>
      <c r="E96" s="31">
        <f t="shared" si="34"/>
        <v>1.274E-2</v>
      </c>
      <c r="F96" s="31">
        <f t="shared" si="34"/>
        <v>1.274E-2</v>
      </c>
      <c r="G96" s="31">
        <f t="shared" si="34"/>
        <v>1.274E-2</v>
      </c>
      <c r="H96" s="31">
        <f t="shared" si="34"/>
        <v>1.274E-2</v>
      </c>
      <c r="I96" s="31">
        <f t="shared" si="34"/>
        <v>1.274E-2</v>
      </c>
      <c r="J96" s="31">
        <f t="shared" si="34"/>
        <v>1.274E-2</v>
      </c>
      <c r="K96" s="31">
        <f t="shared" si="34"/>
        <v>1.274E-2</v>
      </c>
      <c r="L96" s="31">
        <f t="shared" si="34"/>
        <v>1.274E-2</v>
      </c>
      <c r="M96" s="31">
        <f t="shared" si="34"/>
        <v>1.274E-2</v>
      </c>
      <c r="N96" s="19"/>
    </row>
    <row r="97" spans="1:16" ht="12.75" customHeight="1">
      <c r="A97" s="25" t="s">
        <v>17</v>
      </c>
      <c r="B97" s="192">
        <f t="shared" ref="B97:M97" si="35">B95*B96</f>
        <v>5499.0936000000002</v>
      </c>
      <c r="C97" s="192">
        <f t="shared" si="35"/>
        <v>5122.8049599999995</v>
      </c>
      <c r="D97" s="192">
        <f t="shared" si="35"/>
        <v>4480.5051199999998</v>
      </c>
      <c r="E97" s="192">
        <f t="shared" si="35"/>
        <v>4813.9873600000001</v>
      </c>
      <c r="F97" s="192">
        <f t="shared" si="35"/>
        <v>5431.6225599999998</v>
      </c>
      <c r="G97" s="192">
        <f t="shared" si="35"/>
        <v>5907.8310199999996</v>
      </c>
      <c r="H97" s="192">
        <f t="shared" si="35"/>
        <v>6112.8431</v>
      </c>
      <c r="I97" s="192">
        <f t="shared" si="35"/>
        <v>6216.6486199999999</v>
      </c>
      <c r="J97" s="192">
        <f t="shared" si="35"/>
        <v>5671.6696400000001</v>
      </c>
      <c r="K97" s="192">
        <f t="shared" si="35"/>
        <v>5240.8792800000001</v>
      </c>
      <c r="L97" s="192">
        <f t="shared" si="35"/>
        <v>4692.0145999999995</v>
      </c>
      <c r="M97" s="192">
        <f t="shared" si="35"/>
        <v>4503.85754</v>
      </c>
      <c r="N97" s="192">
        <f>SUM(B97:M97)</f>
        <v>63693.757399999995</v>
      </c>
    </row>
    <row r="98" spans="1:1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6">
      <c r="A99" s="25" t="s">
        <v>38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6">
      <c r="A100" s="26" t="s">
        <v>40</v>
      </c>
      <c r="B100" s="27">
        <f>B86</f>
        <v>423800</v>
      </c>
      <c r="C100" s="27">
        <f t="shared" ref="C100:M100" si="36">C86</f>
        <v>394800</v>
      </c>
      <c r="D100" s="27">
        <f t="shared" si="36"/>
        <v>345300</v>
      </c>
      <c r="E100" s="27">
        <f t="shared" si="36"/>
        <v>371000</v>
      </c>
      <c r="F100" s="27">
        <f t="shared" si="36"/>
        <v>418600</v>
      </c>
      <c r="G100" s="27">
        <f t="shared" si="36"/>
        <v>455300</v>
      </c>
      <c r="H100" s="27">
        <f t="shared" si="36"/>
        <v>471100</v>
      </c>
      <c r="I100" s="27">
        <f t="shared" si="36"/>
        <v>479100</v>
      </c>
      <c r="J100" s="27">
        <f t="shared" si="36"/>
        <v>437100</v>
      </c>
      <c r="K100" s="27">
        <f t="shared" si="36"/>
        <v>403900</v>
      </c>
      <c r="L100" s="27">
        <f t="shared" si="36"/>
        <v>361600</v>
      </c>
      <c r="M100" s="27">
        <f t="shared" si="36"/>
        <v>347100</v>
      </c>
      <c r="N100" s="20">
        <f>SUM(B100:M100)</f>
        <v>4908700</v>
      </c>
    </row>
    <row r="101" spans="1:16">
      <c r="A101" s="26" t="s">
        <v>45</v>
      </c>
      <c r="B101" s="27">
        <f>ROUND(B100*'Transmission Formula Rate (7)'!$B$27,0)</f>
        <v>7840</v>
      </c>
      <c r="C101" s="27">
        <f>ROUND(C100*'Transmission Formula Rate (7)'!$B$27,0)</f>
        <v>7304</v>
      </c>
      <c r="D101" s="27">
        <f>ROUND(D100*'Transmission Formula Rate (7)'!$B$27,0)</f>
        <v>6388</v>
      </c>
      <c r="E101" s="27">
        <f>ROUND(E100*'Transmission Formula Rate (7)'!$B$27,0)</f>
        <v>6864</v>
      </c>
      <c r="F101" s="27">
        <f>ROUND(F100*'Transmission Formula Rate (7)'!$B$27,0)</f>
        <v>7744</v>
      </c>
      <c r="G101" s="27">
        <f>ROUND(G100*'Transmission Formula Rate (7)'!$B$27,0)</f>
        <v>8423</v>
      </c>
      <c r="H101" s="27">
        <f>ROUND(H100*'Transmission Formula Rate (7)'!$B$27,0)</f>
        <v>8715</v>
      </c>
      <c r="I101" s="27">
        <f>ROUND(I100*'Transmission Formula Rate (7)'!$B$27,0)</f>
        <v>8863</v>
      </c>
      <c r="J101" s="27">
        <f>ROUND(J100*'Transmission Formula Rate (7)'!$B$27,0)</f>
        <v>8086</v>
      </c>
      <c r="K101" s="27">
        <f>ROUND(K100*'Transmission Formula Rate (7)'!$B$27,0)</f>
        <v>7472</v>
      </c>
      <c r="L101" s="27">
        <f>ROUND(L100*'Transmission Formula Rate (7)'!$B$27,0)</f>
        <v>6690</v>
      </c>
      <c r="M101" s="27">
        <f>ROUND(M100*'Transmission Formula Rate (7)'!$B$27,0)</f>
        <v>6421</v>
      </c>
      <c r="N101" s="20">
        <f>SUM(B101:M101)</f>
        <v>90810</v>
      </c>
    </row>
    <row r="102" spans="1:16">
      <c r="A102" s="26" t="s">
        <v>46</v>
      </c>
      <c r="B102" s="27">
        <f>B100+B101</f>
        <v>431640</v>
      </c>
      <c r="C102" s="27">
        <f t="shared" ref="C102:M102" si="37">C100+C101</f>
        <v>402104</v>
      </c>
      <c r="D102" s="27">
        <f t="shared" si="37"/>
        <v>351688</v>
      </c>
      <c r="E102" s="27">
        <f t="shared" si="37"/>
        <v>377864</v>
      </c>
      <c r="F102" s="27">
        <f t="shared" si="37"/>
        <v>426344</v>
      </c>
      <c r="G102" s="27">
        <f t="shared" si="37"/>
        <v>463723</v>
      </c>
      <c r="H102" s="27">
        <f t="shared" si="37"/>
        <v>479815</v>
      </c>
      <c r="I102" s="27">
        <f t="shared" si="37"/>
        <v>487963</v>
      </c>
      <c r="J102" s="27">
        <f t="shared" si="37"/>
        <v>445186</v>
      </c>
      <c r="K102" s="27">
        <f t="shared" si="37"/>
        <v>411372</v>
      </c>
      <c r="L102" s="27">
        <f t="shared" si="37"/>
        <v>368290</v>
      </c>
      <c r="M102" s="27">
        <f t="shared" si="37"/>
        <v>353521</v>
      </c>
      <c r="N102" s="20">
        <f>SUM(B102:M102)</f>
        <v>4999510</v>
      </c>
    </row>
    <row r="103" spans="1:16">
      <c r="A103" s="25" t="s">
        <v>20</v>
      </c>
      <c r="B103" s="31">
        <f>'charges (1 &amp; 2)'!$G$25</f>
        <v>7.0000000000000007E-2</v>
      </c>
      <c r="C103" s="31">
        <f>'charges (1 &amp; 2)'!$G$25</f>
        <v>7.0000000000000007E-2</v>
      </c>
      <c r="D103" s="31">
        <f>'charges (1 &amp; 2)'!$G$25</f>
        <v>7.0000000000000007E-2</v>
      </c>
      <c r="E103" s="31">
        <f>'charges (1 &amp; 2)'!$G$25</f>
        <v>7.0000000000000007E-2</v>
      </c>
      <c r="F103" s="31">
        <f>'charges (1 &amp; 2)'!$G$25</f>
        <v>7.0000000000000007E-2</v>
      </c>
      <c r="G103" s="31">
        <f>'charges (1 &amp; 2)'!$G$25</f>
        <v>7.0000000000000007E-2</v>
      </c>
      <c r="H103" s="31">
        <f>'charges (1 &amp; 2)'!$G$25</f>
        <v>7.0000000000000007E-2</v>
      </c>
      <c r="I103" s="31">
        <f>'charges (1 &amp; 2)'!$G$25</f>
        <v>7.0000000000000007E-2</v>
      </c>
      <c r="J103" s="31">
        <f>'charges (1 &amp; 2)'!$G$25</f>
        <v>7.0000000000000007E-2</v>
      </c>
      <c r="K103" s="31">
        <f>'charges (1 &amp; 2)'!$G$25</f>
        <v>7.0000000000000007E-2</v>
      </c>
      <c r="L103" s="31">
        <f>'charges (1 &amp; 2)'!$G$25</f>
        <v>7.0000000000000007E-2</v>
      </c>
      <c r="M103" s="31">
        <f>'charges (1 &amp; 2)'!$G$25</f>
        <v>7.0000000000000007E-2</v>
      </c>
      <c r="N103" s="19"/>
    </row>
    <row r="104" spans="1:16">
      <c r="A104" s="25" t="s">
        <v>17</v>
      </c>
      <c r="B104" s="192">
        <f>B102*B103</f>
        <v>30214.800000000003</v>
      </c>
      <c r="C104" s="192">
        <f t="shared" ref="C104:M104" si="38">C102*C103</f>
        <v>28147.280000000002</v>
      </c>
      <c r="D104" s="192">
        <f t="shared" si="38"/>
        <v>24618.160000000003</v>
      </c>
      <c r="E104" s="192">
        <f t="shared" si="38"/>
        <v>26450.480000000003</v>
      </c>
      <c r="F104" s="192">
        <f t="shared" si="38"/>
        <v>29844.080000000002</v>
      </c>
      <c r="G104" s="192">
        <f t="shared" si="38"/>
        <v>32460.610000000004</v>
      </c>
      <c r="H104" s="192">
        <f t="shared" si="38"/>
        <v>33587.050000000003</v>
      </c>
      <c r="I104" s="192">
        <f t="shared" si="38"/>
        <v>34157.410000000003</v>
      </c>
      <c r="J104" s="192">
        <f t="shared" si="38"/>
        <v>31163.020000000004</v>
      </c>
      <c r="K104" s="192">
        <f t="shared" si="38"/>
        <v>28796.040000000005</v>
      </c>
      <c r="L104" s="192">
        <f t="shared" si="38"/>
        <v>25780.300000000003</v>
      </c>
      <c r="M104" s="192">
        <f t="shared" si="38"/>
        <v>24746.47</v>
      </c>
      <c r="N104" s="192">
        <f>SUM(B104:M104)</f>
        <v>349965.69999999995</v>
      </c>
    </row>
    <row r="105" spans="1:16" ht="6.75" customHeight="1">
      <c r="A105" s="25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</row>
    <row r="106" spans="1:16">
      <c r="A106" s="25" t="s">
        <v>25</v>
      </c>
      <c r="B106" s="191">
        <f>B90+B104+B97</f>
        <v>722021.49360000005</v>
      </c>
      <c r="C106" s="191">
        <f t="shared" ref="C106:M106" si="39">C90+C104+C97</f>
        <v>672615.44495999999</v>
      </c>
      <c r="D106" s="191">
        <f t="shared" si="39"/>
        <v>588282.58512000006</v>
      </c>
      <c r="E106" s="191">
        <f t="shared" si="39"/>
        <v>632068.22736000002</v>
      </c>
      <c r="F106" s="191">
        <f t="shared" si="39"/>
        <v>713162.66256000008</v>
      </c>
      <c r="G106" s="191">
        <f t="shared" si="39"/>
        <v>775688.01102000009</v>
      </c>
      <c r="H106" s="191">
        <f t="shared" si="39"/>
        <v>802605.7431000002</v>
      </c>
      <c r="I106" s="191">
        <f t="shared" si="39"/>
        <v>816235.22862000007</v>
      </c>
      <c r="J106" s="191">
        <f t="shared" si="39"/>
        <v>744680.42963999999</v>
      </c>
      <c r="K106" s="191">
        <f t="shared" si="39"/>
        <v>688118.39928000001</v>
      </c>
      <c r="L106" s="191">
        <f t="shared" si="39"/>
        <v>616053.41460000002</v>
      </c>
      <c r="M106" s="191">
        <f t="shared" si="39"/>
        <v>591348.71753999998</v>
      </c>
      <c r="N106" s="191">
        <f>SUM(B106:M106)</f>
        <v>8362880.3574000001</v>
      </c>
    </row>
    <row r="107" spans="1:16" ht="10.5" customHeight="1"/>
    <row r="108" spans="1:16" ht="10.5" customHeight="1">
      <c r="A108" s="24">
        <f>+A83+1</f>
        <v>2018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6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1:16">
      <c r="A110" s="25" t="s">
        <v>37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6">
      <c r="A111" s="26" t="s">
        <v>40</v>
      </c>
      <c r="B111" s="232">
        <f>'FMPA Network Forecast'!D23*1000</f>
        <v>427200.00000000006</v>
      </c>
      <c r="C111" s="232">
        <f>'FMPA Network Forecast'!E23*1000</f>
        <v>398200</v>
      </c>
      <c r="D111" s="232">
        <f>'FMPA Network Forecast'!F23*1000</f>
        <v>348300</v>
      </c>
      <c r="E111" s="232">
        <f>'FMPA Network Forecast'!G23*1000</f>
        <v>374200</v>
      </c>
      <c r="F111" s="232">
        <f>'FMPA Network Forecast'!H23*1000</f>
        <v>422200</v>
      </c>
      <c r="G111" s="232">
        <f>'FMPA Network Forecast'!I23*1000</f>
        <v>459200</v>
      </c>
      <c r="H111" s="232">
        <f>'FMPA Network Forecast'!J23*1000</f>
        <v>475100</v>
      </c>
      <c r="I111" s="232">
        <f>'FMPA Network Forecast'!K23*1000</f>
        <v>483200</v>
      </c>
      <c r="J111" s="232">
        <f>'FMPA Network Forecast'!L23*1000</f>
        <v>440800</v>
      </c>
      <c r="K111" s="232">
        <f>'FMPA Network Forecast'!M23*1000</f>
        <v>407300</v>
      </c>
      <c r="L111" s="232">
        <f>'FMPA Network Forecast'!N23*1000</f>
        <v>364700</v>
      </c>
      <c r="M111" s="232">
        <f>'FMPA Network Forecast'!O23*1000</f>
        <v>350000</v>
      </c>
      <c r="N111" s="20">
        <f>SUM(B111:M111)</f>
        <v>4950400</v>
      </c>
      <c r="O111" s="277">
        <f>SUM('FMPA Network Forecast'!D23:O23)*1000</f>
        <v>4950400</v>
      </c>
      <c r="P111" s="270">
        <f>N111-O111</f>
        <v>0</v>
      </c>
    </row>
    <row r="112" spans="1:16">
      <c r="A112" s="26" t="s">
        <v>45</v>
      </c>
      <c r="B112" s="27">
        <f>ROUND(B111*'Transmission Formula Rate (7)'!$B$27,0)</f>
        <v>7903</v>
      </c>
      <c r="C112" s="27">
        <f>ROUND(C111*'Transmission Formula Rate (7)'!$B$27,0)</f>
        <v>7367</v>
      </c>
      <c r="D112" s="27">
        <f>ROUND(D111*'Transmission Formula Rate (7)'!$B$27,0)</f>
        <v>6444</v>
      </c>
      <c r="E112" s="27">
        <f>ROUND(E111*'Transmission Formula Rate (7)'!$B$27,0)</f>
        <v>6923</v>
      </c>
      <c r="F112" s="27">
        <f>ROUND(F111*'Transmission Formula Rate (7)'!$B$27,0)</f>
        <v>7811</v>
      </c>
      <c r="G112" s="27">
        <f>ROUND(G111*'Transmission Formula Rate (7)'!$B$27,0)</f>
        <v>8495</v>
      </c>
      <c r="H112" s="27">
        <f>ROUND(H111*'Transmission Formula Rate (7)'!$B$27,0)</f>
        <v>8789</v>
      </c>
      <c r="I112" s="27">
        <f>ROUND(I111*'Transmission Formula Rate (7)'!$B$27,0)</f>
        <v>8939</v>
      </c>
      <c r="J112" s="27">
        <f>ROUND(J111*'Transmission Formula Rate (7)'!$B$27,0)</f>
        <v>8155</v>
      </c>
      <c r="K112" s="27">
        <f>ROUND(K111*'Transmission Formula Rate (7)'!$B$27,0)</f>
        <v>7535</v>
      </c>
      <c r="L112" s="27">
        <f>ROUND(L111*'Transmission Formula Rate (7)'!$B$27,0)</f>
        <v>6747</v>
      </c>
      <c r="M112" s="27">
        <f>ROUND(M111*'Transmission Formula Rate (7)'!$B$27,0)</f>
        <v>6475</v>
      </c>
      <c r="N112" s="20">
        <f>SUM(B112:M112)</f>
        <v>91583</v>
      </c>
    </row>
    <row r="113" spans="1:14">
      <c r="A113" s="26" t="s">
        <v>46</v>
      </c>
      <c r="B113" s="27">
        <f t="shared" ref="B113:M113" si="40">B111+B112</f>
        <v>435103.00000000006</v>
      </c>
      <c r="C113" s="27">
        <f t="shared" si="40"/>
        <v>405567</v>
      </c>
      <c r="D113" s="27">
        <f t="shared" si="40"/>
        <v>354744</v>
      </c>
      <c r="E113" s="27">
        <f t="shared" si="40"/>
        <v>381123</v>
      </c>
      <c r="F113" s="27">
        <f t="shared" si="40"/>
        <v>430011</v>
      </c>
      <c r="G113" s="27">
        <f t="shared" si="40"/>
        <v>467695</v>
      </c>
      <c r="H113" s="27">
        <f t="shared" si="40"/>
        <v>483889</v>
      </c>
      <c r="I113" s="27">
        <f t="shared" si="40"/>
        <v>492139</v>
      </c>
      <c r="J113" s="27">
        <f t="shared" si="40"/>
        <v>448955</v>
      </c>
      <c r="K113" s="27">
        <f t="shared" si="40"/>
        <v>414835</v>
      </c>
      <c r="L113" s="27">
        <f t="shared" si="40"/>
        <v>371447</v>
      </c>
      <c r="M113" s="27">
        <f t="shared" si="40"/>
        <v>356475</v>
      </c>
      <c r="N113" s="20">
        <f>SUM(B113:M113)</f>
        <v>5041983</v>
      </c>
    </row>
    <row r="114" spans="1:14">
      <c r="A114" s="25" t="s">
        <v>20</v>
      </c>
      <c r="B114" s="29">
        <f>'Transmission Formula Rate (7)'!B16</f>
        <v>1.59</v>
      </c>
      <c r="C114" s="29">
        <f>'Transmission Formula Rate (7)'!C16</f>
        <v>1.59</v>
      </c>
      <c r="D114" s="29">
        <f>'Transmission Formula Rate (7)'!D16</f>
        <v>1.59</v>
      </c>
      <c r="E114" s="29">
        <f>'Transmission Formula Rate (7)'!E16</f>
        <v>1.59</v>
      </c>
      <c r="F114" s="29">
        <f>'Transmission Formula Rate (7)'!F16</f>
        <v>1.59</v>
      </c>
      <c r="G114" s="29">
        <f>'Transmission Formula Rate (7)'!G16</f>
        <v>1.59</v>
      </c>
      <c r="H114" s="29">
        <f>'Transmission Formula Rate (7)'!H16</f>
        <v>1.59</v>
      </c>
      <c r="I114" s="29">
        <f>'Transmission Formula Rate (7)'!I16</f>
        <v>1.59</v>
      </c>
      <c r="J114" s="29">
        <f>'Transmission Formula Rate (7)'!J16</f>
        <v>1.59</v>
      </c>
      <c r="K114" s="29">
        <f>'Transmission Formula Rate (7)'!K16</f>
        <v>1.59</v>
      </c>
      <c r="L114" s="29">
        <f>'Transmission Formula Rate (7)'!L16</f>
        <v>1.59</v>
      </c>
      <c r="M114" s="29">
        <f>'Transmission Formula Rate (7)'!M16</f>
        <v>1.59</v>
      </c>
      <c r="N114" s="19"/>
    </row>
    <row r="115" spans="1:14">
      <c r="A115" s="25" t="s">
        <v>17</v>
      </c>
      <c r="B115" s="192">
        <f t="shared" ref="B115:M115" si="41">B113*B114</f>
        <v>691813.77000000014</v>
      </c>
      <c r="C115" s="192">
        <f t="shared" si="41"/>
        <v>644851.53</v>
      </c>
      <c r="D115" s="192">
        <f t="shared" si="41"/>
        <v>564042.96000000008</v>
      </c>
      <c r="E115" s="192">
        <f t="shared" si="41"/>
        <v>605985.57000000007</v>
      </c>
      <c r="F115" s="192">
        <f t="shared" si="41"/>
        <v>683717.49</v>
      </c>
      <c r="G115" s="192">
        <f t="shared" si="41"/>
        <v>743635.05</v>
      </c>
      <c r="H115" s="192">
        <f t="shared" si="41"/>
        <v>769383.51</v>
      </c>
      <c r="I115" s="192">
        <f t="shared" si="41"/>
        <v>782501.01</v>
      </c>
      <c r="J115" s="192">
        <f t="shared" si="41"/>
        <v>713838.45000000007</v>
      </c>
      <c r="K115" s="192">
        <f t="shared" si="41"/>
        <v>659587.65</v>
      </c>
      <c r="L115" s="192">
        <f t="shared" si="41"/>
        <v>590600.73</v>
      </c>
      <c r="M115" s="192">
        <f t="shared" si="41"/>
        <v>566795.25</v>
      </c>
      <c r="N115" s="192">
        <f>SUM(B115:M115)</f>
        <v>8016752.9700000007</v>
      </c>
    </row>
    <row r="116" spans="1:1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>
      <c r="A117" s="25" t="s">
        <v>135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>
      <c r="A118" s="26" t="s">
        <v>40</v>
      </c>
      <c r="B118" s="27">
        <f>B111</f>
        <v>427200.00000000006</v>
      </c>
      <c r="C118" s="27">
        <f t="shared" ref="C118:M118" si="42">C111</f>
        <v>398200</v>
      </c>
      <c r="D118" s="27">
        <f t="shared" si="42"/>
        <v>348300</v>
      </c>
      <c r="E118" s="27">
        <f t="shared" si="42"/>
        <v>374200</v>
      </c>
      <c r="F118" s="27">
        <f t="shared" si="42"/>
        <v>422200</v>
      </c>
      <c r="G118" s="27">
        <f t="shared" si="42"/>
        <v>459200</v>
      </c>
      <c r="H118" s="27">
        <f t="shared" si="42"/>
        <v>475100</v>
      </c>
      <c r="I118" s="27">
        <f t="shared" si="42"/>
        <v>483200</v>
      </c>
      <c r="J118" s="27">
        <f t="shared" si="42"/>
        <v>440800</v>
      </c>
      <c r="K118" s="27">
        <f t="shared" si="42"/>
        <v>407300</v>
      </c>
      <c r="L118" s="27">
        <f t="shared" si="42"/>
        <v>364700</v>
      </c>
      <c r="M118" s="27">
        <f t="shared" si="42"/>
        <v>350000</v>
      </c>
      <c r="N118" s="20">
        <f>SUM(B118:M118)</f>
        <v>4950400</v>
      </c>
    </row>
    <row r="119" spans="1:14">
      <c r="A119" s="26" t="s">
        <v>45</v>
      </c>
      <c r="B119" s="27">
        <f>ROUND(B118*'Transmission Formula Rate (7)'!$B$27,0)</f>
        <v>7903</v>
      </c>
      <c r="C119" s="27">
        <f>ROUND(C118*'Transmission Formula Rate (7)'!$B$27,0)</f>
        <v>7367</v>
      </c>
      <c r="D119" s="27">
        <f>ROUND(D118*'Transmission Formula Rate (7)'!$B$27,0)</f>
        <v>6444</v>
      </c>
      <c r="E119" s="27">
        <f>ROUND(E118*'Transmission Formula Rate (7)'!$B$27,0)</f>
        <v>6923</v>
      </c>
      <c r="F119" s="27">
        <f>ROUND(F118*'Transmission Formula Rate (7)'!$B$27,0)</f>
        <v>7811</v>
      </c>
      <c r="G119" s="27">
        <f>ROUND(G118*'Transmission Formula Rate (7)'!$B$27,0)</f>
        <v>8495</v>
      </c>
      <c r="H119" s="27">
        <f>ROUND(H118*'Transmission Formula Rate (7)'!$B$27,0)</f>
        <v>8789</v>
      </c>
      <c r="I119" s="27">
        <f>ROUND(I118*'Transmission Formula Rate (7)'!$B$27,0)</f>
        <v>8939</v>
      </c>
      <c r="J119" s="27">
        <f>ROUND(J118*'Transmission Formula Rate (7)'!$B$27,0)</f>
        <v>8155</v>
      </c>
      <c r="K119" s="27">
        <f>ROUND(K118*'Transmission Formula Rate (7)'!$B$27,0)</f>
        <v>7535</v>
      </c>
      <c r="L119" s="27">
        <f>ROUND(L118*'Transmission Formula Rate (7)'!$B$27,0)</f>
        <v>6747</v>
      </c>
      <c r="M119" s="27">
        <f>ROUND(M118*'Transmission Formula Rate (7)'!$B$27,0)</f>
        <v>6475</v>
      </c>
      <c r="N119" s="20">
        <f>SUM(B119:M119)</f>
        <v>91583</v>
      </c>
    </row>
    <row r="120" spans="1:14">
      <c r="A120" s="26" t="s">
        <v>46</v>
      </c>
      <c r="B120" s="27">
        <f t="shared" ref="B120:M120" si="43">B118+B119</f>
        <v>435103.00000000006</v>
      </c>
      <c r="C120" s="27">
        <f t="shared" si="43"/>
        <v>405567</v>
      </c>
      <c r="D120" s="27">
        <f t="shared" si="43"/>
        <v>354744</v>
      </c>
      <c r="E120" s="27">
        <f t="shared" si="43"/>
        <v>381123</v>
      </c>
      <c r="F120" s="27">
        <f t="shared" si="43"/>
        <v>430011</v>
      </c>
      <c r="G120" s="27">
        <f t="shared" si="43"/>
        <v>467695</v>
      </c>
      <c r="H120" s="27">
        <f t="shared" si="43"/>
        <v>483889</v>
      </c>
      <c r="I120" s="27">
        <f t="shared" si="43"/>
        <v>492139</v>
      </c>
      <c r="J120" s="27">
        <f t="shared" si="43"/>
        <v>448955</v>
      </c>
      <c r="K120" s="27">
        <f t="shared" si="43"/>
        <v>414835</v>
      </c>
      <c r="L120" s="27">
        <f t="shared" si="43"/>
        <v>371447</v>
      </c>
      <c r="M120" s="27">
        <f t="shared" si="43"/>
        <v>356475</v>
      </c>
      <c r="N120" s="20">
        <f>SUM(B120:M120)</f>
        <v>5041983</v>
      </c>
    </row>
    <row r="121" spans="1:14">
      <c r="A121" s="25" t="s">
        <v>20</v>
      </c>
      <c r="B121" s="31">
        <f>'charges (1 &amp; 2)'!H26</f>
        <v>1.274E-2</v>
      </c>
      <c r="C121" s="31">
        <f>B121</f>
        <v>1.274E-2</v>
      </c>
      <c r="D121" s="31">
        <f t="shared" ref="D121:M121" si="44">C121</f>
        <v>1.274E-2</v>
      </c>
      <c r="E121" s="31">
        <f t="shared" si="44"/>
        <v>1.274E-2</v>
      </c>
      <c r="F121" s="31">
        <f t="shared" si="44"/>
        <v>1.274E-2</v>
      </c>
      <c r="G121" s="31">
        <f t="shared" si="44"/>
        <v>1.274E-2</v>
      </c>
      <c r="H121" s="31">
        <f t="shared" si="44"/>
        <v>1.274E-2</v>
      </c>
      <c r="I121" s="31">
        <f t="shared" si="44"/>
        <v>1.274E-2</v>
      </c>
      <c r="J121" s="31">
        <f t="shared" si="44"/>
        <v>1.274E-2</v>
      </c>
      <c r="K121" s="31">
        <f t="shared" si="44"/>
        <v>1.274E-2</v>
      </c>
      <c r="L121" s="31">
        <f t="shared" si="44"/>
        <v>1.274E-2</v>
      </c>
      <c r="M121" s="31">
        <f t="shared" si="44"/>
        <v>1.274E-2</v>
      </c>
      <c r="N121" s="19"/>
    </row>
    <row r="122" spans="1:14">
      <c r="A122" s="25" t="s">
        <v>17</v>
      </c>
      <c r="B122" s="192">
        <f t="shared" ref="B122:M122" si="45">B120*B121</f>
        <v>5543.2122200000003</v>
      </c>
      <c r="C122" s="192">
        <f t="shared" si="45"/>
        <v>5166.9235799999997</v>
      </c>
      <c r="D122" s="192">
        <f t="shared" si="45"/>
        <v>4519.4385599999996</v>
      </c>
      <c r="E122" s="192">
        <f t="shared" si="45"/>
        <v>4855.50702</v>
      </c>
      <c r="F122" s="192">
        <f t="shared" si="45"/>
        <v>5478.3401400000002</v>
      </c>
      <c r="G122" s="192">
        <f t="shared" si="45"/>
        <v>5958.4342999999999</v>
      </c>
      <c r="H122" s="192">
        <f t="shared" si="45"/>
        <v>6164.74586</v>
      </c>
      <c r="I122" s="192">
        <f t="shared" si="45"/>
        <v>6269.8508599999996</v>
      </c>
      <c r="J122" s="192">
        <f t="shared" si="45"/>
        <v>5719.6867000000002</v>
      </c>
      <c r="K122" s="192">
        <f t="shared" si="45"/>
        <v>5284.9978999999994</v>
      </c>
      <c r="L122" s="192">
        <f t="shared" si="45"/>
        <v>4732.2347799999998</v>
      </c>
      <c r="M122" s="192">
        <f t="shared" si="45"/>
        <v>4541.4915000000001</v>
      </c>
      <c r="N122" s="192">
        <f>SUM(B122:M122)</f>
        <v>64234.863419999994</v>
      </c>
    </row>
    <row r="123" spans="1:1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>
      <c r="A124" s="25" t="s">
        <v>38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14">
      <c r="A125" s="26" t="s">
        <v>40</v>
      </c>
      <c r="B125" s="27">
        <f>B111</f>
        <v>427200.00000000006</v>
      </c>
      <c r="C125" s="27">
        <f t="shared" ref="C125:M125" si="46">C111</f>
        <v>398200</v>
      </c>
      <c r="D125" s="27">
        <f t="shared" si="46"/>
        <v>348300</v>
      </c>
      <c r="E125" s="27">
        <f t="shared" si="46"/>
        <v>374200</v>
      </c>
      <c r="F125" s="27">
        <f t="shared" si="46"/>
        <v>422200</v>
      </c>
      <c r="G125" s="27">
        <f t="shared" si="46"/>
        <v>459200</v>
      </c>
      <c r="H125" s="27">
        <f t="shared" si="46"/>
        <v>475100</v>
      </c>
      <c r="I125" s="27">
        <f t="shared" si="46"/>
        <v>483200</v>
      </c>
      <c r="J125" s="27">
        <f t="shared" si="46"/>
        <v>440800</v>
      </c>
      <c r="K125" s="27">
        <f t="shared" si="46"/>
        <v>407300</v>
      </c>
      <c r="L125" s="27">
        <f t="shared" si="46"/>
        <v>364700</v>
      </c>
      <c r="M125" s="27">
        <f t="shared" si="46"/>
        <v>350000</v>
      </c>
      <c r="N125" s="20">
        <f>SUM(B125:M125)</f>
        <v>4950400</v>
      </c>
    </row>
    <row r="126" spans="1:14">
      <c r="A126" s="26" t="s">
        <v>45</v>
      </c>
      <c r="B126" s="27">
        <f>ROUND(B125*'Transmission Formula Rate (7)'!$B$27,0)</f>
        <v>7903</v>
      </c>
      <c r="C126" s="27">
        <f>ROUND(C125*'Transmission Formula Rate (7)'!$B$27,0)</f>
        <v>7367</v>
      </c>
      <c r="D126" s="27">
        <f>ROUND(D125*'Transmission Formula Rate (7)'!$B$27,0)</f>
        <v>6444</v>
      </c>
      <c r="E126" s="27">
        <f>ROUND(E125*'Transmission Formula Rate (7)'!$B$27,0)</f>
        <v>6923</v>
      </c>
      <c r="F126" s="27">
        <f>ROUND(F125*'Transmission Formula Rate (7)'!$B$27,0)</f>
        <v>7811</v>
      </c>
      <c r="G126" s="27">
        <f>ROUND(G125*'Transmission Formula Rate (7)'!$B$27,0)</f>
        <v>8495</v>
      </c>
      <c r="H126" s="27">
        <f>ROUND(H125*'Transmission Formula Rate (7)'!$B$27,0)</f>
        <v>8789</v>
      </c>
      <c r="I126" s="27">
        <f>ROUND(I125*'Transmission Formula Rate (7)'!$B$27,0)</f>
        <v>8939</v>
      </c>
      <c r="J126" s="27">
        <f>ROUND(J125*'Transmission Formula Rate (7)'!$B$27,0)</f>
        <v>8155</v>
      </c>
      <c r="K126" s="27">
        <f>ROUND(K125*'Transmission Formula Rate (7)'!$B$27,0)</f>
        <v>7535</v>
      </c>
      <c r="L126" s="27">
        <f>ROUND(L125*'Transmission Formula Rate (7)'!$B$27,0)</f>
        <v>6747</v>
      </c>
      <c r="M126" s="27">
        <f>ROUND(M125*'Transmission Formula Rate (7)'!$B$27,0)</f>
        <v>6475</v>
      </c>
      <c r="N126" s="20">
        <f>SUM(B126:M126)</f>
        <v>91583</v>
      </c>
    </row>
    <row r="127" spans="1:14">
      <c r="A127" s="26" t="s">
        <v>46</v>
      </c>
      <c r="B127" s="27">
        <f t="shared" ref="B127:M127" si="47">B125+B126</f>
        <v>435103.00000000006</v>
      </c>
      <c r="C127" s="27">
        <f t="shared" si="47"/>
        <v>405567</v>
      </c>
      <c r="D127" s="27">
        <f t="shared" si="47"/>
        <v>354744</v>
      </c>
      <c r="E127" s="27">
        <f t="shared" si="47"/>
        <v>381123</v>
      </c>
      <c r="F127" s="27">
        <f t="shared" si="47"/>
        <v>430011</v>
      </c>
      <c r="G127" s="27">
        <f t="shared" si="47"/>
        <v>467695</v>
      </c>
      <c r="H127" s="27">
        <f t="shared" si="47"/>
        <v>483889</v>
      </c>
      <c r="I127" s="27">
        <f t="shared" si="47"/>
        <v>492139</v>
      </c>
      <c r="J127" s="27">
        <f t="shared" si="47"/>
        <v>448955</v>
      </c>
      <c r="K127" s="27">
        <f t="shared" si="47"/>
        <v>414835</v>
      </c>
      <c r="L127" s="27">
        <f t="shared" si="47"/>
        <v>371447</v>
      </c>
      <c r="M127" s="27">
        <f t="shared" si="47"/>
        <v>356475</v>
      </c>
      <c r="N127" s="20">
        <f>SUM(B127:M127)</f>
        <v>5041983</v>
      </c>
    </row>
    <row r="128" spans="1:14">
      <c r="A128" s="25" t="s">
        <v>20</v>
      </c>
      <c r="B128" s="31">
        <f>'charges (1 &amp; 2)'!$G$25</f>
        <v>7.0000000000000007E-2</v>
      </c>
      <c r="C128" s="31">
        <f>'charges (1 &amp; 2)'!$G$25</f>
        <v>7.0000000000000007E-2</v>
      </c>
      <c r="D128" s="31">
        <f>'charges (1 &amp; 2)'!$G$25</f>
        <v>7.0000000000000007E-2</v>
      </c>
      <c r="E128" s="31">
        <f>'charges (1 &amp; 2)'!$G$25</f>
        <v>7.0000000000000007E-2</v>
      </c>
      <c r="F128" s="31">
        <f>'charges (1 &amp; 2)'!$G$25</f>
        <v>7.0000000000000007E-2</v>
      </c>
      <c r="G128" s="31">
        <f>'charges (1 &amp; 2)'!$G$25</f>
        <v>7.0000000000000007E-2</v>
      </c>
      <c r="H128" s="31">
        <f>'charges (1 &amp; 2)'!$G$25</f>
        <v>7.0000000000000007E-2</v>
      </c>
      <c r="I128" s="31">
        <f>'charges (1 &amp; 2)'!$G$25</f>
        <v>7.0000000000000007E-2</v>
      </c>
      <c r="J128" s="31">
        <f>'charges (1 &amp; 2)'!$G$25</f>
        <v>7.0000000000000007E-2</v>
      </c>
      <c r="K128" s="31">
        <f>'charges (1 &amp; 2)'!$G$25</f>
        <v>7.0000000000000007E-2</v>
      </c>
      <c r="L128" s="31">
        <f>'charges (1 &amp; 2)'!$G$25</f>
        <v>7.0000000000000007E-2</v>
      </c>
      <c r="M128" s="31">
        <f>'charges (1 &amp; 2)'!$G$25</f>
        <v>7.0000000000000007E-2</v>
      </c>
      <c r="N128" s="19"/>
    </row>
    <row r="129" spans="1:16">
      <c r="A129" s="25" t="s">
        <v>17</v>
      </c>
      <c r="B129" s="192">
        <f t="shared" ref="B129:M129" si="48">B127*B128</f>
        <v>30457.210000000006</v>
      </c>
      <c r="C129" s="192">
        <f t="shared" si="48"/>
        <v>28389.690000000002</v>
      </c>
      <c r="D129" s="192">
        <f t="shared" si="48"/>
        <v>24832.080000000002</v>
      </c>
      <c r="E129" s="192">
        <f t="shared" si="48"/>
        <v>26678.610000000004</v>
      </c>
      <c r="F129" s="192">
        <f t="shared" si="48"/>
        <v>30100.770000000004</v>
      </c>
      <c r="G129" s="192">
        <f t="shared" si="48"/>
        <v>32738.65</v>
      </c>
      <c r="H129" s="192">
        <f t="shared" si="48"/>
        <v>33872.230000000003</v>
      </c>
      <c r="I129" s="192">
        <f t="shared" si="48"/>
        <v>34449.730000000003</v>
      </c>
      <c r="J129" s="192">
        <f t="shared" si="48"/>
        <v>31426.850000000002</v>
      </c>
      <c r="K129" s="192">
        <f t="shared" si="48"/>
        <v>29038.450000000004</v>
      </c>
      <c r="L129" s="192">
        <f t="shared" si="48"/>
        <v>26001.29</v>
      </c>
      <c r="M129" s="192">
        <f t="shared" si="48"/>
        <v>24953.250000000004</v>
      </c>
      <c r="N129" s="192">
        <f>SUM(B129:M129)</f>
        <v>352938.81</v>
      </c>
    </row>
    <row r="130" spans="1:16">
      <c r="A130" s="25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</row>
    <row r="131" spans="1:16">
      <c r="A131" s="25" t="s">
        <v>25</v>
      </c>
      <c r="B131" s="191">
        <f>B115+B129+B122</f>
        <v>727814.19222000008</v>
      </c>
      <c r="C131" s="191">
        <f t="shared" ref="C131:M131" si="49">C115+C129+C122</f>
        <v>678408.14357999992</v>
      </c>
      <c r="D131" s="191">
        <f t="shared" si="49"/>
        <v>593394.47856000008</v>
      </c>
      <c r="E131" s="191">
        <f t="shared" si="49"/>
        <v>637519.68702000007</v>
      </c>
      <c r="F131" s="191">
        <f t="shared" si="49"/>
        <v>719296.60014</v>
      </c>
      <c r="G131" s="191">
        <f t="shared" si="49"/>
        <v>782332.13430000003</v>
      </c>
      <c r="H131" s="191">
        <f t="shared" si="49"/>
        <v>809420.48586000002</v>
      </c>
      <c r="I131" s="191">
        <f t="shared" si="49"/>
        <v>823220.59086</v>
      </c>
      <c r="J131" s="191">
        <f t="shared" si="49"/>
        <v>750984.98670000001</v>
      </c>
      <c r="K131" s="191">
        <f t="shared" si="49"/>
        <v>693911.09789999994</v>
      </c>
      <c r="L131" s="191">
        <f t="shared" si="49"/>
        <v>621334.25478000008</v>
      </c>
      <c r="M131" s="191">
        <f t="shared" si="49"/>
        <v>596289.9915</v>
      </c>
      <c r="N131" s="191">
        <f>SUM(B131:M131)</f>
        <v>8433926.6434199996</v>
      </c>
    </row>
    <row r="133" spans="1:16" ht="10.5" customHeight="1">
      <c r="A133" s="24">
        <f>+A108+1</f>
        <v>2019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6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1:16">
      <c r="A135" s="25" t="s">
        <v>37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6">
      <c r="A136" s="26" t="s">
        <v>40</v>
      </c>
      <c r="B136" s="232">
        <f>'FMPA Network Forecast'!D24*1000</f>
        <v>430700</v>
      </c>
      <c r="C136" s="232">
        <f>'FMPA Network Forecast'!E24*1000</f>
        <v>401500</v>
      </c>
      <c r="D136" s="232">
        <f>'FMPA Network Forecast'!F24*1000</f>
        <v>351100</v>
      </c>
      <c r="E136" s="232">
        <f>'FMPA Network Forecast'!G24*1000</f>
        <v>377300</v>
      </c>
      <c r="F136" s="232">
        <f>'FMPA Network Forecast'!H24*1000</f>
        <v>425700</v>
      </c>
      <c r="G136" s="232">
        <f>'FMPA Network Forecast'!I24*1000</f>
        <v>463000</v>
      </c>
      <c r="H136" s="232">
        <f>'FMPA Network Forecast'!J24*1000</f>
        <v>479000</v>
      </c>
      <c r="I136" s="232">
        <f>'FMPA Network Forecast'!K24*1000</f>
        <v>487200</v>
      </c>
      <c r="J136" s="232">
        <f>'FMPA Network Forecast'!L24*1000</f>
        <v>444500</v>
      </c>
      <c r="K136" s="232">
        <f>'FMPA Network Forecast'!M24*1000</f>
        <v>410700</v>
      </c>
      <c r="L136" s="232">
        <f>'FMPA Network Forecast'!N24*1000</f>
        <v>367700</v>
      </c>
      <c r="M136" s="232">
        <f>'FMPA Network Forecast'!O24*1000</f>
        <v>352900</v>
      </c>
      <c r="N136" s="20">
        <f>SUM(B136:M136)</f>
        <v>4991300</v>
      </c>
      <c r="O136" s="277">
        <f>SUM('FMPA Network Forecast'!D52:O52)*1000</f>
        <v>0</v>
      </c>
      <c r="P136" s="270">
        <f>N136-O136</f>
        <v>4991300</v>
      </c>
    </row>
    <row r="137" spans="1:16">
      <c r="A137" s="26" t="s">
        <v>45</v>
      </c>
      <c r="B137" s="27">
        <f>ROUND(B136*'Transmission Formula Rate (7)'!$B$27,0)</f>
        <v>7968</v>
      </c>
      <c r="C137" s="27">
        <f>ROUND(C136*'Transmission Formula Rate (7)'!$B$27,0)</f>
        <v>7428</v>
      </c>
      <c r="D137" s="27">
        <f>ROUND(D136*'Transmission Formula Rate (7)'!$B$27,0)</f>
        <v>6495</v>
      </c>
      <c r="E137" s="27">
        <f>ROUND(E136*'Transmission Formula Rate (7)'!$B$27,0)</f>
        <v>6980</v>
      </c>
      <c r="F137" s="27">
        <f>ROUND(F136*'Transmission Formula Rate (7)'!$B$27,0)</f>
        <v>7875</v>
      </c>
      <c r="G137" s="27">
        <f>ROUND(G136*'Transmission Formula Rate (7)'!$B$27,0)</f>
        <v>8566</v>
      </c>
      <c r="H137" s="27">
        <f>ROUND(H136*'Transmission Formula Rate (7)'!$B$27,0)</f>
        <v>8862</v>
      </c>
      <c r="I137" s="27">
        <f>ROUND(I136*'Transmission Formula Rate (7)'!$B$27,0)</f>
        <v>9013</v>
      </c>
      <c r="J137" s="27">
        <f>ROUND(J136*'Transmission Formula Rate (7)'!$B$27,0)</f>
        <v>8223</v>
      </c>
      <c r="K137" s="27">
        <f>ROUND(K136*'Transmission Formula Rate (7)'!$B$27,0)</f>
        <v>7598</v>
      </c>
      <c r="L137" s="27">
        <f>ROUND(L136*'Transmission Formula Rate (7)'!$B$27,0)</f>
        <v>6802</v>
      </c>
      <c r="M137" s="27">
        <f>ROUND(M136*'Transmission Formula Rate (7)'!$B$27,0)</f>
        <v>6529</v>
      </c>
      <c r="N137" s="20">
        <f>SUM(B137:M137)</f>
        <v>92339</v>
      </c>
    </row>
    <row r="138" spans="1:16">
      <c r="A138" s="26" t="s">
        <v>46</v>
      </c>
      <c r="B138" s="27">
        <f t="shared" ref="B138:M138" si="50">B136+B137</f>
        <v>438668</v>
      </c>
      <c r="C138" s="27">
        <f t="shared" si="50"/>
        <v>408928</v>
      </c>
      <c r="D138" s="27">
        <f t="shared" si="50"/>
        <v>357595</v>
      </c>
      <c r="E138" s="27">
        <f t="shared" si="50"/>
        <v>384280</v>
      </c>
      <c r="F138" s="27">
        <f t="shared" si="50"/>
        <v>433575</v>
      </c>
      <c r="G138" s="27">
        <f t="shared" si="50"/>
        <v>471566</v>
      </c>
      <c r="H138" s="27">
        <f t="shared" si="50"/>
        <v>487862</v>
      </c>
      <c r="I138" s="27">
        <f t="shared" si="50"/>
        <v>496213</v>
      </c>
      <c r="J138" s="27">
        <f t="shared" si="50"/>
        <v>452723</v>
      </c>
      <c r="K138" s="27">
        <f t="shared" si="50"/>
        <v>418298</v>
      </c>
      <c r="L138" s="27">
        <f t="shared" si="50"/>
        <v>374502</v>
      </c>
      <c r="M138" s="27">
        <f t="shared" si="50"/>
        <v>359429</v>
      </c>
      <c r="N138" s="20">
        <f>SUM(B138:M138)</f>
        <v>5083639</v>
      </c>
    </row>
    <row r="139" spans="1:16">
      <c r="A139" s="25" t="s">
        <v>20</v>
      </c>
      <c r="B139" s="29">
        <f>'Transmission Formula Rate (7)'!B20</f>
        <v>1.59</v>
      </c>
      <c r="C139" s="29">
        <f>'Transmission Formula Rate (7)'!C20</f>
        <v>1.59</v>
      </c>
      <c r="D139" s="29">
        <f>'Transmission Formula Rate (7)'!D20</f>
        <v>1.59</v>
      </c>
      <c r="E139" s="29">
        <f>'Transmission Formula Rate (7)'!E20</f>
        <v>1.59</v>
      </c>
      <c r="F139" s="29">
        <f>'Transmission Formula Rate (7)'!F20</f>
        <v>1.59</v>
      </c>
      <c r="G139" s="29">
        <f>'Transmission Formula Rate (7)'!G20</f>
        <v>1.59</v>
      </c>
      <c r="H139" s="29">
        <f>'Transmission Formula Rate (7)'!H20</f>
        <v>1.59</v>
      </c>
      <c r="I139" s="29">
        <f>'Transmission Formula Rate (7)'!I20</f>
        <v>1.59</v>
      </c>
      <c r="J139" s="29">
        <f>'Transmission Formula Rate (7)'!J20</f>
        <v>1.59</v>
      </c>
      <c r="K139" s="29">
        <f>'Transmission Formula Rate (7)'!K20</f>
        <v>1.59</v>
      </c>
      <c r="L139" s="29">
        <f>'Transmission Formula Rate (7)'!L20</f>
        <v>1.59</v>
      </c>
      <c r="M139" s="29">
        <f>'Transmission Formula Rate (7)'!M20</f>
        <v>1.59</v>
      </c>
      <c r="N139" s="19"/>
    </row>
    <row r="140" spans="1:16">
      <c r="A140" s="25" t="s">
        <v>17</v>
      </c>
      <c r="B140" s="192">
        <f t="shared" ref="B140:M140" si="51">B138*B139</f>
        <v>697482.12</v>
      </c>
      <c r="C140" s="192">
        <f t="shared" si="51"/>
        <v>650195.52</v>
      </c>
      <c r="D140" s="192">
        <f t="shared" si="51"/>
        <v>568576.05000000005</v>
      </c>
      <c r="E140" s="192">
        <f t="shared" si="51"/>
        <v>611005.20000000007</v>
      </c>
      <c r="F140" s="192">
        <f t="shared" si="51"/>
        <v>689384.25</v>
      </c>
      <c r="G140" s="192">
        <f t="shared" si="51"/>
        <v>749789.94000000006</v>
      </c>
      <c r="H140" s="192">
        <f t="shared" si="51"/>
        <v>775700.58000000007</v>
      </c>
      <c r="I140" s="192">
        <f t="shared" si="51"/>
        <v>788978.67</v>
      </c>
      <c r="J140" s="192">
        <f t="shared" si="51"/>
        <v>719829.57000000007</v>
      </c>
      <c r="K140" s="192">
        <f t="shared" si="51"/>
        <v>665093.82000000007</v>
      </c>
      <c r="L140" s="192">
        <f t="shared" si="51"/>
        <v>595458.18000000005</v>
      </c>
      <c r="M140" s="192">
        <f t="shared" si="51"/>
        <v>571492.11</v>
      </c>
      <c r="N140" s="192">
        <f>SUM(B140:M140)</f>
        <v>8082986.0100000007</v>
      </c>
    </row>
    <row r="141" spans="1:1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6">
      <c r="A142" s="25" t="s">
        <v>135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6">
      <c r="A143" s="26" t="s">
        <v>40</v>
      </c>
      <c r="B143" s="27">
        <f>B136</f>
        <v>430700</v>
      </c>
      <c r="C143" s="27">
        <f t="shared" ref="C143:M143" si="52">C136</f>
        <v>401500</v>
      </c>
      <c r="D143" s="27">
        <f t="shared" si="52"/>
        <v>351100</v>
      </c>
      <c r="E143" s="27">
        <f t="shared" si="52"/>
        <v>377300</v>
      </c>
      <c r="F143" s="27">
        <f t="shared" si="52"/>
        <v>425700</v>
      </c>
      <c r="G143" s="27">
        <f t="shared" si="52"/>
        <v>463000</v>
      </c>
      <c r="H143" s="27">
        <f t="shared" si="52"/>
        <v>479000</v>
      </c>
      <c r="I143" s="27">
        <f t="shared" si="52"/>
        <v>487200</v>
      </c>
      <c r="J143" s="27">
        <f t="shared" si="52"/>
        <v>444500</v>
      </c>
      <c r="K143" s="27">
        <f t="shared" si="52"/>
        <v>410700</v>
      </c>
      <c r="L143" s="27">
        <f t="shared" si="52"/>
        <v>367700</v>
      </c>
      <c r="M143" s="27">
        <f t="shared" si="52"/>
        <v>352900</v>
      </c>
      <c r="N143" s="20">
        <f>SUM(B143:M143)</f>
        <v>4991300</v>
      </c>
    </row>
    <row r="144" spans="1:16">
      <c r="A144" s="26" t="s">
        <v>45</v>
      </c>
      <c r="B144" s="27">
        <f>ROUND(B143*'Transmission Formula Rate (7)'!$B$27,0)</f>
        <v>7968</v>
      </c>
      <c r="C144" s="27">
        <f>ROUND(C143*'Transmission Formula Rate (7)'!$B$27,0)</f>
        <v>7428</v>
      </c>
      <c r="D144" s="27">
        <f>ROUND(D143*'Transmission Formula Rate (7)'!$B$27,0)</f>
        <v>6495</v>
      </c>
      <c r="E144" s="27">
        <f>ROUND(E143*'Transmission Formula Rate (7)'!$B$27,0)</f>
        <v>6980</v>
      </c>
      <c r="F144" s="27">
        <f>ROUND(F143*'Transmission Formula Rate (7)'!$B$27,0)</f>
        <v>7875</v>
      </c>
      <c r="G144" s="27">
        <f>ROUND(G143*'Transmission Formula Rate (7)'!$B$27,0)</f>
        <v>8566</v>
      </c>
      <c r="H144" s="27">
        <f>ROUND(H143*'Transmission Formula Rate (7)'!$B$27,0)</f>
        <v>8862</v>
      </c>
      <c r="I144" s="27">
        <f>ROUND(I143*'Transmission Formula Rate (7)'!$B$27,0)</f>
        <v>9013</v>
      </c>
      <c r="J144" s="27">
        <f>ROUND(J143*'Transmission Formula Rate (7)'!$B$27,0)</f>
        <v>8223</v>
      </c>
      <c r="K144" s="27">
        <f>ROUND(K143*'Transmission Formula Rate (7)'!$B$27,0)</f>
        <v>7598</v>
      </c>
      <c r="L144" s="27">
        <f>ROUND(L143*'Transmission Formula Rate (7)'!$B$27,0)</f>
        <v>6802</v>
      </c>
      <c r="M144" s="27">
        <f>ROUND(M143*'Transmission Formula Rate (7)'!$B$27,0)</f>
        <v>6529</v>
      </c>
      <c r="N144" s="20">
        <f>SUM(B144:M144)</f>
        <v>92339</v>
      </c>
    </row>
    <row r="145" spans="1:16">
      <c r="A145" s="26" t="s">
        <v>46</v>
      </c>
      <c r="B145" s="27">
        <f t="shared" ref="B145:M145" si="53">B143+B144</f>
        <v>438668</v>
      </c>
      <c r="C145" s="27">
        <f t="shared" si="53"/>
        <v>408928</v>
      </c>
      <c r="D145" s="27">
        <f t="shared" si="53"/>
        <v>357595</v>
      </c>
      <c r="E145" s="27">
        <f t="shared" si="53"/>
        <v>384280</v>
      </c>
      <c r="F145" s="27">
        <f t="shared" si="53"/>
        <v>433575</v>
      </c>
      <c r="G145" s="27">
        <f t="shared" si="53"/>
        <v>471566</v>
      </c>
      <c r="H145" s="27">
        <f t="shared" si="53"/>
        <v>487862</v>
      </c>
      <c r="I145" s="27">
        <f t="shared" si="53"/>
        <v>496213</v>
      </c>
      <c r="J145" s="27">
        <f t="shared" si="53"/>
        <v>452723</v>
      </c>
      <c r="K145" s="27">
        <f t="shared" si="53"/>
        <v>418298</v>
      </c>
      <c r="L145" s="27">
        <f t="shared" si="53"/>
        <v>374502</v>
      </c>
      <c r="M145" s="27">
        <f t="shared" si="53"/>
        <v>359429</v>
      </c>
      <c r="N145" s="20">
        <f>SUM(B145:M145)</f>
        <v>5083639</v>
      </c>
    </row>
    <row r="146" spans="1:16">
      <c r="A146" s="25" t="s">
        <v>20</v>
      </c>
      <c r="B146" s="31">
        <f>'charges (1 &amp; 2)'!$H$26</f>
        <v>1.274E-2</v>
      </c>
      <c r="C146" s="31">
        <f>B146</f>
        <v>1.274E-2</v>
      </c>
      <c r="D146" s="31">
        <f t="shared" ref="D146" si="54">C146</f>
        <v>1.274E-2</v>
      </c>
      <c r="E146" s="31">
        <f t="shared" ref="E146" si="55">D146</f>
        <v>1.274E-2</v>
      </c>
      <c r="F146" s="31">
        <f t="shared" ref="F146" si="56">E146</f>
        <v>1.274E-2</v>
      </c>
      <c r="G146" s="31">
        <f t="shared" ref="G146" si="57">F146</f>
        <v>1.274E-2</v>
      </c>
      <c r="H146" s="31">
        <f t="shared" ref="H146" si="58">G146</f>
        <v>1.274E-2</v>
      </c>
      <c r="I146" s="31">
        <f t="shared" ref="I146" si="59">H146</f>
        <v>1.274E-2</v>
      </c>
      <c r="J146" s="31">
        <f t="shared" ref="J146" si="60">I146</f>
        <v>1.274E-2</v>
      </c>
      <c r="K146" s="31">
        <f t="shared" ref="K146" si="61">J146</f>
        <v>1.274E-2</v>
      </c>
      <c r="L146" s="31">
        <f t="shared" ref="L146" si="62">K146</f>
        <v>1.274E-2</v>
      </c>
      <c r="M146" s="31">
        <f t="shared" ref="M146" si="63">L146</f>
        <v>1.274E-2</v>
      </c>
      <c r="N146" s="19"/>
    </row>
    <row r="147" spans="1:16">
      <c r="A147" s="25" t="s">
        <v>17</v>
      </c>
      <c r="B147" s="192">
        <f t="shared" ref="B147:M147" si="64">B145*B146</f>
        <v>5588.6303200000002</v>
      </c>
      <c r="C147" s="192">
        <f t="shared" si="64"/>
        <v>5209.7427200000002</v>
      </c>
      <c r="D147" s="192">
        <f t="shared" si="64"/>
        <v>4555.7602999999999</v>
      </c>
      <c r="E147" s="192">
        <f t="shared" si="64"/>
        <v>4895.7272000000003</v>
      </c>
      <c r="F147" s="192">
        <f t="shared" si="64"/>
        <v>5523.7455</v>
      </c>
      <c r="G147" s="192">
        <f t="shared" si="64"/>
        <v>6007.7508399999997</v>
      </c>
      <c r="H147" s="192">
        <f t="shared" si="64"/>
        <v>6215.3618799999995</v>
      </c>
      <c r="I147" s="192">
        <f t="shared" si="64"/>
        <v>6321.7536199999995</v>
      </c>
      <c r="J147" s="192">
        <f t="shared" si="64"/>
        <v>5767.6910200000002</v>
      </c>
      <c r="K147" s="192">
        <f t="shared" si="64"/>
        <v>5329.1165199999996</v>
      </c>
      <c r="L147" s="192">
        <f t="shared" si="64"/>
        <v>4771.1554799999994</v>
      </c>
      <c r="M147" s="192">
        <f t="shared" si="64"/>
        <v>4579.1254600000002</v>
      </c>
      <c r="N147" s="192">
        <f>SUM(B147:M147)</f>
        <v>64765.560860000005</v>
      </c>
    </row>
    <row r="148" spans="1:1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1:16">
      <c r="A149" s="25" t="s">
        <v>38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6">
      <c r="A150" s="26" t="s">
        <v>40</v>
      </c>
      <c r="B150" s="27">
        <f>B136</f>
        <v>430700</v>
      </c>
      <c r="C150" s="27">
        <f t="shared" ref="C150:M150" si="65">C136</f>
        <v>401500</v>
      </c>
      <c r="D150" s="27">
        <f t="shared" si="65"/>
        <v>351100</v>
      </c>
      <c r="E150" s="27">
        <f t="shared" si="65"/>
        <v>377300</v>
      </c>
      <c r="F150" s="27">
        <f t="shared" si="65"/>
        <v>425700</v>
      </c>
      <c r="G150" s="27">
        <f t="shared" si="65"/>
        <v>463000</v>
      </c>
      <c r="H150" s="27">
        <f t="shared" si="65"/>
        <v>479000</v>
      </c>
      <c r="I150" s="27">
        <f t="shared" si="65"/>
        <v>487200</v>
      </c>
      <c r="J150" s="27">
        <f t="shared" si="65"/>
        <v>444500</v>
      </c>
      <c r="K150" s="27">
        <f t="shared" si="65"/>
        <v>410700</v>
      </c>
      <c r="L150" s="27">
        <f t="shared" si="65"/>
        <v>367700</v>
      </c>
      <c r="M150" s="27">
        <f t="shared" si="65"/>
        <v>352900</v>
      </c>
      <c r="N150" s="20">
        <f>SUM(B150:M150)</f>
        <v>4991300</v>
      </c>
    </row>
    <row r="151" spans="1:16">
      <c r="A151" s="26" t="s">
        <v>45</v>
      </c>
      <c r="B151" s="27">
        <f>ROUND(B150*'Transmission Formula Rate (7)'!$B$27,0)</f>
        <v>7968</v>
      </c>
      <c r="C151" s="27">
        <f>ROUND(C150*'Transmission Formula Rate (7)'!$B$27,0)</f>
        <v>7428</v>
      </c>
      <c r="D151" s="27">
        <f>ROUND(D150*'Transmission Formula Rate (7)'!$B$27,0)</f>
        <v>6495</v>
      </c>
      <c r="E151" s="27">
        <f>ROUND(E150*'Transmission Formula Rate (7)'!$B$27,0)</f>
        <v>6980</v>
      </c>
      <c r="F151" s="27">
        <f>ROUND(F150*'Transmission Formula Rate (7)'!$B$27,0)</f>
        <v>7875</v>
      </c>
      <c r="G151" s="27">
        <f>ROUND(G150*'Transmission Formula Rate (7)'!$B$27,0)</f>
        <v>8566</v>
      </c>
      <c r="H151" s="27">
        <f>ROUND(H150*'Transmission Formula Rate (7)'!$B$27,0)</f>
        <v>8862</v>
      </c>
      <c r="I151" s="27">
        <f>ROUND(I150*'Transmission Formula Rate (7)'!$B$27,0)</f>
        <v>9013</v>
      </c>
      <c r="J151" s="27">
        <f>ROUND(J150*'Transmission Formula Rate (7)'!$B$27,0)</f>
        <v>8223</v>
      </c>
      <c r="K151" s="27">
        <f>ROUND(K150*'Transmission Formula Rate (7)'!$B$27,0)</f>
        <v>7598</v>
      </c>
      <c r="L151" s="27">
        <f>ROUND(L150*'Transmission Formula Rate (7)'!$B$27,0)</f>
        <v>6802</v>
      </c>
      <c r="M151" s="27">
        <f>ROUND(M150*'Transmission Formula Rate (7)'!$B$27,0)</f>
        <v>6529</v>
      </c>
      <c r="N151" s="20">
        <f>SUM(B151:M151)</f>
        <v>92339</v>
      </c>
    </row>
    <row r="152" spans="1:16">
      <c r="A152" s="26" t="s">
        <v>46</v>
      </c>
      <c r="B152" s="27">
        <f t="shared" ref="B152:M152" si="66">B150+B151</f>
        <v>438668</v>
      </c>
      <c r="C152" s="27">
        <f t="shared" si="66"/>
        <v>408928</v>
      </c>
      <c r="D152" s="27">
        <f t="shared" si="66"/>
        <v>357595</v>
      </c>
      <c r="E152" s="27">
        <f t="shared" si="66"/>
        <v>384280</v>
      </c>
      <c r="F152" s="27">
        <f t="shared" si="66"/>
        <v>433575</v>
      </c>
      <c r="G152" s="27">
        <f t="shared" si="66"/>
        <v>471566</v>
      </c>
      <c r="H152" s="27">
        <f t="shared" si="66"/>
        <v>487862</v>
      </c>
      <c r="I152" s="27">
        <f t="shared" si="66"/>
        <v>496213</v>
      </c>
      <c r="J152" s="27">
        <f t="shared" si="66"/>
        <v>452723</v>
      </c>
      <c r="K152" s="27">
        <f t="shared" si="66"/>
        <v>418298</v>
      </c>
      <c r="L152" s="27">
        <f t="shared" si="66"/>
        <v>374502</v>
      </c>
      <c r="M152" s="27">
        <f t="shared" si="66"/>
        <v>359429</v>
      </c>
      <c r="N152" s="20">
        <f>SUM(B152:M152)</f>
        <v>5083639</v>
      </c>
    </row>
    <row r="153" spans="1:16">
      <c r="A153" s="25" t="s">
        <v>20</v>
      </c>
      <c r="B153" s="31">
        <f>'charges (1 &amp; 2)'!$G$25</f>
        <v>7.0000000000000007E-2</v>
      </c>
      <c r="C153" s="31">
        <f>'charges (1 &amp; 2)'!$G$25</f>
        <v>7.0000000000000007E-2</v>
      </c>
      <c r="D153" s="31">
        <f>'charges (1 &amp; 2)'!$G$25</f>
        <v>7.0000000000000007E-2</v>
      </c>
      <c r="E153" s="31">
        <f>'charges (1 &amp; 2)'!$G$25</f>
        <v>7.0000000000000007E-2</v>
      </c>
      <c r="F153" s="31">
        <f>'charges (1 &amp; 2)'!$G$25</f>
        <v>7.0000000000000007E-2</v>
      </c>
      <c r="G153" s="31">
        <f>'charges (1 &amp; 2)'!$G$25</f>
        <v>7.0000000000000007E-2</v>
      </c>
      <c r="H153" s="31">
        <f>'charges (1 &amp; 2)'!$G$25</f>
        <v>7.0000000000000007E-2</v>
      </c>
      <c r="I153" s="31">
        <f>'charges (1 &amp; 2)'!$G$25</f>
        <v>7.0000000000000007E-2</v>
      </c>
      <c r="J153" s="31">
        <f>'charges (1 &amp; 2)'!$G$25</f>
        <v>7.0000000000000007E-2</v>
      </c>
      <c r="K153" s="31">
        <f>'charges (1 &amp; 2)'!$G$25</f>
        <v>7.0000000000000007E-2</v>
      </c>
      <c r="L153" s="31">
        <f>'charges (1 &amp; 2)'!$G$25</f>
        <v>7.0000000000000007E-2</v>
      </c>
      <c r="M153" s="31">
        <f>'charges (1 &amp; 2)'!$G$25</f>
        <v>7.0000000000000007E-2</v>
      </c>
      <c r="N153" s="19"/>
    </row>
    <row r="154" spans="1:16">
      <c r="A154" s="25" t="s">
        <v>17</v>
      </c>
      <c r="B154" s="192">
        <f t="shared" ref="B154:M154" si="67">B152*B153</f>
        <v>30706.760000000002</v>
      </c>
      <c r="C154" s="192">
        <f t="shared" si="67"/>
        <v>28624.960000000003</v>
      </c>
      <c r="D154" s="192">
        <f t="shared" si="67"/>
        <v>25031.65</v>
      </c>
      <c r="E154" s="192">
        <f t="shared" si="67"/>
        <v>26899.600000000002</v>
      </c>
      <c r="F154" s="192">
        <f t="shared" si="67"/>
        <v>30350.250000000004</v>
      </c>
      <c r="G154" s="192">
        <f t="shared" si="67"/>
        <v>33009.620000000003</v>
      </c>
      <c r="H154" s="192">
        <f t="shared" si="67"/>
        <v>34150.340000000004</v>
      </c>
      <c r="I154" s="192">
        <f t="shared" si="67"/>
        <v>34734.910000000003</v>
      </c>
      <c r="J154" s="192">
        <f t="shared" si="67"/>
        <v>31690.610000000004</v>
      </c>
      <c r="K154" s="192">
        <f t="shared" si="67"/>
        <v>29280.860000000004</v>
      </c>
      <c r="L154" s="192">
        <f t="shared" si="67"/>
        <v>26215.140000000003</v>
      </c>
      <c r="M154" s="192">
        <f t="shared" si="67"/>
        <v>25160.030000000002</v>
      </c>
      <c r="N154" s="192">
        <f>SUM(B154:M154)</f>
        <v>355854.73000000004</v>
      </c>
    </row>
    <row r="155" spans="1:16">
      <c r="A155" s="25"/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</row>
    <row r="156" spans="1:16">
      <c r="A156" s="25" t="s">
        <v>25</v>
      </c>
      <c r="B156" s="191">
        <f>B140+B154+B147</f>
        <v>733777.51032</v>
      </c>
      <c r="C156" s="191">
        <f t="shared" ref="C156:M156" si="68">C140+C154+C147</f>
        <v>684030.22271999996</v>
      </c>
      <c r="D156" s="191">
        <f t="shared" si="68"/>
        <v>598163.46030000004</v>
      </c>
      <c r="E156" s="191">
        <f t="shared" si="68"/>
        <v>642800.52720000001</v>
      </c>
      <c r="F156" s="191">
        <f t="shared" si="68"/>
        <v>725258.24549999996</v>
      </c>
      <c r="G156" s="191">
        <f t="shared" si="68"/>
        <v>788807.31084000005</v>
      </c>
      <c r="H156" s="191">
        <f t="shared" si="68"/>
        <v>816066.28188000002</v>
      </c>
      <c r="I156" s="191">
        <f t="shared" si="68"/>
        <v>830035.33362000005</v>
      </c>
      <c r="J156" s="191">
        <f t="shared" si="68"/>
        <v>757287.87102000008</v>
      </c>
      <c r="K156" s="191">
        <f t="shared" si="68"/>
        <v>699703.79652000009</v>
      </c>
      <c r="L156" s="191">
        <f t="shared" si="68"/>
        <v>626444.47548000002</v>
      </c>
      <c r="M156" s="191">
        <f t="shared" si="68"/>
        <v>601231.26546000002</v>
      </c>
      <c r="N156" s="191">
        <f>SUM(B156:M156)</f>
        <v>8503606.3008599989</v>
      </c>
    </row>
    <row r="157" spans="1:16" s="19" customFormat="1" ht="10.199999999999999">
      <c r="A157" s="25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269"/>
      <c r="P157" s="269"/>
    </row>
    <row r="158" spans="1:16" ht="10.5" customHeight="1">
      <c r="A158" s="24">
        <f>+A133+1</f>
        <v>2020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6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6">
      <c r="A160" s="25" t="s">
        <v>37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6">
      <c r="A161" s="26" t="s">
        <v>40</v>
      </c>
      <c r="B161" s="232">
        <f>'FMPA Network Forecast'!D25*1000</f>
        <v>432700</v>
      </c>
      <c r="C161" s="232">
        <f>'FMPA Network Forecast'!E25*1000</f>
        <v>402700</v>
      </c>
      <c r="D161" s="232">
        <f>'FMPA Network Forecast'!F25*1000</f>
        <v>352200</v>
      </c>
      <c r="E161" s="232">
        <f>'FMPA Network Forecast'!G25*1000</f>
        <v>378500</v>
      </c>
      <c r="F161" s="232">
        <f>'FMPA Network Forecast'!H25*1000</f>
        <v>427000</v>
      </c>
      <c r="G161" s="232">
        <f>'FMPA Network Forecast'!I25*1000</f>
        <v>464400</v>
      </c>
      <c r="H161" s="232">
        <f>'FMPA Network Forecast'!J25*1000</f>
        <v>480500</v>
      </c>
      <c r="I161" s="232">
        <f>'FMPA Network Forecast'!K25*1000</f>
        <v>488700</v>
      </c>
      <c r="J161" s="232">
        <f>'FMPA Network Forecast'!L25*1000</f>
        <v>445900</v>
      </c>
      <c r="K161" s="232">
        <f>'FMPA Network Forecast'!M25*1000</f>
        <v>412000</v>
      </c>
      <c r="L161" s="232">
        <f>'FMPA Network Forecast'!N25*1000</f>
        <v>368800</v>
      </c>
      <c r="M161" s="232">
        <f>'FMPA Network Forecast'!O25*1000</f>
        <v>354000</v>
      </c>
      <c r="N161" s="20">
        <f>SUM(B161:M161)</f>
        <v>5007400</v>
      </c>
      <c r="O161" s="277">
        <f>SUM('FMPA Network Forecast'!D77:O77)*1000</f>
        <v>0</v>
      </c>
      <c r="P161" s="270">
        <f>N161-O161</f>
        <v>5007400</v>
      </c>
    </row>
    <row r="162" spans="1:16">
      <c r="A162" s="26" t="s">
        <v>45</v>
      </c>
      <c r="B162" s="27">
        <f>ROUND(B161*'Transmission Formula Rate (7)'!$B$27,0)</f>
        <v>8005</v>
      </c>
      <c r="C162" s="27">
        <f>ROUND(C161*'Transmission Formula Rate (7)'!$B$27,0)</f>
        <v>7450</v>
      </c>
      <c r="D162" s="27">
        <f>ROUND(D161*'Transmission Formula Rate (7)'!$B$27,0)</f>
        <v>6516</v>
      </c>
      <c r="E162" s="27">
        <f>ROUND(E161*'Transmission Formula Rate (7)'!$B$27,0)</f>
        <v>7002</v>
      </c>
      <c r="F162" s="27">
        <f>ROUND(F161*'Transmission Formula Rate (7)'!$B$27,0)</f>
        <v>7900</v>
      </c>
      <c r="G162" s="27">
        <f>ROUND(G161*'Transmission Formula Rate (7)'!$B$27,0)</f>
        <v>8591</v>
      </c>
      <c r="H162" s="27">
        <f>ROUND(H161*'Transmission Formula Rate (7)'!$B$27,0)</f>
        <v>8889</v>
      </c>
      <c r="I162" s="27">
        <f>ROUND(I161*'Transmission Formula Rate (7)'!$B$27,0)</f>
        <v>9041</v>
      </c>
      <c r="J162" s="27">
        <f>ROUND(J161*'Transmission Formula Rate (7)'!$B$27,0)</f>
        <v>8249</v>
      </c>
      <c r="K162" s="27">
        <f>ROUND(K161*'Transmission Formula Rate (7)'!$B$27,0)</f>
        <v>7622</v>
      </c>
      <c r="L162" s="27">
        <f>ROUND(L161*'Transmission Formula Rate (7)'!$B$27,0)</f>
        <v>6823</v>
      </c>
      <c r="M162" s="27">
        <f>ROUND(M161*'Transmission Formula Rate (7)'!$B$27,0)</f>
        <v>6549</v>
      </c>
      <c r="N162" s="20">
        <f>SUM(B162:M162)</f>
        <v>92637</v>
      </c>
    </row>
    <row r="163" spans="1:16">
      <c r="A163" s="26" t="s">
        <v>46</v>
      </c>
      <c r="B163" s="27">
        <f t="shared" ref="B163:M163" si="69">B161+B162</f>
        <v>440705</v>
      </c>
      <c r="C163" s="27">
        <f t="shared" si="69"/>
        <v>410150</v>
      </c>
      <c r="D163" s="27">
        <f t="shared" si="69"/>
        <v>358716</v>
      </c>
      <c r="E163" s="27">
        <f t="shared" si="69"/>
        <v>385502</v>
      </c>
      <c r="F163" s="27">
        <f t="shared" si="69"/>
        <v>434900</v>
      </c>
      <c r="G163" s="27">
        <f t="shared" si="69"/>
        <v>472991</v>
      </c>
      <c r="H163" s="27">
        <f t="shared" si="69"/>
        <v>489389</v>
      </c>
      <c r="I163" s="27">
        <f t="shared" si="69"/>
        <v>497741</v>
      </c>
      <c r="J163" s="27">
        <f t="shared" si="69"/>
        <v>454149</v>
      </c>
      <c r="K163" s="27">
        <f t="shared" si="69"/>
        <v>419622</v>
      </c>
      <c r="L163" s="27">
        <f t="shared" si="69"/>
        <v>375623</v>
      </c>
      <c r="M163" s="27">
        <f t="shared" si="69"/>
        <v>360549</v>
      </c>
      <c r="N163" s="20">
        <f>SUM(B163:M163)</f>
        <v>5100037</v>
      </c>
    </row>
    <row r="164" spans="1:16">
      <c r="A164" s="25" t="s">
        <v>20</v>
      </c>
      <c r="B164" s="29">
        <f>B139</f>
        <v>1.59</v>
      </c>
      <c r="C164" s="29">
        <f t="shared" ref="C164:M164" si="70">C139</f>
        <v>1.59</v>
      </c>
      <c r="D164" s="29">
        <f t="shared" si="70"/>
        <v>1.59</v>
      </c>
      <c r="E164" s="29">
        <f t="shared" si="70"/>
        <v>1.59</v>
      </c>
      <c r="F164" s="29">
        <f t="shared" si="70"/>
        <v>1.59</v>
      </c>
      <c r="G164" s="29">
        <f t="shared" si="70"/>
        <v>1.59</v>
      </c>
      <c r="H164" s="29">
        <f t="shared" si="70"/>
        <v>1.59</v>
      </c>
      <c r="I164" s="29">
        <f t="shared" si="70"/>
        <v>1.59</v>
      </c>
      <c r="J164" s="29">
        <f t="shared" si="70"/>
        <v>1.59</v>
      </c>
      <c r="K164" s="29">
        <f t="shared" si="70"/>
        <v>1.59</v>
      </c>
      <c r="L164" s="29">
        <f t="shared" si="70"/>
        <v>1.59</v>
      </c>
      <c r="M164" s="29">
        <f t="shared" si="70"/>
        <v>1.59</v>
      </c>
      <c r="N164" s="19"/>
    </row>
    <row r="165" spans="1:16">
      <c r="A165" s="25" t="s">
        <v>17</v>
      </c>
      <c r="B165" s="192">
        <f t="shared" ref="B165:M165" si="71">B163*B164</f>
        <v>700720.95000000007</v>
      </c>
      <c r="C165" s="192">
        <f t="shared" si="71"/>
        <v>652138.5</v>
      </c>
      <c r="D165" s="192">
        <f t="shared" si="71"/>
        <v>570358.44000000006</v>
      </c>
      <c r="E165" s="192">
        <f t="shared" si="71"/>
        <v>612948.18000000005</v>
      </c>
      <c r="F165" s="192">
        <f t="shared" si="71"/>
        <v>691491</v>
      </c>
      <c r="G165" s="192">
        <f t="shared" si="71"/>
        <v>752055.69000000006</v>
      </c>
      <c r="H165" s="192">
        <f t="shared" si="71"/>
        <v>778128.51</v>
      </c>
      <c r="I165" s="192">
        <f t="shared" si="71"/>
        <v>791408.19000000006</v>
      </c>
      <c r="J165" s="192">
        <f t="shared" si="71"/>
        <v>722096.91</v>
      </c>
      <c r="K165" s="192">
        <f t="shared" si="71"/>
        <v>667198.98</v>
      </c>
      <c r="L165" s="192">
        <f t="shared" si="71"/>
        <v>597240.57000000007</v>
      </c>
      <c r="M165" s="192">
        <f t="shared" si="71"/>
        <v>573272.91</v>
      </c>
      <c r="N165" s="192">
        <f>SUM(B165:M165)</f>
        <v>8109058.8300000019</v>
      </c>
    </row>
    <row r="166" spans="1:1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1:16">
      <c r="A167" s="25" t="s">
        <v>135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6">
      <c r="A168" s="26" t="s">
        <v>40</v>
      </c>
      <c r="B168" s="27">
        <f>B161</f>
        <v>432700</v>
      </c>
      <c r="C168" s="27">
        <f t="shared" ref="C168:M168" si="72">C161</f>
        <v>402700</v>
      </c>
      <c r="D168" s="27">
        <f t="shared" si="72"/>
        <v>352200</v>
      </c>
      <c r="E168" s="27">
        <f t="shared" si="72"/>
        <v>378500</v>
      </c>
      <c r="F168" s="27">
        <f t="shared" si="72"/>
        <v>427000</v>
      </c>
      <c r="G168" s="27">
        <f t="shared" si="72"/>
        <v>464400</v>
      </c>
      <c r="H168" s="27">
        <f t="shared" si="72"/>
        <v>480500</v>
      </c>
      <c r="I168" s="27">
        <f t="shared" si="72"/>
        <v>488700</v>
      </c>
      <c r="J168" s="27">
        <f t="shared" si="72"/>
        <v>445900</v>
      </c>
      <c r="K168" s="27">
        <f t="shared" si="72"/>
        <v>412000</v>
      </c>
      <c r="L168" s="27">
        <f t="shared" si="72"/>
        <v>368800</v>
      </c>
      <c r="M168" s="27">
        <f t="shared" si="72"/>
        <v>354000</v>
      </c>
      <c r="N168" s="20">
        <f>SUM(B168:M168)</f>
        <v>5007400</v>
      </c>
    </row>
    <row r="169" spans="1:16">
      <c r="A169" s="26" t="s">
        <v>45</v>
      </c>
      <c r="B169" s="27">
        <f>ROUND(B168*'Transmission Formula Rate (7)'!$B$27,0)</f>
        <v>8005</v>
      </c>
      <c r="C169" s="27">
        <f>ROUND(C168*'Transmission Formula Rate (7)'!$B$27,0)</f>
        <v>7450</v>
      </c>
      <c r="D169" s="27">
        <f>ROUND(D168*'Transmission Formula Rate (7)'!$B$27,0)</f>
        <v>6516</v>
      </c>
      <c r="E169" s="27">
        <f>ROUND(E168*'Transmission Formula Rate (7)'!$B$27,0)</f>
        <v>7002</v>
      </c>
      <c r="F169" s="27">
        <f>ROUND(F168*'Transmission Formula Rate (7)'!$B$27,0)</f>
        <v>7900</v>
      </c>
      <c r="G169" s="27">
        <f>ROUND(G168*'Transmission Formula Rate (7)'!$B$27,0)</f>
        <v>8591</v>
      </c>
      <c r="H169" s="27">
        <f>ROUND(H168*'Transmission Formula Rate (7)'!$B$27,0)</f>
        <v>8889</v>
      </c>
      <c r="I169" s="27">
        <f>ROUND(I168*'Transmission Formula Rate (7)'!$B$27,0)</f>
        <v>9041</v>
      </c>
      <c r="J169" s="27">
        <f>ROUND(J168*'Transmission Formula Rate (7)'!$B$27,0)</f>
        <v>8249</v>
      </c>
      <c r="K169" s="27">
        <f>ROUND(K168*'Transmission Formula Rate (7)'!$B$27,0)</f>
        <v>7622</v>
      </c>
      <c r="L169" s="27">
        <f>ROUND(L168*'Transmission Formula Rate (7)'!$B$27,0)</f>
        <v>6823</v>
      </c>
      <c r="M169" s="27">
        <f>ROUND(M168*'Transmission Formula Rate (7)'!$B$27,0)</f>
        <v>6549</v>
      </c>
      <c r="N169" s="20">
        <f>SUM(B169:M169)</f>
        <v>92637</v>
      </c>
    </row>
    <row r="170" spans="1:16">
      <c r="A170" s="26" t="s">
        <v>46</v>
      </c>
      <c r="B170" s="27">
        <f t="shared" ref="B170:M170" si="73">B168+B169</f>
        <v>440705</v>
      </c>
      <c r="C170" s="27">
        <f t="shared" si="73"/>
        <v>410150</v>
      </c>
      <c r="D170" s="27">
        <f t="shared" si="73"/>
        <v>358716</v>
      </c>
      <c r="E170" s="27">
        <f t="shared" si="73"/>
        <v>385502</v>
      </c>
      <c r="F170" s="27">
        <f t="shared" si="73"/>
        <v>434900</v>
      </c>
      <c r="G170" s="27">
        <f t="shared" si="73"/>
        <v>472991</v>
      </c>
      <c r="H170" s="27">
        <f t="shared" si="73"/>
        <v>489389</v>
      </c>
      <c r="I170" s="27">
        <f t="shared" si="73"/>
        <v>497741</v>
      </c>
      <c r="J170" s="27">
        <f t="shared" si="73"/>
        <v>454149</v>
      </c>
      <c r="K170" s="27">
        <f t="shared" si="73"/>
        <v>419622</v>
      </c>
      <c r="L170" s="27">
        <f t="shared" si="73"/>
        <v>375623</v>
      </c>
      <c r="M170" s="27">
        <f t="shared" si="73"/>
        <v>360549</v>
      </c>
      <c r="N170" s="20">
        <f>SUM(B170:M170)</f>
        <v>5100037</v>
      </c>
    </row>
    <row r="171" spans="1:16">
      <c r="A171" s="25" t="s">
        <v>20</v>
      </c>
      <c r="B171" s="31">
        <f>'charges (1 &amp; 2)'!$H$26</f>
        <v>1.274E-2</v>
      </c>
      <c r="C171" s="31">
        <f>B171</f>
        <v>1.274E-2</v>
      </c>
      <c r="D171" s="31">
        <f t="shared" ref="D171" si="74">C171</f>
        <v>1.274E-2</v>
      </c>
      <c r="E171" s="31">
        <f t="shared" ref="E171" si="75">D171</f>
        <v>1.274E-2</v>
      </c>
      <c r="F171" s="31">
        <f t="shared" ref="F171" si="76">E171</f>
        <v>1.274E-2</v>
      </c>
      <c r="G171" s="31">
        <f t="shared" ref="G171" si="77">F171</f>
        <v>1.274E-2</v>
      </c>
      <c r="H171" s="31">
        <f t="shared" ref="H171" si="78">G171</f>
        <v>1.274E-2</v>
      </c>
      <c r="I171" s="31">
        <f t="shared" ref="I171" si="79">H171</f>
        <v>1.274E-2</v>
      </c>
      <c r="J171" s="31">
        <f t="shared" ref="J171" si="80">I171</f>
        <v>1.274E-2</v>
      </c>
      <c r="K171" s="31">
        <f t="shared" ref="K171" si="81">J171</f>
        <v>1.274E-2</v>
      </c>
      <c r="L171" s="31">
        <f t="shared" ref="L171" si="82">K171</f>
        <v>1.274E-2</v>
      </c>
      <c r="M171" s="31">
        <f t="shared" ref="M171" si="83">L171</f>
        <v>1.274E-2</v>
      </c>
      <c r="N171" s="19"/>
    </row>
    <row r="172" spans="1:16">
      <c r="A172" s="25" t="s">
        <v>17</v>
      </c>
      <c r="B172" s="192">
        <f t="shared" ref="B172:M172" si="84">B170*B171</f>
        <v>5614.5816999999997</v>
      </c>
      <c r="C172" s="192">
        <f t="shared" si="84"/>
        <v>5225.3109999999997</v>
      </c>
      <c r="D172" s="192">
        <f t="shared" si="84"/>
        <v>4570.0418399999999</v>
      </c>
      <c r="E172" s="192">
        <f t="shared" si="84"/>
        <v>4911.2954799999998</v>
      </c>
      <c r="F172" s="192">
        <f t="shared" si="84"/>
        <v>5540.6260000000002</v>
      </c>
      <c r="G172" s="192">
        <f t="shared" si="84"/>
        <v>6025.9053400000003</v>
      </c>
      <c r="H172" s="192">
        <f t="shared" si="84"/>
        <v>6234.8158599999997</v>
      </c>
      <c r="I172" s="192">
        <f t="shared" si="84"/>
        <v>6341.2203399999999</v>
      </c>
      <c r="J172" s="192">
        <f t="shared" si="84"/>
        <v>5785.85826</v>
      </c>
      <c r="K172" s="192">
        <f t="shared" si="84"/>
        <v>5345.9842799999997</v>
      </c>
      <c r="L172" s="192">
        <f t="shared" si="84"/>
        <v>4785.4370199999994</v>
      </c>
      <c r="M172" s="192">
        <f t="shared" si="84"/>
        <v>4593.39426</v>
      </c>
      <c r="N172" s="192">
        <f>SUM(B172:M172)</f>
        <v>64974.471379999995</v>
      </c>
    </row>
    <row r="173" spans="1:1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6">
      <c r="A174" s="25" t="s">
        <v>38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16">
      <c r="A175" s="26" t="s">
        <v>40</v>
      </c>
      <c r="B175" s="27">
        <f>B161</f>
        <v>432700</v>
      </c>
      <c r="C175" s="27">
        <f t="shared" ref="C175:M175" si="85">C161</f>
        <v>402700</v>
      </c>
      <c r="D175" s="27">
        <f t="shared" si="85"/>
        <v>352200</v>
      </c>
      <c r="E175" s="27">
        <f t="shared" si="85"/>
        <v>378500</v>
      </c>
      <c r="F175" s="27">
        <f t="shared" si="85"/>
        <v>427000</v>
      </c>
      <c r="G175" s="27">
        <f t="shared" si="85"/>
        <v>464400</v>
      </c>
      <c r="H175" s="27">
        <f t="shared" si="85"/>
        <v>480500</v>
      </c>
      <c r="I175" s="27">
        <f t="shared" si="85"/>
        <v>488700</v>
      </c>
      <c r="J175" s="27">
        <f t="shared" si="85"/>
        <v>445900</v>
      </c>
      <c r="K175" s="27">
        <f t="shared" si="85"/>
        <v>412000</v>
      </c>
      <c r="L175" s="27">
        <f t="shared" si="85"/>
        <v>368800</v>
      </c>
      <c r="M175" s="27">
        <f t="shared" si="85"/>
        <v>354000</v>
      </c>
      <c r="N175" s="20">
        <f>SUM(B175:M175)</f>
        <v>5007400</v>
      </c>
    </row>
    <row r="176" spans="1:16">
      <c r="A176" s="26" t="s">
        <v>45</v>
      </c>
      <c r="B176" s="27">
        <f>ROUND(B175*'Transmission Formula Rate (7)'!$B$27,0)</f>
        <v>8005</v>
      </c>
      <c r="C176" s="27">
        <f>ROUND(C175*'Transmission Formula Rate (7)'!$B$27,0)</f>
        <v>7450</v>
      </c>
      <c r="D176" s="27">
        <f>ROUND(D175*'Transmission Formula Rate (7)'!$B$27,0)</f>
        <v>6516</v>
      </c>
      <c r="E176" s="27">
        <f>ROUND(E175*'Transmission Formula Rate (7)'!$B$27,0)</f>
        <v>7002</v>
      </c>
      <c r="F176" s="27">
        <f>ROUND(F175*'Transmission Formula Rate (7)'!$B$27,0)</f>
        <v>7900</v>
      </c>
      <c r="G176" s="27">
        <f>ROUND(G175*'Transmission Formula Rate (7)'!$B$27,0)</f>
        <v>8591</v>
      </c>
      <c r="H176" s="27">
        <f>ROUND(H175*'Transmission Formula Rate (7)'!$B$27,0)</f>
        <v>8889</v>
      </c>
      <c r="I176" s="27">
        <f>ROUND(I175*'Transmission Formula Rate (7)'!$B$27,0)</f>
        <v>9041</v>
      </c>
      <c r="J176" s="27">
        <f>ROUND(J175*'Transmission Formula Rate (7)'!$B$27,0)</f>
        <v>8249</v>
      </c>
      <c r="K176" s="27">
        <f>ROUND(K175*'Transmission Formula Rate (7)'!$B$27,0)</f>
        <v>7622</v>
      </c>
      <c r="L176" s="27">
        <f>ROUND(L175*'Transmission Formula Rate (7)'!$B$27,0)</f>
        <v>6823</v>
      </c>
      <c r="M176" s="27">
        <f>ROUND(M175*'Transmission Formula Rate (7)'!$B$27,0)</f>
        <v>6549</v>
      </c>
      <c r="N176" s="20">
        <f>SUM(B176:M176)</f>
        <v>92637</v>
      </c>
    </row>
    <row r="177" spans="1:14">
      <c r="A177" s="26" t="s">
        <v>46</v>
      </c>
      <c r="B177" s="27">
        <f t="shared" ref="B177:M177" si="86">B175+B176</f>
        <v>440705</v>
      </c>
      <c r="C177" s="27">
        <f t="shared" si="86"/>
        <v>410150</v>
      </c>
      <c r="D177" s="27">
        <f t="shared" si="86"/>
        <v>358716</v>
      </c>
      <c r="E177" s="27">
        <f t="shared" si="86"/>
        <v>385502</v>
      </c>
      <c r="F177" s="27">
        <f t="shared" si="86"/>
        <v>434900</v>
      </c>
      <c r="G177" s="27">
        <f t="shared" si="86"/>
        <v>472991</v>
      </c>
      <c r="H177" s="27">
        <f t="shared" si="86"/>
        <v>489389</v>
      </c>
      <c r="I177" s="27">
        <f t="shared" si="86"/>
        <v>497741</v>
      </c>
      <c r="J177" s="27">
        <f t="shared" si="86"/>
        <v>454149</v>
      </c>
      <c r="K177" s="27">
        <f t="shared" si="86"/>
        <v>419622</v>
      </c>
      <c r="L177" s="27">
        <f t="shared" si="86"/>
        <v>375623</v>
      </c>
      <c r="M177" s="27">
        <f t="shared" si="86"/>
        <v>360549</v>
      </c>
      <c r="N177" s="20">
        <f>SUM(B177:M177)</f>
        <v>5100037</v>
      </c>
    </row>
    <row r="178" spans="1:14">
      <c r="A178" s="25" t="s">
        <v>20</v>
      </c>
      <c r="B178" s="31">
        <f>'charges (1 &amp; 2)'!$G$25</f>
        <v>7.0000000000000007E-2</v>
      </c>
      <c r="C178" s="31">
        <f>'charges (1 &amp; 2)'!$G$25</f>
        <v>7.0000000000000007E-2</v>
      </c>
      <c r="D178" s="31">
        <f>'charges (1 &amp; 2)'!$G$25</f>
        <v>7.0000000000000007E-2</v>
      </c>
      <c r="E178" s="31">
        <f>'charges (1 &amp; 2)'!$G$25</f>
        <v>7.0000000000000007E-2</v>
      </c>
      <c r="F178" s="31">
        <f>'charges (1 &amp; 2)'!$G$25</f>
        <v>7.0000000000000007E-2</v>
      </c>
      <c r="G178" s="31">
        <f>'charges (1 &amp; 2)'!$G$25</f>
        <v>7.0000000000000007E-2</v>
      </c>
      <c r="H178" s="31">
        <f>'charges (1 &amp; 2)'!$G$25</f>
        <v>7.0000000000000007E-2</v>
      </c>
      <c r="I178" s="31">
        <f>'charges (1 &amp; 2)'!$G$25</f>
        <v>7.0000000000000007E-2</v>
      </c>
      <c r="J178" s="31">
        <f>'charges (1 &amp; 2)'!$G$25</f>
        <v>7.0000000000000007E-2</v>
      </c>
      <c r="K178" s="31">
        <f>'charges (1 &amp; 2)'!$G$25</f>
        <v>7.0000000000000007E-2</v>
      </c>
      <c r="L178" s="31">
        <f>'charges (1 &amp; 2)'!$G$25</f>
        <v>7.0000000000000007E-2</v>
      </c>
      <c r="M178" s="31">
        <f>'charges (1 &amp; 2)'!$G$25</f>
        <v>7.0000000000000007E-2</v>
      </c>
      <c r="N178" s="19"/>
    </row>
    <row r="179" spans="1:14">
      <c r="A179" s="25" t="s">
        <v>17</v>
      </c>
      <c r="B179" s="192">
        <f t="shared" ref="B179:M179" si="87">B177*B178</f>
        <v>30849.350000000002</v>
      </c>
      <c r="C179" s="192">
        <f t="shared" si="87"/>
        <v>28710.500000000004</v>
      </c>
      <c r="D179" s="192">
        <f t="shared" si="87"/>
        <v>25110.120000000003</v>
      </c>
      <c r="E179" s="192">
        <f t="shared" si="87"/>
        <v>26985.140000000003</v>
      </c>
      <c r="F179" s="192">
        <f t="shared" si="87"/>
        <v>30443.000000000004</v>
      </c>
      <c r="G179" s="192">
        <f t="shared" si="87"/>
        <v>33109.370000000003</v>
      </c>
      <c r="H179" s="192">
        <f t="shared" si="87"/>
        <v>34257.230000000003</v>
      </c>
      <c r="I179" s="192">
        <f t="shared" si="87"/>
        <v>34841.870000000003</v>
      </c>
      <c r="J179" s="192">
        <f t="shared" si="87"/>
        <v>31790.430000000004</v>
      </c>
      <c r="K179" s="192">
        <f t="shared" si="87"/>
        <v>29373.540000000005</v>
      </c>
      <c r="L179" s="192">
        <f t="shared" si="87"/>
        <v>26293.610000000004</v>
      </c>
      <c r="M179" s="192">
        <f t="shared" si="87"/>
        <v>25238.430000000004</v>
      </c>
      <c r="N179" s="192">
        <f>SUM(B179:M179)</f>
        <v>357002.58999999997</v>
      </c>
    </row>
    <row r="180" spans="1:14">
      <c r="A180" s="25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</row>
    <row r="181" spans="1:14">
      <c r="A181" s="25" t="s">
        <v>25</v>
      </c>
      <c r="B181" s="191">
        <f>B165+B179+B172</f>
        <v>737184.88170000003</v>
      </c>
      <c r="C181" s="191">
        <f t="shared" ref="C181:M181" si="88">C165+C179+C172</f>
        <v>686074.31099999999</v>
      </c>
      <c r="D181" s="191">
        <f t="shared" si="88"/>
        <v>600038.60184000002</v>
      </c>
      <c r="E181" s="191">
        <f t="shared" si="88"/>
        <v>644844.61548000004</v>
      </c>
      <c r="F181" s="191">
        <f t="shared" si="88"/>
        <v>727474.62600000005</v>
      </c>
      <c r="G181" s="191">
        <f t="shared" si="88"/>
        <v>791190.96534000011</v>
      </c>
      <c r="H181" s="191">
        <f t="shared" si="88"/>
        <v>818620.55585999996</v>
      </c>
      <c r="I181" s="191">
        <f t="shared" si="88"/>
        <v>832591.28034000006</v>
      </c>
      <c r="J181" s="191">
        <f t="shared" si="88"/>
        <v>759673.19826000009</v>
      </c>
      <c r="K181" s="191">
        <f t="shared" si="88"/>
        <v>701918.50427999999</v>
      </c>
      <c r="L181" s="191">
        <f t="shared" si="88"/>
        <v>628319.61702000001</v>
      </c>
      <c r="M181" s="191">
        <f t="shared" si="88"/>
        <v>603104.73426000006</v>
      </c>
      <c r="N181" s="191">
        <f>SUM(B181:M181)</f>
        <v>8531035.8913800009</v>
      </c>
    </row>
  </sheetData>
  <phoneticPr fontId="23" type="noConversion"/>
  <pageMargins left="0.19" right="0.2" top="0.8" bottom="0.46" header="0.56000000000000005" footer="0.18"/>
  <pageSetup pageOrder="overThenDown" orientation="landscape" r:id="rId1"/>
  <headerFooter alignWithMargins="0">
    <oddHeader>&amp;A</oddHeader>
    <oddFooter>&amp;Z&amp;F</oddFooter>
  </headerFooter>
  <rowBreaks count="5" manualBreakCount="5">
    <brk id="31" max="16383" man="1"/>
    <brk id="56" max="16383" man="1"/>
    <brk id="81" max="16383" man="1"/>
    <brk id="106" max="16383" man="1"/>
    <brk id="132" max="13" man="1"/>
  </rowBreaks>
  <colBreaks count="1" manualBreakCount="1">
    <brk id="14" min="2" max="130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R59"/>
  <sheetViews>
    <sheetView zoomScaleNormal="100" zoomScaleSheetLayoutView="100" workbookViewId="0">
      <selection activeCell="A2" sqref="A2"/>
    </sheetView>
  </sheetViews>
  <sheetFormatPr defaultColWidth="8" defaultRowHeight="13.2"/>
  <cols>
    <col min="1" max="1" width="10.109375" style="96" customWidth="1"/>
    <col min="2" max="2" width="8" style="96" customWidth="1"/>
    <col min="3" max="3" width="8.88671875" style="96" customWidth="1"/>
    <col min="4" max="4" width="9" style="96" customWidth="1"/>
    <col min="5" max="5" width="10.44140625" style="96" customWidth="1"/>
    <col min="6" max="6" width="9.77734375" style="96" customWidth="1"/>
    <col min="7" max="7" width="10.109375" style="96" customWidth="1"/>
    <col min="8" max="8" width="10.33203125" style="96" customWidth="1"/>
    <col min="9" max="9" width="11.109375" style="96" customWidth="1"/>
    <col min="10" max="10" width="9.109375" style="96" customWidth="1"/>
    <col min="11" max="11" width="10.21875" style="96" customWidth="1"/>
    <col min="12" max="12" width="10.88671875" style="96" customWidth="1"/>
    <col min="13" max="13" width="9.109375" style="96" customWidth="1"/>
    <col min="14" max="15" width="9.88671875" style="96" customWidth="1"/>
    <col min="16" max="16" width="10.21875" style="96" customWidth="1"/>
    <col min="17" max="16384" width="8" style="96"/>
  </cols>
  <sheetData>
    <row r="1" spans="1:18">
      <c r="A1" s="482" t="s">
        <v>500</v>
      </c>
    </row>
    <row r="2" spans="1:18">
      <c r="A2" s="482" t="s">
        <v>458</v>
      </c>
    </row>
    <row r="4" spans="1:18" ht="17.399999999999999">
      <c r="A4" s="112" t="s">
        <v>125</v>
      </c>
      <c r="L4" s="366" t="s">
        <v>274</v>
      </c>
      <c r="M4" s="367" t="s">
        <v>333</v>
      </c>
    </row>
    <row r="5" spans="1:18" ht="22.8">
      <c r="A5" s="112"/>
      <c r="E5" s="171"/>
      <c r="F5" s="171"/>
      <c r="G5" s="174" t="s">
        <v>370</v>
      </c>
      <c r="H5" s="172"/>
      <c r="I5" s="172"/>
      <c r="J5" s="172"/>
      <c r="K5" s="172"/>
      <c r="L5" s="172"/>
      <c r="M5" s="382" t="s">
        <v>305</v>
      </c>
      <c r="N5" s="197"/>
      <c r="O5" s="197"/>
      <c r="P5" s="197"/>
    </row>
    <row r="6" spans="1:18">
      <c r="E6" s="97"/>
      <c r="F6" s="97"/>
      <c r="G6" s="97"/>
      <c r="H6" s="97"/>
      <c r="I6" s="97"/>
      <c r="J6" s="97"/>
      <c r="K6" s="97"/>
      <c r="L6" s="97"/>
      <c r="M6" s="99"/>
      <c r="N6" s="158"/>
      <c r="O6" s="99"/>
      <c r="P6" s="99"/>
    </row>
    <row r="7" spans="1:18">
      <c r="A7" s="157"/>
      <c r="B7" s="157"/>
      <c r="C7" s="157"/>
      <c r="D7" s="99"/>
      <c r="E7" s="98"/>
      <c r="F7" s="98"/>
      <c r="G7" s="98"/>
      <c r="H7" s="98"/>
      <c r="I7" s="98"/>
      <c r="J7" s="98"/>
      <c r="K7" s="98"/>
      <c r="L7" s="98"/>
      <c r="M7" s="99"/>
      <c r="N7" s="157"/>
      <c r="O7" s="157"/>
      <c r="P7" s="99"/>
    </row>
    <row r="8" spans="1:18">
      <c r="A8" s="225" t="s">
        <v>277</v>
      </c>
      <c r="B8" s="226"/>
      <c r="C8" s="227"/>
    </row>
    <row r="9" spans="1:18">
      <c r="A9" s="368" t="s">
        <v>278</v>
      </c>
      <c r="B9" s="228"/>
      <c r="C9" s="229"/>
      <c r="D9" s="121" t="s">
        <v>61</v>
      </c>
      <c r="E9" s="121" t="s">
        <v>62</v>
      </c>
      <c r="F9" s="121" t="s">
        <v>63</v>
      </c>
      <c r="G9" s="121" t="s">
        <v>64</v>
      </c>
      <c r="H9" s="121" t="s">
        <v>4</v>
      </c>
      <c r="I9" s="121" t="s">
        <v>65</v>
      </c>
      <c r="J9" s="121" t="s">
        <v>66</v>
      </c>
      <c r="K9" s="121" t="s">
        <v>67</v>
      </c>
      <c r="L9" s="121" t="s">
        <v>68</v>
      </c>
      <c r="M9" s="121" t="s">
        <v>69</v>
      </c>
      <c r="N9" s="121" t="s">
        <v>70</v>
      </c>
      <c r="O9" s="121" t="s">
        <v>71</v>
      </c>
    </row>
    <row r="10" spans="1:18">
      <c r="C10" s="120" t="s">
        <v>81</v>
      </c>
      <c r="D10" s="198">
        <v>185.6</v>
      </c>
      <c r="E10" s="198">
        <v>159.4</v>
      </c>
      <c r="F10" s="198">
        <v>102.7</v>
      </c>
      <c r="G10" s="198">
        <v>114</v>
      </c>
      <c r="H10" s="198">
        <v>141.80000000000001</v>
      </c>
      <c r="I10" s="198">
        <v>155.4</v>
      </c>
      <c r="J10" s="198">
        <v>164.6</v>
      </c>
      <c r="K10" s="198">
        <v>162.6</v>
      </c>
      <c r="L10" s="198">
        <v>145.6</v>
      </c>
      <c r="M10" s="198">
        <v>124.3</v>
      </c>
      <c r="N10" s="198">
        <v>102</v>
      </c>
      <c r="O10" s="198">
        <v>124</v>
      </c>
      <c r="P10" s="102"/>
    </row>
    <row r="11" spans="1:18">
      <c r="C11" s="119" t="s">
        <v>82</v>
      </c>
      <c r="D11" s="198">
        <v>27.4</v>
      </c>
      <c r="E11" s="198">
        <v>24</v>
      </c>
      <c r="F11" s="198">
        <v>16.8</v>
      </c>
      <c r="G11" s="198">
        <v>18.3</v>
      </c>
      <c r="H11" s="198">
        <v>22.8</v>
      </c>
      <c r="I11" s="198">
        <v>24.3</v>
      </c>
      <c r="J11" s="198">
        <v>24.6</v>
      </c>
      <c r="K11" s="198">
        <v>25.7</v>
      </c>
      <c r="L11" s="198">
        <v>23.2</v>
      </c>
      <c r="M11" s="198">
        <v>19.8</v>
      </c>
      <c r="N11" s="198">
        <v>17.100000000000001</v>
      </c>
      <c r="O11" s="198">
        <v>20.8</v>
      </c>
      <c r="P11" s="102"/>
    </row>
    <row r="12" spans="1:18">
      <c r="C12" s="119" t="s">
        <v>83</v>
      </c>
      <c r="D12" s="198">
        <v>18.899999999999999</v>
      </c>
      <c r="E12" s="198">
        <v>16.600000000000001</v>
      </c>
      <c r="F12" s="198">
        <v>19.2</v>
      </c>
      <c r="G12" s="198">
        <v>17</v>
      </c>
      <c r="H12" s="198">
        <v>19.100000000000001</v>
      </c>
      <c r="I12" s="198">
        <v>19.600000000000001</v>
      </c>
      <c r="J12" s="198">
        <v>19.7</v>
      </c>
      <c r="K12" s="198">
        <v>22.8</v>
      </c>
      <c r="L12" s="198">
        <v>19.3</v>
      </c>
      <c r="M12" s="198">
        <v>19.899999999999999</v>
      </c>
      <c r="N12" s="198">
        <v>20.2</v>
      </c>
      <c r="O12" s="198">
        <v>17.8</v>
      </c>
      <c r="P12" s="102"/>
    </row>
    <row r="13" spans="1:18">
      <c r="C13" s="119" t="s">
        <v>84</v>
      </c>
      <c r="D13" s="198">
        <v>15.5</v>
      </c>
      <c r="E13" s="198">
        <v>14.2</v>
      </c>
      <c r="F13" s="198">
        <v>10.4</v>
      </c>
      <c r="G13" s="198">
        <v>10.5</v>
      </c>
      <c r="H13" s="198">
        <v>13.5</v>
      </c>
      <c r="I13" s="198">
        <v>14.7</v>
      </c>
      <c r="J13" s="198">
        <v>15.2</v>
      </c>
      <c r="K13" s="198">
        <v>16</v>
      </c>
      <c r="L13" s="198">
        <v>14.1</v>
      </c>
      <c r="M13" s="198">
        <v>11.9</v>
      </c>
      <c r="N13" s="198">
        <v>10.8</v>
      </c>
      <c r="O13" s="198">
        <v>11.7</v>
      </c>
      <c r="P13" s="102"/>
    </row>
    <row r="14" spans="1:18">
      <c r="C14" s="119" t="s">
        <v>85</v>
      </c>
      <c r="D14" s="198">
        <v>79.2</v>
      </c>
      <c r="E14" s="198">
        <v>83</v>
      </c>
      <c r="F14" s="198">
        <v>103.3</v>
      </c>
      <c r="G14" s="198">
        <v>114.3</v>
      </c>
      <c r="H14" s="198">
        <v>117.7</v>
      </c>
      <c r="I14" s="198">
        <v>128.69999999999999</v>
      </c>
      <c r="J14" s="198">
        <v>130.5</v>
      </c>
      <c r="K14" s="198">
        <v>131.9</v>
      </c>
      <c r="L14" s="198">
        <v>123.8</v>
      </c>
      <c r="M14" s="198">
        <v>119.3</v>
      </c>
      <c r="N14" s="198">
        <v>108</v>
      </c>
      <c r="O14" s="198">
        <v>83.8</v>
      </c>
      <c r="P14" s="102"/>
    </row>
    <row r="15" spans="1:18">
      <c r="C15" s="119" t="s">
        <v>86</v>
      </c>
      <c r="D15" s="198">
        <v>106.8</v>
      </c>
      <c r="E15" s="198">
        <v>86.4</v>
      </c>
      <c r="F15" s="198">
        <v>83.1</v>
      </c>
      <c r="G15" s="198">
        <v>86.4</v>
      </c>
      <c r="H15" s="198">
        <v>91.8</v>
      </c>
      <c r="I15" s="198">
        <v>99.7</v>
      </c>
      <c r="J15" s="198">
        <v>103.1</v>
      </c>
      <c r="K15" s="198">
        <v>106.5</v>
      </c>
      <c r="L15" s="198">
        <v>98.7</v>
      </c>
      <c r="M15" s="198">
        <v>97.2</v>
      </c>
      <c r="N15" s="198">
        <v>93.2</v>
      </c>
      <c r="O15" s="198">
        <v>79.099999999999994</v>
      </c>
      <c r="P15" s="102"/>
    </row>
    <row r="16" spans="1:18">
      <c r="B16" s="103"/>
      <c r="C16" s="104" t="s">
        <v>33</v>
      </c>
      <c r="D16" s="105">
        <f t="shared" ref="D16:O16" si="0">SUM(D10:D15)</f>
        <v>433.40000000000003</v>
      </c>
      <c r="E16" s="106">
        <f t="shared" si="0"/>
        <v>383.6</v>
      </c>
      <c r="F16" s="106">
        <f t="shared" si="0"/>
        <v>335.5</v>
      </c>
      <c r="G16" s="106">
        <f t="shared" si="0"/>
        <v>360.5</v>
      </c>
      <c r="H16" s="106">
        <f t="shared" si="0"/>
        <v>406.70000000000005</v>
      </c>
      <c r="I16" s="106">
        <f t="shared" si="0"/>
        <v>442.4</v>
      </c>
      <c r="J16" s="107">
        <f t="shared" si="0"/>
        <v>457.69999999999993</v>
      </c>
      <c r="K16" s="105">
        <f t="shared" si="0"/>
        <v>465.5</v>
      </c>
      <c r="L16" s="106">
        <f t="shared" si="0"/>
        <v>424.7</v>
      </c>
      <c r="M16" s="106">
        <f t="shared" si="0"/>
        <v>392.4</v>
      </c>
      <c r="N16" s="106">
        <f t="shared" si="0"/>
        <v>351.3</v>
      </c>
      <c r="O16" s="106">
        <f t="shared" si="0"/>
        <v>337.20000000000005</v>
      </c>
      <c r="P16" s="102">
        <f>SUM(D16:O16)</f>
        <v>4790.8999999999996</v>
      </c>
      <c r="R16" s="102"/>
    </row>
    <row r="17" spans="1:18">
      <c r="B17" s="108" t="s">
        <v>87</v>
      </c>
      <c r="C17" s="103"/>
      <c r="D17" s="109">
        <f>+D16/$K$16</f>
        <v>0.93104189044038677</v>
      </c>
      <c r="E17" s="109">
        <f>+E16/$K$16</f>
        <v>0.82406015037593994</v>
      </c>
      <c r="F17" s="109">
        <f t="shared" ref="F17:O17" si="1">+F16/$K$16</f>
        <v>0.72073039742212675</v>
      </c>
      <c r="G17" s="109">
        <f t="shared" si="1"/>
        <v>0.77443609022556392</v>
      </c>
      <c r="H17" s="109">
        <f t="shared" si="1"/>
        <v>0.87368421052631584</v>
      </c>
      <c r="I17" s="109">
        <f t="shared" si="1"/>
        <v>0.95037593984962399</v>
      </c>
      <c r="J17" s="109">
        <f t="shared" si="1"/>
        <v>0.98324382384532749</v>
      </c>
      <c r="K17" s="109">
        <f t="shared" si="1"/>
        <v>1</v>
      </c>
      <c r="L17" s="109">
        <f t="shared" si="1"/>
        <v>0.9123523093447905</v>
      </c>
      <c r="M17" s="109">
        <f t="shared" si="1"/>
        <v>0.84296455424274963</v>
      </c>
      <c r="N17" s="109">
        <f t="shared" si="1"/>
        <v>0.75467239527389907</v>
      </c>
      <c r="O17" s="109">
        <f t="shared" si="1"/>
        <v>0.7243823845327606</v>
      </c>
      <c r="P17" s="101"/>
    </row>
    <row r="18" spans="1:18">
      <c r="B18" s="122" t="s">
        <v>60</v>
      </c>
      <c r="C18" s="119"/>
      <c r="D18" s="199"/>
      <c r="E18" s="173"/>
      <c r="F18" s="173"/>
      <c r="G18" s="173"/>
      <c r="H18" s="173"/>
      <c r="I18" s="173"/>
      <c r="J18" s="173"/>
      <c r="K18" s="230"/>
      <c r="L18" s="173"/>
      <c r="M18" s="173"/>
      <c r="N18" s="173"/>
      <c r="O18" s="173"/>
      <c r="P18" s="118">
        <f t="shared" ref="P18:P23" si="2">SUM(D18:O18)</f>
        <v>0</v>
      </c>
      <c r="Q18" s="111">
        <f>(+P18-P16)/P16</f>
        <v>-1</v>
      </c>
      <c r="R18" s="101"/>
    </row>
    <row r="19" spans="1:18">
      <c r="B19" s="122"/>
      <c r="C19" s="119">
        <v>2014</v>
      </c>
      <c r="D19" s="199">
        <f>$I$31</f>
        <v>413.2</v>
      </c>
      <c r="E19" s="173">
        <f>ROUND(+$K19*E$17,1)</f>
        <v>385.5</v>
      </c>
      <c r="F19" s="173">
        <f>ROUND(+$K19*F$17,1)</f>
        <v>337.2</v>
      </c>
      <c r="G19" s="173">
        <f t="shared" ref="E19:J25" si="3">ROUND(+$K19*G$17,1)</f>
        <v>362.3</v>
      </c>
      <c r="H19" s="173">
        <f t="shared" si="3"/>
        <v>408.7</v>
      </c>
      <c r="I19" s="173">
        <f t="shared" si="3"/>
        <v>444.6</v>
      </c>
      <c r="J19" s="173">
        <f t="shared" si="3"/>
        <v>460</v>
      </c>
      <c r="K19" s="230">
        <f>$I$32</f>
        <v>467.8</v>
      </c>
      <c r="L19" s="173">
        <f t="shared" ref="L19:O25" si="4">ROUND(+$K19*L$17,1)</f>
        <v>426.8</v>
      </c>
      <c r="M19" s="173">
        <f t="shared" si="4"/>
        <v>394.3</v>
      </c>
      <c r="N19" s="173">
        <f t="shared" si="4"/>
        <v>353</v>
      </c>
      <c r="O19" s="173">
        <f t="shared" si="4"/>
        <v>338.9</v>
      </c>
      <c r="P19" s="118">
        <f>SUM(D19:O19)</f>
        <v>4792.3</v>
      </c>
      <c r="Q19" s="111" t="e">
        <f t="shared" ref="Q19:Q24" si="5">(+P19-P18)/P18</f>
        <v>#DIV/0!</v>
      </c>
      <c r="R19" s="101"/>
    </row>
    <row r="20" spans="1:18">
      <c r="B20" s="122"/>
      <c r="C20" s="119">
        <f>C19+1</f>
        <v>2015</v>
      </c>
      <c r="D20" s="199">
        <f>$I$33</f>
        <v>416.70000000000005</v>
      </c>
      <c r="E20" s="173">
        <f t="shared" si="3"/>
        <v>388.5</v>
      </c>
      <c r="F20" s="173">
        <f t="shared" si="3"/>
        <v>339.8</v>
      </c>
      <c r="G20" s="173">
        <f t="shared" si="3"/>
        <v>365.1</v>
      </c>
      <c r="H20" s="173">
        <f t="shared" si="3"/>
        <v>411.9</v>
      </c>
      <c r="I20" s="173">
        <f t="shared" si="3"/>
        <v>448</v>
      </c>
      <c r="J20" s="173">
        <f t="shared" si="3"/>
        <v>463.5</v>
      </c>
      <c r="K20" s="230">
        <f>$I$34</f>
        <v>471.4</v>
      </c>
      <c r="L20" s="173">
        <f t="shared" si="4"/>
        <v>430.1</v>
      </c>
      <c r="M20" s="173">
        <f t="shared" si="4"/>
        <v>397.4</v>
      </c>
      <c r="N20" s="173">
        <f t="shared" si="4"/>
        <v>355.8</v>
      </c>
      <c r="O20" s="173">
        <f t="shared" si="4"/>
        <v>341.5</v>
      </c>
      <c r="P20" s="118">
        <f t="shared" si="2"/>
        <v>4829.7</v>
      </c>
      <c r="Q20" s="111">
        <f t="shared" si="5"/>
        <v>7.8041858815181926E-3</v>
      </c>
      <c r="R20" s="101"/>
    </row>
    <row r="21" spans="1:18">
      <c r="B21" s="122"/>
      <c r="C21" s="119">
        <f t="shared" ref="C21:C23" si="6">C20+1</f>
        <v>2016</v>
      </c>
      <c r="D21" s="199">
        <f>$I$35</f>
        <v>420.2</v>
      </c>
      <c r="E21" s="173">
        <f>ROUND(+$K21*E$17,1)</f>
        <v>391.6</v>
      </c>
      <c r="F21" s="173">
        <f t="shared" si="3"/>
        <v>342.5</v>
      </c>
      <c r="G21" s="173">
        <f t="shared" si="3"/>
        <v>368</v>
      </c>
      <c r="H21" s="173">
        <f t="shared" si="3"/>
        <v>415.2</v>
      </c>
      <c r="I21" s="173">
        <f t="shared" si="3"/>
        <v>451.6</v>
      </c>
      <c r="J21" s="173">
        <f t="shared" si="3"/>
        <v>467.2</v>
      </c>
      <c r="K21" s="230">
        <f>$I$36</f>
        <v>475.20000000000005</v>
      </c>
      <c r="L21" s="173">
        <f t="shared" si="4"/>
        <v>433.5</v>
      </c>
      <c r="M21" s="173">
        <f t="shared" si="4"/>
        <v>400.6</v>
      </c>
      <c r="N21" s="173">
        <f t="shared" si="4"/>
        <v>358.6</v>
      </c>
      <c r="O21" s="173">
        <f t="shared" si="4"/>
        <v>344.2</v>
      </c>
      <c r="P21" s="118">
        <f t="shared" si="2"/>
        <v>4868.4000000000005</v>
      </c>
      <c r="Q21" s="111">
        <f t="shared" si="5"/>
        <v>8.0129200571465581E-3</v>
      </c>
      <c r="R21" s="101"/>
    </row>
    <row r="22" spans="1:18">
      <c r="B22" s="122"/>
      <c r="C22" s="119">
        <f t="shared" si="6"/>
        <v>2017</v>
      </c>
      <c r="D22" s="199">
        <f>$I$37</f>
        <v>423.8</v>
      </c>
      <c r="E22" s="173">
        <f>ROUND(+$K22*E$17,1)</f>
        <v>394.8</v>
      </c>
      <c r="F22" s="173">
        <f t="shared" si="3"/>
        <v>345.3</v>
      </c>
      <c r="G22" s="173">
        <f t="shared" si="3"/>
        <v>371</v>
      </c>
      <c r="H22" s="173">
        <f t="shared" si="3"/>
        <v>418.6</v>
      </c>
      <c r="I22" s="173">
        <f t="shared" si="3"/>
        <v>455.3</v>
      </c>
      <c r="J22" s="173">
        <f t="shared" si="3"/>
        <v>471.1</v>
      </c>
      <c r="K22" s="230">
        <f>$I$38</f>
        <v>479.1</v>
      </c>
      <c r="L22" s="173">
        <f t="shared" si="4"/>
        <v>437.1</v>
      </c>
      <c r="M22" s="173">
        <f t="shared" si="4"/>
        <v>403.9</v>
      </c>
      <c r="N22" s="173">
        <f t="shared" si="4"/>
        <v>361.6</v>
      </c>
      <c r="O22" s="173">
        <f t="shared" si="4"/>
        <v>347.1</v>
      </c>
      <c r="P22" s="118">
        <f t="shared" si="2"/>
        <v>4908.7000000000007</v>
      </c>
      <c r="Q22" s="111">
        <f t="shared" si="5"/>
        <v>8.2778736340481836E-3</v>
      </c>
      <c r="R22" s="101"/>
    </row>
    <row r="23" spans="1:18">
      <c r="B23" s="122"/>
      <c r="C23" s="119">
        <f t="shared" si="6"/>
        <v>2018</v>
      </c>
      <c r="D23" s="199">
        <f>$I$39</f>
        <v>427.20000000000005</v>
      </c>
      <c r="E23" s="173">
        <f>ROUND(+$K23*E$17,1)</f>
        <v>398.2</v>
      </c>
      <c r="F23" s="173">
        <f>ROUND(+$K23*F$17,1)</f>
        <v>348.3</v>
      </c>
      <c r="G23" s="173">
        <f t="shared" si="3"/>
        <v>374.2</v>
      </c>
      <c r="H23" s="173">
        <f t="shared" si="3"/>
        <v>422.2</v>
      </c>
      <c r="I23" s="173">
        <f t="shared" ref="I23:J25" si="7">ROUND(+$K23*I$17,1)</f>
        <v>459.2</v>
      </c>
      <c r="J23" s="173">
        <f t="shared" si="7"/>
        <v>475.1</v>
      </c>
      <c r="K23" s="230">
        <f>$I$40</f>
        <v>483.2</v>
      </c>
      <c r="L23" s="173">
        <f>ROUND(+$K23*L$17,1)</f>
        <v>440.8</v>
      </c>
      <c r="M23" s="173">
        <f t="shared" si="4"/>
        <v>407.3</v>
      </c>
      <c r="N23" s="173">
        <f t="shared" si="4"/>
        <v>364.7</v>
      </c>
      <c r="O23" s="173">
        <f t="shared" si="4"/>
        <v>350</v>
      </c>
      <c r="P23" s="118">
        <f t="shared" si="2"/>
        <v>4950.3999999999996</v>
      </c>
      <c r="Q23" s="111">
        <f t="shared" si="5"/>
        <v>8.4951209077757661E-3</v>
      </c>
      <c r="R23" s="101"/>
    </row>
    <row r="24" spans="1:18">
      <c r="B24" s="122"/>
      <c r="C24" s="119">
        <f t="shared" ref="C24:C25" si="8">C23+1</f>
        <v>2019</v>
      </c>
      <c r="D24" s="199">
        <f>$I$41</f>
        <v>430.7</v>
      </c>
      <c r="E24" s="173">
        <f>ROUND(+$K24*E$17,1)</f>
        <v>401.5</v>
      </c>
      <c r="F24" s="173">
        <f>ROUND(+$K24*F$17,1)</f>
        <v>351.1</v>
      </c>
      <c r="G24" s="173">
        <f t="shared" si="3"/>
        <v>377.3</v>
      </c>
      <c r="H24" s="173">
        <f t="shared" si="3"/>
        <v>425.7</v>
      </c>
      <c r="I24" s="173">
        <f t="shared" si="7"/>
        <v>463</v>
      </c>
      <c r="J24" s="173">
        <f t="shared" si="7"/>
        <v>479</v>
      </c>
      <c r="K24" s="230">
        <f>$I$42</f>
        <v>487.2</v>
      </c>
      <c r="L24" s="173">
        <f>ROUND(+$K24*L$17,1)</f>
        <v>444.5</v>
      </c>
      <c r="M24" s="173">
        <f t="shared" si="4"/>
        <v>410.7</v>
      </c>
      <c r="N24" s="173">
        <f t="shared" si="4"/>
        <v>367.7</v>
      </c>
      <c r="O24" s="173">
        <f t="shared" si="4"/>
        <v>352.9</v>
      </c>
      <c r="P24" s="118">
        <f t="shared" ref="P24" si="9">SUM(D24:O24)</f>
        <v>4991.2999999999993</v>
      </c>
      <c r="Q24" s="111">
        <f t="shared" si="5"/>
        <v>8.2619586296056157E-3</v>
      </c>
      <c r="R24" s="101"/>
    </row>
    <row r="25" spans="1:18">
      <c r="B25" s="122"/>
      <c r="C25" s="119">
        <f t="shared" si="8"/>
        <v>2020</v>
      </c>
      <c r="D25" s="199">
        <f>$I$43</f>
        <v>432.7</v>
      </c>
      <c r="E25" s="173">
        <f>ROUND(+$K25*E$17,1)</f>
        <v>402.7</v>
      </c>
      <c r="F25" s="173">
        <f>ROUND(+$K25*F$17,1)</f>
        <v>352.2</v>
      </c>
      <c r="G25" s="173">
        <f t="shared" si="3"/>
        <v>378.5</v>
      </c>
      <c r="H25" s="173">
        <f t="shared" si="3"/>
        <v>427</v>
      </c>
      <c r="I25" s="173">
        <f t="shared" si="7"/>
        <v>464.4</v>
      </c>
      <c r="J25" s="173">
        <f t="shared" si="7"/>
        <v>480.5</v>
      </c>
      <c r="K25" s="230">
        <f>$I$44</f>
        <v>488.7</v>
      </c>
      <c r="L25" s="173">
        <f>ROUND(+$K25*L$17,1)</f>
        <v>445.9</v>
      </c>
      <c r="M25" s="173">
        <f t="shared" si="4"/>
        <v>412</v>
      </c>
      <c r="N25" s="173">
        <f t="shared" si="4"/>
        <v>368.8</v>
      </c>
      <c r="O25" s="173">
        <f t="shared" si="4"/>
        <v>354</v>
      </c>
      <c r="P25" s="118">
        <f t="shared" ref="P25" si="10">SUM(D25:O25)</f>
        <v>5007.4000000000005</v>
      </c>
      <c r="Q25" s="111">
        <f t="shared" ref="Q25" si="11">(+P25-P24)/P24</f>
        <v>3.2256125658648598E-3</v>
      </c>
      <c r="R25" s="101"/>
    </row>
    <row r="26" spans="1:18">
      <c r="A26" s="117"/>
      <c r="B26" s="116"/>
      <c r="C26" s="100"/>
      <c r="D26" s="97"/>
      <c r="E26" s="110"/>
      <c r="F26" s="110"/>
      <c r="G26" s="110"/>
      <c r="H26" s="110"/>
      <c r="I26" s="110"/>
      <c r="J26" s="97"/>
      <c r="K26" s="110"/>
      <c r="L26" s="110"/>
      <c r="M26" s="110"/>
      <c r="N26" s="110"/>
      <c r="O26" s="110"/>
      <c r="P26" s="101"/>
      <c r="Q26" s="78"/>
    </row>
    <row r="28" spans="1:18">
      <c r="A28" s="113" t="s">
        <v>130</v>
      </c>
      <c r="D28" s="72"/>
      <c r="E28" s="72"/>
      <c r="F28" s="72"/>
      <c r="G28" s="72"/>
      <c r="H28" s="72"/>
      <c r="I28" s="72"/>
      <c r="J28" s="253"/>
      <c r="K28" s="72"/>
      <c r="L28" s="72"/>
      <c r="M28" s="72"/>
      <c r="N28" s="72"/>
      <c r="O28" s="72"/>
      <c r="P28" s="72"/>
      <c r="Q28" s="68"/>
    </row>
    <row r="29" spans="1:18">
      <c r="J29" s="100" t="s">
        <v>372</v>
      </c>
    </row>
    <row r="30" spans="1:18">
      <c r="C30" s="224" t="s">
        <v>81</v>
      </c>
      <c r="D30" s="224" t="s">
        <v>82</v>
      </c>
      <c r="E30" s="224" t="s">
        <v>83</v>
      </c>
      <c r="F30" s="224" t="s">
        <v>84</v>
      </c>
      <c r="G30" s="224" t="s">
        <v>85</v>
      </c>
      <c r="H30" s="224" t="s">
        <v>86</v>
      </c>
      <c r="I30" s="224" t="s">
        <v>12</v>
      </c>
      <c r="J30" s="100" t="s">
        <v>371</v>
      </c>
    </row>
    <row r="31" spans="1:18">
      <c r="A31" s="100">
        <v>2015</v>
      </c>
      <c r="B31" s="224" t="s">
        <v>0</v>
      </c>
      <c r="C31" s="231">
        <v>179.2</v>
      </c>
      <c r="D31" s="231">
        <v>22.3</v>
      </c>
      <c r="E31" s="231">
        <v>19.3</v>
      </c>
      <c r="F31" s="231">
        <v>13.6</v>
      </c>
      <c r="G31" s="231">
        <v>87</v>
      </c>
      <c r="H31" s="231">
        <v>91.8</v>
      </c>
      <c r="I31" s="231">
        <f t="shared" ref="I31:I44" si="12">SUM(C31:H31)</f>
        <v>413.2</v>
      </c>
      <c r="J31" s="96">
        <f>(I31*(7/12)+I32*(5/12))</f>
        <v>435.95000000000005</v>
      </c>
    </row>
    <row r="32" spans="1:18">
      <c r="A32" s="100">
        <f>A31</f>
        <v>2015</v>
      </c>
      <c r="B32" s="224" t="s">
        <v>7</v>
      </c>
      <c r="C32" s="231">
        <v>166.8</v>
      </c>
      <c r="D32" s="231">
        <v>23.5</v>
      </c>
      <c r="E32" s="231">
        <v>20.5</v>
      </c>
      <c r="F32" s="231">
        <v>14.8</v>
      </c>
      <c r="G32" s="231">
        <v>135</v>
      </c>
      <c r="H32" s="231">
        <v>107.2</v>
      </c>
      <c r="I32" s="231">
        <f t="shared" si="12"/>
        <v>467.8</v>
      </c>
    </row>
    <row r="33" spans="1:12" ht="16.5" customHeight="1">
      <c r="A33" s="100">
        <f t="shared" ref="A33:A44" si="13">1+A31</f>
        <v>2016</v>
      </c>
      <c r="B33" s="224" t="s">
        <v>0</v>
      </c>
      <c r="C33" s="231">
        <v>180.9</v>
      </c>
      <c r="D33" s="231">
        <v>23</v>
      </c>
      <c r="E33" s="231">
        <v>19.5</v>
      </c>
      <c r="F33" s="231">
        <v>13.7</v>
      </c>
      <c r="G33" s="231">
        <v>87.5</v>
      </c>
      <c r="H33" s="231">
        <v>92.1</v>
      </c>
      <c r="I33" s="231">
        <f t="shared" si="12"/>
        <v>416.70000000000005</v>
      </c>
      <c r="J33" s="455">
        <f>(I33*(7/12)+I34*(5/12))</f>
        <v>439.49166666666667</v>
      </c>
    </row>
    <row r="34" spans="1:12">
      <c r="A34" s="100">
        <f t="shared" si="13"/>
        <v>2016</v>
      </c>
      <c r="B34" s="224" t="s">
        <v>7</v>
      </c>
      <c r="C34" s="231">
        <v>168.3</v>
      </c>
      <c r="D34" s="231">
        <v>24.2</v>
      </c>
      <c r="E34" s="231">
        <v>20.7</v>
      </c>
      <c r="F34" s="231">
        <v>14.8</v>
      </c>
      <c r="G34" s="231">
        <v>135.80000000000001</v>
      </c>
      <c r="H34" s="231">
        <v>107.6</v>
      </c>
      <c r="I34" s="231">
        <f t="shared" si="12"/>
        <v>471.4</v>
      </c>
      <c r="J34" s="455"/>
    </row>
    <row r="35" spans="1:12">
      <c r="A35" s="100">
        <f t="shared" si="13"/>
        <v>2017</v>
      </c>
      <c r="B35" s="224" t="s">
        <v>0</v>
      </c>
      <c r="C35" s="231">
        <v>182.5</v>
      </c>
      <c r="D35" s="231">
        <v>23.6</v>
      </c>
      <c r="E35" s="231">
        <v>19.7</v>
      </c>
      <c r="F35" s="231">
        <v>13.7</v>
      </c>
      <c r="G35" s="231">
        <v>88</v>
      </c>
      <c r="H35" s="231">
        <v>92.7</v>
      </c>
      <c r="I35" s="231">
        <f t="shared" si="12"/>
        <v>420.2</v>
      </c>
      <c r="J35" s="455">
        <f>(I35*(7/12)+I36*(5/12))</f>
        <v>443.11666666666667</v>
      </c>
    </row>
    <row r="36" spans="1:12">
      <c r="A36" s="100">
        <f t="shared" si="13"/>
        <v>2017</v>
      </c>
      <c r="B36" s="224" t="s">
        <v>7</v>
      </c>
      <c r="C36" s="231">
        <v>169.8</v>
      </c>
      <c r="D36" s="231">
        <v>24.8</v>
      </c>
      <c r="E36" s="231">
        <v>20.9</v>
      </c>
      <c r="F36" s="231">
        <v>14.9</v>
      </c>
      <c r="G36" s="231">
        <v>136.5</v>
      </c>
      <c r="H36" s="231">
        <v>108.3</v>
      </c>
      <c r="I36" s="231">
        <f t="shared" si="12"/>
        <v>475.20000000000005</v>
      </c>
      <c r="J36" s="455"/>
    </row>
    <row r="37" spans="1:12">
      <c r="A37" s="100">
        <f t="shared" si="13"/>
        <v>2018</v>
      </c>
      <c r="B37" s="224" t="s">
        <v>0</v>
      </c>
      <c r="C37" s="231">
        <v>184</v>
      </c>
      <c r="D37" s="231">
        <v>24.2</v>
      </c>
      <c r="E37" s="231">
        <v>19.899999999999999</v>
      </c>
      <c r="F37" s="231">
        <v>13.8</v>
      </c>
      <c r="G37" s="231">
        <v>88.6</v>
      </c>
      <c r="H37" s="231">
        <v>93.3</v>
      </c>
      <c r="I37" s="231">
        <f t="shared" si="12"/>
        <v>423.8</v>
      </c>
      <c r="J37" s="455">
        <f>(I37*(7/12)+I38*(5/12))</f>
        <v>446.8416666666667</v>
      </c>
    </row>
    <row r="38" spans="1:12">
      <c r="A38" s="100">
        <f t="shared" si="13"/>
        <v>2018</v>
      </c>
      <c r="B38" s="224" t="s">
        <v>7</v>
      </c>
      <c r="C38" s="231">
        <v>171.2</v>
      </c>
      <c r="D38" s="231">
        <v>25.4</v>
      </c>
      <c r="E38" s="231">
        <v>21.1</v>
      </c>
      <c r="F38" s="231">
        <v>15</v>
      </c>
      <c r="G38" s="231">
        <v>137.4</v>
      </c>
      <c r="H38" s="231">
        <v>109</v>
      </c>
      <c r="I38" s="231">
        <f t="shared" si="12"/>
        <v>479.1</v>
      </c>
      <c r="J38" s="455"/>
    </row>
    <row r="39" spans="1:12">
      <c r="A39" s="100">
        <f t="shared" si="13"/>
        <v>2019</v>
      </c>
      <c r="B39" s="224" t="s">
        <v>0</v>
      </c>
      <c r="C39" s="231">
        <v>185.4</v>
      </c>
      <c r="D39" s="231">
        <v>24.7</v>
      </c>
      <c r="E39" s="231">
        <v>20.100000000000001</v>
      </c>
      <c r="F39" s="231">
        <v>13.9</v>
      </c>
      <c r="G39" s="231">
        <v>89.2</v>
      </c>
      <c r="H39" s="231">
        <v>93.9</v>
      </c>
      <c r="I39" s="231">
        <f t="shared" si="12"/>
        <v>427.20000000000005</v>
      </c>
      <c r="J39" s="455">
        <f>(I39*(7/12)+I40*(5/12))</f>
        <v>450.53333333333342</v>
      </c>
    </row>
    <row r="40" spans="1:12">
      <c r="A40" s="100">
        <f t="shared" si="13"/>
        <v>2019</v>
      </c>
      <c r="B40" s="224" t="s">
        <v>7</v>
      </c>
      <c r="C40" s="231">
        <v>172.6</v>
      </c>
      <c r="D40" s="231">
        <v>26</v>
      </c>
      <c r="E40" s="231">
        <v>21.3</v>
      </c>
      <c r="F40" s="231">
        <v>15.1</v>
      </c>
      <c r="G40" s="231">
        <v>138.4</v>
      </c>
      <c r="H40" s="231">
        <v>109.8</v>
      </c>
      <c r="I40" s="231">
        <f t="shared" si="12"/>
        <v>483.2</v>
      </c>
      <c r="J40" s="455"/>
    </row>
    <row r="41" spans="1:12">
      <c r="A41" s="100">
        <f t="shared" si="13"/>
        <v>2020</v>
      </c>
      <c r="B41" s="224" t="s">
        <v>0</v>
      </c>
      <c r="C41" s="231">
        <v>186.9</v>
      </c>
      <c r="D41" s="231">
        <v>25.2</v>
      </c>
      <c r="E41" s="231">
        <v>20.2</v>
      </c>
      <c r="F41" s="231">
        <v>14</v>
      </c>
      <c r="G41" s="231">
        <v>89.9</v>
      </c>
      <c r="H41" s="231">
        <v>94.5</v>
      </c>
      <c r="I41" s="231">
        <f t="shared" si="12"/>
        <v>430.7</v>
      </c>
      <c r="J41" s="455">
        <f>(I41*(7/12)+I42*(5/12))</f>
        <v>454.24166666666667</v>
      </c>
    </row>
    <row r="42" spans="1:12">
      <c r="A42" s="100">
        <f t="shared" si="13"/>
        <v>2020</v>
      </c>
      <c r="B42" s="224" t="s">
        <v>7</v>
      </c>
      <c r="C42" s="231">
        <v>174</v>
      </c>
      <c r="D42" s="231">
        <v>26.6</v>
      </c>
      <c r="E42" s="231">
        <v>21.5</v>
      </c>
      <c r="F42" s="231">
        <v>15.2</v>
      </c>
      <c r="G42" s="231">
        <v>139.4</v>
      </c>
      <c r="H42" s="231">
        <v>110.5</v>
      </c>
      <c r="I42" s="231">
        <f t="shared" si="12"/>
        <v>487.2</v>
      </c>
      <c r="J42" s="455"/>
    </row>
    <row r="43" spans="1:12">
      <c r="A43" s="100">
        <f t="shared" si="13"/>
        <v>2021</v>
      </c>
      <c r="B43" s="224" t="s">
        <v>0</v>
      </c>
      <c r="C43" s="231">
        <v>186.9</v>
      </c>
      <c r="D43" s="231">
        <v>25.2</v>
      </c>
      <c r="E43" s="231">
        <v>20.2</v>
      </c>
      <c r="F43" s="231">
        <v>14</v>
      </c>
      <c r="G43" s="231">
        <v>89.9</v>
      </c>
      <c r="H43" s="231">
        <v>96.5</v>
      </c>
      <c r="I43" s="231">
        <f t="shared" si="12"/>
        <v>432.7</v>
      </c>
      <c r="J43" s="455">
        <f>(I43*(7/12)+I44*(5/12))</f>
        <v>456.0333333333333</v>
      </c>
    </row>
    <row r="44" spans="1:12">
      <c r="A44" s="100">
        <f t="shared" si="13"/>
        <v>2021</v>
      </c>
      <c r="B44" s="224" t="s">
        <v>7</v>
      </c>
      <c r="C44" s="231">
        <v>174</v>
      </c>
      <c r="D44" s="231">
        <v>26.6</v>
      </c>
      <c r="E44" s="231">
        <v>21.5</v>
      </c>
      <c r="F44" s="231">
        <v>15.2</v>
      </c>
      <c r="G44" s="231">
        <v>139.4</v>
      </c>
      <c r="H44" s="231">
        <v>112</v>
      </c>
      <c r="I44" s="231">
        <f t="shared" si="12"/>
        <v>488.7</v>
      </c>
    </row>
    <row r="45" spans="1:12">
      <c r="K45" s="454"/>
      <c r="L45" s="454"/>
    </row>
    <row r="47" spans="1:12">
      <c r="A47" s="96" t="s">
        <v>276</v>
      </c>
    </row>
    <row r="49" spans="1:14">
      <c r="A49" s="387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</row>
    <row r="50" spans="1:14" ht="17.399999999999999">
      <c r="A50" s="388" t="s">
        <v>296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</row>
    <row r="51" spans="1:14" ht="17.399999999999999">
      <c r="A51" s="389" t="s">
        <v>297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</row>
    <row r="52" spans="1:14" ht="17.399999999999999">
      <c r="A52" s="388" t="s">
        <v>298</v>
      </c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</row>
    <row r="53" spans="1:14" ht="17.399999999999999">
      <c r="A53" s="389" t="s">
        <v>299</v>
      </c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</row>
    <row r="54" spans="1:14" ht="17.399999999999999">
      <c r="A54" s="388" t="s">
        <v>300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</row>
    <row r="55" spans="1:14" ht="17.399999999999999">
      <c r="A55" s="388" t="s">
        <v>301</v>
      </c>
      <c r="B55" s="387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</row>
    <row r="56" spans="1:14" ht="17.399999999999999">
      <c r="A56" s="388" t="s">
        <v>302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</row>
    <row r="57" spans="1:14" ht="17.399999999999999">
      <c r="A57" s="390" t="s">
        <v>303</v>
      </c>
      <c r="B57" s="387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</row>
    <row r="58" spans="1:14" ht="17.399999999999999">
      <c r="A58" s="390" t="s">
        <v>304</v>
      </c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</row>
    <row r="59" spans="1:14">
      <c r="A59" s="387"/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</row>
  </sheetData>
  <phoneticPr fontId="28" type="noConversion"/>
  <hyperlinks>
    <hyperlink ref="M4" r:id="rId1"/>
  </hyperlinks>
  <pageMargins left="0.31" right="0.18" top="0.7" bottom="0.52" header="0.49" footer="0.3"/>
  <pageSetup scale="94" orientation="landscape" r:id="rId2"/>
  <headerFooter alignWithMargins="0">
    <oddHeader>&amp;A</oddHeader>
    <oddFooter>&amp;Z&amp;F</oddFooter>
  </headerFooter>
  <ignoredErrors>
    <ignoredError sqref="K20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Q26"/>
  <sheetViews>
    <sheetView zoomScaleNormal="100" zoomScaleSheetLayoutView="90" workbookViewId="0">
      <selection activeCell="A2" sqref="A2"/>
    </sheetView>
  </sheetViews>
  <sheetFormatPr defaultColWidth="8" defaultRowHeight="13.2"/>
  <cols>
    <col min="1" max="1" width="10.6640625" style="68" customWidth="1"/>
    <col min="2" max="2" width="8.77734375" style="68" customWidth="1"/>
    <col min="3" max="3" width="9.77734375" style="68" customWidth="1"/>
    <col min="4" max="4" width="10.77734375" style="68" customWidth="1"/>
    <col min="5" max="5" width="9.88671875" style="68" customWidth="1"/>
    <col min="6" max="6" width="9.21875" style="68" customWidth="1"/>
    <col min="7" max="8" width="10.109375" style="68" customWidth="1"/>
    <col min="9" max="9" width="9.88671875" style="68" customWidth="1"/>
    <col min="10" max="10" width="11.109375" style="68" customWidth="1"/>
    <col min="11" max="12" width="10.21875" style="68" customWidth="1"/>
    <col min="13" max="13" width="10.6640625" style="68" customWidth="1"/>
    <col min="14" max="14" width="11.21875" style="68" customWidth="1"/>
    <col min="15" max="15" width="7.33203125" style="68" customWidth="1"/>
    <col min="16" max="16" width="8.109375" style="68" customWidth="1"/>
    <col min="17" max="17" width="6.77734375" style="68" customWidth="1"/>
    <col min="18" max="16384" width="8" style="68"/>
  </cols>
  <sheetData>
    <row r="1" spans="1:17">
      <c r="A1" s="482" t="s">
        <v>488</v>
      </c>
    </row>
    <row r="2" spans="1:17">
      <c r="A2" s="482" t="s">
        <v>458</v>
      </c>
    </row>
    <row r="4" spans="1:17" ht="15.6">
      <c r="A4" s="115" t="s">
        <v>374</v>
      </c>
    </row>
    <row r="5" spans="1:17" ht="13.8">
      <c r="A5" s="69" t="s">
        <v>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7" spans="1:17">
      <c r="A7" s="114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7">
      <c r="A8" s="71" t="s">
        <v>60</v>
      </c>
      <c r="B8" s="73" t="s">
        <v>61</v>
      </c>
      <c r="C8" s="73" t="s">
        <v>62</v>
      </c>
      <c r="D8" s="73" t="s">
        <v>63</v>
      </c>
      <c r="E8" s="73" t="s">
        <v>64</v>
      </c>
      <c r="F8" s="73" t="s">
        <v>4</v>
      </c>
      <c r="G8" s="73" t="s">
        <v>65</v>
      </c>
      <c r="H8" s="73" t="s">
        <v>66</v>
      </c>
      <c r="I8" s="73" t="s">
        <v>67</v>
      </c>
      <c r="J8" s="73" t="s">
        <v>68</v>
      </c>
      <c r="K8" s="73" t="s">
        <v>69</v>
      </c>
      <c r="L8" s="73" t="s">
        <v>70</v>
      </c>
      <c r="M8" s="73" t="s">
        <v>71</v>
      </c>
      <c r="N8" s="73" t="s">
        <v>12</v>
      </c>
      <c r="P8" s="176"/>
    </row>
    <row r="9" spans="1:17">
      <c r="A9" s="74"/>
      <c r="B9" s="75"/>
      <c r="C9" s="75"/>
      <c r="D9" s="75"/>
      <c r="E9" s="75"/>
      <c r="F9" s="76"/>
      <c r="G9" s="76"/>
      <c r="H9" s="76"/>
      <c r="I9" s="76"/>
      <c r="J9" s="76"/>
      <c r="K9" s="159"/>
      <c r="L9" s="159"/>
      <c r="M9" s="159"/>
      <c r="N9" s="77"/>
      <c r="O9" s="78"/>
    </row>
    <row r="10" spans="1:17">
      <c r="A10" s="74">
        <v>2009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79">
        <f t="shared" ref="N10:N12" si="0">SUM(B10:M10)</f>
        <v>0</v>
      </c>
      <c r="O10" s="80"/>
    </row>
    <row r="11" spans="1:17">
      <c r="A11" s="74">
        <v>2010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79">
        <f t="shared" si="0"/>
        <v>0</v>
      </c>
      <c r="O11" s="80"/>
      <c r="P11" s="175"/>
    </row>
    <row r="12" spans="1:17">
      <c r="A12" s="74">
        <v>2011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79">
        <f t="shared" si="0"/>
        <v>0</v>
      </c>
      <c r="O12" s="80"/>
      <c r="P12" s="184"/>
      <c r="Q12" s="185"/>
    </row>
    <row r="13" spans="1:17">
      <c r="A13" s="74">
        <v>2014</v>
      </c>
      <c r="B13" s="369">
        <v>552.99799999999982</v>
      </c>
      <c r="C13" s="369">
        <v>462.31599999999975</v>
      </c>
      <c r="D13" s="369">
        <v>397.6810000000001</v>
      </c>
      <c r="E13" s="369">
        <v>374.61800000000017</v>
      </c>
      <c r="F13" s="369">
        <v>421.06300000000022</v>
      </c>
      <c r="G13" s="369">
        <v>458.19299999999953</v>
      </c>
      <c r="H13" s="369">
        <v>454.65300000000002</v>
      </c>
      <c r="I13" s="369">
        <v>458.30700000000013</v>
      </c>
      <c r="J13" s="369">
        <v>427.15800000000007</v>
      </c>
      <c r="K13" s="369">
        <v>395.16100000000006</v>
      </c>
      <c r="L13" s="369">
        <v>339.74000000000041</v>
      </c>
      <c r="M13" s="369">
        <v>463.47400000000039</v>
      </c>
      <c r="N13" s="79">
        <f t="shared" ref="N13:N19" si="1">SUM(B13:M13)</f>
        <v>5205.362000000001</v>
      </c>
      <c r="O13" s="278"/>
      <c r="P13" s="255"/>
      <c r="Q13" s="185"/>
    </row>
    <row r="14" spans="1:17">
      <c r="A14" s="74">
        <f>A13+1</f>
        <v>2015</v>
      </c>
      <c r="B14" s="342">
        <v>566.81999999999982</v>
      </c>
      <c r="C14" s="342">
        <v>462.31599999999975</v>
      </c>
      <c r="D14" s="342">
        <v>397.6810000000001</v>
      </c>
      <c r="E14" s="342">
        <v>374.61800000000017</v>
      </c>
      <c r="F14" s="342">
        <v>421.06300000000022</v>
      </c>
      <c r="G14" s="342">
        <v>458.19299999999953</v>
      </c>
      <c r="H14" s="342">
        <v>454.65300000000002</v>
      </c>
      <c r="I14" s="342">
        <v>458.30700000000013</v>
      </c>
      <c r="J14" s="342">
        <v>427.15800000000007</v>
      </c>
      <c r="K14" s="342">
        <v>395.16100000000006</v>
      </c>
      <c r="L14" s="342">
        <v>339.74000000000041</v>
      </c>
      <c r="M14" s="342">
        <v>463.47400000000039</v>
      </c>
      <c r="N14" s="79">
        <f t="shared" si="1"/>
        <v>5219.1840000000011</v>
      </c>
      <c r="O14" s="278">
        <f>(+N14-N13)/N13</f>
        <v>2.6553388601984096E-3</v>
      </c>
      <c r="P14" s="255"/>
      <c r="Q14" s="185"/>
    </row>
    <row r="15" spans="1:17">
      <c r="A15" s="74">
        <f t="shared" ref="A15:A18" si="2">A14+1</f>
        <v>2016</v>
      </c>
      <c r="B15" s="342">
        <v>521.46600000000001</v>
      </c>
      <c r="C15" s="342">
        <v>427.42200000000003</v>
      </c>
      <c r="D15" s="342">
        <v>381.26</v>
      </c>
      <c r="E15" s="342">
        <v>360.52100000000002</v>
      </c>
      <c r="F15" s="342">
        <v>409.18299999999999</v>
      </c>
      <c r="G15" s="342">
        <v>442.77</v>
      </c>
      <c r="H15" s="342">
        <v>439.07100000000003</v>
      </c>
      <c r="I15" s="342">
        <v>438.15899999999999</v>
      </c>
      <c r="J15" s="342">
        <v>443.17</v>
      </c>
      <c r="K15" s="342">
        <v>384.14699999999999</v>
      </c>
      <c r="L15" s="342">
        <v>371.04700000000003</v>
      </c>
      <c r="M15" s="342">
        <v>401.928</v>
      </c>
      <c r="N15" s="79">
        <f t="shared" si="1"/>
        <v>5020.1440000000002</v>
      </c>
      <c r="O15" s="278">
        <f t="shared" ref="O15:O19" si="3">(+N15-N14)/N14</f>
        <v>-3.8136229724800054E-2</v>
      </c>
      <c r="P15" s="255"/>
      <c r="Q15" s="185"/>
    </row>
    <row r="16" spans="1:17">
      <c r="A16" s="74">
        <f t="shared" si="2"/>
        <v>2017</v>
      </c>
      <c r="B16" s="342">
        <v>531.21600000000001</v>
      </c>
      <c r="C16" s="342">
        <v>421.803</v>
      </c>
      <c r="D16" s="342">
        <v>388.04199999999997</v>
      </c>
      <c r="E16" s="342">
        <v>367.173</v>
      </c>
      <c r="F16" s="342">
        <v>415.66300000000001</v>
      </c>
      <c r="G16" s="342">
        <v>449.99</v>
      </c>
      <c r="H16" s="342">
        <v>446.39800000000002</v>
      </c>
      <c r="I16" s="342">
        <v>445.351</v>
      </c>
      <c r="J16" s="342">
        <v>450.61099999999999</v>
      </c>
      <c r="K16" s="342">
        <v>390.875</v>
      </c>
      <c r="L16" s="342">
        <v>377.08199999999999</v>
      </c>
      <c r="M16" s="342">
        <v>408.35</v>
      </c>
      <c r="N16" s="79">
        <f t="shared" si="1"/>
        <v>5092.5540000000001</v>
      </c>
      <c r="O16" s="278">
        <f t="shared" si="3"/>
        <v>1.4423889035852329E-2</v>
      </c>
      <c r="P16" s="255"/>
      <c r="Q16" s="185"/>
    </row>
    <row r="17" spans="1:17">
      <c r="A17" s="74">
        <f t="shared" si="2"/>
        <v>2018</v>
      </c>
      <c r="B17" s="342">
        <v>545.05899999999997</v>
      </c>
      <c r="C17" s="342">
        <v>434.33499999999998</v>
      </c>
      <c r="D17" s="342">
        <v>399.322</v>
      </c>
      <c r="E17" s="342">
        <v>378.072</v>
      </c>
      <c r="F17" s="342">
        <v>426.78800000000001</v>
      </c>
      <c r="G17" s="342">
        <v>458.51499999999999</v>
      </c>
      <c r="H17" s="342">
        <v>454.93900000000002</v>
      </c>
      <c r="I17" s="342">
        <v>453.51100000000002</v>
      </c>
      <c r="J17" s="342">
        <v>459.48</v>
      </c>
      <c r="K17" s="342">
        <v>399.42099999999999</v>
      </c>
      <c r="L17" s="342">
        <v>385.00900000000001</v>
      </c>
      <c r="M17" s="342">
        <v>416.52199999999999</v>
      </c>
      <c r="N17" s="79">
        <f t="shared" si="1"/>
        <v>5210.973</v>
      </c>
      <c r="O17" s="278">
        <f t="shared" si="3"/>
        <v>2.3253361672748069E-2</v>
      </c>
      <c r="P17" s="255"/>
      <c r="Q17" s="185"/>
    </row>
    <row r="18" spans="1:17">
      <c r="A18" s="74">
        <f t="shared" si="2"/>
        <v>2019</v>
      </c>
      <c r="B18" s="342">
        <v>550.64400000000001</v>
      </c>
      <c r="C18" s="342">
        <v>438.91699999999997</v>
      </c>
      <c r="D18" s="342">
        <v>403.13799999999998</v>
      </c>
      <c r="E18" s="342">
        <v>382.06</v>
      </c>
      <c r="F18" s="342">
        <v>431.17</v>
      </c>
      <c r="G18" s="342">
        <v>465.68700000000001</v>
      </c>
      <c r="H18" s="342">
        <v>462.08100000000002</v>
      </c>
      <c r="I18" s="342">
        <v>460.59100000000001</v>
      </c>
      <c r="J18" s="342">
        <v>467.00099999999998</v>
      </c>
      <c r="K18" s="342">
        <v>406.07100000000003</v>
      </c>
      <c r="L18" s="342">
        <v>391.35700000000003</v>
      </c>
      <c r="M18" s="342">
        <v>423.45800000000003</v>
      </c>
      <c r="N18" s="79">
        <f t="shared" si="1"/>
        <v>5282.1749999999993</v>
      </c>
      <c r="O18" s="278">
        <f t="shared" si="3"/>
        <v>1.3663858937668515E-2</v>
      </c>
      <c r="P18" s="255"/>
      <c r="Q18" s="185"/>
    </row>
    <row r="19" spans="1:17">
      <c r="A19" s="425">
        <v>2020</v>
      </c>
      <c r="B19" s="342">
        <v>559.34</v>
      </c>
      <c r="C19" s="342">
        <v>460.654</v>
      </c>
      <c r="D19" s="342">
        <v>409.49400000000003</v>
      </c>
      <c r="E19" s="342">
        <v>388.30099999999999</v>
      </c>
      <c r="F19" s="342">
        <v>437.99599999999998</v>
      </c>
      <c r="G19" s="342">
        <v>472.66199999999998</v>
      </c>
      <c r="H19" s="342">
        <v>468.94099999999997</v>
      </c>
      <c r="I19" s="342">
        <v>467.39499999999998</v>
      </c>
      <c r="J19" s="342">
        <v>474.21800000000002</v>
      </c>
      <c r="K19" s="342">
        <v>412.52699999999999</v>
      </c>
      <c r="L19" s="342">
        <v>397.48899999999998</v>
      </c>
      <c r="M19" s="342">
        <v>430.09800000000001</v>
      </c>
      <c r="N19" s="79">
        <f t="shared" si="1"/>
        <v>5379.1149999999989</v>
      </c>
      <c r="O19" s="278">
        <f t="shared" si="3"/>
        <v>1.8352288593240399E-2</v>
      </c>
      <c r="P19" s="255"/>
      <c r="Q19" s="185"/>
    </row>
    <row r="20" spans="1:17" ht="21">
      <c r="A20" s="233" t="s">
        <v>355</v>
      </c>
      <c r="B20" s="81">
        <f>(B13-B18)/B18/6</f>
        <v>7.1249906170466287E-4</v>
      </c>
      <c r="C20" s="81">
        <f t="shared" ref="C20:M20" si="4">(C13-C18)/C18/6</f>
        <v>8.8851271045170179E-3</v>
      </c>
      <c r="D20" s="81">
        <f t="shared" si="4"/>
        <v>-2.2560512777261882E-3</v>
      </c>
      <c r="E20" s="81">
        <f t="shared" si="4"/>
        <v>-3.24643598736666E-3</v>
      </c>
      <c r="F20" s="81">
        <f t="shared" si="4"/>
        <v>-3.9068116984019453E-3</v>
      </c>
      <c r="G20" s="81">
        <f t="shared" si="4"/>
        <v>-2.6820589795293419E-3</v>
      </c>
      <c r="H20" s="81">
        <f t="shared" si="4"/>
        <v>-2.6791839525970545E-3</v>
      </c>
      <c r="I20" s="81">
        <f t="shared" si="4"/>
        <v>-8.2647439195869304E-4</v>
      </c>
      <c r="J20" s="81">
        <f t="shared" si="4"/>
        <v>-1.4219455632857285E-2</v>
      </c>
      <c r="K20" s="81">
        <f t="shared" si="4"/>
        <v>-4.4778704545099949E-3</v>
      </c>
      <c r="L20" s="81">
        <f t="shared" si="4"/>
        <v>-2.1982060710127246E-2</v>
      </c>
      <c r="M20" s="81">
        <f t="shared" si="4"/>
        <v>1.5749692610207842E-2</v>
      </c>
      <c r="N20" s="81">
        <f>(N16-N17)/N17/8</f>
        <v>-2.8406163301939935E-3</v>
      </c>
      <c r="O20" s="82"/>
      <c r="P20" s="254"/>
    </row>
    <row r="21" spans="1:17">
      <c r="A21" s="83"/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82"/>
    </row>
    <row r="22" spans="1:17">
      <c r="A22" s="200"/>
      <c r="B22" s="201"/>
      <c r="C22" s="200"/>
      <c r="D22" s="200"/>
      <c r="G22" s="72"/>
      <c r="H22" s="72"/>
      <c r="I22" s="72"/>
      <c r="J22" s="72"/>
      <c r="K22" s="72"/>
      <c r="L22" s="72"/>
      <c r="M22" s="72"/>
      <c r="N22" s="72"/>
    </row>
    <row r="23" spans="1:17">
      <c r="A23" s="340"/>
      <c r="B23" s="256" t="s">
        <v>354</v>
      </c>
      <c r="C23" s="72"/>
      <c r="D23" s="72"/>
      <c r="E23" s="72"/>
      <c r="F23" s="72"/>
      <c r="P23" s="254"/>
    </row>
    <row r="24" spans="1:17">
      <c r="A24" s="341"/>
      <c r="B24" s="256" t="s">
        <v>204</v>
      </c>
    </row>
    <row r="25" spans="1:17">
      <c r="N25" s="93"/>
      <c r="O25" s="92"/>
    </row>
    <row r="26" spans="1:17">
      <c r="N26" s="94"/>
      <c r="O26" s="92"/>
    </row>
  </sheetData>
  <phoneticPr fontId="28" type="noConversion"/>
  <pageMargins left="0" right="0" top="0.95" bottom="0.82" header="0.56999999999999995" footer="0.46"/>
  <pageSetup scale="84" orientation="landscape" r:id="rId1"/>
  <headerFooter alignWithMargins="0">
    <oddHeader>&amp;A</oddHeader>
    <oddFooter>&amp;Z&amp;F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00B050"/>
  </sheetPr>
  <dimension ref="A1:R106"/>
  <sheetViews>
    <sheetView zoomScale="85" zoomScaleNormal="85" zoomScaleSheetLayoutView="100" workbookViewId="0">
      <pane xSplit="1" ySplit="5" topLeftCell="B6" activePane="bottomRight" state="frozen"/>
      <selection sqref="A1:XFD1428"/>
      <selection pane="topRight" sqref="A1:XFD1428"/>
      <selection pane="bottomLeft" sqref="A1:XFD1428"/>
      <selection pane="bottomRight" activeCell="A2" sqref="A2"/>
    </sheetView>
  </sheetViews>
  <sheetFormatPr defaultColWidth="9" defaultRowHeight="12"/>
  <cols>
    <col min="1" max="1" width="25.88671875" style="21" customWidth="1"/>
    <col min="2" max="2" width="8.77734375" style="21" customWidth="1"/>
    <col min="3" max="3" width="9.6640625" style="21" customWidth="1"/>
    <col min="4" max="4" width="8.77734375" style="21" customWidth="1"/>
    <col min="5" max="5" width="8.44140625" style="21" customWidth="1"/>
    <col min="6" max="6" width="8.109375" style="21" customWidth="1"/>
    <col min="7" max="7" width="8" style="21" customWidth="1"/>
    <col min="8" max="9" width="8.21875" style="21" customWidth="1"/>
    <col min="10" max="10" width="8" style="21" customWidth="1"/>
    <col min="11" max="11" width="8.109375" style="21" customWidth="1"/>
    <col min="12" max="12" width="8.21875" style="21" customWidth="1"/>
    <col min="13" max="13" width="8.6640625" style="21" customWidth="1"/>
    <col min="14" max="14" width="9.77734375" style="21" customWidth="1"/>
    <col min="15" max="16384" width="9" style="21"/>
  </cols>
  <sheetData>
    <row r="1" spans="1:18" ht="12.6">
      <c r="A1" s="482" t="s">
        <v>489</v>
      </c>
    </row>
    <row r="2" spans="1:18" s="15" customFormat="1" ht="13.8">
      <c r="A2" s="482" t="s">
        <v>458</v>
      </c>
      <c r="B2" s="13">
        <f ca="1">TRUNC(NOW())</f>
        <v>42476</v>
      </c>
      <c r="C2" s="14"/>
      <c r="D2" s="16" t="s">
        <v>15</v>
      </c>
      <c r="E2" s="46"/>
      <c r="F2" s="14"/>
      <c r="G2" s="14"/>
      <c r="H2" s="14"/>
      <c r="I2" s="14"/>
      <c r="J2" s="14"/>
      <c r="K2" s="14"/>
      <c r="L2" s="14"/>
      <c r="M2" s="14"/>
      <c r="N2" s="14"/>
      <c r="O2" s="14" t="s">
        <v>275</v>
      </c>
      <c r="P2" s="14"/>
      <c r="Q2" s="14"/>
      <c r="R2" s="14"/>
    </row>
    <row r="3" spans="1:18" s="15" customFormat="1" ht="13.8">
      <c r="A3" s="16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15" customFormat="1" ht="13.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  <c r="Q4" s="14"/>
      <c r="R4" s="14"/>
    </row>
    <row r="5" spans="1:18" s="15" customFormat="1" ht="13.8">
      <c r="A5" s="22" t="s">
        <v>18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</row>
    <row r="6" spans="1:18" s="19" customFormat="1">
      <c r="P6" s="21"/>
    </row>
    <row r="7" spans="1:18" s="19" customFormat="1" ht="10.199999999999999">
      <c r="A7" s="25"/>
      <c r="B7" s="23" t="s">
        <v>0</v>
      </c>
      <c r="C7" s="23" t="s">
        <v>1</v>
      </c>
      <c r="D7" s="23" t="s">
        <v>2</v>
      </c>
      <c r="E7" s="23" t="s">
        <v>3</v>
      </c>
      <c r="F7" s="23" t="s">
        <v>4</v>
      </c>
      <c r="G7" s="23" t="s">
        <v>5</v>
      </c>
      <c r="H7" s="23" t="s">
        <v>6</v>
      </c>
      <c r="I7" s="23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 t="s">
        <v>12</v>
      </c>
    </row>
    <row r="8" spans="1:18" s="19" customFormat="1" ht="10.199999999999999">
      <c r="A8" s="261">
        <v>2014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8" s="19" customFormat="1" ht="10.199999999999999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8" s="19" customFormat="1" ht="13.2">
      <c r="A10" s="22" t="s">
        <v>19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8" s="19" customFormat="1" ht="10.199999999999999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8" s="19" customFormat="1" ht="10.199999999999999">
      <c r="A12" s="25" t="s">
        <v>51</v>
      </c>
    </row>
    <row r="13" spans="1:18" s="19" customFormat="1" ht="10.199999999999999">
      <c r="A13" s="26" t="s">
        <v>48</v>
      </c>
      <c r="B13" s="27">
        <f>'SECI Network'!B11</f>
        <v>0</v>
      </c>
      <c r="C13" s="27">
        <f>'SECI Network'!C11</f>
        <v>0</v>
      </c>
      <c r="D13" s="27">
        <f>'SECI Network'!D11</f>
        <v>0</v>
      </c>
      <c r="E13" s="27">
        <f>'SECI Network'!E11</f>
        <v>0</v>
      </c>
      <c r="F13" s="27">
        <f>'SECI Network'!F11</f>
        <v>0</v>
      </c>
      <c r="G13" s="27">
        <f>'SECI Network'!G11</f>
        <v>0</v>
      </c>
      <c r="H13" s="27">
        <f>'SECI Network'!H11</f>
        <v>0</v>
      </c>
      <c r="I13" s="27">
        <f>'SECI Network'!I11</f>
        <v>0</v>
      </c>
      <c r="J13" s="27">
        <f>'SECI Network'!J11</f>
        <v>0</v>
      </c>
      <c r="K13" s="27">
        <f>'SECI Network'!K11</f>
        <v>0</v>
      </c>
      <c r="L13" s="27">
        <f>'SECI Network'!L11</f>
        <v>0</v>
      </c>
      <c r="M13" s="27">
        <f>'SECI Network'!M11</f>
        <v>0</v>
      </c>
      <c r="N13" s="20">
        <f>SUM(B13:M13)</f>
        <v>0</v>
      </c>
    </row>
    <row r="14" spans="1:18" s="19" customFormat="1" ht="10.199999999999999">
      <c r="A14" s="26" t="s">
        <v>49</v>
      </c>
      <c r="B14" s="34">
        <f>B15-B13</f>
        <v>552997.99999999977</v>
      </c>
      <c r="C14" s="34">
        <f t="shared" ref="C14:M14" si="0">C15-C13</f>
        <v>462315.99999999977</v>
      </c>
      <c r="D14" s="34">
        <f t="shared" si="0"/>
        <v>397681.00000000012</v>
      </c>
      <c r="E14" s="34">
        <f t="shared" si="0"/>
        <v>374618.00000000017</v>
      </c>
      <c r="F14" s="34">
        <f t="shared" si="0"/>
        <v>421063.00000000023</v>
      </c>
      <c r="G14" s="34">
        <f t="shared" si="0"/>
        <v>458192.99999999953</v>
      </c>
      <c r="H14" s="34">
        <f t="shared" si="0"/>
        <v>454653</v>
      </c>
      <c r="I14" s="34">
        <f t="shared" si="0"/>
        <v>458307.00000000012</v>
      </c>
      <c r="J14" s="34">
        <f t="shared" si="0"/>
        <v>427158.00000000006</v>
      </c>
      <c r="K14" s="34">
        <f t="shared" si="0"/>
        <v>395161.00000000006</v>
      </c>
      <c r="L14" s="34">
        <f t="shared" si="0"/>
        <v>339740.00000000041</v>
      </c>
      <c r="M14" s="34">
        <f t="shared" si="0"/>
        <v>463474.00000000041</v>
      </c>
      <c r="N14" s="20">
        <f>SUM(B14:M14)</f>
        <v>5205362</v>
      </c>
    </row>
    <row r="15" spans="1:18" s="28" customFormat="1">
      <c r="A15" s="26" t="s">
        <v>47</v>
      </c>
      <c r="B15" s="144">
        <f>'SECI Network'!B13</f>
        <v>552997.99999999977</v>
      </c>
      <c r="C15" s="144">
        <f>'SECI Network'!C13</f>
        <v>462315.99999999977</v>
      </c>
      <c r="D15" s="144">
        <f>'SECI Network'!D13</f>
        <v>397681.00000000012</v>
      </c>
      <c r="E15" s="144">
        <f>'SECI Network'!E13</f>
        <v>374618.00000000017</v>
      </c>
      <c r="F15" s="144">
        <f>'SECI Network'!F13</f>
        <v>421063.00000000023</v>
      </c>
      <c r="G15" s="144">
        <f>'SECI Network'!G13</f>
        <v>458192.99999999953</v>
      </c>
      <c r="H15" s="144">
        <f>'SECI Network'!H13</f>
        <v>454653</v>
      </c>
      <c r="I15" s="144">
        <f>'SECI Network'!I13</f>
        <v>458307.00000000012</v>
      </c>
      <c r="J15" s="144">
        <f>'SECI Network'!J13</f>
        <v>427158.00000000006</v>
      </c>
      <c r="K15" s="144">
        <f>'SECI Network'!K13</f>
        <v>395161.00000000006</v>
      </c>
      <c r="L15" s="144">
        <f>'SECI Network'!L13</f>
        <v>339740.00000000041</v>
      </c>
      <c r="M15" s="144">
        <f>'SECI Network'!M13</f>
        <v>463474.00000000041</v>
      </c>
      <c r="N15" s="20">
        <f>SUM(B15:M15)</f>
        <v>5205362</v>
      </c>
      <c r="O15" s="21"/>
    </row>
    <row r="16" spans="1:18" s="28" customFormat="1">
      <c r="A16" s="26" t="s">
        <v>45</v>
      </c>
      <c r="B16" s="27">
        <f t="shared" ref="B16:M16" si="1">B17-B13-B14</f>
        <v>10423.293937850161</v>
      </c>
      <c r="C16" s="27">
        <f t="shared" si="1"/>
        <v>8714.0560366785503</v>
      </c>
      <c r="D16" s="35">
        <f t="shared" si="1"/>
        <v>7495.7702496179263</v>
      </c>
      <c r="E16" s="35">
        <f t="shared" si="1"/>
        <v>7061.0626591951004</v>
      </c>
      <c r="F16" s="35">
        <f t="shared" si="1"/>
        <v>7936.4905756494845</v>
      </c>
      <c r="G16" s="35">
        <f t="shared" si="1"/>
        <v>8636.3428425878519</v>
      </c>
      <c r="H16" s="35">
        <f t="shared" si="1"/>
        <v>8569.6184411614668</v>
      </c>
      <c r="I16" s="35">
        <f t="shared" si="1"/>
        <v>8638.4915944982204</v>
      </c>
      <c r="J16" s="35">
        <f t="shared" si="1"/>
        <v>8051.3734080488794</v>
      </c>
      <c r="K16" s="35">
        <f t="shared" si="1"/>
        <v>7448.2715231787879</v>
      </c>
      <c r="L16" s="35">
        <f t="shared" si="1"/>
        <v>6403.6576668364578</v>
      </c>
      <c r="M16" s="35">
        <f t="shared" si="1"/>
        <v>8735.8828323993948</v>
      </c>
      <c r="N16" s="20">
        <f>SUM(B16:M16)</f>
        <v>98114.311767702282</v>
      </c>
      <c r="O16" s="21"/>
    </row>
    <row r="17" spans="1:15" s="28" customFormat="1">
      <c r="A17" s="26" t="s">
        <v>50</v>
      </c>
      <c r="B17" s="27">
        <f>(B13/(1-0.0213)/(1-'Transmission Formula Rate (7)'!$B$27))+(B14/(1-'Transmission Formula Rate (7)'!$B$27))</f>
        <v>563421.29393784993</v>
      </c>
      <c r="C17" s="27">
        <f>(C13/(1-0.0213)/(1-'Transmission Formula Rate (7)'!$B$27))+(C14/(1-'Transmission Formula Rate (7)'!$B$27))</f>
        <v>471030.05603667832</v>
      </c>
      <c r="D17" s="27">
        <f>(D13/(1-0.0213)/(1-'Transmission Formula Rate (7)'!$B$27))+(D14/(1-'Transmission Formula Rate (7)'!$B$27))</f>
        <v>405176.77024961804</v>
      </c>
      <c r="E17" s="27">
        <f>(E13/(1-0.0213)/(1-'Transmission Formula Rate (7)'!$B$27))+(E14/(1-'Transmission Formula Rate (7)'!$B$27))</f>
        <v>381679.06265919528</v>
      </c>
      <c r="F17" s="27">
        <f>(F13/(1-0.0213)/(1-'Transmission Formula Rate (7)'!$B$27))+(F14/(1-'Transmission Formula Rate (7)'!$B$27))</f>
        <v>428999.49057564972</v>
      </c>
      <c r="G17" s="27">
        <f>(G13/(1-0.0213)/(1-'Transmission Formula Rate (7)'!$B$27))+(G14/(1-'Transmission Formula Rate (7)'!$B$27))</f>
        <v>466829.34284258739</v>
      </c>
      <c r="H17" s="27">
        <f>(H13/(1-0.0213)/(1-'Transmission Formula Rate (7)'!$B$27))+(H14/(1-'Transmission Formula Rate (7)'!$B$27))</f>
        <v>463222.61844116147</v>
      </c>
      <c r="I17" s="27">
        <f>(I13/(1-0.0213)/(1-'Transmission Formula Rate (7)'!$B$27))+(I14/(1-'Transmission Formula Rate (7)'!$B$27))</f>
        <v>466945.49159449834</v>
      </c>
      <c r="J17" s="27">
        <f>(J13/(1-0.0213)/(1-'Transmission Formula Rate (7)'!$B$27))+(J14/(1-'Transmission Formula Rate (7)'!$B$27))</f>
        <v>435209.37340804894</v>
      </c>
      <c r="K17" s="27">
        <f>(K13/(1-0.0213)/(1-'Transmission Formula Rate (7)'!$B$27))+(K14/(1-'Transmission Formula Rate (7)'!$B$27))</f>
        <v>402609.27152317885</v>
      </c>
      <c r="L17" s="27">
        <f>(L13/(1-0.0213)/(1-'Transmission Formula Rate (7)'!$B$27))+(L14/(1-'Transmission Formula Rate (7)'!$B$27))</f>
        <v>346143.65766683687</v>
      </c>
      <c r="M17" s="27">
        <f>(M13/(1-0.0213)/(1-'Transmission Formula Rate (7)'!$B$27))+(M14/(1-'Transmission Formula Rate (7)'!$B$27))</f>
        <v>472209.8828323998</v>
      </c>
      <c r="N17" s="20">
        <f>SUM(B17:M17)</f>
        <v>5303476.311767702</v>
      </c>
      <c r="O17" s="21"/>
    </row>
    <row r="18" spans="1:15" s="28" customFormat="1">
      <c r="A18" s="26" t="s">
        <v>52</v>
      </c>
      <c r="B18" s="47">
        <f>'Transmission Formula Rate (7)'!$B$25</f>
        <v>1.35E-2</v>
      </c>
      <c r="C18" s="47">
        <f>'Transmission Formula Rate (7)'!$B$25</f>
        <v>1.35E-2</v>
      </c>
      <c r="D18" s="47">
        <f>'Transmission Formula Rate (7)'!$B$25</f>
        <v>1.35E-2</v>
      </c>
      <c r="E18" s="47">
        <f>'Transmission Formula Rate (7)'!$B$25</f>
        <v>1.35E-2</v>
      </c>
      <c r="F18" s="47">
        <f>'Transmission Formula Rate (7)'!$B$25</f>
        <v>1.35E-2</v>
      </c>
      <c r="G18" s="47">
        <f>'Transmission Formula Rate (7)'!$B$25</f>
        <v>1.35E-2</v>
      </c>
      <c r="H18" s="47">
        <f>'Transmission Formula Rate (7)'!$B$25</f>
        <v>1.35E-2</v>
      </c>
      <c r="I18" s="47">
        <f>'Transmission Formula Rate (7)'!$B$25</f>
        <v>1.35E-2</v>
      </c>
      <c r="J18" s="47">
        <f>'Transmission Formula Rate (7)'!$B$25</f>
        <v>1.35E-2</v>
      </c>
      <c r="K18" s="47">
        <f>'Transmission Formula Rate (7)'!$B$25</f>
        <v>1.35E-2</v>
      </c>
      <c r="L18" s="47">
        <f>'Transmission Formula Rate (7)'!$B$25</f>
        <v>1.35E-2</v>
      </c>
      <c r="M18" s="47">
        <f>'Transmission Formula Rate (7)'!$B$25</f>
        <v>1.35E-2</v>
      </c>
      <c r="N18" s="20"/>
      <c r="O18" s="21"/>
    </row>
    <row r="19" spans="1:15" s="19" customFormat="1">
      <c r="A19" s="25" t="s">
        <v>53</v>
      </c>
      <c r="B19" s="48">
        <f>'Transmission Formula Rate (7)'!$B$26</f>
        <v>4.8179999999999996</v>
      </c>
      <c r="C19" s="48">
        <f>'Transmission Formula Rate (7)'!$B$26</f>
        <v>4.8179999999999996</v>
      </c>
      <c r="D19" s="48">
        <f>'Transmission Formula Rate (7)'!$B$26</f>
        <v>4.8179999999999996</v>
      </c>
      <c r="E19" s="48">
        <f>'Transmission Formula Rate (7)'!$B$26</f>
        <v>4.8179999999999996</v>
      </c>
      <c r="F19" s="48">
        <f>'Transmission Formula Rate (7)'!$B$26</f>
        <v>4.8179999999999996</v>
      </c>
      <c r="G19" s="48">
        <f>'Transmission Formula Rate (7)'!$B$26</f>
        <v>4.8179999999999996</v>
      </c>
      <c r="H19" s="48">
        <f>'Transmission Formula Rate (7)'!$B$26</f>
        <v>4.8179999999999996</v>
      </c>
      <c r="I19" s="48">
        <f>'Transmission Formula Rate (7)'!$B$26</f>
        <v>4.8179999999999996</v>
      </c>
      <c r="J19" s="48">
        <f>'Transmission Formula Rate (7)'!$B$26</f>
        <v>4.8179999999999996</v>
      </c>
      <c r="K19" s="48">
        <f>'Transmission Formula Rate (7)'!$B$26</f>
        <v>4.8179999999999996</v>
      </c>
      <c r="L19" s="48">
        <f>'Transmission Formula Rate (7)'!$B$26</f>
        <v>4.8179999999999996</v>
      </c>
      <c r="M19" s="48">
        <f>'Transmission Formula Rate (7)'!$B$26</f>
        <v>4.8179999999999996</v>
      </c>
      <c r="O19" s="21"/>
    </row>
    <row r="20" spans="1:15" s="19" customFormat="1">
      <c r="A20" s="25" t="s">
        <v>17</v>
      </c>
      <c r="B20" s="20">
        <f>B17*B18*B19</f>
        <v>36646.611221599574</v>
      </c>
      <c r="C20" s="20">
        <f t="shared" ref="C20:M20" si="2">C17*C18*C19</f>
        <v>30637.207934793663</v>
      </c>
      <c r="D20" s="20">
        <f t="shared" si="2"/>
        <v>26353.912667345907</v>
      </c>
      <c r="E20" s="20">
        <f t="shared" si="2"/>
        <v>24825.551272542038</v>
      </c>
      <c r="F20" s="20">
        <f t="shared" si="2"/>
        <v>27903.413865511982</v>
      </c>
      <c r="G20" s="20">
        <f t="shared" si="2"/>
        <v>30363.980946510408</v>
      </c>
      <c r="H20" s="20">
        <f t="shared" si="2"/>
        <v>30129.388771268463</v>
      </c>
      <c r="I20" s="20">
        <f t="shared" si="2"/>
        <v>30371.535609780953</v>
      </c>
      <c r="J20" s="20">
        <f t="shared" si="2"/>
        <v>28307.323274579725</v>
      </c>
      <c r="K20" s="20">
        <f t="shared" si="2"/>
        <v>26186.914847682117</v>
      </c>
      <c r="L20" s="20">
        <f t="shared" si="2"/>
        <v>22514.221925624068</v>
      </c>
      <c r="M20" s="20">
        <f t="shared" si="2"/>
        <v>30713.94740906778</v>
      </c>
      <c r="N20" s="20">
        <f>SUM(B20:M20)</f>
        <v>344954.00974630669</v>
      </c>
      <c r="O20" s="21"/>
    </row>
    <row r="21" spans="1:15" s="19" customFormat="1">
      <c r="O21" s="21"/>
    </row>
    <row r="22" spans="1:15" s="19" customFormat="1" ht="10.199999999999999">
      <c r="A22" s="25"/>
      <c r="B22" s="23" t="s">
        <v>0</v>
      </c>
      <c r="C22" s="23" t="s">
        <v>1</v>
      </c>
      <c r="D22" s="23" t="s">
        <v>2</v>
      </c>
      <c r="E22" s="23" t="s">
        <v>3</v>
      </c>
      <c r="F22" s="23" t="s">
        <v>4</v>
      </c>
      <c r="G22" s="23" t="s">
        <v>5</v>
      </c>
      <c r="H22" s="23" t="s">
        <v>6</v>
      </c>
      <c r="I22" s="23" t="s">
        <v>7</v>
      </c>
      <c r="J22" s="23" t="s">
        <v>8</v>
      </c>
      <c r="K22" s="23" t="s">
        <v>9</v>
      </c>
      <c r="L22" s="23" t="s">
        <v>10</v>
      </c>
      <c r="M22" s="23" t="s">
        <v>11</v>
      </c>
      <c r="N22" s="23" t="s">
        <v>12</v>
      </c>
    </row>
    <row r="23" spans="1:15" s="19" customFormat="1" ht="10.199999999999999">
      <c r="A23" s="261">
        <f>+A8+1</f>
        <v>2015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5" s="19" customFormat="1" ht="13.2">
      <c r="A24" s="22" t="s">
        <v>19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5" s="19" customFormat="1" ht="10.199999999999999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5" s="19" customFormat="1" ht="10.199999999999999">
      <c r="A26" s="25" t="s">
        <v>51</v>
      </c>
    </row>
    <row r="27" spans="1:15" s="19" customFormat="1" ht="10.199999999999999">
      <c r="A27" s="26" t="s">
        <v>48</v>
      </c>
      <c r="B27" s="27">
        <f>'SECI Network'!B35</f>
        <v>0</v>
      </c>
      <c r="C27" s="27">
        <f>'SECI Network'!C35</f>
        <v>0</v>
      </c>
      <c r="D27" s="27">
        <f>'SECI Network'!D35</f>
        <v>0</v>
      </c>
      <c r="E27" s="27">
        <f>'SECI Network'!E35</f>
        <v>0</v>
      </c>
      <c r="F27" s="27">
        <f>'SECI Network'!F35</f>
        <v>0</v>
      </c>
      <c r="G27" s="27">
        <f>'SECI Network'!G35</f>
        <v>0</v>
      </c>
      <c r="H27" s="27">
        <f>'SECI Network'!H35</f>
        <v>0</v>
      </c>
      <c r="I27" s="27">
        <f>'SECI Network'!I35</f>
        <v>0</v>
      </c>
      <c r="J27" s="27">
        <f>'SECI Network'!J35</f>
        <v>0</v>
      </c>
      <c r="K27" s="27">
        <f>'SECI Network'!K35</f>
        <v>0</v>
      </c>
      <c r="L27" s="27">
        <f>'SECI Network'!L35</f>
        <v>0</v>
      </c>
      <c r="M27" s="27">
        <f>'SECI Network'!M35</f>
        <v>0</v>
      </c>
      <c r="N27" s="20">
        <f>SUM(B27:M27)</f>
        <v>0</v>
      </c>
    </row>
    <row r="28" spans="1:15" s="19" customFormat="1" ht="10.199999999999999">
      <c r="A28" s="26" t="s">
        <v>49</v>
      </c>
      <c r="B28" s="34">
        <f t="shared" ref="B28:M28" si="3">B29-B27</f>
        <v>566819.99999999977</v>
      </c>
      <c r="C28" s="34">
        <f t="shared" si="3"/>
        <v>462315.99999999977</v>
      </c>
      <c r="D28" s="34">
        <f t="shared" si="3"/>
        <v>397681.00000000012</v>
      </c>
      <c r="E28" s="34">
        <f t="shared" si="3"/>
        <v>374618.00000000017</v>
      </c>
      <c r="F28" s="34">
        <f t="shared" si="3"/>
        <v>421063.00000000023</v>
      </c>
      <c r="G28" s="34">
        <f t="shared" si="3"/>
        <v>458192.99999999953</v>
      </c>
      <c r="H28" s="34">
        <f t="shared" si="3"/>
        <v>454653</v>
      </c>
      <c r="I28" s="34">
        <f t="shared" si="3"/>
        <v>458307.00000000012</v>
      </c>
      <c r="J28" s="34">
        <f t="shared" si="3"/>
        <v>427158.00000000006</v>
      </c>
      <c r="K28" s="34">
        <f t="shared" si="3"/>
        <v>395161.00000000006</v>
      </c>
      <c r="L28" s="34">
        <f t="shared" si="3"/>
        <v>339740.00000000041</v>
      </c>
      <c r="M28" s="34">
        <f t="shared" si="3"/>
        <v>463474.00000000041</v>
      </c>
      <c r="N28" s="20">
        <f>SUM(B28:M28)</f>
        <v>5219184</v>
      </c>
    </row>
    <row r="29" spans="1:15" s="28" customFormat="1">
      <c r="A29" s="26" t="s">
        <v>47</v>
      </c>
      <c r="B29" s="144">
        <f>'SECI Network'!B37</f>
        <v>566819.99999999977</v>
      </c>
      <c r="C29" s="144">
        <f>'SECI Network'!C37</f>
        <v>462315.99999999977</v>
      </c>
      <c r="D29" s="144">
        <f>'SECI Network'!D37</f>
        <v>397681.00000000012</v>
      </c>
      <c r="E29" s="144">
        <f>'SECI Network'!E37</f>
        <v>374618.00000000017</v>
      </c>
      <c r="F29" s="144">
        <f>'SECI Network'!F37</f>
        <v>421063.00000000023</v>
      </c>
      <c r="G29" s="144">
        <f>'SECI Network'!G37</f>
        <v>458192.99999999953</v>
      </c>
      <c r="H29" s="144">
        <f>'SECI Network'!H37</f>
        <v>454653</v>
      </c>
      <c r="I29" s="144">
        <f>'SECI Network'!I37</f>
        <v>458307.00000000012</v>
      </c>
      <c r="J29" s="144">
        <f>'SECI Network'!J37</f>
        <v>427158.00000000006</v>
      </c>
      <c r="K29" s="144">
        <f>'SECI Network'!K37</f>
        <v>395161.00000000006</v>
      </c>
      <c r="L29" s="144">
        <f>'SECI Network'!L37</f>
        <v>339740.00000000041</v>
      </c>
      <c r="M29" s="144">
        <f>'SECI Network'!M37</f>
        <v>463474.00000000041</v>
      </c>
      <c r="N29" s="20">
        <f>SUM(B29:M29)</f>
        <v>5219184</v>
      </c>
      <c r="O29" s="21"/>
    </row>
    <row r="30" spans="1:15" s="28" customFormat="1">
      <c r="A30" s="26" t="s">
        <v>45</v>
      </c>
      <c r="B30" s="27">
        <f>B31-B27-B28</f>
        <v>10683.820682628546</v>
      </c>
      <c r="C30" s="27">
        <f t="shared" ref="C30:M30" si="4">C31-C27-C28</f>
        <v>8714.0560366785503</v>
      </c>
      <c r="D30" s="35">
        <f t="shared" si="4"/>
        <v>7495.7702496179263</v>
      </c>
      <c r="E30" s="35">
        <f t="shared" si="4"/>
        <v>7061.0626591951004</v>
      </c>
      <c r="F30" s="35">
        <f t="shared" si="4"/>
        <v>7936.4905756494845</v>
      </c>
      <c r="G30" s="35">
        <f t="shared" si="4"/>
        <v>8636.3428425878519</v>
      </c>
      <c r="H30" s="35">
        <f t="shared" si="4"/>
        <v>8569.6184411614668</v>
      </c>
      <c r="I30" s="35">
        <f t="shared" si="4"/>
        <v>8638.4915944982204</v>
      </c>
      <c r="J30" s="35">
        <f t="shared" si="4"/>
        <v>8051.3734080488794</v>
      </c>
      <c r="K30" s="35">
        <f t="shared" si="4"/>
        <v>7448.2715231787879</v>
      </c>
      <c r="L30" s="35">
        <f t="shared" si="4"/>
        <v>6403.6576668364578</v>
      </c>
      <c r="M30" s="35">
        <f t="shared" si="4"/>
        <v>8735.8828323993948</v>
      </c>
      <c r="N30" s="20">
        <f>SUM(B30:M30)</f>
        <v>98374.838512480666</v>
      </c>
      <c r="O30" s="21"/>
    </row>
    <row r="31" spans="1:15" s="28" customFormat="1">
      <c r="A31" s="26" t="s">
        <v>50</v>
      </c>
      <c r="B31" s="27">
        <f>(B27/(1-0.0213)/(1-'Transmission Formula Rate (7)'!$B$27))+(B28/(1-'Transmission Formula Rate (7)'!$B$27))</f>
        <v>577503.82068262831</v>
      </c>
      <c r="C31" s="27">
        <f>(C27/(1-0.0213)/(1-'Transmission Formula Rate (7)'!$B$27))+(C28/(1-'Transmission Formula Rate (7)'!$B$27))</f>
        <v>471030.05603667832</v>
      </c>
      <c r="D31" s="27">
        <f>(D27/(1-0.0213)/(1-'Transmission Formula Rate (7)'!$B$27))+(D28/(1-'Transmission Formula Rate (7)'!$B$27))</f>
        <v>405176.77024961804</v>
      </c>
      <c r="E31" s="27">
        <f>(E27/(1-0.0213)/(1-'Transmission Formula Rate (7)'!$B$27))+(E28/(1-'Transmission Formula Rate (7)'!$B$27))</f>
        <v>381679.06265919528</v>
      </c>
      <c r="F31" s="27">
        <f>(F27/(1-0.0213)/(1-'Transmission Formula Rate (7)'!$B$27))+(F28/(1-'Transmission Formula Rate (7)'!$B$27))</f>
        <v>428999.49057564972</v>
      </c>
      <c r="G31" s="27">
        <f>(G27/(1-0.0213)/(1-'Transmission Formula Rate (7)'!$B$27))+(G28/(1-'Transmission Formula Rate (7)'!$B$27))</f>
        <v>466829.34284258739</v>
      </c>
      <c r="H31" s="27">
        <f>(H27/(1-0.0213)/(1-'Transmission Formula Rate (7)'!$B$27))+(H28/(1-'Transmission Formula Rate (7)'!$B$27))</f>
        <v>463222.61844116147</v>
      </c>
      <c r="I31" s="27">
        <f>(I27/(1-0.0213)/(1-'Transmission Formula Rate (7)'!$B$27))+(I28/(1-'Transmission Formula Rate (7)'!$B$27))</f>
        <v>466945.49159449834</v>
      </c>
      <c r="J31" s="27">
        <f>(J27/(1-0.0213)/(1-'Transmission Formula Rate (7)'!$B$27))+(J28/(1-'Transmission Formula Rate (7)'!$B$27))</f>
        <v>435209.37340804894</v>
      </c>
      <c r="K31" s="27">
        <f>(K27/(1-0.0213)/(1-'Transmission Formula Rate (7)'!$B$27))+(K28/(1-'Transmission Formula Rate (7)'!$B$27))</f>
        <v>402609.27152317885</v>
      </c>
      <c r="L31" s="27">
        <f>(L27/(1-0.0213)/(1-'Transmission Formula Rate (7)'!$B$27))+(L28/(1-'Transmission Formula Rate (7)'!$B$27))</f>
        <v>346143.65766683687</v>
      </c>
      <c r="M31" s="27">
        <f>(M27/(1-0.0213)/(1-'Transmission Formula Rate (7)'!$B$27))+(M28/(1-'Transmission Formula Rate (7)'!$B$27))</f>
        <v>472209.8828323998</v>
      </c>
      <c r="N31" s="20">
        <f>SUM(B31:M31)</f>
        <v>5317558.8385124812</v>
      </c>
      <c r="O31" s="21"/>
    </row>
    <row r="32" spans="1:15" s="28" customFormat="1">
      <c r="A32" s="26" t="s">
        <v>52</v>
      </c>
      <c r="B32" s="47">
        <f>B18</f>
        <v>1.35E-2</v>
      </c>
      <c r="C32" s="47">
        <f t="shared" ref="C32:M32" si="5">C18</f>
        <v>1.35E-2</v>
      </c>
      <c r="D32" s="47">
        <f t="shared" si="5"/>
        <v>1.35E-2</v>
      </c>
      <c r="E32" s="47">
        <f t="shared" si="5"/>
        <v>1.35E-2</v>
      </c>
      <c r="F32" s="47">
        <f t="shared" si="5"/>
        <v>1.35E-2</v>
      </c>
      <c r="G32" s="47">
        <f t="shared" si="5"/>
        <v>1.35E-2</v>
      </c>
      <c r="H32" s="47">
        <f t="shared" si="5"/>
        <v>1.35E-2</v>
      </c>
      <c r="I32" s="47">
        <f t="shared" si="5"/>
        <v>1.35E-2</v>
      </c>
      <c r="J32" s="47">
        <f t="shared" si="5"/>
        <v>1.35E-2</v>
      </c>
      <c r="K32" s="47">
        <f t="shared" si="5"/>
        <v>1.35E-2</v>
      </c>
      <c r="L32" s="47">
        <f t="shared" si="5"/>
        <v>1.35E-2</v>
      </c>
      <c r="M32" s="47">
        <f t="shared" si="5"/>
        <v>1.35E-2</v>
      </c>
      <c r="N32" s="20"/>
      <c r="O32" s="21"/>
    </row>
    <row r="33" spans="1:15" s="19" customFormat="1">
      <c r="A33" s="25" t="s">
        <v>53</v>
      </c>
      <c r="B33" s="48">
        <f>B19</f>
        <v>4.8179999999999996</v>
      </c>
      <c r="C33" s="48">
        <f t="shared" ref="C33:M33" si="6">C19</f>
        <v>4.8179999999999996</v>
      </c>
      <c r="D33" s="48">
        <f t="shared" si="6"/>
        <v>4.8179999999999996</v>
      </c>
      <c r="E33" s="48">
        <f t="shared" si="6"/>
        <v>4.8179999999999996</v>
      </c>
      <c r="F33" s="48">
        <f t="shared" si="6"/>
        <v>4.8179999999999996</v>
      </c>
      <c r="G33" s="48">
        <f t="shared" si="6"/>
        <v>4.8179999999999996</v>
      </c>
      <c r="H33" s="48">
        <f t="shared" si="6"/>
        <v>4.8179999999999996</v>
      </c>
      <c r="I33" s="48">
        <f t="shared" si="6"/>
        <v>4.8179999999999996</v>
      </c>
      <c r="J33" s="48">
        <f t="shared" si="6"/>
        <v>4.8179999999999996</v>
      </c>
      <c r="K33" s="48">
        <f t="shared" si="6"/>
        <v>4.8179999999999996</v>
      </c>
      <c r="L33" s="48">
        <f t="shared" si="6"/>
        <v>4.8179999999999996</v>
      </c>
      <c r="M33" s="48">
        <f t="shared" si="6"/>
        <v>4.8179999999999996</v>
      </c>
      <c r="O33" s="21"/>
    </row>
    <row r="34" spans="1:15" s="19" customFormat="1">
      <c r="A34" s="25" t="s">
        <v>17</v>
      </c>
      <c r="B34" s="20">
        <f>B31*B32*B33</f>
        <v>37562.581008660192</v>
      </c>
      <c r="C34" s="20">
        <f t="shared" ref="C34:M34" si="7">C31*C32*C33</f>
        <v>30637.207934793663</v>
      </c>
      <c r="D34" s="20">
        <f t="shared" si="7"/>
        <v>26353.912667345907</v>
      </c>
      <c r="E34" s="20">
        <f t="shared" si="7"/>
        <v>24825.551272542038</v>
      </c>
      <c r="F34" s="20">
        <f t="shared" si="7"/>
        <v>27903.413865511982</v>
      </c>
      <c r="G34" s="20">
        <f t="shared" si="7"/>
        <v>30363.980946510408</v>
      </c>
      <c r="H34" s="20">
        <f t="shared" si="7"/>
        <v>30129.388771268463</v>
      </c>
      <c r="I34" s="20">
        <f t="shared" si="7"/>
        <v>30371.535609780953</v>
      </c>
      <c r="J34" s="20">
        <f t="shared" si="7"/>
        <v>28307.323274579725</v>
      </c>
      <c r="K34" s="20">
        <f t="shared" si="7"/>
        <v>26186.914847682117</v>
      </c>
      <c r="L34" s="20">
        <f t="shared" si="7"/>
        <v>22514.221925624068</v>
      </c>
      <c r="M34" s="20">
        <f t="shared" si="7"/>
        <v>30713.94740906778</v>
      </c>
      <c r="N34" s="20">
        <f>SUM(B34:M34)</f>
        <v>345869.97953336727</v>
      </c>
      <c r="O34" s="21"/>
    </row>
    <row r="35" spans="1:15" s="19" customFormat="1">
      <c r="O35" s="21"/>
    </row>
    <row r="36" spans="1:15" s="19" customFormat="1" ht="10.199999999999999">
      <c r="A36" s="25"/>
      <c r="B36" s="23" t="s">
        <v>0</v>
      </c>
      <c r="C36" s="23" t="s">
        <v>1</v>
      </c>
      <c r="D36" s="23" t="s">
        <v>2</v>
      </c>
      <c r="E36" s="23" t="s">
        <v>3</v>
      </c>
      <c r="F36" s="23" t="s">
        <v>4</v>
      </c>
      <c r="G36" s="23" t="s">
        <v>5</v>
      </c>
      <c r="H36" s="23" t="s">
        <v>6</v>
      </c>
      <c r="I36" s="23" t="s">
        <v>7</v>
      </c>
      <c r="J36" s="23" t="s">
        <v>8</v>
      </c>
      <c r="K36" s="23" t="s">
        <v>9</v>
      </c>
      <c r="L36" s="23" t="s">
        <v>10</v>
      </c>
      <c r="M36" s="23" t="s">
        <v>11</v>
      </c>
      <c r="N36" s="23" t="s">
        <v>12</v>
      </c>
    </row>
    <row r="37" spans="1:15" s="19" customFormat="1" ht="10.199999999999999">
      <c r="A37" s="261">
        <f>+A23+1</f>
        <v>2016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5" s="19" customFormat="1" ht="13.2">
      <c r="A38" s="22" t="s">
        <v>19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5" s="19" customFormat="1" ht="10.199999999999999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s="19" customFormat="1" ht="10.199999999999999">
      <c r="A40" s="25" t="s">
        <v>51</v>
      </c>
    </row>
    <row r="41" spans="1:15" s="19" customFormat="1" ht="10.199999999999999">
      <c r="A41" s="26" t="s">
        <v>48</v>
      </c>
      <c r="B41" s="27">
        <f>'SECI Network'!B59</f>
        <v>0</v>
      </c>
      <c r="C41" s="27">
        <f>'SECI Network'!C59</f>
        <v>0</v>
      </c>
      <c r="D41" s="27">
        <f>'SECI Network'!D59</f>
        <v>0</v>
      </c>
      <c r="E41" s="27">
        <f>'SECI Network'!E59</f>
        <v>0</v>
      </c>
      <c r="F41" s="27">
        <f>'SECI Network'!F59</f>
        <v>0</v>
      </c>
      <c r="G41" s="27">
        <f>'SECI Network'!G59</f>
        <v>0</v>
      </c>
      <c r="H41" s="27">
        <f>'SECI Network'!H59</f>
        <v>0</v>
      </c>
      <c r="I41" s="27">
        <f>'SECI Network'!I59</f>
        <v>0</v>
      </c>
      <c r="J41" s="27">
        <f>'SECI Network'!J59</f>
        <v>0</v>
      </c>
      <c r="K41" s="27">
        <f>'SECI Network'!K59</f>
        <v>0</v>
      </c>
      <c r="L41" s="27">
        <f>'SECI Network'!L59</f>
        <v>0</v>
      </c>
      <c r="M41" s="27">
        <f>'SECI Network'!M59</f>
        <v>0</v>
      </c>
      <c r="N41" s="20">
        <f>SUM(B41:M41)</f>
        <v>0</v>
      </c>
    </row>
    <row r="42" spans="1:15" s="19" customFormat="1" ht="10.199999999999999">
      <c r="A42" s="26" t="s">
        <v>49</v>
      </c>
      <c r="B42" s="34">
        <f t="shared" ref="B42:M42" si="8">B43-B41</f>
        <v>521466</v>
      </c>
      <c r="C42" s="34">
        <f t="shared" si="8"/>
        <v>427422</v>
      </c>
      <c r="D42" s="34">
        <f t="shared" si="8"/>
        <v>381260</v>
      </c>
      <c r="E42" s="34">
        <f t="shared" si="8"/>
        <v>360521</v>
      </c>
      <c r="F42" s="34">
        <f t="shared" si="8"/>
        <v>409183</v>
      </c>
      <c r="G42" s="34">
        <f t="shared" si="8"/>
        <v>442770</v>
      </c>
      <c r="H42" s="34">
        <f t="shared" si="8"/>
        <v>439071</v>
      </c>
      <c r="I42" s="34">
        <f t="shared" si="8"/>
        <v>438159</v>
      </c>
      <c r="J42" s="34">
        <f t="shared" si="8"/>
        <v>443170</v>
      </c>
      <c r="K42" s="34">
        <f t="shared" si="8"/>
        <v>384147</v>
      </c>
      <c r="L42" s="34">
        <f t="shared" si="8"/>
        <v>371047</v>
      </c>
      <c r="M42" s="34">
        <f t="shared" si="8"/>
        <v>401928</v>
      </c>
      <c r="N42" s="20">
        <f>SUM(B42:M42)</f>
        <v>5020144</v>
      </c>
    </row>
    <row r="43" spans="1:15" s="28" customFormat="1">
      <c r="A43" s="26" t="s">
        <v>47</v>
      </c>
      <c r="B43" s="144">
        <f>'SECI Network'!B61</f>
        <v>521466</v>
      </c>
      <c r="C43" s="144">
        <f>'SECI Network'!C61</f>
        <v>427422</v>
      </c>
      <c r="D43" s="144">
        <f>'SECI Network'!D61</f>
        <v>381260</v>
      </c>
      <c r="E43" s="144">
        <f>'SECI Network'!E61</f>
        <v>360521</v>
      </c>
      <c r="F43" s="144">
        <f>'SECI Network'!F61</f>
        <v>409183</v>
      </c>
      <c r="G43" s="144">
        <f>'SECI Network'!G61</f>
        <v>442770</v>
      </c>
      <c r="H43" s="144">
        <f>'SECI Network'!H61</f>
        <v>439071</v>
      </c>
      <c r="I43" s="144">
        <f>'SECI Network'!I61</f>
        <v>438159</v>
      </c>
      <c r="J43" s="144">
        <f>'SECI Network'!J61</f>
        <v>443170</v>
      </c>
      <c r="K43" s="144">
        <f>'SECI Network'!K61</f>
        <v>384147</v>
      </c>
      <c r="L43" s="144">
        <f>'SECI Network'!L61</f>
        <v>371047</v>
      </c>
      <c r="M43" s="144">
        <f>'SECI Network'!M61</f>
        <v>401928</v>
      </c>
      <c r="N43" s="20">
        <f>SUM(B43:M43)</f>
        <v>5020144</v>
      </c>
      <c r="O43" s="21"/>
    </row>
    <row r="44" spans="1:15" s="28" customFormat="1">
      <c r="A44" s="26" t="s">
        <v>45</v>
      </c>
      <c r="B44" s="27">
        <f t="shared" ref="B44:M44" si="9">B45-B41-B42</f>
        <v>9828.9566989302402</v>
      </c>
      <c r="C44" s="27">
        <f t="shared" si="9"/>
        <v>8056.349465104402</v>
      </c>
      <c r="D44" s="35">
        <f t="shared" si="9"/>
        <v>7186.2557310239063</v>
      </c>
      <c r="E44" s="35">
        <f t="shared" si="9"/>
        <v>6795.3525216504931</v>
      </c>
      <c r="F44" s="35">
        <f t="shared" si="9"/>
        <v>7712.568008150789</v>
      </c>
      <c r="G44" s="35">
        <f t="shared" si="9"/>
        <v>8345.639327559853</v>
      </c>
      <c r="H44" s="35">
        <f t="shared" si="9"/>
        <v>8275.9179826795589</v>
      </c>
      <c r="I44" s="35">
        <f t="shared" si="9"/>
        <v>8258.7279673968442</v>
      </c>
      <c r="J44" s="35">
        <f t="shared" si="9"/>
        <v>8353.178807947028</v>
      </c>
      <c r="K44" s="35">
        <f t="shared" si="9"/>
        <v>7240.6719307182939</v>
      </c>
      <c r="L44" s="35">
        <f t="shared" si="9"/>
        <v>6993.7539480386768</v>
      </c>
      <c r="M44" s="35">
        <f t="shared" si="9"/>
        <v>7575.8206826286041</v>
      </c>
      <c r="N44" s="20">
        <f>SUM(B44:M44)</f>
        <v>94623.193071828689</v>
      </c>
      <c r="O44" s="21"/>
    </row>
    <row r="45" spans="1:15" s="28" customFormat="1">
      <c r="A45" s="26" t="s">
        <v>50</v>
      </c>
      <c r="B45" s="27">
        <f>(B41/(1-0.0213)/(1-'Transmission Formula Rate (7)'!$B$27))+(B42/(1-'Transmission Formula Rate (7)'!$B$27))</f>
        <v>531294.95669893024</v>
      </c>
      <c r="C45" s="27">
        <f>(C41/(1-0.0213)/(1-'Transmission Formula Rate (7)'!$B$27))+(C42/(1-'Transmission Formula Rate (7)'!$B$27))</f>
        <v>435478.3494651044</v>
      </c>
      <c r="D45" s="27">
        <f>(D41/(1-0.0213)/(1-'Transmission Formula Rate (7)'!$B$27))+(D42/(1-'Transmission Formula Rate (7)'!$B$27))</f>
        <v>388446.25573102391</v>
      </c>
      <c r="E45" s="27">
        <f>(E41/(1-0.0213)/(1-'Transmission Formula Rate (7)'!$B$27))+(E42/(1-'Transmission Formula Rate (7)'!$B$27))</f>
        <v>367316.35252165049</v>
      </c>
      <c r="F45" s="27">
        <f>(F41/(1-0.0213)/(1-'Transmission Formula Rate (7)'!$B$27))+(F42/(1-'Transmission Formula Rate (7)'!$B$27))</f>
        <v>416895.56800815079</v>
      </c>
      <c r="G45" s="27">
        <f>(G41/(1-0.0213)/(1-'Transmission Formula Rate (7)'!$B$27))+(G42/(1-'Transmission Formula Rate (7)'!$B$27))</f>
        <v>451115.63932755985</v>
      </c>
      <c r="H45" s="27">
        <f>(H41/(1-0.0213)/(1-'Transmission Formula Rate (7)'!$B$27))+(H42/(1-'Transmission Formula Rate (7)'!$B$27))</f>
        <v>447346.91798267956</v>
      </c>
      <c r="I45" s="27">
        <f>(I41/(1-0.0213)/(1-'Transmission Formula Rate (7)'!$B$27))+(I42/(1-'Transmission Formula Rate (7)'!$B$27))</f>
        <v>446417.72796739684</v>
      </c>
      <c r="J45" s="27">
        <f>(J41/(1-0.0213)/(1-'Transmission Formula Rate (7)'!$B$27))+(J42/(1-'Transmission Formula Rate (7)'!$B$27))</f>
        <v>451523.17880794703</v>
      </c>
      <c r="K45" s="27">
        <f>(K41/(1-0.0213)/(1-'Transmission Formula Rate (7)'!$B$27))+(K42/(1-'Transmission Formula Rate (7)'!$B$27))</f>
        <v>391387.67193071829</v>
      </c>
      <c r="L45" s="27">
        <f>(L41/(1-0.0213)/(1-'Transmission Formula Rate (7)'!$B$27))+(L42/(1-'Transmission Formula Rate (7)'!$B$27))</f>
        <v>378040.75394803868</v>
      </c>
      <c r="M45" s="27">
        <f>(M41/(1-0.0213)/(1-'Transmission Formula Rate (7)'!$B$27))+(M42/(1-'Transmission Formula Rate (7)'!$B$27))</f>
        <v>409503.8206826286</v>
      </c>
      <c r="N45" s="20">
        <f>SUM(B45:M45)</f>
        <v>5114767.1930718292</v>
      </c>
      <c r="O45" s="21"/>
    </row>
    <row r="46" spans="1:15" s="28" customFormat="1">
      <c r="A46" s="26" t="s">
        <v>52</v>
      </c>
      <c r="B46" s="47">
        <f>B32</f>
        <v>1.35E-2</v>
      </c>
      <c r="C46" s="47">
        <f t="shared" ref="C46:M46" si="10">C32</f>
        <v>1.35E-2</v>
      </c>
      <c r="D46" s="47">
        <f t="shared" si="10"/>
        <v>1.35E-2</v>
      </c>
      <c r="E46" s="47">
        <f t="shared" si="10"/>
        <v>1.35E-2</v>
      </c>
      <c r="F46" s="47">
        <f t="shared" si="10"/>
        <v>1.35E-2</v>
      </c>
      <c r="G46" s="47">
        <f t="shared" si="10"/>
        <v>1.35E-2</v>
      </c>
      <c r="H46" s="47">
        <f t="shared" si="10"/>
        <v>1.35E-2</v>
      </c>
      <c r="I46" s="47">
        <f t="shared" si="10"/>
        <v>1.35E-2</v>
      </c>
      <c r="J46" s="47">
        <f t="shared" si="10"/>
        <v>1.35E-2</v>
      </c>
      <c r="K46" s="47">
        <f t="shared" si="10"/>
        <v>1.35E-2</v>
      </c>
      <c r="L46" s="47">
        <f t="shared" si="10"/>
        <v>1.35E-2</v>
      </c>
      <c r="M46" s="47">
        <f t="shared" si="10"/>
        <v>1.35E-2</v>
      </c>
      <c r="N46" s="20"/>
      <c r="O46" s="21"/>
    </row>
    <row r="47" spans="1:15" s="28" customFormat="1">
      <c r="A47" s="25" t="s">
        <v>53</v>
      </c>
      <c r="B47" s="49">
        <f>B33</f>
        <v>4.8179999999999996</v>
      </c>
      <c r="C47" s="49">
        <f t="shared" ref="C47:M47" si="11">C33</f>
        <v>4.8179999999999996</v>
      </c>
      <c r="D47" s="49">
        <f t="shared" si="11"/>
        <v>4.8179999999999996</v>
      </c>
      <c r="E47" s="49">
        <f t="shared" si="11"/>
        <v>4.8179999999999996</v>
      </c>
      <c r="F47" s="49">
        <f t="shared" si="11"/>
        <v>4.8179999999999996</v>
      </c>
      <c r="G47" s="49">
        <f t="shared" si="11"/>
        <v>4.8179999999999996</v>
      </c>
      <c r="H47" s="49">
        <f t="shared" si="11"/>
        <v>4.8179999999999996</v>
      </c>
      <c r="I47" s="49">
        <f t="shared" si="11"/>
        <v>4.8179999999999996</v>
      </c>
      <c r="J47" s="49">
        <f t="shared" si="11"/>
        <v>4.8179999999999996</v>
      </c>
      <c r="K47" s="49">
        <f t="shared" si="11"/>
        <v>4.8179999999999996</v>
      </c>
      <c r="L47" s="49">
        <f t="shared" si="11"/>
        <v>4.8179999999999996</v>
      </c>
      <c r="M47" s="49">
        <f t="shared" si="11"/>
        <v>4.8179999999999996</v>
      </c>
      <c r="N47" s="20"/>
      <c r="O47" s="21"/>
    </row>
    <row r="48" spans="1:15" s="19" customFormat="1">
      <c r="A48" s="25" t="s">
        <v>17</v>
      </c>
      <c r="B48" s="20">
        <f>B45*B46*B47</f>
        <v>34557.017868568517</v>
      </c>
      <c r="C48" s="20">
        <f t="shared" ref="C48:M48" si="12">C45*C46*C47</f>
        <v>28324.818284258785</v>
      </c>
      <c r="D48" s="20">
        <f t="shared" si="12"/>
        <v>25265.709811512985</v>
      </c>
      <c r="E48" s="20">
        <f t="shared" si="12"/>
        <v>23891.35751706571</v>
      </c>
      <c r="F48" s="20">
        <f t="shared" si="12"/>
        <v>27116.13842995415</v>
      </c>
      <c r="G48" s="20">
        <f t="shared" si="12"/>
        <v>29341.914528782472</v>
      </c>
      <c r="H48" s="20">
        <f t="shared" si="12"/>
        <v>29096.785586347421</v>
      </c>
      <c r="I48" s="20">
        <f t="shared" si="12"/>
        <v>29036.348280183392</v>
      </c>
      <c r="J48" s="20">
        <f t="shared" si="12"/>
        <v>29368.422119205294</v>
      </c>
      <c r="K48" s="20">
        <f t="shared" si="12"/>
        <v>25457.028345389706</v>
      </c>
      <c r="L48" s="20">
        <f t="shared" si="12"/>
        <v>24588.904759042278</v>
      </c>
      <c r="M48" s="20">
        <f t="shared" si="12"/>
        <v>26635.357008660212</v>
      </c>
      <c r="N48" s="20">
        <f>SUM(B48:M48)</f>
        <v>332679.80253897089</v>
      </c>
      <c r="O48" s="21"/>
    </row>
    <row r="49" spans="1:15" s="19" customFormat="1">
      <c r="O49" s="21"/>
    </row>
    <row r="50" spans="1:15">
      <c r="B50" s="23" t="s">
        <v>0</v>
      </c>
      <c r="C50" s="23" t="s">
        <v>1</v>
      </c>
      <c r="D50" s="23" t="s">
        <v>2</v>
      </c>
      <c r="E50" s="23" t="s">
        <v>3</v>
      </c>
      <c r="F50" s="23" t="s">
        <v>4</v>
      </c>
      <c r="G50" s="23" t="s">
        <v>5</v>
      </c>
      <c r="H50" s="23" t="s">
        <v>6</v>
      </c>
      <c r="I50" s="23" t="s">
        <v>7</v>
      </c>
      <c r="J50" s="23" t="s">
        <v>8</v>
      </c>
      <c r="K50" s="23" t="s">
        <v>9</v>
      </c>
      <c r="L50" s="23" t="s">
        <v>10</v>
      </c>
      <c r="M50" s="23" t="s">
        <v>11</v>
      </c>
      <c r="N50" s="23" t="s">
        <v>12</v>
      </c>
    </row>
    <row r="51" spans="1:15">
      <c r="A51" s="261">
        <f>+A37+1</f>
        <v>2017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5" ht="13.2">
      <c r="A52" s="22" t="s">
        <v>19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5">
      <c r="A54" s="25" t="s">
        <v>51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5">
      <c r="A55" s="26" t="s">
        <v>48</v>
      </c>
      <c r="B55" s="27">
        <f>'SECI Network'!B83</f>
        <v>0</v>
      </c>
      <c r="C55" s="27">
        <f>'SECI Network'!C83</f>
        <v>0</v>
      </c>
      <c r="D55" s="27">
        <f>'SECI Network'!D83</f>
        <v>0</v>
      </c>
      <c r="E55" s="27">
        <f>'SECI Network'!E83</f>
        <v>0</v>
      </c>
      <c r="F55" s="27">
        <f>'SECI Network'!F83</f>
        <v>0</v>
      </c>
      <c r="G55" s="27">
        <f>'SECI Network'!G83</f>
        <v>0</v>
      </c>
      <c r="H55" s="27">
        <f>'SECI Network'!H83</f>
        <v>0</v>
      </c>
      <c r="I55" s="27">
        <f>'SECI Network'!I83</f>
        <v>0</v>
      </c>
      <c r="J55" s="27">
        <f>'SECI Network'!J83</f>
        <v>0</v>
      </c>
      <c r="K55" s="27">
        <f>'SECI Network'!K83</f>
        <v>0</v>
      </c>
      <c r="L55" s="27">
        <f>'SECI Network'!L83</f>
        <v>0</v>
      </c>
      <c r="M55" s="27">
        <f>'SECI Network'!M83</f>
        <v>0</v>
      </c>
      <c r="N55" s="20">
        <f>SUM(B55:M55)</f>
        <v>0</v>
      </c>
    </row>
    <row r="56" spans="1:15">
      <c r="A56" s="26" t="s">
        <v>49</v>
      </c>
      <c r="B56" s="34">
        <f t="shared" ref="B56:M56" si="13">B57-B55</f>
        <v>531216</v>
      </c>
      <c r="C56" s="34">
        <f t="shared" si="13"/>
        <v>421803</v>
      </c>
      <c r="D56" s="34">
        <f t="shared" si="13"/>
        <v>388042</v>
      </c>
      <c r="E56" s="34">
        <f t="shared" si="13"/>
        <v>367173</v>
      </c>
      <c r="F56" s="34">
        <f t="shared" si="13"/>
        <v>415663</v>
      </c>
      <c r="G56" s="34">
        <f t="shared" si="13"/>
        <v>449990</v>
      </c>
      <c r="H56" s="34">
        <f t="shared" si="13"/>
        <v>446398</v>
      </c>
      <c r="I56" s="34">
        <f t="shared" si="13"/>
        <v>445351</v>
      </c>
      <c r="J56" s="34">
        <f t="shared" si="13"/>
        <v>450611</v>
      </c>
      <c r="K56" s="34">
        <f t="shared" si="13"/>
        <v>390875</v>
      </c>
      <c r="L56" s="34">
        <f t="shared" si="13"/>
        <v>377082</v>
      </c>
      <c r="M56" s="34">
        <f t="shared" si="13"/>
        <v>408350</v>
      </c>
      <c r="N56" s="20">
        <f>SUM(B56:M56)</f>
        <v>5092554</v>
      </c>
    </row>
    <row r="57" spans="1:15">
      <c r="A57" s="26" t="s">
        <v>47</v>
      </c>
      <c r="B57" s="144">
        <f>'SECI Network'!B85</f>
        <v>531216</v>
      </c>
      <c r="C57" s="144">
        <f>'SECI Network'!C85</f>
        <v>421803</v>
      </c>
      <c r="D57" s="144">
        <f>'SECI Network'!D85</f>
        <v>388042</v>
      </c>
      <c r="E57" s="144">
        <f>'SECI Network'!E85</f>
        <v>367173</v>
      </c>
      <c r="F57" s="144">
        <f>'SECI Network'!F85</f>
        <v>415663</v>
      </c>
      <c r="G57" s="144">
        <f>'SECI Network'!G85</f>
        <v>449990</v>
      </c>
      <c r="H57" s="144">
        <f>'SECI Network'!H85</f>
        <v>446398</v>
      </c>
      <c r="I57" s="144">
        <f>'SECI Network'!I85</f>
        <v>445351</v>
      </c>
      <c r="J57" s="144">
        <f>'SECI Network'!J85</f>
        <v>450611</v>
      </c>
      <c r="K57" s="144">
        <f>'SECI Network'!K85</f>
        <v>390875</v>
      </c>
      <c r="L57" s="144">
        <f>'SECI Network'!L85</f>
        <v>377082</v>
      </c>
      <c r="M57" s="144">
        <f>'SECI Network'!M85</f>
        <v>408350</v>
      </c>
      <c r="N57" s="20">
        <f>SUM(B57:M57)</f>
        <v>5092554</v>
      </c>
    </row>
    <row r="58" spans="1:15">
      <c r="A58" s="26" t="s">
        <v>45</v>
      </c>
      <c r="B58" s="27">
        <f>B59-B55-B56</f>
        <v>10012.731533367303</v>
      </c>
      <c r="C58" s="27">
        <f t="shared" ref="C58:M58" si="14">C59-C55-C56</f>
        <v>7950.4386143657612</v>
      </c>
      <c r="D58" s="35">
        <f t="shared" si="14"/>
        <v>7314.0876209882554</v>
      </c>
      <c r="E58" s="35">
        <f t="shared" si="14"/>
        <v>6920.7340804890264</v>
      </c>
      <c r="F58" s="35">
        <f t="shared" si="14"/>
        <v>7834.7075904228259</v>
      </c>
      <c r="G58" s="35">
        <f t="shared" si="14"/>
        <v>8481.7269485481083</v>
      </c>
      <c r="H58" s="35">
        <f t="shared" si="14"/>
        <v>8414.0224146714318</v>
      </c>
      <c r="I58" s="35">
        <f t="shared" si="14"/>
        <v>8394.2878247579793</v>
      </c>
      <c r="J58" s="35">
        <f t="shared" si="14"/>
        <v>8493.431991849211</v>
      </c>
      <c r="K58" s="35">
        <f t="shared" si="14"/>
        <v>7367.4859908303479</v>
      </c>
      <c r="L58" s="35">
        <f t="shared" si="14"/>
        <v>7107.5058583799982</v>
      </c>
      <c r="M58" s="35">
        <f t="shared" si="14"/>
        <v>7696.8670402445132</v>
      </c>
      <c r="N58" s="20">
        <f>SUM(B58:M58)</f>
        <v>95988.027508914762</v>
      </c>
    </row>
    <row r="59" spans="1:15">
      <c r="A59" s="26" t="s">
        <v>50</v>
      </c>
      <c r="B59" s="27">
        <f>(B55/(1-0.0213)/(1-'Transmission Formula Rate (7)'!$B$27))+(B56/(1-'Transmission Formula Rate (7)'!$B$27))</f>
        <v>541228.7315333673</v>
      </c>
      <c r="C59" s="27">
        <f>(C55/(1-0.0213)/(1-'Transmission Formula Rate (7)'!$B$27))+(C56/(1-'Transmission Formula Rate (7)'!$B$27))</f>
        <v>429753.43861436576</v>
      </c>
      <c r="D59" s="27">
        <f>(D55/(1-0.0213)/(1-'Transmission Formula Rate (7)'!$B$27))+(D56/(1-'Transmission Formula Rate (7)'!$B$27))</f>
        <v>395356.08762098826</v>
      </c>
      <c r="E59" s="27">
        <f>(E55/(1-0.0213)/(1-'Transmission Formula Rate (7)'!$B$27))+(E56/(1-'Transmission Formula Rate (7)'!$B$27))</f>
        <v>374093.73408048903</v>
      </c>
      <c r="F59" s="27">
        <f>(F55/(1-0.0213)/(1-'Transmission Formula Rate (7)'!$B$27))+(F56/(1-'Transmission Formula Rate (7)'!$B$27))</f>
        <v>423497.70759042283</v>
      </c>
      <c r="G59" s="27">
        <f>(G55/(1-0.0213)/(1-'Transmission Formula Rate (7)'!$B$27))+(G56/(1-'Transmission Formula Rate (7)'!$B$27))</f>
        <v>458471.72694854811</v>
      </c>
      <c r="H59" s="27">
        <f>(H55/(1-0.0213)/(1-'Transmission Formula Rate (7)'!$B$27))+(H56/(1-'Transmission Formula Rate (7)'!$B$27))</f>
        <v>454812.02241467143</v>
      </c>
      <c r="I59" s="27">
        <f>(I55/(1-0.0213)/(1-'Transmission Formula Rate (7)'!$B$27))+(I56/(1-'Transmission Formula Rate (7)'!$B$27))</f>
        <v>453745.28782475798</v>
      </c>
      <c r="J59" s="27">
        <f>(J55/(1-0.0213)/(1-'Transmission Formula Rate (7)'!$B$27))+(J56/(1-'Transmission Formula Rate (7)'!$B$27))</f>
        <v>459104.43199184921</v>
      </c>
      <c r="K59" s="27">
        <f>(K55/(1-0.0213)/(1-'Transmission Formula Rate (7)'!$B$27))+(K56/(1-'Transmission Formula Rate (7)'!$B$27))</f>
        <v>398242.48599083035</v>
      </c>
      <c r="L59" s="27">
        <f>(L55/(1-0.0213)/(1-'Transmission Formula Rate (7)'!$B$27))+(L56/(1-'Transmission Formula Rate (7)'!$B$27))</f>
        <v>384189.50585838</v>
      </c>
      <c r="M59" s="27">
        <f>(M55/(1-0.0213)/(1-'Transmission Formula Rate (7)'!$B$27))+(M56/(1-'Transmission Formula Rate (7)'!$B$27))</f>
        <v>416046.86704024451</v>
      </c>
      <c r="N59" s="20">
        <f>SUM(B59:M59)</f>
        <v>5188542.0275089154</v>
      </c>
    </row>
    <row r="60" spans="1:15">
      <c r="A60" s="26" t="s">
        <v>52</v>
      </c>
      <c r="B60" s="47">
        <f>B46</f>
        <v>1.35E-2</v>
      </c>
      <c r="C60" s="47">
        <f t="shared" ref="C60:M60" si="15">C46</f>
        <v>1.35E-2</v>
      </c>
      <c r="D60" s="47">
        <f t="shared" si="15"/>
        <v>1.35E-2</v>
      </c>
      <c r="E60" s="47">
        <f t="shared" si="15"/>
        <v>1.35E-2</v>
      </c>
      <c r="F60" s="47">
        <f t="shared" si="15"/>
        <v>1.35E-2</v>
      </c>
      <c r="G60" s="47">
        <f t="shared" si="15"/>
        <v>1.35E-2</v>
      </c>
      <c r="H60" s="47">
        <f t="shared" si="15"/>
        <v>1.35E-2</v>
      </c>
      <c r="I60" s="47">
        <f t="shared" si="15"/>
        <v>1.35E-2</v>
      </c>
      <c r="J60" s="47">
        <f t="shared" si="15"/>
        <v>1.35E-2</v>
      </c>
      <c r="K60" s="47">
        <f t="shared" si="15"/>
        <v>1.35E-2</v>
      </c>
      <c r="L60" s="47">
        <f t="shared" si="15"/>
        <v>1.35E-2</v>
      </c>
      <c r="M60" s="47">
        <f t="shared" si="15"/>
        <v>1.35E-2</v>
      </c>
      <c r="N60" s="20"/>
    </row>
    <row r="61" spans="1:15">
      <c r="A61" s="25" t="s">
        <v>53</v>
      </c>
      <c r="B61" s="48">
        <f>B47</f>
        <v>4.8179999999999996</v>
      </c>
      <c r="C61" s="48">
        <f t="shared" ref="C61:M61" si="16">C47</f>
        <v>4.8179999999999996</v>
      </c>
      <c r="D61" s="48">
        <f t="shared" si="16"/>
        <v>4.8179999999999996</v>
      </c>
      <c r="E61" s="48">
        <f t="shared" si="16"/>
        <v>4.8179999999999996</v>
      </c>
      <c r="F61" s="48">
        <f t="shared" si="16"/>
        <v>4.8179999999999996</v>
      </c>
      <c r="G61" s="48">
        <f t="shared" si="16"/>
        <v>4.8179999999999996</v>
      </c>
      <c r="H61" s="48">
        <f t="shared" si="16"/>
        <v>4.8179999999999996</v>
      </c>
      <c r="I61" s="48">
        <f t="shared" si="16"/>
        <v>4.8179999999999996</v>
      </c>
      <c r="J61" s="48">
        <f t="shared" si="16"/>
        <v>4.8179999999999996</v>
      </c>
      <c r="K61" s="48">
        <f t="shared" si="16"/>
        <v>4.8179999999999996</v>
      </c>
      <c r="L61" s="48">
        <f t="shared" si="16"/>
        <v>4.8179999999999996</v>
      </c>
      <c r="M61" s="48">
        <f t="shared" si="16"/>
        <v>4.8179999999999996</v>
      </c>
      <c r="N61" s="19"/>
    </row>
    <row r="62" spans="1:15">
      <c r="A62" s="25" t="s">
        <v>17</v>
      </c>
      <c r="B62" s="20">
        <f>B59*B60*B61</f>
        <v>35203.140385124803</v>
      </c>
      <c r="C62" s="20">
        <f t="shared" ref="C62:M62" si="17">C59*C60*C61</f>
        <v>27952.452907794192</v>
      </c>
      <c r="D62" s="20">
        <f t="shared" si="17"/>
        <v>25715.146007131938</v>
      </c>
      <c r="E62" s="20">
        <f t="shared" si="17"/>
        <v>24332.178745797246</v>
      </c>
      <c r="F62" s="20">
        <f t="shared" si="17"/>
        <v>27545.56139480387</v>
      </c>
      <c r="G62" s="20">
        <f t="shared" si="17"/>
        <v>29820.376535914413</v>
      </c>
      <c r="H62" s="20">
        <f t="shared" si="17"/>
        <v>29582.338373917471</v>
      </c>
      <c r="I62" s="20">
        <f t="shared" si="17"/>
        <v>29512.954755985731</v>
      </c>
      <c r="J62" s="20">
        <f t="shared" si="17"/>
        <v>29861.529570045845</v>
      </c>
      <c r="K62" s="20">
        <f t="shared" si="17"/>
        <v>25902.886016301574</v>
      </c>
      <c r="L62" s="20">
        <f t="shared" si="17"/>
        <v>24988.838029546605</v>
      </c>
      <c r="M62" s="20">
        <f t="shared" si="17"/>
        <v>27060.936372898621</v>
      </c>
      <c r="N62" s="20">
        <f>SUM(B62:M62)</f>
        <v>337478.33909526229</v>
      </c>
    </row>
    <row r="63" spans="1:1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5">
      <c r="B64" s="23" t="s">
        <v>0</v>
      </c>
      <c r="C64" s="23" t="s">
        <v>1</v>
      </c>
      <c r="D64" s="23" t="s">
        <v>2</v>
      </c>
      <c r="E64" s="23" t="s">
        <v>3</v>
      </c>
      <c r="F64" s="23" t="s">
        <v>4</v>
      </c>
      <c r="G64" s="23" t="s">
        <v>5</v>
      </c>
      <c r="H64" s="23" t="s">
        <v>6</v>
      </c>
      <c r="I64" s="23" t="s">
        <v>7</v>
      </c>
      <c r="J64" s="23" t="s">
        <v>8</v>
      </c>
      <c r="K64" s="23" t="s">
        <v>9</v>
      </c>
      <c r="L64" s="23" t="s">
        <v>10</v>
      </c>
      <c r="M64" s="23" t="s">
        <v>11</v>
      </c>
      <c r="N64" s="23" t="s">
        <v>12</v>
      </c>
    </row>
    <row r="65" spans="1:14">
      <c r="A65" s="261">
        <f>+A51+1</f>
        <v>2018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.2">
      <c r="A66" s="22" t="s">
        <v>19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>
      <c r="A68" s="25" t="s">
        <v>51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>
      <c r="A69" s="26" t="s">
        <v>48</v>
      </c>
      <c r="B69" s="27">
        <f>'SECI Network'!B107</f>
        <v>0</v>
      </c>
      <c r="C69" s="27">
        <f>'SECI Network'!C107</f>
        <v>0</v>
      </c>
      <c r="D69" s="27">
        <f>'SECI Network'!D107</f>
        <v>0</v>
      </c>
      <c r="E69" s="27">
        <f>'SECI Network'!E107</f>
        <v>0</v>
      </c>
      <c r="F69" s="27">
        <f>'SECI Network'!F107</f>
        <v>0</v>
      </c>
      <c r="G69" s="27">
        <f>'SECI Network'!G107</f>
        <v>0</v>
      </c>
      <c r="H69" s="27">
        <f>'SECI Network'!H107</f>
        <v>0</v>
      </c>
      <c r="I69" s="27">
        <f>'SECI Network'!I107</f>
        <v>0</v>
      </c>
      <c r="J69" s="27">
        <f>'SECI Network'!J107</f>
        <v>0</v>
      </c>
      <c r="K69" s="27">
        <f>'SECI Network'!K107</f>
        <v>0</v>
      </c>
      <c r="L69" s="27">
        <f>'SECI Network'!L107</f>
        <v>0</v>
      </c>
      <c r="M69" s="27">
        <f>'SECI Network'!M107</f>
        <v>0</v>
      </c>
      <c r="N69" s="20">
        <f>SUM(B69:M69)</f>
        <v>0</v>
      </c>
    </row>
    <row r="70" spans="1:14">
      <c r="A70" s="26" t="s">
        <v>49</v>
      </c>
      <c r="B70" s="34">
        <f t="shared" ref="B70:M70" si="18">B71-B69</f>
        <v>545059</v>
      </c>
      <c r="C70" s="34">
        <f t="shared" si="18"/>
        <v>434335</v>
      </c>
      <c r="D70" s="34">
        <f t="shared" si="18"/>
        <v>399322</v>
      </c>
      <c r="E70" s="34">
        <f t="shared" si="18"/>
        <v>378072</v>
      </c>
      <c r="F70" s="34">
        <f t="shared" si="18"/>
        <v>426788</v>
      </c>
      <c r="G70" s="34">
        <f t="shared" si="18"/>
        <v>458515</v>
      </c>
      <c r="H70" s="34">
        <f t="shared" si="18"/>
        <v>454939</v>
      </c>
      <c r="I70" s="34">
        <f t="shared" si="18"/>
        <v>453511</v>
      </c>
      <c r="J70" s="34">
        <f t="shared" si="18"/>
        <v>459480</v>
      </c>
      <c r="K70" s="34">
        <f t="shared" si="18"/>
        <v>399421</v>
      </c>
      <c r="L70" s="34">
        <f t="shared" si="18"/>
        <v>385009</v>
      </c>
      <c r="M70" s="34">
        <f t="shared" si="18"/>
        <v>416522</v>
      </c>
      <c r="N70" s="20">
        <f>SUM(B70:M70)</f>
        <v>5210973</v>
      </c>
    </row>
    <row r="71" spans="1:14">
      <c r="A71" s="26" t="s">
        <v>47</v>
      </c>
      <c r="B71" s="144">
        <f>'SECI Network'!B109</f>
        <v>545059</v>
      </c>
      <c r="C71" s="144">
        <f>'SECI Network'!C109</f>
        <v>434335</v>
      </c>
      <c r="D71" s="144">
        <f>'SECI Network'!D109</f>
        <v>399322</v>
      </c>
      <c r="E71" s="144">
        <f>'SECI Network'!E109</f>
        <v>378072</v>
      </c>
      <c r="F71" s="144">
        <f>'SECI Network'!F109</f>
        <v>426788</v>
      </c>
      <c r="G71" s="144">
        <f>'SECI Network'!G109</f>
        <v>458515</v>
      </c>
      <c r="H71" s="144">
        <f>'SECI Network'!H109</f>
        <v>454939</v>
      </c>
      <c r="I71" s="144">
        <f>'SECI Network'!I109</f>
        <v>453511</v>
      </c>
      <c r="J71" s="144">
        <f>'SECI Network'!J109</f>
        <v>459480</v>
      </c>
      <c r="K71" s="144">
        <f>'SECI Network'!K109</f>
        <v>399421</v>
      </c>
      <c r="L71" s="144">
        <f>'SECI Network'!L109</f>
        <v>385009</v>
      </c>
      <c r="M71" s="144">
        <f>'SECI Network'!M109</f>
        <v>416522</v>
      </c>
      <c r="N71" s="20">
        <f>SUM(B71:M71)</f>
        <v>5210973</v>
      </c>
    </row>
    <row r="72" spans="1:14">
      <c r="A72" s="26" t="s">
        <v>45</v>
      </c>
      <c r="B72" s="27">
        <f>B73-B69-B70</f>
        <v>10273.654100866057</v>
      </c>
      <c r="C72" s="27">
        <f t="shared" ref="C72:M72" si="19">C73-C69-C70</f>
        <v>8186.6505348955397</v>
      </c>
      <c r="D72" s="35">
        <f t="shared" si="19"/>
        <v>7526.7009679062758</v>
      </c>
      <c r="E72" s="35">
        <f t="shared" si="19"/>
        <v>7126.1660723382374</v>
      </c>
      <c r="F72" s="35">
        <f t="shared" si="19"/>
        <v>8044.3993886907701</v>
      </c>
      <c r="G72" s="35">
        <f t="shared" si="19"/>
        <v>8642.4121242995025</v>
      </c>
      <c r="H72" s="35">
        <f t="shared" si="19"/>
        <v>8575.0091696382733</v>
      </c>
      <c r="I72" s="35">
        <f t="shared" si="19"/>
        <v>8548.0932246561279</v>
      </c>
      <c r="J72" s="35">
        <f t="shared" si="19"/>
        <v>8660.6011207335396</v>
      </c>
      <c r="K72" s="35">
        <f t="shared" si="19"/>
        <v>7528.5669893020531</v>
      </c>
      <c r="L72" s="35">
        <f t="shared" si="19"/>
        <v>7256.9195109526045</v>
      </c>
      <c r="M72" s="35">
        <f t="shared" si="19"/>
        <v>7850.8986245542183</v>
      </c>
      <c r="N72" s="20">
        <f>SUM(B72:M72)</f>
        <v>98220.071828833199</v>
      </c>
    </row>
    <row r="73" spans="1:14">
      <c r="A73" s="26" t="s">
        <v>50</v>
      </c>
      <c r="B73" s="27">
        <f>(B69/(1-0.0213)/(1-'Transmission Formula Rate (7)'!$B$27))+(B70/(1-'Transmission Formula Rate (7)'!$B$27))</f>
        <v>555332.65410086606</v>
      </c>
      <c r="C73" s="27">
        <f>(C69/(1-0.0213)/(1-'Transmission Formula Rate (7)'!$B$27))+(C70/(1-'Transmission Formula Rate (7)'!$B$27))</f>
        <v>442521.65053489554</v>
      </c>
      <c r="D73" s="27">
        <f>(D69/(1-0.0213)/(1-'Transmission Formula Rate (7)'!$B$27))+(D70/(1-'Transmission Formula Rate (7)'!$B$27))</f>
        <v>406848.70096790628</v>
      </c>
      <c r="E73" s="27">
        <f>(E69/(1-0.0213)/(1-'Transmission Formula Rate (7)'!$B$27))+(E70/(1-'Transmission Formula Rate (7)'!$B$27))</f>
        <v>385198.16607233824</v>
      </c>
      <c r="F73" s="27">
        <f>(F69/(1-0.0213)/(1-'Transmission Formula Rate (7)'!$B$27))+(F70/(1-'Transmission Formula Rate (7)'!$B$27))</f>
        <v>434832.39938869077</v>
      </c>
      <c r="G73" s="27">
        <f>(G69/(1-0.0213)/(1-'Transmission Formula Rate (7)'!$B$27))+(G70/(1-'Transmission Formula Rate (7)'!$B$27))</f>
        <v>467157.4121242995</v>
      </c>
      <c r="H73" s="27">
        <f>(H69/(1-0.0213)/(1-'Transmission Formula Rate (7)'!$B$27))+(H70/(1-'Transmission Formula Rate (7)'!$B$27))</f>
        <v>463514.00916963827</v>
      </c>
      <c r="I73" s="27">
        <f>(I69/(1-0.0213)/(1-'Transmission Formula Rate (7)'!$B$27))+(I70/(1-'Transmission Formula Rate (7)'!$B$27))</f>
        <v>462059.09322465613</v>
      </c>
      <c r="J73" s="27">
        <f>(J69/(1-0.0213)/(1-'Transmission Formula Rate (7)'!$B$27))+(J70/(1-'Transmission Formula Rate (7)'!$B$27))</f>
        <v>468140.60112073354</v>
      </c>
      <c r="K73" s="27">
        <f>(K69/(1-0.0213)/(1-'Transmission Formula Rate (7)'!$B$27))+(K70/(1-'Transmission Formula Rate (7)'!$B$27))</f>
        <v>406949.56698930205</v>
      </c>
      <c r="L73" s="27">
        <f>(L69/(1-0.0213)/(1-'Transmission Formula Rate (7)'!$B$27))+(L70/(1-'Transmission Formula Rate (7)'!$B$27))</f>
        <v>392265.9195109526</v>
      </c>
      <c r="M73" s="27">
        <f>(M69/(1-0.0213)/(1-'Transmission Formula Rate (7)'!$B$27))+(M70/(1-'Transmission Formula Rate (7)'!$B$27))</f>
        <v>424372.89862455422</v>
      </c>
      <c r="N73" s="20">
        <f>SUM(B73:M73)</f>
        <v>5309193.0718288328</v>
      </c>
    </row>
    <row r="74" spans="1:14">
      <c r="A74" s="26" t="s">
        <v>52</v>
      </c>
      <c r="B74" s="47">
        <f>B60</f>
        <v>1.35E-2</v>
      </c>
      <c r="C74" s="47">
        <f t="shared" ref="C74:M74" si="20">C60</f>
        <v>1.35E-2</v>
      </c>
      <c r="D74" s="47">
        <f t="shared" si="20"/>
        <v>1.35E-2</v>
      </c>
      <c r="E74" s="47">
        <f t="shared" si="20"/>
        <v>1.35E-2</v>
      </c>
      <c r="F74" s="47">
        <f t="shared" si="20"/>
        <v>1.35E-2</v>
      </c>
      <c r="G74" s="47">
        <f t="shared" si="20"/>
        <v>1.35E-2</v>
      </c>
      <c r="H74" s="47">
        <f t="shared" si="20"/>
        <v>1.35E-2</v>
      </c>
      <c r="I74" s="47">
        <f t="shared" si="20"/>
        <v>1.35E-2</v>
      </c>
      <c r="J74" s="47">
        <f t="shared" si="20"/>
        <v>1.35E-2</v>
      </c>
      <c r="K74" s="47">
        <f t="shared" si="20"/>
        <v>1.35E-2</v>
      </c>
      <c r="L74" s="47">
        <f t="shared" si="20"/>
        <v>1.35E-2</v>
      </c>
      <c r="M74" s="47">
        <f t="shared" si="20"/>
        <v>1.35E-2</v>
      </c>
      <c r="N74" s="20"/>
    </row>
    <row r="75" spans="1:14">
      <c r="A75" s="25" t="s">
        <v>53</v>
      </c>
      <c r="B75" s="48">
        <f>B61</f>
        <v>4.8179999999999996</v>
      </c>
      <c r="C75" s="48">
        <f t="shared" ref="C75:M75" si="21">C61</f>
        <v>4.8179999999999996</v>
      </c>
      <c r="D75" s="48">
        <f t="shared" si="21"/>
        <v>4.8179999999999996</v>
      </c>
      <c r="E75" s="48">
        <f t="shared" si="21"/>
        <v>4.8179999999999996</v>
      </c>
      <c r="F75" s="48">
        <f t="shared" si="21"/>
        <v>4.8179999999999996</v>
      </c>
      <c r="G75" s="48">
        <f t="shared" si="21"/>
        <v>4.8179999999999996</v>
      </c>
      <c r="H75" s="48">
        <f t="shared" si="21"/>
        <v>4.8179999999999996</v>
      </c>
      <c r="I75" s="48">
        <f t="shared" si="21"/>
        <v>4.8179999999999996</v>
      </c>
      <c r="J75" s="48">
        <f t="shared" si="21"/>
        <v>4.8179999999999996</v>
      </c>
      <c r="K75" s="48">
        <f t="shared" si="21"/>
        <v>4.8179999999999996</v>
      </c>
      <c r="L75" s="48">
        <f t="shared" si="21"/>
        <v>4.8179999999999996</v>
      </c>
      <c r="M75" s="48">
        <f t="shared" si="21"/>
        <v>4.8179999999999996</v>
      </c>
      <c r="N75" s="19"/>
    </row>
    <row r="76" spans="1:14">
      <c r="A76" s="25" t="s">
        <v>17</v>
      </c>
      <c r="B76" s="20">
        <f t="shared" ref="B76:M76" si="22">B73*B74*B75</f>
        <v>36120.501820682628</v>
      </c>
      <c r="C76" s="20">
        <f t="shared" si="22"/>
        <v>28782.935715741205</v>
      </c>
      <c r="D76" s="20">
        <f t="shared" si="22"/>
        <v>26462.660057055527</v>
      </c>
      <c r="E76" s="20">
        <f t="shared" si="22"/>
        <v>25054.444315843095</v>
      </c>
      <c r="F76" s="20">
        <f t="shared" si="22"/>
        <v>28282.803753438609</v>
      </c>
      <c r="G76" s="20">
        <f t="shared" si="22"/>
        <v>30385.319556800809</v>
      </c>
      <c r="H76" s="20">
        <f t="shared" si="22"/>
        <v>30148.34169842078</v>
      </c>
      <c r="I76" s="20">
        <f t="shared" si="22"/>
        <v>30053.70960061131</v>
      </c>
      <c r="J76" s="20">
        <f t="shared" si="22"/>
        <v>30449.269118695869</v>
      </c>
      <c r="K76" s="20">
        <f t="shared" si="22"/>
        <v>26469.22068568517</v>
      </c>
      <c r="L76" s="20">
        <f t="shared" si="22"/>
        <v>25514.152202750887</v>
      </c>
      <c r="M76" s="20">
        <f t="shared" si="22"/>
        <v>27602.486445236878</v>
      </c>
      <c r="N76" s="20">
        <f>SUM(B76:M76)</f>
        <v>345325.84497096279</v>
      </c>
    </row>
    <row r="77" spans="1:14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s="19" customFormat="1" ht="10.199999999999999">
      <c r="A78" s="2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s="19" customFormat="1" ht="13.5" customHeight="1">
      <c r="A79" s="21"/>
      <c r="B79" s="23" t="s">
        <v>0</v>
      </c>
      <c r="C79" s="23" t="s">
        <v>1</v>
      </c>
      <c r="D79" s="23" t="s">
        <v>2</v>
      </c>
      <c r="E79" s="23" t="s">
        <v>3</v>
      </c>
      <c r="F79" s="23" t="s">
        <v>4</v>
      </c>
      <c r="G79" s="23" t="s">
        <v>5</v>
      </c>
      <c r="H79" s="23" t="s">
        <v>6</v>
      </c>
      <c r="I79" s="23" t="s">
        <v>7</v>
      </c>
      <c r="J79" s="23" t="s">
        <v>8</v>
      </c>
      <c r="K79" s="23" t="s">
        <v>9</v>
      </c>
      <c r="L79" s="23" t="s">
        <v>10</v>
      </c>
      <c r="M79" s="23" t="s">
        <v>11</v>
      </c>
      <c r="N79" s="23" t="s">
        <v>12</v>
      </c>
    </row>
    <row r="80" spans="1:14" s="19" customFormat="1" ht="10.199999999999999">
      <c r="A80" s="261">
        <f>+A65+1</f>
        <v>2019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6" s="19" customFormat="1" ht="13.2">
      <c r="A81" s="22" t="s">
        <v>19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6" s="19" customFormat="1" ht="10.199999999999999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6" s="19" customFormat="1" ht="10.199999999999999">
      <c r="A83" s="25" t="s">
        <v>51</v>
      </c>
    </row>
    <row r="84" spans="1:16" s="19" customFormat="1" ht="10.199999999999999">
      <c r="A84" s="26" t="s">
        <v>48</v>
      </c>
      <c r="B84" s="27">
        <f>'SECI Network'!B122</f>
        <v>0.02</v>
      </c>
      <c r="C84" s="27">
        <f>'SECI Network'!C122</f>
        <v>0.02</v>
      </c>
      <c r="D84" s="27">
        <f>'SECI Network'!D122</f>
        <v>0.02</v>
      </c>
      <c r="E84" s="27">
        <f>'SECI Network'!E122</f>
        <v>0.02</v>
      </c>
      <c r="F84" s="27">
        <f>'SECI Network'!F122</f>
        <v>0.02</v>
      </c>
      <c r="G84" s="27">
        <f>'SECI Network'!G122</f>
        <v>0.02</v>
      </c>
      <c r="H84" s="27">
        <f>'SECI Network'!H122</f>
        <v>0.02</v>
      </c>
      <c r="I84" s="27">
        <f>'SECI Network'!I122</f>
        <v>0.02</v>
      </c>
      <c r="J84" s="27">
        <f>'SECI Network'!J122</f>
        <v>0.02</v>
      </c>
      <c r="K84" s="27">
        <f>'SECI Network'!K122</f>
        <v>0.02</v>
      </c>
      <c r="L84" s="27">
        <f>'SECI Network'!L122</f>
        <v>0.02</v>
      </c>
      <c r="M84" s="27">
        <f>'SECI Network'!M122</f>
        <v>0.02</v>
      </c>
      <c r="N84" s="20">
        <f>SUM(B84:M84)</f>
        <v>0.23999999999999996</v>
      </c>
    </row>
    <row r="85" spans="1:16" s="28" customFormat="1">
      <c r="A85" s="26" t="s">
        <v>49</v>
      </c>
      <c r="B85" s="34">
        <f>B86-B84</f>
        <v>550643.98</v>
      </c>
      <c r="C85" s="34">
        <f t="shared" ref="C85:M85" si="23">C86-C84</f>
        <v>438916.98</v>
      </c>
      <c r="D85" s="34">
        <f t="shared" si="23"/>
        <v>403137.98</v>
      </c>
      <c r="E85" s="34">
        <f t="shared" si="23"/>
        <v>382059.98</v>
      </c>
      <c r="F85" s="34">
        <f t="shared" si="23"/>
        <v>431169.98</v>
      </c>
      <c r="G85" s="34">
        <f t="shared" si="23"/>
        <v>465686.98</v>
      </c>
      <c r="H85" s="34">
        <f t="shared" si="23"/>
        <v>462080.98</v>
      </c>
      <c r="I85" s="34">
        <f t="shared" si="23"/>
        <v>460590.98</v>
      </c>
      <c r="J85" s="34">
        <f t="shared" si="23"/>
        <v>467000.98</v>
      </c>
      <c r="K85" s="34">
        <f t="shared" si="23"/>
        <v>406070.98</v>
      </c>
      <c r="L85" s="34">
        <f t="shared" si="23"/>
        <v>391356.98</v>
      </c>
      <c r="M85" s="34">
        <f t="shared" si="23"/>
        <v>423457.98</v>
      </c>
      <c r="N85" s="20">
        <f>SUM(B85:M85)</f>
        <v>5282174.76</v>
      </c>
      <c r="P85" s="21"/>
    </row>
    <row r="86" spans="1:16" s="28" customFormat="1">
      <c r="A86" s="26" t="s">
        <v>47</v>
      </c>
      <c r="B86" s="144">
        <f>'SECI Network'!B134</f>
        <v>550644</v>
      </c>
      <c r="C86" s="144">
        <f>'SECI Network'!C134</f>
        <v>438917</v>
      </c>
      <c r="D86" s="144">
        <f>'SECI Network'!D134</f>
        <v>403138</v>
      </c>
      <c r="E86" s="144">
        <f>'SECI Network'!E134</f>
        <v>382060</v>
      </c>
      <c r="F86" s="144">
        <f>'SECI Network'!F134</f>
        <v>431170</v>
      </c>
      <c r="G86" s="144">
        <f>'SECI Network'!G134</f>
        <v>465687</v>
      </c>
      <c r="H86" s="144">
        <f>'SECI Network'!H134</f>
        <v>462081</v>
      </c>
      <c r="I86" s="144">
        <f>'SECI Network'!I134</f>
        <v>460591</v>
      </c>
      <c r="J86" s="144">
        <f>'SECI Network'!J134</f>
        <v>467001</v>
      </c>
      <c r="K86" s="144">
        <f>'SECI Network'!K134</f>
        <v>406071</v>
      </c>
      <c r="L86" s="144">
        <f>'SECI Network'!L134</f>
        <v>391357</v>
      </c>
      <c r="M86" s="144">
        <f>'SECI Network'!M134</f>
        <v>423458</v>
      </c>
      <c r="N86" s="20">
        <f>SUM(B86:M86)</f>
        <v>5282175</v>
      </c>
      <c r="P86" s="21"/>
    </row>
    <row r="87" spans="1:16" s="28" customFormat="1">
      <c r="A87" s="26" t="s">
        <v>45</v>
      </c>
      <c r="B87" s="27">
        <f>B88-B84-B85</f>
        <v>10378.924539247295</v>
      </c>
      <c r="C87" s="27">
        <f t="shared" ref="C87:M87" si="24">C88-C84-C85</f>
        <v>8273.0157262060093</v>
      </c>
      <c r="D87" s="35">
        <f t="shared" si="24"/>
        <v>7598.6280542752938</v>
      </c>
      <c r="E87" s="35">
        <f t="shared" si="24"/>
        <v>7201.33513527381</v>
      </c>
      <c r="F87" s="35">
        <f t="shared" si="24"/>
        <v>8126.9948398076813</v>
      </c>
      <c r="G87" s="35">
        <f t="shared" si="24"/>
        <v>8777.5954511168529</v>
      </c>
      <c r="H87" s="35">
        <f t="shared" si="24"/>
        <v>8709.6270354266162</v>
      </c>
      <c r="I87" s="35">
        <f t="shared" si="24"/>
        <v>8681.5424709844519</v>
      </c>
      <c r="J87" s="35">
        <f t="shared" si="24"/>
        <v>8802.3626441886881</v>
      </c>
      <c r="K87" s="35">
        <f t="shared" si="24"/>
        <v>7653.9112942141946</v>
      </c>
      <c r="L87" s="35">
        <f t="shared" si="24"/>
        <v>7376.5715081724338</v>
      </c>
      <c r="M87" s="35">
        <f t="shared" si="24"/>
        <v>7981.6336579431663</v>
      </c>
      <c r="N87" s="20">
        <f>SUM(B87:M87)</f>
        <v>99562.142356856493</v>
      </c>
      <c r="P87" s="21"/>
    </row>
    <row r="88" spans="1:16" s="28" customFormat="1">
      <c r="A88" s="26" t="s">
        <v>50</v>
      </c>
      <c r="B88" s="27">
        <f>(B84/(1-0.0213)/(1-'Transmission Formula Rate (7)'!$B$27))+(B85/(1-'Transmission Formula Rate (7)'!$B$27))</f>
        <v>561022.92453924729</v>
      </c>
      <c r="C88" s="27">
        <f>(C84/(1-0.0213)/(1-'Transmission Formula Rate (7)'!$B$27))+(C85/(1-'Transmission Formula Rate (7)'!$B$27))</f>
        <v>447190.01572620601</v>
      </c>
      <c r="D88" s="27">
        <f>(D84/(1-0.0213)/(1-'Transmission Formula Rate (7)'!$B$27))+(D85/(1-'Transmission Formula Rate (7)'!$B$27))</f>
        <v>410736.62805427529</v>
      </c>
      <c r="E88" s="27">
        <f>(E84/(1-0.0213)/(1-'Transmission Formula Rate (7)'!$B$27))+(E85/(1-'Transmission Formula Rate (7)'!$B$27))</f>
        <v>389261.33513527381</v>
      </c>
      <c r="F88" s="27">
        <f>(F84/(1-0.0213)/(1-'Transmission Formula Rate (7)'!$B$27))+(F85/(1-'Transmission Formula Rate (7)'!$B$27))</f>
        <v>439296.99483980768</v>
      </c>
      <c r="G88" s="27">
        <f>(G84/(1-0.0213)/(1-'Transmission Formula Rate (7)'!$B$27))+(G85/(1-'Transmission Formula Rate (7)'!$B$27))</f>
        <v>474464.59545111685</v>
      </c>
      <c r="H88" s="27">
        <f>(H84/(1-0.0213)/(1-'Transmission Formula Rate (7)'!$B$27))+(H85/(1-'Transmission Formula Rate (7)'!$B$27))</f>
        <v>470790.62703542662</v>
      </c>
      <c r="I88" s="27">
        <f>(I84/(1-0.0213)/(1-'Transmission Formula Rate (7)'!$B$27))+(I85/(1-'Transmission Formula Rate (7)'!$B$27))</f>
        <v>469272.54247098445</v>
      </c>
      <c r="J88" s="27">
        <f>(J84/(1-0.0213)/(1-'Transmission Formula Rate (7)'!$B$27))+(J85/(1-'Transmission Formula Rate (7)'!$B$27))</f>
        <v>475803.36264418869</v>
      </c>
      <c r="K88" s="27">
        <f>(K84/(1-0.0213)/(1-'Transmission Formula Rate (7)'!$B$27))+(K85/(1-'Transmission Formula Rate (7)'!$B$27))</f>
        <v>413724.91129421419</v>
      </c>
      <c r="L88" s="27">
        <f>(L84/(1-0.0213)/(1-'Transmission Formula Rate (7)'!$B$27))+(L85/(1-'Transmission Formula Rate (7)'!$B$27))</f>
        <v>398733.57150817243</v>
      </c>
      <c r="M88" s="27">
        <f>(M84/(1-0.0213)/(1-'Transmission Formula Rate (7)'!$B$27))+(M85/(1-'Transmission Formula Rate (7)'!$B$27))</f>
        <v>431439.63365794317</v>
      </c>
      <c r="N88" s="20">
        <f>SUM(B88:M88)</f>
        <v>5381737.1423568577</v>
      </c>
      <c r="P88" s="21"/>
    </row>
    <row r="89" spans="1:16" s="19" customFormat="1">
      <c r="A89" s="26" t="s">
        <v>52</v>
      </c>
      <c r="B89" s="47">
        <f>B74</f>
        <v>1.35E-2</v>
      </c>
      <c r="C89" s="47">
        <f t="shared" ref="C89:M89" si="25">C74</f>
        <v>1.35E-2</v>
      </c>
      <c r="D89" s="47">
        <f t="shared" si="25"/>
        <v>1.35E-2</v>
      </c>
      <c r="E89" s="47">
        <f t="shared" si="25"/>
        <v>1.35E-2</v>
      </c>
      <c r="F89" s="47">
        <f t="shared" si="25"/>
        <v>1.35E-2</v>
      </c>
      <c r="G89" s="47">
        <f t="shared" si="25"/>
        <v>1.35E-2</v>
      </c>
      <c r="H89" s="47">
        <f t="shared" si="25"/>
        <v>1.35E-2</v>
      </c>
      <c r="I89" s="47">
        <f t="shared" si="25"/>
        <v>1.35E-2</v>
      </c>
      <c r="J89" s="47">
        <f t="shared" si="25"/>
        <v>1.35E-2</v>
      </c>
      <c r="K89" s="47">
        <f t="shared" si="25"/>
        <v>1.35E-2</v>
      </c>
      <c r="L89" s="47">
        <f t="shared" si="25"/>
        <v>1.35E-2</v>
      </c>
      <c r="M89" s="47">
        <f t="shared" si="25"/>
        <v>1.35E-2</v>
      </c>
      <c r="N89" s="20"/>
      <c r="P89" s="21"/>
    </row>
    <row r="90" spans="1:16" s="19" customFormat="1">
      <c r="A90" s="25" t="s">
        <v>53</v>
      </c>
      <c r="B90" s="48">
        <f>B75</f>
        <v>4.8179999999999996</v>
      </c>
      <c r="C90" s="48">
        <f t="shared" ref="C90:M90" si="26">C75</f>
        <v>4.8179999999999996</v>
      </c>
      <c r="D90" s="48">
        <f t="shared" si="26"/>
        <v>4.8179999999999996</v>
      </c>
      <c r="E90" s="48">
        <f t="shared" si="26"/>
        <v>4.8179999999999996</v>
      </c>
      <c r="F90" s="48">
        <f t="shared" si="26"/>
        <v>4.8179999999999996</v>
      </c>
      <c r="G90" s="48">
        <f t="shared" si="26"/>
        <v>4.8179999999999996</v>
      </c>
      <c r="H90" s="48">
        <f t="shared" si="26"/>
        <v>4.8179999999999996</v>
      </c>
      <c r="I90" s="48">
        <f t="shared" si="26"/>
        <v>4.8179999999999996</v>
      </c>
      <c r="J90" s="48">
        <f t="shared" si="26"/>
        <v>4.8179999999999996</v>
      </c>
      <c r="K90" s="48">
        <f t="shared" si="26"/>
        <v>4.8179999999999996</v>
      </c>
      <c r="L90" s="48">
        <f t="shared" si="26"/>
        <v>4.8179999999999996</v>
      </c>
      <c r="M90" s="48">
        <f t="shared" si="26"/>
        <v>4.8179999999999996</v>
      </c>
      <c r="P90" s="21"/>
    </row>
    <row r="91" spans="1:16">
      <c r="A91" s="25" t="s">
        <v>17</v>
      </c>
      <c r="B91" s="20">
        <f t="shared" ref="B91:M91" si="27">B88*B89*B90</f>
        <v>36490.614080806256</v>
      </c>
      <c r="C91" s="20">
        <f t="shared" si="27"/>
        <v>29086.580192879614</v>
      </c>
      <c r="D91" s="20">
        <f t="shared" si="27"/>
        <v>26715.542498534225</v>
      </c>
      <c r="E91" s="20">
        <f t="shared" si="27"/>
        <v>25318.725021203616</v>
      </c>
      <c r="F91" s="20">
        <f t="shared" si="27"/>
        <v>28573.194435365607</v>
      </c>
      <c r="G91" s="20">
        <f t="shared" si="27"/>
        <v>30860.60068192699</v>
      </c>
      <c r="H91" s="20">
        <f t="shared" si="27"/>
        <v>30621.634754265251</v>
      </c>
      <c r="I91" s="20">
        <f t="shared" si="27"/>
        <v>30522.89397994024</v>
      </c>
      <c r="J91" s="20">
        <f t="shared" si="27"/>
        <v>30947.678116465959</v>
      </c>
      <c r="K91" s="20">
        <f t="shared" si="27"/>
        <v>26909.909405309572</v>
      </c>
      <c r="L91" s="20">
        <f t="shared" si="27"/>
        <v>25934.827691606057</v>
      </c>
      <c r="M91" s="20">
        <f t="shared" si="27"/>
        <v>28062.128092013598</v>
      </c>
      <c r="N91" s="20">
        <f>SUM(B91:M91)</f>
        <v>350044.32895031699</v>
      </c>
    </row>
    <row r="92" spans="1:16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1:16" s="19" customFormat="1" ht="13.5" customHeight="1">
      <c r="A94" s="21"/>
      <c r="B94" s="23" t="s">
        <v>0</v>
      </c>
      <c r="C94" s="23" t="s">
        <v>1</v>
      </c>
      <c r="D94" s="23" t="s">
        <v>2</v>
      </c>
      <c r="E94" s="23" t="s">
        <v>3</v>
      </c>
      <c r="F94" s="23" t="s">
        <v>4</v>
      </c>
      <c r="G94" s="23" t="s">
        <v>5</v>
      </c>
      <c r="H94" s="23" t="s">
        <v>6</v>
      </c>
      <c r="I94" s="23" t="s">
        <v>7</v>
      </c>
      <c r="J94" s="23" t="s">
        <v>8</v>
      </c>
      <c r="K94" s="23" t="s">
        <v>9</v>
      </c>
      <c r="L94" s="23" t="s">
        <v>10</v>
      </c>
      <c r="M94" s="23" t="s">
        <v>11</v>
      </c>
      <c r="N94" s="23" t="s">
        <v>12</v>
      </c>
    </row>
    <row r="95" spans="1:16" s="19" customFormat="1" ht="10.199999999999999">
      <c r="A95" s="261">
        <f>+A80+1</f>
        <v>2020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6" s="19" customFormat="1" ht="13.2">
      <c r="A96" s="22" t="s">
        <v>19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6" s="19" customFormat="1" ht="10.199999999999999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6" s="19" customFormat="1" ht="10.199999999999999">
      <c r="A98" s="25" t="s">
        <v>51</v>
      </c>
    </row>
    <row r="99" spans="1:16" s="19" customFormat="1" ht="10.199999999999999">
      <c r="A99" s="26" t="s">
        <v>48</v>
      </c>
      <c r="B99" s="27">
        <f>'SECI Network'!B157</f>
        <v>0</v>
      </c>
      <c r="C99" s="27">
        <f>'SECI Network'!C157</f>
        <v>0</v>
      </c>
      <c r="D99" s="27">
        <f>'SECI Network'!D157</f>
        <v>0</v>
      </c>
      <c r="E99" s="27">
        <f>'SECI Network'!E157</f>
        <v>0</v>
      </c>
      <c r="F99" s="27">
        <f>'SECI Network'!F157</f>
        <v>0</v>
      </c>
      <c r="G99" s="27">
        <f>'SECI Network'!G157</f>
        <v>0</v>
      </c>
      <c r="H99" s="27">
        <f>'SECI Network'!H157</f>
        <v>0</v>
      </c>
      <c r="I99" s="27">
        <f>'SECI Network'!I157</f>
        <v>0</v>
      </c>
      <c r="J99" s="27">
        <f>'SECI Network'!J157</f>
        <v>0</v>
      </c>
      <c r="K99" s="27">
        <f>'SECI Network'!K157</f>
        <v>0</v>
      </c>
      <c r="L99" s="27">
        <f>'SECI Network'!L157</f>
        <v>0</v>
      </c>
      <c r="M99" s="27">
        <f>'SECI Network'!M157</f>
        <v>0</v>
      </c>
      <c r="N99" s="20">
        <f>SUM(B99:M99)</f>
        <v>0</v>
      </c>
    </row>
    <row r="100" spans="1:16" s="28" customFormat="1">
      <c r="A100" s="26" t="s">
        <v>49</v>
      </c>
      <c r="B100" s="34">
        <f t="shared" ref="B100:M100" si="28">B101-B99</f>
        <v>559340</v>
      </c>
      <c r="C100" s="34">
        <f t="shared" si="28"/>
        <v>460654</v>
      </c>
      <c r="D100" s="34">
        <f t="shared" si="28"/>
        <v>409494</v>
      </c>
      <c r="E100" s="34">
        <f t="shared" si="28"/>
        <v>388301</v>
      </c>
      <c r="F100" s="34">
        <f t="shared" si="28"/>
        <v>437996</v>
      </c>
      <c r="G100" s="34">
        <f t="shared" si="28"/>
        <v>472662</v>
      </c>
      <c r="H100" s="34">
        <f t="shared" si="28"/>
        <v>468941</v>
      </c>
      <c r="I100" s="34">
        <f t="shared" si="28"/>
        <v>467395</v>
      </c>
      <c r="J100" s="34">
        <f t="shared" si="28"/>
        <v>474218</v>
      </c>
      <c r="K100" s="34">
        <f t="shared" si="28"/>
        <v>412527</v>
      </c>
      <c r="L100" s="34">
        <f t="shared" si="28"/>
        <v>397489</v>
      </c>
      <c r="M100" s="34">
        <f t="shared" si="28"/>
        <v>430098</v>
      </c>
      <c r="N100" s="20">
        <f>SUM(B100:M100)</f>
        <v>5379115</v>
      </c>
      <c r="P100" s="21"/>
    </row>
    <row r="101" spans="1:16" s="28" customFormat="1">
      <c r="A101" s="26" t="s">
        <v>47</v>
      </c>
      <c r="B101" s="144">
        <f>'SECI Network'!B159</f>
        <v>559340</v>
      </c>
      <c r="C101" s="144">
        <f>'SECI Network'!C159</f>
        <v>460654</v>
      </c>
      <c r="D101" s="144">
        <f>'SECI Network'!D159</f>
        <v>409494</v>
      </c>
      <c r="E101" s="144">
        <f>'SECI Network'!E159</f>
        <v>388301</v>
      </c>
      <c r="F101" s="144">
        <f>'SECI Network'!F159</f>
        <v>437996</v>
      </c>
      <c r="G101" s="144">
        <f>'SECI Network'!G159</f>
        <v>472662</v>
      </c>
      <c r="H101" s="144">
        <f>'SECI Network'!H159</f>
        <v>468941</v>
      </c>
      <c r="I101" s="144">
        <f>'SECI Network'!I159</f>
        <v>467395</v>
      </c>
      <c r="J101" s="144">
        <f>'SECI Network'!J159</f>
        <v>474218</v>
      </c>
      <c r="K101" s="144">
        <f>'SECI Network'!K159</f>
        <v>412527</v>
      </c>
      <c r="L101" s="144">
        <f>'SECI Network'!L159</f>
        <v>397489</v>
      </c>
      <c r="M101" s="144">
        <f>'SECI Network'!M159</f>
        <v>430098</v>
      </c>
      <c r="N101" s="20">
        <f>SUM(B101:M101)</f>
        <v>5379115</v>
      </c>
      <c r="P101" s="21"/>
    </row>
    <row r="102" spans="1:16" s="28" customFormat="1">
      <c r="A102" s="26" t="s">
        <v>45</v>
      </c>
      <c r="B102" s="27">
        <f>B103-B99-B100</f>
        <v>10542.832399388659</v>
      </c>
      <c r="C102" s="27">
        <f t="shared" ref="C102:M102" si="29">C103-C99-C100</f>
        <v>8682.7294956698897</v>
      </c>
      <c r="D102" s="35">
        <f t="shared" si="29"/>
        <v>7718.4299541517976</v>
      </c>
      <c r="E102" s="35">
        <f t="shared" si="29"/>
        <v>7318.9694345389726</v>
      </c>
      <c r="F102" s="35">
        <f t="shared" si="29"/>
        <v>8255.6556291390443</v>
      </c>
      <c r="G102" s="35">
        <f t="shared" si="29"/>
        <v>8909.0646968925139</v>
      </c>
      <c r="H102" s="35">
        <f t="shared" si="29"/>
        <v>8838.928680590936</v>
      </c>
      <c r="I102" s="35">
        <f t="shared" si="29"/>
        <v>8809.7885888945311</v>
      </c>
      <c r="J102" s="35">
        <f t="shared" si="29"/>
        <v>8938.3932755985297</v>
      </c>
      <c r="K102" s="35">
        <f t="shared" si="29"/>
        <v>7775.5980641874485</v>
      </c>
      <c r="L102" s="35">
        <f t="shared" si="29"/>
        <v>7492.1512990320916</v>
      </c>
      <c r="M102" s="35">
        <f t="shared" si="29"/>
        <v>8106.7885888945311</v>
      </c>
      <c r="N102" s="20">
        <f>SUM(B102:M102)</f>
        <v>101389.33010697894</v>
      </c>
      <c r="P102" s="21"/>
    </row>
    <row r="103" spans="1:16" s="28" customFormat="1">
      <c r="A103" s="26" t="s">
        <v>50</v>
      </c>
      <c r="B103" s="27">
        <f>(B99/(1-0.0213)/(1-'Transmission Formula Rate (7)'!$B$27))+(B100/(1-'Transmission Formula Rate (7)'!$B$27))</f>
        <v>569882.83239938866</v>
      </c>
      <c r="C103" s="27">
        <f>(C99/(1-0.0213)/(1-'Transmission Formula Rate (7)'!$B$27))+(C100/(1-'Transmission Formula Rate (7)'!$B$27))</f>
        <v>469336.72949566989</v>
      </c>
      <c r="D103" s="27">
        <f>(D99/(1-0.0213)/(1-'Transmission Formula Rate (7)'!$B$27))+(D100/(1-'Transmission Formula Rate (7)'!$B$27))</f>
        <v>417212.4299541518</v>
      </c>
      <c r="E103" s="27">
        <f>(E99/(1-0.0213)/(1-'Transmission Formula Rate (7)'!$B$27))+(E100/(1-'Transmission Formula Rate (7)'!$B$27))</f>
        <v>395619.96943453897</v>
      </c>
      <c r="F103" s="27">
        <f>(F99/(1-0.0213)/(1-'Transmission Formula Rate (7)'!$B$27))+(F100/(1-'Transmission Formula Rate (7)'!$B$27))</f>
        <v>446251.65562913904</v>
      </c>
      <c r="G103" s="27">
        <f>(G99/(1-0.0213)/(1-'Transmission Formula Rate (7)'!$B$27))+(G100/(1-'Transmission Formula Rate (7)'!$B$27))</f>
        <v>481571.06469689251</v>
      </c>
      <c r="H103" s="27">
        <f>(H99/(1-0.0213)/(1-'Transmission Formula Rate (7)'!$B$27))+(H100/(1-'Transmission Formula Rate (7)'!$B$27))</f>
        <v>477779.92868059094</v>
      </c>
      <c r="I103" s="27">
        <f>(I99/(1-0.0213)/(1-'Transmission Formula Rate (7)'!$B$27))+(I100/(1-'Transmission Formula Rate (7)'!$B$27))</f>
        <v>476204.78858889453</v>
      </c>
      <c r="J103" s="27">
        <f>(J99/(1-0.0213)/(1-'Transmission Formula Rate (7)'!$B$27))+(J100/(1-'Transmission Formula Rate (7)'!$B$27))</f>
        <v>483156.39327559853</v>
      </c>
      <c r="K103" s="27">
        <f>(K99/(1-0.0213)/(1-'Transmission Formula Rate (7)'!$B$27))+(K100/(1-'Transmission Formula Rate (7)'!$B$27))</f>
        <v>420302.59806418745</v>
      </c>
      <c r="L103" s="27">
        <f>(L99/(1-0.0213)/(1-'Transmission Formula Rate (7)'!$B$27))+(L100/(1-'Transmission Formula Rate (7)'!$B$27))</f>
        <v>404981.15129903209</v>
      </c>
      <c r="M103" s="27">
        <f>(M99/(1-0.0213)/(1-'Transmission Formula Rate (7)'!$B$27))+(M100/(1-'Transmission Formula Rate (7)'!$B$27))</f>
        <v>438204.78858889453</v>
      </c>
      <c r="N103" s="20">
        <f>SUM(B103:M103)</f>
        <v>5480504.3301069802</v>
      </c>
      <c r="P103" s="21"/>
    </row>
    <row r="104" spans="1:16" s="19" customFormat="1">
      <c r="A104" s="26" t="s">
        <v>52</v>
      </c>
      <c r="B104" s="47">
        <f>B89</f>
        <v>1.35E-2</v>
      </c>
      <c r="C104" s="47">
        <f t="shared" ref="C104:M104" si="30">C89</f>
        <v>1.35E-2</v>
      </c>
      <c r="D104" s="47">
        <f t="shared" si="30"/>
        <v>1.35E-2</v>
      </c>
      <c r="E104" s="47">
        <f t="shared" si="30"/>
        <v>1.35E-2</v>
      </c>
      <c r="F104" s="47">
        <f t="shared" si="30"/>
        <v>1.35E-2</v>
      </c>
      <c r="G104" s="47">
        <f t="shared" si="30"/>
        <v>1.35E-2</v>
      </c>
      <c r="H104" s="47">
        <f t="shared" si="30"/>
        <v>1.35E-2</v>
      </c>
      <c r="I104" s="47">
        <f t="shared" si="30"/>
        <v>1.35E-2</v>
      </c>
      <c r="J104" s="47">
        <f t="shared" si="30"/>
        <v>1.35E-2</v>
      </c>
      <c r="K104" s="47">
        <f t="shared" si="30"/>
        <v>1.35E-2</v>
      </c>
      <c r="L104" s="47">
        <f t="shared" si="30"/>
        <v>1.35E-2</v>
      </c>
      <c r="M104" s="47">
        <f t="shared" si="30"/>
        <v>1.35E-2</v>
      </c>
      <c r="N104" s="20"/>
      <c r="P104" s="21"/>
    </row>
    <row r="105" spans="1:16" s="19" customFormat="1">
      <c r="A105" s="25" t="s">
        <v>53</v>
      </c>
      <c r="B105" s="48">
        <f>B90</f>
        <v>4.8179999999999996</v>
      </c>
      <c r="C105" s="48">
        <f t="shared" ref="C105:M105" si="31">C90</f>
        <v>4.8179999999999996</v>
      </c>
      <c r="D105" s="48">
        <f t="shared" si="31"/>
        <v>4.8179999999999996</v>
      </c>
      <c r="E105" s="48">
        <f t="shared" si="31"/>
        <v>4.8179999999999996</v>
      </c>
      <c r="F105" s="48">
        <f t="shared" si="31"/>
        <v>4.8179999999999996</v>
      </c>
      <c r="G105" s="48">
        <f t="shared" si="31"/>
        <v>4.8179999999999996</v>
      </c>
      <c r="H105" s="48">
        <f t="shared" si="31"/>
        <v>4.8179999999999996</v>
      </c>
      <c r="I105" s="48">
        <f t="shared" si="31"/>
        <v>4.8179999999999996</v>
      </c>
      <c r="J105" s="48">
        <f t="shared" si="31"/>
        <v>4.8179999999999996</v>
      </c>
      <c r="K105" s="48">
        <f t="shared" si="31"/>
        <v>4.8179999999999996</v>
      </c>
      <c r="L105" s="48">
        <f t="shared" si="31"/>
        <v>4.8179999999999996</v>
      </c>
      <c r="M105" s="48">
        <f t="shared" si="31"/>
        <v>4.8179999999999996</v>
      </c>
      <c r="P105" s="21"/>
    </row>
    <row r="106" spans="1:16">
      <c r="A106" s="25" t="s">
        <v>17</v>
      </c>
      <c r="B106" s="20">
        <f t="shared" ref="B106:M106" si="32">B103*B104*B105</f>
        <v>37066.889067753429</v>
      </c>
      <c r="C106" s="20">
        <f t="shared" si="32"/>
        <v>30527.068896586858</v>
      </c>
      <c r="D106" s="20">
        <f t="shared" si="32"/>
        <v>27136.748081507896</v>
      </c>
      <c r="E106" s="20">
        <f t="shared" si="32"/>
        <v>25732.309671930718</v>
      </c>
      <c r="F106" s="20">
        <f t="shared" si="32"/>
        <v>29025.546437086086</v>
      </c>
      <c r="G106" s="20">
        <f t="shared" si="32"/>
        <v>31322.826761079978</v>
      </c>
      <c r="H106" s="20">
        <f t="shared" si="32"/>
        <v>31076.239901171673</v>
      </c>
      <c r="I106" s="20">
        <f t="shared" si="32"/>
        <v>30973.788064187462</v>
      </c>
      <c r="J106" s="20">
        <f t="shared" si="32"/>
        <v>31425.941287824749</v>
      </c>
      <c r="K106" s="20">
        <f t="shared" si="32"/>
        <v>27337.74188588894</v>
      </c>
      <c r="L106" s="20">
        <f t="shared" si="32"/>
        <v>26341.189023942945</v>
      </c>
      <c r="M106" s="20">
        <f t="shared" si="32"/>
        <v>28502.154064187467</v>
      </c>
      <c r="N106" s="20">
        <f>SUM(B106:M106)</f>
        <v>356468.44314314815</v>
      </c>
    </row>
  </sheetData>
  <phoneticPr fontId="23" type="noConversion"/>
  <pageMargins left="0.38" right="0.2" top="0.73" bottom="0.46" header="0.51" footer="0.18"/>
  <pageSetup scale="90" pageOrder="overThenDown" orientation="landscape" r:id="rId1"/>
  <headerFooter alignWithMargins="0">
    <oddHeader>&amp;A</oddHeader>
    <oddFooter>&amp;Z&amp;F</oddFooter>
  </headerFooter>
  <rowBreaks count="5" manualBreakCount="5">
    <brk id="20" max="16383" man="1"/>
    <brk id="49" max="16383" man="1"/>
    <brk id="125" max="65535" man="1"/>
    <brk id="155" max="65535" man="1"/>
    <brk id="203" max="6553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B050"/>
  </sheetPr>
  <dimension ref="A1:P175"/>
  <sheetViews>
    <sheetView zoomScaleNormal="100" workbookViewId="0">
      <pane ySplit="6" topLeftCell="A7" activePane="bottomLeft" state="frozen"/>
      <selection sqref="A1:XFD1428"/>
      <selection pane="bottomLeft" activeCell="A2" sqref="A2"/>
    </sheetView>
  </sheetViews>
  <sheetFormatPr defaultColWidth="9" defaultRowHeight="12"/>
  <cols>
    <col min="1" max="1" width="26.21875" style="243" customWidth="1"/>
    <col min="2" max="2" width="8.44140625" style="21" customWidth="1"/>
    <col min="3" max="3" width="9.33203125" style="21" customWidth="1"/>
    <col min="4" max="4" width="10" style="21" customWidth="1"/>
    <col min="5" max="6" width="9.33203125" style="21" customWidth="1"/>
    <col min="7" max="7" width="8.77734375" style="21" customWidth="1"/>
    <col min="8" max="8" width="9.88671875" style="21" customWidth="1"/>
    <col min="9" max="9" width="8.6640625" style="21" customWidth="1"/>
    <col min="10" max="10" width="8.44140625" style="21" customWidth="1"/>
    <col min="11" max="11" width="8.6640625" style="21" customWidth="1"/>
    <col min="12" max="12" width="9.109375" style="21" customWidth="1"/>
    <col min="13" max="13" width="10.33203125" style="21" customWidth="1"/>
    <col min="14" max="14" width="9.77734375" style="21" customWidth="1"/>
    <col min="15" max="16384" width="9" style="21"/>
  </cols>
  <sheetData>
    <row r="1" spans="1:16" ht="12.6">
      <c r="A1" s="482" t="s">
        <v>490</v>
      </c>
    </row>
    <row r="2" spans="1:16" s="15" customFormat="1" ht="13.8">
      <c r="A2" s="482" t="s">
        <v>458</v>
      </c>
      <c r="B2" s="13">
        <f ca="1">TRUNC(NOW())</f>
        <v>42476</v>
      </c>
      <c r="C2" s="14"/>
      <c r="D2" s="16" t="s">
        <v>15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5" customFormat="1" ht="13.8">
      <c r="A3" s="244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5" customFormat="1" ht="13.8">
      <c r="A4" s="245" t="s">
        <v>39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</row>
    <row r="5" spans="1:16" s="15" customFormat="1" ht="13.8">
      <c r="A5" s="246"/>
    </row>
    <row r="6" spans="1:16" s="19" customFormat="1" ht="10.199999999999999">
      <c r="A6" s="247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</row>
    <row r="7" spans="1:16" s="19" customFormat="1" ht="10.199999999999999">
      <c r="A7" s="248">
        <v>2014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s="19" customFormat="1" ht="13.2">
      <c r="A8" s="24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6" s="19" customFormat="1" ht="10.199999999999999">
      <c r="A9" s="246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6" s="19" customFormat="1" ht="10.199999999999999">
      <c r="A10" s="247" t="s">
        <v>37</v>
      </c>
    </row>
    <row r="11" spans="1:16" s="19" customFormat="1" ht="10.199999999999999">
      <c r="A11" s="249" t="s">
        <v>48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0">
        <f>SUM(B11:M11)</f>
        <v>0</v>
      </c>
    </row>
    <row r="12" spans="1:16" s="19" customFormat="1" ht="10.199999999999999">
      <c r="A12" s="249" t="s">
        <v>49</v>
      </c>
      <c r="B12" s="34">
        <f>B13-B11</f>
        <v>552997.99999999977</v>
      </c>
      <c r="C12" s="34">
        <f t="shared" ref="C12:M12" si="0">C13-C11</f>
        <v>462315.99999999977</v>
      </c>
      <c r="D12" s="34">
        <f t="shared" si="0"/>
        <v>397681.00000000012</v>
      </c>
      <c r="E12" s="34">
        <f t="shared" si="0"/>
        <v>374618.00000000017</v>
      </c>
      <c r="F12" s="34">
        <f t="shared" si="0"/>
        <v>421063.00000000023</v>
      </c>
      <c r="G12" s="34">
        <f t="shared" si="0"/>
        <v>458192.99999999953</v>
      </c>
      <c r="H12" s="34">
        <f t="shared" si="0"/>
        <v>454653</v>
      </c>
      <c r="I12" s="34">
        <f t="shared" si="0"/>
        <v>458307.00000000012</v>
      </c>
      <c r="J12" s="34">
        <f t="shared" si="0"/>
        <v>427158.00000000006</v>
      </c>
      <c r="K12" s="34">
        <f t="shared" si="0"/>
        <v>395161.00000000006</v>
      </c>
      <c r="L12" s="34">
        <f t="shared" si="0"/>
        <v>339740.00000000041</v>
      </c>
      <c r="M12" s="34">
        <f t="shared" si="0"/>
        <v>463474.00000000041</v>
      </c>
      <c r="N12" s="20">
        <f>SUM(B12:M12)</f>
        <v>5205362</v>
      </c>
    </row>
    <row r="13" spans="1:16" s="28" customFormat="1" ht="10.199999999999999">
      <c r="A13" s="249" t="s">
        <v>47</v>
      </c>
      <c r="B13" s="144">
        <f>SECI_Network_Forecast!B13*1000</f>
        <v>552997.99999999977</v>
      </c>
      <c r="C13" s="144">
        <f>SECI_Network_Forecast!C13*1000</f>
        <v>462315.99999999977</v>
      </c>
      <c r="D13" s="144">
        <f>SECI_Network_Forecast!D13*1000</f>
        <v>397681.00000000012</v>
      </c>
      <c r="E13" s="144">
        <f>SECI_Network_Forecast!E13*1000</f>
        <v>374618.00000000017</v>
      </c>
      <c r="F13" s="144">
        <f>SECI_Network_Forecast!F13*1000</f>
        <v>421063.00000000023</v>
      </c>
      <c r="G13" s="144">
        <f>SECI_Network_Forecast!G13*1000</f>
        <v>458192.99999999953</v>
      </c>
      <c r="H13" s="144">
        <f>SECI_Network_Forecast!H13*1000</f>
        <v>454653</v>
      </c>
      <c r="I13" s="144">
        <f>SECI_Network_Forecast!I13*1000</f>
        <v>458307.00000000012</v>
      </c>
      <c r="J13" s="144">
        <f>SECI_Network_Forecast!J13*1000</f>
        <v>427158.00000000006</v>
      </c>
      <c r="K13" s="144">
        <f>SECI_Network_Forecast!K13*1000</f>
        <v>395161.00000000006</v>
      </c>
      <c r="L13" s="144">
        <f>SECI_Network_Forecast!L13*1000</f>
        <v>339740.00000000041</v>
      </c>
      <c r="M13" s="144">
        <f>SECI_Network_Forecast!M13*1000</f>
        <v>463474.00000000041</v>
      </c>
      <c r="N13" s="20">
        <f>SUM(B13:M13)</f>
        <v>5205362</v>
      </c>
    </row>
    <row r="14" spans="1:16" s="28" customFormat="1" ht="10.199999999999999">
      <c r="A14" s="249" t="s">
        <v>45</v>
      </c>
      <c r="B14" s="27">
        <f>B15-B11-B12</f>
        <v>10423.293937850161</v>
      </c>
      <c r="C14" s="27">
        <f t="shared" ref="C14:M14" si="1">C15-C11-C12</f>
        <v>8714.0560366785503</v>
      </c>
      <c r="D14" s="35">
        <f t="shared" si="1"/>
        <v>7495.7702496179263</v>
      </c>
      <c r="E14" s="35">
        <f t="shared" si="1"/>
        <v>7061.0626591951004</v>
      </c>
      <c r="F14" s="35">
        <f t="shared" si="1"/>
        <v>7936.4905756494845</v>
      </c>
      <c r="G14" s="35">
        <f t="shared" si="1"/>
        <v>8636.3428425878519</v>
      </c>
      <c r="H14" s="35">
        <f t="shared" si="1"/>
        <v>8569.6184411614668</v>
      </c>
      <c r="I14" s="35">
        <f t="shared" si="1"/>
        <v>8638.4915944982204</v>
      </c>
      <c r="J14" s="35">
        <f t="shared" si="1"/>
        <v>8051.3734080488794</v>
      </c>
      <c r="K14" s="35">
        <f t="shared" si="1"/>
        <v>7448.2715231787879</v>
      </c>
      <c r="L14" s="35">
        <f t="shared" si="1"/>
        <v>6403.6576668364578</v>
      </c>
      <c r="M14" s="35">
        <f t="shared" si="1"/>
        <v>8735.8828323993948</v>
      </c>
      <c r="N14" s="20">
        <f>SUM(B14:M14)</f>
        <v>98114.311767702282</v>
      </c>
    </row>
    <row r="15" spans="1:16" s="28" customFormat="1" ht="10.199999999999999">
      <c r="A15" s="249" t="s">
        <v>50</v>
      </c>
      <c r="B15" s="27">
        <f>(B11/(1-0.0213)/(1-'Transmission Formula Rate (7)'!$B$27))+(B12/(1-'Transmission Formula Rate (7)'!$B$27))</f>
        <v>563421.29393784993</v>
      </c>
      <c r="C15" s="27">
        <f>(C11/(1-0.0213)/(1-'Transmission Formula Rate (7)'!$B$27))+(C12/(1-'Transmission Formula Rate (7)'!$B$27))</f>
        <v>471030.05603667832</v>
      </c>
      <c r="D15" s="27">
        <f>(D11/(1-0.0213)/(1-'Transmission Formula Rate (7)'!$B$27))+(D12/(1-'Transmission Formula Rate (7)'!$B$27))</f>
        <v>405176.77024961804</v>
      </c>
      <c r="E15" s="27">
        <f>(E11/(1-0.0213)/(1-'Transmission Formula Rate (7)'!$B$27))+(E12/(1-'Transmission Formula Rate (7)'!$B$27))</f>
        <v>381679.06265919528</v>
      </c>
      <c r="F15" s="27">
        <f>(F11/(1-0.0213)/(1-'Transmission Formula Rate (7)'!$B$27))+(F12/(1-'Transmission Formula Rate (7)'!$B$27))</f>
        <v>428999.49057564972</v>
      </c>
      <c r="G15" s="27">
        <f>(G11/(1-0.0213)/(1-'Transmission Formula Rate (7)'!$B$27))+(G12/(1-'Transmission Formula Rate (7)'!$B$27))</f>
        <v>466829.34284258739</v>
      </c>
      <c r="H15" s="27">
        <f>(H11/(1-0.0213)/(1-'Transmission Formula Rate (7)'!$B$27))+(H12/(1-'Transmission Formula Rate (7)'!$B$27))</f>
        <v>463222.61844116147</v>
      </c>
      <c r="I15" s="27">
        <f>(I11/(1-0.0213)/(1-'Transmission Formula Rate (7)'!$B$27))+(I12/(1-'Transmission Formula Rate (7)'!$B$27))</f>
        <v>466945.49159449834</v>
      </c>
      <c r="J15" s="27">
        <f>(J11/(1-0.0213)/(1-'Transmission Formula Rate (7)'!$B$27))+(J12/(1-'Transmission Formula Rate (7)'!$B$27))</f>
        <v>435209.37340804894</v>
      </c>
      <c r="K15" s="27">
        <f>(K11/(1-0.0213)/(1-'Transmission Formula Rate (7)'!$B$27))+(K12/(1-'Transmission Formula Rate (7)'!$B$27))</f>
        <v>402609.27152317885</v>
      </c>
      <c r="L15" s="27">
        <f>(L11/(1-0.0213)/(1-'Transmission Formula Rate (7)'!$B$27))+(L12/(1-'Transmission Formula Rate (7)'!$B$27))</f>
        <v>346143.65766683687</v>
      </c>
      <c r="M15" s="27">
        <f>(M11/(1-0.0213)/(1-'Transmission Formula Rate (7)'!$B$27))+(M12/(1-'Transmission Formula Rate (7)'!$B$27))</f>
        <v>472209.8828323998</v>
      </c>
      <c r="N15" s="20">
        <f>SUM(B15:M15)</f>
        <v>5303476.311767702</v>
      </c>
    </row>
    <row r="16" spans="1:16" s="19" customFormat="1" ht="10.199999999999999">
      <c r="A16" s="247" t="s">
        <v>20</v>
      </c>
      <c r="B16" s="29">
        <f>'Transmission Formula Rate (7)'!B8</f>
        <v>1.59</v>
      </c>
      <c r="C16" s="29">
        <f>'Transmission Formula Rate (7)'!C8</f>
        <v>1.59</v>
      </c>
      <c r="D16" s="29">
        <f>'Transmission Formula Rate (7)'!D8</f>
        <v>1.59</v>
      </c>
      <c r="E16" s="29">
        <f>'Transmission Formula Rate (7)'!E8</f>
        <v>1.59</v>
      </c>
      <c r="F16" s="29">
        <f>'Transmission Formula Rate (7)'!F8</f>
        <v>1.59</v>
      </c>
      <c r="G16" s="29">
        <f>'Transmission Formula Rate (7)'!G8</f>
        <v>1.59</v>
      </c>
      <c r="H16" s="29">
        <f>'Transmission Formula Rate (7)'!H8</f>
        <v>1.59</v>
      </c>
      <c r="I16" s="29">
        <f>'Transmission Formula Rate (7)'!I8</f>
        <v>1.59</v>
      </c>
      <c r="J16" s="29">
        <f>'Transmission Formula Rate (7)'!J8</f>
        <v>1.59</v>
      </c>
      <c r="K16" s="29">
        <f>'Transmission Formula Rate (7)'!K8</f>
        <v>1.59</v>
      </c>
      <c r="L16" s="29">
        <f>'Transmission Formula Rate (7)'!L8</f>
        <v>1.59</v>
      </c>
      <c r="M16" s="29">
        <f>'Transmission Formula Rate (7)'!M8</f>
        <v>1.59</v>
      </c>
    </row>
    <row r="17" spans="1:14" s="19" customFormat="1" ht="10.199999999999999">
      <c r="A17" s="247" t="s">
        <v>17</v>
      </c>
      <c r="B17" s="192">
        <f>B15*B16</f>
        <v>895839.85736118141</v>
      </c>
      <c r="C17" s="192">
        <f t="shared" ref="C17:M17" si="2">C15*C16</f>
        <v>748937.78909831855</v>
      </c>
      <c r="D17" s="192">
        <f t="shared" si="2"/>
        <v>644231.06469689275</v>
      </c>
      <c r="E17" s="192">
        <f t="shared" si="2"/>
        <v>606869.70962812053</v>
      </c>
      <c r="F17" s="192">
        <f t="shared" si="2"/>
        <v>682109.19001528306</v>
      </c>
      <c r="G17" s="192">
        <f t="shared" si="2"/>
        <v>742258.65511971398</v>
      </c>
      <c r="H17" s="192">
        <f t="shared" si="2"/>
        <v>736523.96332144679</v>
      </c>
      <c r="I17" s="192">
        <f t="shared" si="2"/>
        <v>742443.33163525234</v>
      </c>
      <c r="J17" s="192">
        <f t="shared" si="2"/>
        <v>691982.90371879784</v>
      </c>
      <c r="K17" s="192">
        <f t="shared" si="2"/>
        <v>640148.74172185443</v>
      </c>
      <c r="L17" s="192">
        <f t="shared" si="2"/>
        <v>550368.4156902706</v>
      </c>
      <c r="M17" s="192">
        <f t="shared" si="2"/>
        <v>750813.71370351571</v>
      </c>
      <c r="N17" s="192">
        <f>SUM(B17:M17)</f>
        <v>8432527.3357106466</v>
      </c>
    </row>
    <row r="18" spans="1:14" s="19" customFormat="1" ht="10.199999999999999">
      <c r="A18" s="250"/>
    </row>
    <row r="19" spans="1:14" s="19" customFormat="1" ht="10.199999999999999">
      <c r="A19" s="247" t="s">
        <v>135</v>
      </c>
    </row>
    <row r="20" spans="1:14" s="19" customFormat="1" ht="10.199999999999999">
      <c r="A20" s="249" t="str">
        <f>A15</f>
        <v xml:space="preserve">       SECI Load</v>
      </c>
      <c r="B20" s="27">
        <f>B15</f>
        <v>563421.29393784993</v>
      </c>
      <c r="C20" s="27">
        <f t="shared" ref="C20:M20" si="3">C15</f>
        <v>471030.05603667832</v>
      </c>
      <c r="D20" s="27">
        <f t="shared" si="3"/>
        <v>405176.77024961804</v>
      </c>
      <c r="E20" s="27">
        <f t="shared" si="3"/>
        <v>381679.06265919528</v>
      </c>
      <c r="F20" s="27">
        <f t="shared" si="3"/>
        <v>428999.49057564972</v>
      </c>
      <c r="G20" s="27">
        <f t="shared" si="3"/>
        <v>466829.34284258739</v>
      </c>
      <c r="H20" s="27">
        <f t="shared" si="3"/>
        <v>463222.61844116147</v>
      </c>
      <c r="I20" s="27">
        <f t="shared" si="3"/>
        <v>466945.49159449834</v>
      </c>
      <c r="J20" s="27">
        <f t="shared" si="3"/>
        <v>435209.37340804894</v>
      </c>
      <c r="K20" s="27">
        <f t="shared" si="3"/>
        <v>402609.27152317885</v>
      </c>
      <c r="L20" s="27">
        <f t="shared" si="3"/>
        <v>346143.65766683687</v>
      </c>
      <c r="M20" s="27">
        <f t="shared" si="3"/>
        <v>472209.8828323998</v>
      </c>
      <c r="N20" s="20">
        <f>SUM(B20:M20)</f>
        <v>5303476.311767702</v>
      </c>
    </row>
    <row r="21" spans="1:14" s="19" customFormat="1" ht="10.199999999999999">
      <c r="A21" s="247" t="s">
        <v>143</v>
      </c>
      <c r="B21" s="31">
        <f>'charges (1 &amp; 2)'!D29</f>
        <v>1.274E-2</v>
      </c>
      <c r="C21" s="31">
        <f>B21</f>
        <v>1.274E-2</v>
      </c>
      <c r="D21" s="31">
        <f t="shared" ref="D21:M21" si="4">C21</f>
        <v>1.274E-2</v>
      </c>
      <c r="E21" s="31">
        <f t="shared" si="4"/>
        <v>1.274E-2</v>
      </c>
      <c r="F21" s="31">
        <f t="shared" si="4"/>
        <v>1.274E-2</v>
      </c>
      <c r="G21" s="31">
        <f t="shared" si="4"/>
        <v>1.274E-2</v>
      </c>
      <c r="H21" s="31">
        <f t="shared" si="4"/>
        <v>1.274E-2</v>
      </c>
      <c r="I21" s="31">
        <f t="shared" si="4"/>
        <v>1.274E-2</v>
      </c>
      <c r="J21" s="31">
        <f t="shared" si="4"/>
        <v>1.274E-2</v>
      </c>
      <c r="K21" s="31">
        <f t="shared" si="4"/>
        <v>1.274E-2</v>
      </c>
      <c r="L21" s="31">
        <f t="shared" si="4"/>
        <v>1.274E-2</v>
      </c>
      <c r="M21" s="31">
        <f t="shared" si="4"/>
        <v>1.274E-2</v>
      </c>
    </row>
    <row r="22" spans="1:14" s="19" customFormat="1" ht="10.199999999999999">
      <c r="A22" s="247" t="s">
        <v>17</v>
      </c>
      <c r="B22" s="192">
        <f t="shared" ref="B22:M22" si="5">B20*B21</f>
        <v>7177.9872847682082</v>
      </c>
      <c r="C22" s="192">
        <f t="shared" si="5"/>
        <v>6000.9229139072813</v>
      </c>
      <c r="D22" s="192">
        <f t="shared" si="5"/>
        <v>5161.9520529801339</v>
      </c>
      <c r="E22" s="192">
        <f t="shared" si="5"/>
        <v>4862.5912582781475</v>
      </c>
      <c r="F22" s="192">
        <f t="shared" si="5"/>
        <v>5465.4535099337772</v>
      </c>
      <c r="G22" s="192">
        <f t="shared" si="5"/>
        <v>5947.4058278145631</v>
      </c>
      <c r="H22" s="192">
        <f t="shared" si="5"/>
        <v>5901.4561589403966</v>
      </c>
      <c r="I22" s="192">
        <f t="shared" si="5"/>
        <v>5948.8855629139089</v>
      </c>
      <c r="J22" s="192">
        <f t="shared" si="5"/>
        <v>5544.5674172185436</v>
      </c>
      <c r="K22" s="192">
        <f t="shared" si="5"/>
        <v>5129.242119205298</v>
      </c>
      <c r="L22" s="192">
        <f t="shared" si="5"/>
        <v>4409.8701986755013</v>
      </c>
      <c r="M22" s="192">
        <f t="shared" si="5"/>
        <v>6015.9539072847729</v>
      </c>
      <c r="N22" s="192">
        <f>SUM(B22:M22)</f>
        <v>67566.288211920546</v>
      </c>
    </row>
    <row r="23" spans="1:14" s="19" customFormat="1" ht="10.199999999999999">
      <c r="A23" s="250"/>
    </row>
    <row r="24" spans="1:14" s="19" customFormat="1" ht="10.199999999999999">
      <c r="A24" s="247" t="s">
        <v>38</v>
      </c>
    </row>
    <row r="25" spans="1:14" s="28" customFormat="1" ht="10.199999999999999">
      <c r="A25" s="249" t="str">
        <f>A15</f>
        <v xml:space="preserve">       SECI Load</v>
      </c>
      <c r="B25" s="27">
        <f>B15</f>
        <v>563421.29393784993</v>
      </c>
      <c r="C25" s="27">
        <f t="shared" ref="C25:M25" si="6">C15</f>
        <v>471030.05603667832</v>
      </c>
      <c r="D25" s="27">
        <f t="shared" si="6"/>
        <v>405176.77024961804</v>
      </c>
      <c r="E25" s="27">
        <f t="shared" si="6"/>
        <v>381679.06265919528</v>
      </c>
      <c r="F25" s="27">
        <f t="shared" si="6"/>
        <v>428999.49057564972</v>
      </c>
      <c r="G25" s="27">
        <f t="shared" si="6"/>
        <v>466829.34284258739</v>
      </c>
      <c r="H25" s="27">
        <f t="shared" si="6"/>
        <v>463222.61844116147</v>
      </c>
      <c r="I25" s="27">
        <f t="shared" si="6"/>
        <v>466945.49159449834</v>
      </c>
      <c r="J25" s="27">
        <f t="shared" si="6"/>
        <v>435209.37340804894</v>
      </c>
      <c r="K25" s="27">
        <f t="shared" si="6"/>
        <v>402609.27152317885</v>
      </c>
      <c r="L25" s="27">
        <f t="shared" si="6"/>
        <v>346143.65766683687</v>
      </c>
      <c r="M25" s="27">
        <f t="shared" si="6"/>
        <v>472209.8828323998</v>
      </c>
      <c r="N25" s="20">
        <f>SUM(B25:M25)</f>
        <v>5303476.311767702</v>
      </c>
    </row>
    <row r="26" spans="1:14" s="19" customFormat="1" ht="10.199999999999999">
      <c r="A26" s="247" t="s">
        <v>144</v>
      </c>
      <c r="B26" s="31">
        <f>'charges (1 &amp; 2)'!D28</f>
        <v>0.02</v>
      </c>
      <c r="C26" s="31">
        <f>B26</f>
        <v>0.02</v>
      </c>
      <c r="D26" s="31">
        <f t="shared" ref="D26:M26" si="7">C26</f>
        <v>0.02</v>
      </c>
      <c r="E26" s="31">
        <f t="shared" si="7"/>
        <v>0.02</v>
      </c>
      <c r="F26" s="31">
        <f t="shared" si="7"/>
        <v>0.02</v>
      </c>
      <c r="G26" s="31">
        <f t="shared" si="7"/>
        <v>0.02</v>
      </c>
      <c r="H26" s="31">
        <f t="shared" si="7"/>
        <v>0.02</v>
      </c>
      <c r="I26" s="31">
        <f t="shared" si="7"/>
        <v>0.02</v>
      </c>
      <c r="J26" s="31">
        <f t="shared" si="7"/>
        <v>0.02</v>
      </c>
      <c r="K26" s="31">
        <f t="shared" si="7"/>
        <v>0.02</v>
      </c>
      <c r="L26" s="31">
        <f t="shared" si="7"/>
        <v>0.02</v>
      </c>
      <c r="M26" s="31">
        <f t="shared" si="7"/>
        <v>0.02</v>
      </c>
    </row>
    <row r="27" spans="1:14" s="19" customFormat="1" ht="10.199999999999999">
      <c r="A27" s="247" t="s">
        <v>17</v>
      </c>
      <c r="B27" s="192">
        <f t="shared" ref="B27:M27" si="8">B25*B26</f>
        <v>11268.425878756998</v>
      </c>
      <c r="C27" s="192">
        <f t="shared" si="8"/>
        <v>9420.6011207335669</v>
      </c>
      <c r="D27" s="192">
        <f t="shared" si="8"/>
        <v>8103.5354049923608</v>
      </c>
      <c r="E27" s="192">
        <f t="shared" si="8"/>
        <v>7633.5812531839056</v>
      </c>
      <c r="F27" s="192">
        <f t="shared" si="8"/>
        <v>8579.9898115129945</v>
      </c>
      <c r="G27" s="192">
        <f t="shared" si="8"/>
        <v>9336.5868568517471</v>
      </c>
      <c r="H27" s="192">
        <f t="shared" si="8"/>
        <v>9264.4523688232293</v>
      </c>
      <c r="I27" s="192">
        <f t="shared" si="8"/>
        <v>9338.9098318899669</v>
      </c>
      <c r="J27" s="192">
        <f t="shared" si="8"/>
        <v>8704.1874681609788</v>
      </c>
      <c r="K27" s="192">
        <f t="shared" si="8"/>
        <v>8052.1854304635772</v>
      </c>
      <c r="L27" s="192">
        <f t="shared" si="8"/>
        <v>6922.8731533367372</v>
      </c>
      <c r="M27" s="192">
        <f t="shared" si="8"/>
        <v>9444.1976566479971</v>
      </c>
      <c r="N27" s="192">
        <f>SUM(B27:M27)</f>
        <v>106069.52623535406</v>
      </c>
    </row>
    <row r="28" spans="1:14" s="19" customFormat="1" ht="10.199999999999999">
      <c r="A28" s="247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 s="19" customFormat="1" ht="10.199999999999999">
      <c r="A29" s="247" t="s">
        <v>25</v>
      </c>
      <c r="B29" s="192">
        <f>B17+B27+B22</f>
        <v>914286.27052470669</v>
      </c>
      <c r="C29" s="192">
        <f t="shared" ref="C29:M29" si="9">C17+C27+C22</f>
        <v>764359.31313295942</v>
      </c>
      <c r="D29" s="192">
        <f t="shared" si="9"/>
        <v>657496.55215486523</v>
      </c>
      <c r="E29" s="192">
        <f t="shared" si="9"/>
        <v>619365.88213958254</v>
      </c>
      <c r="F29" s="192">
        <f t="shared" si="9"/>
        <v>696154.63333672984</v>
      </c>
      <c r="G29" s="192">
        <f t="shared" si="9"/>
        <v>757542.64780438028</v>
      </c>
      <c r="H29" s="192">
        <f t="shared" si="9"/>
        <v>751689.87184921047</v>
      </c>
      <c r="I29" s="192">
        <f t="shared" si="9"/>
        <v>757731.12703005632</v>
      </c>
      <c r="J29" s="192">
        <f t="shared" si="9"/>
        <v>706231.65860417741</v>
      </c>
      <c r="K29" s="192">
        <f t="shared" si="9"/>
        <v>653330.16927152325</v>
      </c>
      <c r="L29" s="192">
        <f t="shared" si="9"/>
        <v>561701.15904228284</v>
      </c>
      <c r="M29" s="192">
        <f t="shared" si="9"/>
        <v>766273.86526744848</v>
      </c>
      <c r="N29" s="192">
        <f>SUM(B29:M29)</f>
        <v>8606163.1501579229</v>
      </c>
    </row>
    <row r="30" spans="1:14" s="19" customFormat="1" ht="10.199999999999999">
      <c r="A30" s="247"/>
      <c r="B30" s="23" t="s">
        <v>0</v>
      </c>
      <c r="C30" s="23" t="s">
        <v>1</v>
      </c>
      <c r="D30" s="23" t="s">
        <v>2</v>
      </c>
      <c r="E30" s="23" t="s">
        <v>3</v>
      </c>
      <c r="F30" s="23" t="s">
        <v>4</v>
      </c>
      <c r="G30" s="23" t="s">
        <v>5</v>
      </c>
      <c r="H30" s="23" t="s">
        <v>6</v>
      </c>
      <c r="I30" s="23" t="s">
        <v>7</v>
      </c>
      <c r="J30" s="23" t="s">
        <v>8</v>
      </c>
      <c r="K30" s="23" t="s">
        <v>9</v>
      </c>
      <c r="L30" s="23" t="s">
        <v>10</v>
      </c>
      <c r="M30" s="23" t="s">
        <v>11</v>
      </c>
      <c r="N30" s="23" t="s">
        <v>12</v>
      </c>
    </row>
    <row r="31" spans="1:14" s="19" customFormat="1" ht="10.199999999999999">
      <c r="A31" s="248">
        <f>A7+1</f>
        <v>2015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s="19" customFormat="1" ht="13.2">
      <c r="A32" s="24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s="19" customFormat="1" ht="10.199999999999999">
      <c r="A33" s="246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19" customFormat="1" ht="10.199999999999999">
      <c r="A34" s="247" t="s">
        <v>37</v>
      </c>
    </row>
    <row r="35" spans="1:14" s="19" customFormat="1" ht="10.199999999999999">
      <c r="A35" s="249" t="s">
        <v>48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0">
        <f>SUM(B35:M35)</f>
        <v>0</v>
      </c>
    </row>
    <row r="36" spans="1:14" s="19" customFormat="1" ht="10.199999999999999">
      <c r="A36" s="249" t="s">
        <v>49</v>
      </c>
      <c r="B36" s="34">
        <f t="shared" ref="B36:M36" si="10">B37-B35</f>
        <v>566819.99999999977</v>
      </c>
      <c r="C36" s="34">
        <f t="shared" si="10"/>
        <v>462315.99999999977</v>
      </c>
      <c r="D36" s="34">
        <f t="shared" si="10"/>
        <v>397681.00000000012</v>
      </c>
      <c r="E36" s="34">
        <f t="shared" si="10"/>
        <v>374618.00000000017</v>
      </c>
      <c r="F36" s="34">
        <f t="shared" si="10"/>
        <v>421063.00000000023</v>
      </c>
      <c r="G36" s="34">
        <f t="shared" si="10"/>
        <v>458192.99999999953</v>
      </c>
      <c r="H36" s="34">
        <f t="shared" si="10"/>
        <v>454653</v>
      </c>
      <c r="I36" s="34">
        <f t="shared" si="10"/>
        <v>458307.00000000012</v>
      </c>
      <c r="J36" s="34">
        <f t="shared" si="10"/>
        <v>427158.00000000006</v>
      </c>
      <c r="K36" s="34">
        <f t="shared" si="10"/>
        <v>395161.00000000006</v>
      </c>
      <c r="L36" s="34">
        <f t="shared" si="10"/>
        <v>339740.00000000041</v>
      </c>
      <c r="M36" s="34">
        <f t="shared" si="10"/>
        <v>463474.00000000041</v>
      </c>
      <c r="N36" s="20">
        <f>SUM(B36:M36)</f>
        <v>5219184</v>
      </c>
    </row>
    <row r="37" spans="1:14" s="28" customFormat="1" ht="10.199999999999999">
      <c r="A37" s="249" t="s">
        <v>47</v>
      </c>
      <c r="B37" s="144">
        <f>SECI_Network_Forecast!B14*1000</f>
        <v>566819.99999999977</v>
      </c>
      <c r="C37" s="144">
        <f>SECI_Network_Forecast!C14*1000</f>
        <v>462315.99999999977</v>
      </c>
      <c r="D37" s="144">
        <f>SECI_Network_Forecast!D14*1000</f>
        <v>397681.00000000012</v>
      </c>
      <c r="E37" s="144">
        <f>SECI_Network_Forecast!E14*1000</f>
        <v>374618.00000000017</v>
      </c>
      <c r="F37" s="144">
        <f>SECI_Network_Forecast!F14*1000</f>
        <v>421063.00000000023</v>
      </c>
      <c r="G37" s="144">
        <f>SECI_Network_Forecast!G14*1000</f>
        <v>458192.99999999953</v>
      </c>
      <c r="H37" s="144">
        <f>SECI_Network_Forecast!H14*1000</f>
        <v>454653</v>
      </c>
      <c r="I37" s="144">
        <f>SECI_Network_Forecast!I14*1000</f>
        <v>458307.00000000012</v>
      </c>
      <c r="J37" s="144">
        <f>SECI_Network_Forecast!J14*1000</f>
        <v>427158.00000000006</v>
      </c>
      <c r="K37" s="144">
        <f>SECI_Network_Forecast!K14*1000</f>
        <v>395161.00000000006</v>
      </c>
      <c r="L37" s="144">
        <f>SECI_Network_Forecast!L14*1000</f>
        <v>339740.00000000041</v>
      </c>
      <c r="M37" s="144">
        <f>SECI_Network_Forecast!M14*1000</f>
        <v>463474.00000000041</v>
      </c>
      <c r="N37" s="20">
        <f>SUM(B37:M37)</f>
        <v>5219184</v>
      </c>
    </row>
    <row r="38" spans="1:14" s="28" customFormat="1" ht="10.199999999999999">
      <c r="A38" s="249" t="s">
        <v>45</v>
      </c>
      <c r="B38" s="27">
        <f t="shared" ref="B38:M38" si="11">B39-B35-B36</f>
        <v>10683.820682628546</v>
      </c>
      <c r="C38" s="27">
        <f t="shared" si="11"/>
        <v>8714.0560366785503</v>
      </c>
      <c r="D38" s="35">
        <f t="shared" si="11"/>
        <v>7495.7702496179263</v>
      </c>
      <c r="E38" s="35">
        <f t="shared" si="11"/>
        <v>7061.0626591951004</v>
      </c>
      <c r="F38" s="35">
        <f t="shared" si="11"/>
        <v>7936.4905756494845</v>
      </c>
      <c r="G38" s="35">
        <f t="shared" si="11"/>
        <v>8636.3428425878519</v>
      </c>
      <c r="H38" s="35">
        <f t="shared" si="11"/>
        <v>8569.6184411614668</v>
      </c>
      <c r="I38" s="35">
        <f t="shared" si="11"/>
        <v>8638.4915944982204</v>
      </c>
      <c r="J38" s="35">
        <f t="shared" si="11"/>
        <v>8051.3734080488794</v>
      </c>
      <c r="K38" s="35">
        <f t="shared" si="11"/>
        <v>7448.2715231787879</v>
      </c>
      <c r="L38" s="35">
        <f t="shared" si="11"/>
        <v>6403.6576668364578</v>
      </c>
      <c r="M38" s="35">
        <f t="shared" si="11"/>
        <v>8735.8828323993948</v>
      </c>
      <c r="N38" s="20">
        <f>SUM(B38:M38)</f>
        <v>98374.838512480666</v>
      </c>
    </row>
    <row r="39" spans="1:14" s="28" customFormat="1" ht="10.199999999999999">
      <c r="A39" s="249" t="s">
        <v>50</v>
      </c>
      <c r="B39" s="27">
        <f>(B35/(1-0.0213)/(1-'Transmission Formula Rate (7)'!$B$27))+(B36/(1-'Transmission Formula Rate (7)'!$B$27))</f>
        <v>577503.82068262831</v>
      </c>
      <c r="C39" s="27">
        <f>(C35/(1-0.0213)/(1-'Transmission Formula Rate (7)'!$B$27))+(C36/(1-'Transmission Formula Rate (7)'!$B$27))</f>
        <v>471030.05603667832</v>
      </c>
      <c r="D39" s="27">
        <f>(D35/(1-0.0213)/(1-'Transmission Formula Rate (7)'!$B$27))+(D36/(1-'Transmission Formula Rate (7)'!$B$27))</f>
        <v>405176.77024961804</v>
      </c>
      <c r="E39" s="27">
        <f>(E35/(1-0.0213)/(1-'Transmission Formula Rate (7)'!$B$27))+(E36/(1-'Transmission Formula Rate (7)'!$B$27))</f>
        <v>381679.06265919528</v>
      </c>
      <c r="F39" s="27">
        <f>(F35/(1-0.0213)/(1-'Transmission Formula Rate (7)'!$B$27))+(F36/(1-'Transmission Formula Rate (7)'!$B$27))</f>
        <v>428999.49057564972</v>
      </c>
      <c r="G39" s="27">
        <f>(G35/(1-0.0213)/(1-'Transmission Formula Rate (7)'!$B$27))+(G36/(1-'Transmission Formula Rate (7)'!$B$27))</f>
        <v>466829.34284258739</v>
      </c>
      <c r="H39" s="27">
        <f>(H35/(1-0.0213)/(1-'Transmission Formula Rate (7)'!$B$27))+(H36/(1-'Transmission Formula Rate (7)'!$B$27))</f>
        <v>463222.61844116147</v>
      </c>
      <c r="I39" s="27">
        <f>(I35/(1-0.0213)/(1-'Transmission Formula Rate (7)'!$B$27))+(I36/(1-'Transmission Formula Rate (7)'!$B$27))</f>
        <v>466945.49159449834</v>
      </c>
      <c r="J39" s="27">
        <f>(J35/(1-0.0213)/(1-'Transmission Formula Rate (7)'!$B$27))+(J36/(1-'Transmission Formula Rate (7)'!$B$27))</f>
        <v>435209.37340804894</v>
      </c>
      <c r="K39" s="27">
        <f>(K35/(1-0.0213)/(1-'Transmission Formula Rate (7)'!$B$27))+(K36/(1-'Transmission Formula Rate (7)'!$B$27))</f>
        <v>402609.27152317885</v>
      </c>
      <c r="L39" s="27">
        <f>(L35/(1-0.0213)/(1-'Transmission Formula Rate (7)'!$B$27))+(L36/(1-'Transmission Formula Rate (7)'!$B$27))</f>
        <v>346143.65766683687</v>
      </c>
      <c r="M39" s="27">
        <f>(M35/(1-0.0213)/(1-'Transmission Formula Rate (7)'!$B$27))+(M36/(1-'Transmission Formula Rate (7)'!$B$27))</f>
        <v>472209.8828323998</v>
      </c>
      <c r="N39" s="20">
        <f>SUM(B39:M39)</f>
        <v>5317558.8385124812</v>
      </c>
    </row>
    <row r="40" spans="1:14" s="19" customFormat="1" ht="10.199999999999999">
      <c r="A40" s="247" t="s">
        <v>20</v>
      </c>
      <c r="B40" s="29">
        <f>'Transmission Formula Rate (7)'!B10</f>
        <v>1.59</v>
      </c>
      <c r="C40" s="29">
        <f>'Transmission Formula Rate (7)'!C10</f>
        <v>1.59</v>
      </c>
      <c r="D40" s="29">
        <f>'Transmission Formula Rate (7)'!D10</f>
        <v>1.59</v>
      </c>
      <c r="E40" s="29">
        <f>'Transmission Formula Rate (7)'!E10</f>
        <v>1.59</v>
      </c>
      <c r="F40" s="29">
        <f>'Transmission Formula Rate (7)'!F10</f>
        <v>1.59</v>
      </c>
      <c r="G40" s="29">
        <f>'Transmission Formula Rate (7)'!G10</f>
        <v>1.59</v>
      </c>
      <c r="H40" s="29">
        <f>'Transmission Formula Rate (7)'!H10</f>
        <v>1.59</v>
      </c>
      <c r="I40" s="29">
        <f>'Transmission Formula Rate (7)'!I10</f>
        <v>1.59</v>
      </c>
      <c r="J40" s="29">
        <f>'Transmission Formula Rate (7)'!J10</f>
        <v>1.59</v>
      </c>
      <c r="K40" s="29">
        <f>'Transmission Formula Rate (7)'!K10</f>
        <v>1.59</v>
      </c>
      <c r="L40" s="29">
        <f>'Transmission Formula Rate (7)'!L10</f>
        <v>1.59</v>
      </c>
      <c r="M40" s="29">
        <f>'Transmission Formula Rate (7)'!M10</f>
        <v>1.59</v>
      </c>
    </row>
    <row r="41" spans="1:14" s="19" customFormat="1" ht="10.199999999999999">
      <c r="A41" s="247" t="s">
        <v>17</v>
      </c>
      <c r="B41" s="192">
        <f>B39*B40</f>
        <v>918231.07488537906</v>
      </c>
      <c r="C41" s="192">
        <f t="shared" ref="C41:M41" si="12">C39*C40</f>
        <v>748937.78909831855</v>
      </c>
      <c r="D41" s="192">
        <f t="shared" si="12"/>
        <v>644231.06469689275</v>
      </c>
      <c r="E41" s="192">
        <f t="shared" si="12"/>
        <v>606869.70962812053</v>
      </c>
      <c r="F41" s="192">
        <f t="shared" si="12"/>
        <v>682109.19001528306</v>
      </c>
      <c r="G41" s="192">
        <f t="shared" si="12"/>
        <v>742258.65511971398</v>
      </c>
      <c r="H41" s="192">
        <f t="shared" si="12"/>
        <v>736523.96332144679</v>
      </c>
      <c r="I41" s="192">
        <f t="shared" si="12"/>
        <v>742443.33163525234</v>
      </c>
      <c r="J41" s="192">
        <f t="shared" si="12"/>
        <v>691982.90371879784</v>
      </c>
      <c r="K41" s="192">
        <f t="shared" si="12"/>
        <v>640148.74172185443</v>
      </c>
      <c r="L41" s="192">
        <f t="shared" si="12"/>
        <v>550368.4156902706</v>
      </c>
      <c r="M41" s="192">
        <f t="shared" si="12"/>
        <v>750813.71370351571</v>
      </c>
      <c r="N41" s="192">
        <f>SUM(B41:M41)</f>
        <v>8454918.5532348454</v>
      </c>
    </row>
    <row r="42" spans="1:14" s="19" customFormat="1" ht="10.199999999999999">
      <c r="A42" s="24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s="19" customFormat="1" ht="10.199999999999999">
      <c r="A43" s="247" t="s">
        <v>135</v>
      </c>
    </row>
    <row r="44" spans="1:14" s="19" customFormat="1" ht="10.199999999999999">
      <c r="A44" s="249" t="str">
        <f>A39</f>
        <v xml:space="preserve">       SECI Load</v>
      </c>
      <c r="B44" s="27">
        <f>B39</f>
        <v>577503.82068262831</v>
      </c>
      <c r="C44" s="27">
        <f t="shared" ref="C44:M44" si="13">C39</f>
        <v>471030.05603667832</v>
      </c>
      <c r="D44" s="27">
        <f t="shared" si="13"/>
        <v>405176.77024961804</v>
      </c>
      <c r="E44" s="27">
        <f t="shared" si="13"/>
        <v>381679.06265919528</v>
      </c>
      <c r="F44" s="27">
        <f t="shared" si="13"/>
        <v>428999.49057564972</v>
      </c>
      <c r="G44" s="27">
        <f t="shared" si="13"/>
        <v>466829.34284258739</v>
      </c>
      <c r="H44" s="27">
        <f t="shared" si="13"/>
        <v>463222.61844116147</v>
      </c>
      <c r="I44" s="27">
        <f t="shared" si="13"/>
        <v>466945.49159449834</v>
      </c>
      <c r="J44" s="27">
        <f t="shared" si="13"/>
        <v>435209.37340804894</v>
      </c>
      <c r="K44" s="27">
        <f t="shared" si="13"/>
        <v>402609.27152317885</v>
      </c>
      <c r="L44" s="27">
        <f t="shared" si="13"/>
        <v>346143.65766683687</v>
      </c>
      <c r="M44" s="27">
        <f t="shared" si="13"/>
        <v>472209.8828323998</v>
      </c>
      <c r="N44" s="20">
        <f>SUM(B44:M44)</f>
        <v>5317558.8385124812</v>
      </c>
    </row>
    <row r="45" spans="1:14" s="19" customFormat="1" ht="10.199999999999999">
      <c r="A45" s="247" t="s">
        <v>143</v>
      </c>
      <c r="B45" s="31">
        <f>'charges (1 &amp; 2)'!E29</f>
        <v>1.274E-2</v>
      </c>
      <c r="C45" s="31">
        <f>B45</f>
        <v>1.274E-2</v>
      </c>
      <c r="D45" s="31">
        <f t="shared" ref="D45:M45" si="14">C45</f>
        <v>1.274E-2</v>
      </c>
      <c r="E45" s="31">
        <f t="shared" si="14"/>
        <v>1.274E-2</v>
      </c>
      <c r="F45" s="31">
        <f t="shared" si="14"/>
        <v>1.274E-2</v>
      </c>
      <c r="G45" s="31">
        <f t="shared" si="14"/>
        <v>1.274E-2</v>
      </c>
      <c r="H45" s="31">
        <f t="shared" si="14"/>
        <v>1.274E-2</v>
      </c>
      <c r="I45" s="31">
        <f t="shared" si="14"/>
        <v>1.274E-2</v>
      </c>
      <c r="J45" s="31">
        <f t="shared" si="14"/>
        <v>1.274E-2</v>
      </c>
      <c r="K45" s="31">
        <f t="shared" si="14"/>
        <v>1.274E-2</v>
      </c>
      <c r="L45" s="31">
        <f t="shared" si="14"/>
        <v>1.274E-2</v>
      </c>
      <c r="M45" s="31">
        <f t="shared" si="14"/>
        <v>1.274E-2</v>
      </c>
    </row>
    <row r="46" spans="1:14" s="19" customFormat="1" ht="10.199999999999999">
      <c r="A46" s="247" t="s">
        <v>17</v>
      </c>
      <c r="B46" s="192">
        <f t="shared" ref="B46:M46" si="15">B44*B45</f>
        <v>7357.3986754966845</v>
      </c>
      <c r="C46" s="192">
        <f t="shared" si="15"/>
        <v>6000.9229139072813</v>
      </c>
      <c r="D46" s="192">
        <f t="shared" si="15"/>
        <v>5161.9520529801339</v>
      </c>
      <c r="E46" s="192">
        <f t="shared" si="15"/>
        <v>4862.5912582781475</v>
      </c>
      <c r="F46" s="192">
        <f t="shared" si="15"/>
        <v>5465.4535099337772</v>
      </c>
      <c r="G46" s="192">
        <f t="shared" si="15"/>
        <v>5947.4058278145631</v>
      </c>
      <c r="H46" s="192">
        <f t="shared" si="15"/>
        <v>5901.4561589403966</v>
      </c>
      <c r="I46" s="192">
        <f t="shared" si="15"/>
        <v>5948.8855629139089</v>
      </c>
      <c r="J46" s="192">
        <f t="shared" si="15"/>
        <v>5544.5674172185436</v>
      </c>
      <c r="K46" s="192">
        <f t="shared" si="15"/>
        <v>5129.242119205298</v>
      </c>
      <c r="L46" s="192">
        <f t="shared" si="15"/>
        <v>4409.8701986755013</v>
      </c>
      <c r="M46" s="192">
        <f t="shared" si="15"/>
        <v>6015.9539072847729</v>
      </c>
      <c r="N46" s="192">
        <f>SUM(B46:M46)</f>
        <v>67745.699602649009</v>
      </c>
    </row>
    <row r="47" spans="1:14" s="19" customFormat="1" ht="10.199999999999999">
      <c r="A47" s="250"/>
    </row>
    <row r="48" spans="1:14" s="19" customFormat="1" ht="10.199999999999999">
      <c r="A48" s="247" t="s">
        <v>38</v>
      </c>
    </row>
    <row r="49" spans="1:14" s="28" customFormat="1" ht="10.199999999999999">
      <c r="A49" s="249" t="str">
        <f>A39</f>
        <v xml:space="preserve">       SECI Load</v>
      </c>
      <c r="B49" s="27">
        <f>B39</f>
        <v>577503.82068262831</v>
      </c>
      <c r="C49" s="27">
        <f t="shared" ref="C49:M49" si="16">C39</f>
        <v>471030.05603667832</v>
      </c>
      <c r="D49" s="27">
        <f t="shared" si="16"/>
        <v>405176.77024961804</v>
      </c>
      <c r="E49" s="27">
        <f t="shared" si="16"/>
        <v>381679.06265919528</v>
      </c>
      <c r="F49" s="27">
        <f t="shared" si="16"/>
        <v>428999.49057564972</v>
      </c>
      <c r="G49" s="27">
        <f t="shared" si="16"/>
        <v>466829.34284258739</v>
      </c>
      <c r="H49" s="27">
        <f t="shared" si="16"/>
        <v>463222.61844116147</v>
      </c>
      <c r="I49" s="27">
        <f t="shared" si="16"/>
        <v>466945.49159449834</v>
      </c>
      <c r="J49" s="27">
        <f t="shared" si="16"/>
        <v>435209.37340804894</v>
      </c>
      <c r="K49" s="27">
        <f t="shared" si="16"/>
        <v>402609.27152317885</v>
      </c>
      <c r="L49" s="27">
        <f t="shared" si="16"/>
        <v>346143.65766683687</v>
      </c>
      <c r="M49" s="27">
        <f t="shared" si="16"/>
        <v>472209.8828323998</v>
      </c>
      <c r="N49" s="20">
        <f>SUM(B49:M49)</f>
        <v>5317558.8385124812</v>
      </c>
    </row>
    <row r="50" spans="1:14" s="19" customFormat="1" ht="10.199999999999999">
      <c r="A50" s="247" t="s">
        <v>144</v>
      </c>
      <c r="B50" s="31">
        <f>'charges (1 &amp; 2)'!E28</f>
        <v>0.02</v>
      </c>
      <c r="C50" s="31">
        <f>B50</f>
        <v>0.02</v>
      </c>
      <c r="D50" s="31">
        <f t="shared" ref="D50:M50" si="17">C50</f>
        <v>0.02</v>
      </c>
      <c r="E50" s="31">
        <f t="shared" si="17"/>
        <v>0.02</v>
      </c>
      <c r="F50" s="31">
        <f t="shared" si="17"/>
        <v>0.02</v>
      </c>
      <c r="G50" s="31">
        <f t="shared" si="17"/>
        <v>0.02</v>
      </c>
      <c r="H50" s="31">
        <f t="shared" si="17"/>
        <v>0.02</v>
      </c>
      <c r="I50" s="31">
        <f t="shared" si="17"/>
        <v>0.02</v>
      </c>
      <c r="J50" s="31">
        <f t="shared" si="17"/>
        <v>0.02</v>
      </c>
      <c r="K50" s="31">
        <f t="shared" si="17"/>
        <v>0.02</v>
      </c>
      <c r="L50" s="31">
        <f t="shared" si="17"/>
        <v>0.02</v>
      </c>
      <c r="M50" s="31">
        <f t="shared" si="17"/>
        <v>0.02</v>
      </c>
    </row>
    <row r="51" spans="1:14" s="19" customFormat="1" ht="10.199999999999999">
      <c r="A51" s="247" t="s">
        <v>17</v>
      </c>
      <c r="B51" s="192">
        <f t="shared" ref="B51:M51" si="18">B49*B50</f>
        <v>11550.076413652567</v>
      </c>
      <c r="C51" s="192">
        <f t="shared" si="18"/>
        <v>9420.6011207335669</v>
      </c>
      <c r="D51" s="192">
        <f t="shared" si="18"/>
        <v>8103.5354049923608</v>
      </c>
      <c r="E51" s="192">
        <f t="shared" si="18"/>
        <v>7633.5812531839056</v>
      </c>
      <c r="F51" s="192">
        <f t="shared" si="18"/>
        <v>8579.9898115129945</v>
      </c>
      <c r="G51" s="192">
        <f t="shared" si="18"/>
        <v>9336.5868568517471</v>
      </c>
      <c r="H51" s="192">
        <f t="shared" si="18"/>
        <v>9264.4523688232293</v>
      </c>
      <c r="I51" s="192">
        <f t="shared" si="18"/>
        <v>9338.9098318899669</v>
      </c>
      <c r="J51" s="192">
        <f t="shared" si="18"/>
        <v>8704.1874681609788</v>
      </c>
      <c r="K51" s="192">
        <f t="shared" si="18"/>
        <v>8052.1854304635772</v>
      </c>
      <c r="L51" s="192">
        <f t="shared" si="18"/>
        <v>6922.8731533367372</v>
      </c>
      <c r="M51" s="192">
        <f t="shared" si="18"/>
        <v>9444.1976566479971</v>
      </c>
      <c r="N51" s="192">
        <f>SUM(B51:M51)</f>
        <v>106351.17677024963</v>
      </c>
    </row>
    <row r="52" spans="1:14" s="19" customFormat="1" ht="10.199999999999999">
      <c r="A52" s="247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3"/>
    </row>
    <row r="53" spans="1:14" s="19" customFormat="1" ht="10.199999999999999">
      <c r="A53" s="247" t="s">
        <v>25</v>
      </c>
      <c r="B53" s="192">
        <f>B41+B51+B46</f>
        <v>937138.54997452826</v>
      </c>
      <c r="C53" s="192">
        <f t="shared" ref="C53:M53" si="19">C41+C51+C46</f>
        <v>764359.31313295942</v>
      </c>
      <c r="D53" s="192">
        <f t="shared" si="19"/>
        <v>657496.55215486523</v>
      </c>
      <c r="E53" s="192">
        <f t="shared" si="19"/>
        <v>619365.88213958254</v>
      </c>
      <c r="F53" s="192">
        <f t="shared" si="19"/>
        <v>696154.63333672984</v>
      </c>
      <c r="G53" s="192">
        <f t="shared" si="19"/>
        <v>757542.64780438028</v>
      </c>
      <c r="H53" s="192">
        <f t="shared" si="19"/>
        <v>751689.87184921047</v>
      </c>
      <c r="I53" s="192">
        <f t="shared" si="19"/>
        <v>757731.12703005632</v>
      </c>
      <c r="J53" s="192">
        <f t="shared" si="19"/>
        <v>706231.65860417741</v>
      </c>
      <c r="K53" s="192">
        <f t="shared" si="19"/>
        <v>653330.16927152325</v>
      </c>
      <c r="L53" s="192">
        <f t="shared" si="19"/>
        <v>561701.15904228284</v>
      </c>
      <c r="M53" s="192">
        <f t="shared" si="19"/>
        <v>766273.86526744848</v>
      </c>
      <c r="N53" s="192">
        <f>SUM(B53:M53)</f>
        <v>8629015.4296077434</v>
      </c>
    </row>
    <row r="54" spans="1:14" s="19" customFormat="1" ht="10.199999999999999">
      <c r="A54" s="250"/>
    </row>
    <row r="55" spans="1:14" s="19" customFormat="1" ht="10.199999999999999">
      <c r="A55" s="247"/>
      <c r="B55" s="23" t="s">
        <v>0</v>
      </c>
      <c r="C55" s="23" t="s">
        <v>1</v>
      </c>
      <c r="D55" s="23" t="s">
        <v>2</v>
      </c>
      <c r="E55" s="23" t="s">
        <v>3</v>
      </c>
      <c r="F55" s="23" t="s">
        <v>4</v>
      </c>
      <c r="G55" s="23" t="s">
        <v>5</v>
      </c>
      <c r="H55" s="23" t="s">
        <v>6</v>
      </c>
      <c r="I55" s="23" t="s">
        <v>7</v>
      </c>
      <c r="J55" s="23" t="s">
        <v>8</v>
      </c>
      <c r="K55" s="23" t="s">
        <v>9</v>
      </c>
      <c r="L55" s="23" t="s">
        <v>10</v>
      </c>
      <c r="M55" s="23" t="s">
        <v>11</v>
      </c>
      <c r="N55" s="23" t="s">
        <v>12</v>
      </c>
    </row>
    <row r="56" spans="1:14" s="19" customFormat="1" ht="10.199999999999999">
      <c r="A56" s="248">
        <f>+A31+1</f>
        <v>2016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s="19" customFormat="1" ht="10.199999999999999">
      <c r="A57" s="24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s="19" customFormat="1" ht="10.199999999999999">
      <c r="A58" s="247" t="s">
        <v>37</v>
      </c>
    </row>
    <row r="59" spans="1:14" s="19" customFormat="1" ht="10.199999999999999">
      <c r="A59" s="249" t="s">
        <v>48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0">
        <f>SUM(B59:M59)</f>
        <v>0</v>
      </c>
    </row>
    <row r="60" spans="1:14" s="19" customFormat="1" ht="10.199999999999999">
      <c r="A60" s="249" t="s">
        <v>49</v>
      </c>
      <c r="B60" s="34">
        <f>B61-B59</f>
        <v>521466</v>
      </c>
      <c r="C60" s="34">
        <f t="shared" ref="C60:M60" si="20">C61-C59</f>
        <v>427422</v>
      </c>
      <c r="D60" s="34">
        <f t="shared" si="20"/>
        <v>381260</v>
      </c>
      <c r="E60" s="34">
        <f t="shared" si="20"/>
        <v>360521</v>
      </c>
      <c r="F60" s="34">
        <f t="shared" si="20"/>
        <v>409183</v>
      </c>
      <c r="G60" s="34">
        <f t="shared" si="20"/>
        <v>442770</v>
      </c>
      <c r="H60" s="34">
        <f t="shared" si="20"/>
        <v>439071</v>
      </c>
      <c r="I60" s="34">
        <f t="shared" si="20"/>
        <v>438159</v>
      </c>
      <c r="J60" s="34">
        <f t="shared" si="20"/>
        <v>443170</v>
      </c>
      <c r="K60" s="34">
        <f t="shared" si="20"/>
        <v>384147</v>
      </c>
      <c r="L60" s="34">
        <f t="shared" si="20"/>
        <v>371047</v>
      </c>
      <c r="M60" s="34">
        <f t="shared" si="20"/>
        <v>401928</v>
      </c>
      <c r="N60" s="20">
        <f>SUM(B60:M60)</f>
        <v>5020144</v>
      </c>
    </row>
    <row r="61" spans="1:14" s="28" customFormat="1" ht="10.199999999999999">
      <c r="A61" s="249" t="s">
        <v>47</v>
      </c>
      <c r="B61" s="144">
        <f>SECI_Network_Forecast!B15*1000</f>
        <v>521466</v>
      </c>
      <c r="C61" s="144">
        <f>SECI_Network_Forecast!C15*1000</f>
        <v>427422</v>
      </c>
      <c r="D61" s="144">
        <f>SECI_Network_Forecast!D15*1000</f>
        <v>381260</v>
      </c>
      <c r="E61" s="144">
        <f>SECI_Network_Forecast!E15*1000</f>
        <v>360521</v>
      </c>
      <c r="F61" s="144">
        <f>SECI_Network_Forecast!F15*1000</f>
        <v>409183</v>
      </c>
      <c r="G61" s="144">
        <f>SECI_Network_Forecast!G15*1000</f>
        <v>442770</v>
      </c>
      <c r="H61" s="144">
        <f>SECI_Network_Forecast!H15*1000</f>
        <v>439071</v>
      </c>
      <c r="I61" s="144">
        <f>SECI_Network_Forecast!I15*1000</f>
        <v>438159</v>
      </c>
      <c r="J61" s="144">
        <f>SECI_Network_Forecast!J15*1000</f>
        <v>443170</v>
      </c>
      <c r="K61" s="144">
        <f>SECI_Network_Forecast!K15*1000</f>
        <v>384147</v>
      </c>
      <c r="L61" s="144">
        <f>SECI_Network_Forecast!L15*1000</f>
        <v>371047</v>
      </c>
      <c r="M61" s="144">
        <f>SECI_Network_Forecast!M15*1000</f>
        <v>401928</v>
      </c>
      <c r="N61" s="20">
        <f>SUM(B61:M61)</f>
        <v>5020144</v>
      </c>
    </row>
    <row r="62" spans="1:14" s="28" customFormat="1" ht="10.199999999999999">
      <c r="A62" s="249" t="s">
        <v>45</v>
      </c>
      <c r="B62" s="27">
        <f>B63-B59-B60</f>
        <v>9828.9566989302402</v>
      </c>
      <c r="C62" s="27">
        <f t="shared" ref="C62:M62" si="21">C63-C59-C60</f>
        <v>8056.349465104402</v>
      </c>
      <c r="D62" s="35">
        <f t="shared" si="21"/>
        <v>7186.2557310239063</v>
      </c>
      <c r="E62" s="35">
        <f t="shared" si="21"/>
        <v>6795.3525216504931</v>
      </c>
      <c r="F62" s="35">
        <f t="shared" si="21"/>
        <v>7712.568008150789</v>
      </c>
      <c r="G62" s="35">
        <f t="shared" si="21"/>
        <v>8345.639327559853</v>
      </c>
      <c r="H62" s="35">
        <f t="shared" si="21"/>
        <v>8275.9179826795589</v>
      </c>
      <c r="I62" s="35">
        <f t="shared" si="21"/>
        <v>8258.7279673968442</v>
      </c>
      <c r="J62" s="35">
        <f t="shared" si="21"/>
        <v>8353.178807947028</v>
      </c>
      <c r="K62" s="35">
        <f t="shared" si="21"/>
        <v>7240.6719307182939</v>
      </c>
      <c r="L62" s="35">
        <f t="shared" si="21"/>
        <v>6993.7539480386768</v>
      </c>
      <c r="M62" s="35">
        <f t="shared" si="21"/>
        <v>7575.8206826286041</v>
      </c>
      <c r="N62" s="20">
        <f>SUM(B62:M62)</f>
        <v>94623.193071828689</v>
      </c>
    </row>
    <row r="63" spans="1:14" s="28" customFormat="1" ht="10.199999999999999">
      <c r="A63" s="249" t="s">
        <v>50</v>
      </c>
      <c r="B63" s="27">
        <f>(B59/(1-0.0213)/(1-'Transmission Formula Rate (7)'!$B$27))+(B60/(1-'Transmission Formula Rate (7)'!$B$27))</f>
        <v>531294.95669893024</v>
      </c>
      <c r="C63" s="27">
        <f>(C59/(1-0.0213)/(1-'Transmission Formula Rate (7)'!$B$27))+(C60/(1-'Transmission Formula Rate (7)'!$B$27))</f>
        <v>435478.3494651044</v>
      </c>
      <c r="D63" s="27">
        <f>(D59/(1-0.0213)/(1-'Transmission Formula Rate (7)'!$B$27))+(D60/(1-'Transmission Formula Rate (7)'!$B$27))</f>
        <v>388446.25573102391</v>
      </c>
      <c r="E63" s="27">
        <f>(E59/(1-0.0213)/(1-'Transmission Formula Rate (7)'!$B$27))+(E60/(1-'Transmission Formula Rate (7)'!$B$27))</f>
        <v>367316.35252165049</v>
      </c>
      <c r="F63" s="27">
        <f>(F59/(1-0.0213)/(1-'Transmission Formula Rate (7)'!$B$27))+(F60/(1-'Transmission Formula Rate (7)'!$B$27))</f>
        <v>416895.56800815079</v>
      </c>
      <c r="G63" s="27">
        <f>(G59/(1-0.0213)/(1-'Transmission Formula Rate (7)'!$B$27))+(G60/(1-'Transmission Formula Rate (7)'!$B$27))</f>
        <v>451115.63932755985</v>
      </c>
      <c r="H63" s="27">
        <f>(H59/(1-0.0213)/(1-'Transmission Formula Rate (7)'!$B$27))+(H60/(1-'Transmission Formula Rate (7)'!$B$27))</f>
        <v>447346.91798267956</v>
      </c>
      <c r="I63" s="27">
        <f>(I59/(1-0.0213)/(1-'Transmission Formula Rate (7)'!$B$27))+(I60/(1-'Transmission Formula Rate (7)'!$B$27))</f>
        <v>446417.72796739684</v>
      </c>
      <c r="J63" s="27">
        <f>(J59/(1-0.0213)/(1-'Transmission Formula Rate (7)'!$B$27))+(J60/(1-'Transmission Formula Rate (7)'!$B$27))</f>
        <v>451523.17880794703</v>
      </c>
      <c r="K63" s="27">
        <f>(K59/(1-0.0213)/(1-'Transmission Formula Rate (7)'!$B$27))+(K60/(1-'Transmission Formula Rate (7)'!$B$27))</f>
        <v>391387.67193071829</v>
      </c>
      <c r="L63" s="27">
        <f>(L59/(1-0.0213)/(1-'Transmission Formula Rate (7)'!$B$27))+(L60/(1-'Transmission Formula Rate (7)'!$B$27))</f>
        <v>378040.75394803868</v>
      </c>
      <c r="M63" s="27">
        <f>(M59/(1-0.0213)/(1-'Transmission Formula Rate (7)'!$B$27))+(M60/(1-'Transmission Formula Rate (7)'!$B$27))</f>
        <v>409503.8206826286</v>
      </c>
      <c r="N63" s="20">
        <f>SUM(B63:M63)</f>
        <v>5114767.1930718292</v>
      </c>
    </row>
    <row r="64" spans="1:14" s="19" customFormat="1" ht="10.199999999999999">
      <c r="A64" s="247" t="s">
        <v>20</v>
      </c>
      <c r="B64" s="29">
        <f>'Transmission Formula Rate (7)'!B12</f>
        <v>1.59</v>
      </c>
      <c r="C64" s="29">
        <f>'Transmission Formula Rate (7)'!C12</f>
        <v>1.59</v>
      </c>
      <c r="D64" s="29">
        <f>'Transmission Formula Rate (7)'!D12</f>
        <v>1.59</v>
      </c>
      <c r="E64" s="29">
        <f>'Transmission Formula Rate (7)'!E12</f>
        <v>1.59</v>
      </c>
      <c r="F64" s="29">
        <f>'Transmission Formula Rate (7)'!F12</f>
        <v>1.59</v>
      </c>
      <c r="G64" s="29">
        <f>'Transmission Formula Rate (7)'!G12</f>
        <v>1.59</v>
      </c>
      <c r="H64" s="29">
        <f>'Transmission Formula Rate (7)'!H12</f>
        <v>1.59</v>
      </c>
      <c r="I64" s="29">
        <f>'Transmission Formula Rate (7)'!I12</f>
        <v>1.59</v>
      </c>
      <c r="J64" s="29">
        <f>'Transmission Formula Rate (7)'!J12</f>
        <v>1.59</v>
      </c>
      <c r="K64" s="29">
        <f>'Transmission Formula Rate (7)'!K12</f>
        <v>1.59</v>
      </c>
      <c r="L64" s="29">
        <f>'Transmission Formula Rate (7)'!L12</f>
        <v>1.59</v>
      </c>
      <c r="M64" s="29">
        <f>'Transmission Formula Rate (7)'!M12</f>
        <v>1.59</v>
      </c>
    </row>
    <row r="65" spans="1:14" s="19" customFormat="1" ht="10.199999999999999">
      <c r="A65" s="247" t="s">
        <v>17</v>
      </c>
      <c r="B65" s="192">
        <f>B63*B64</f>
        <v>844758.98115129909</v>
      </c>
      <c r="C65" s="192">
        <f t="shared" ref="C65:M65" si="22">C63*C64</f>
        <v>692410.57564951607</v>
      </c>
      <c r="D65" s="192">
        <f t="shared" si="22"/>
        <v>617629.54661232803</v>
      </c>
      <c r="E65" s="192">
        <f t="shared" si="22"/>
        <v>584033.00050942437</v>
      </c>
      <c r="F65" s="192">
        <f t="shared" si="22"/>
        <v>662863.95313295978</v>
      </c>
      <c r="G65" s="192">
        <f t="shared" si="22"/>
        <v>717273.86653082015</v>
      </c>
      <c r="H65" s="192">
        <f t="shared" si="22"/>
        <v>711281.59959246055</v>
      </c>
      <c r="I65" s="192">
        <f t="shared" si="22"/>
        <v>709804.18746816099</v>
      </c>
      <c r="J65" s="192">
        <f t="shared" si="22"/>
        <v>717921.85430463578</v>
      </c>
      <c r="K65" s="192">
        <f t="shared" si="22"/>
        <v>622306.39836984209</v>
      </c>
      <c r="L65" s="192">
        <f t="shared" si="22"/>
        <v>601084.79877738154</v>
      </c>
      <c r="M65" s="192">
        <f t="shared" si="22"/>
        <v>651111.07488537952</v>
      </c>
      <c r="N65" s="192">
        <f>SUM(B65:M65)</f>
        <v>8132479.8369842088</v>
      </c>
    </row>
    <row r="66" spans="1:14" s="19" customFormat="1" ht="10.199999999999999">
      <c r="A66" s="24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s="19" customFormat="1" ht="10.199999999999999">
      <c r="A67" s="247" t="s">
        <v>135</v>
      </c>
    </row>
    <row r="68" spans="1:14" s="19" customFormat="1" ht="10.199999999999999">
      <c r="A68" s="249" t="str">
        <f>A63</f>
        <v xml:space="preserve">       SECI Load</v>
      </c>
      <c r="B68" s="27">
        <f>B63</f>
        <v>531294.95669893024</v>
      </c>
      <c r="C68" s="27">
        <f t="shared" ref="C68:M68" si="23">C63</f>
        <v>435478.3494651044</v>
      </c>
      <c r="D68" s="27">
        <f t="shared" si="23"/>
        <v>388446.25573102391</v>
      </c>
      <c r="E68" s="27">
        <f t="shared" si="23"/>
        <v>367316.35252165049</v>
      </c>
      <c r="F68" s="27">
        <f t="shared" si="23"/>
        <v>416895.56800815079</v>
      </c>
      <c r="G68" s="27">
        <f t="shared" si="23"/>
        <v>451115.63932755985</v>
      </c>
      <c r="H68" s="27">
        <f t="shared" si="23"/>
        <v>447346.91798267956</v>
      </c>
      <c r="I68" s="27">
        <f t="shared" si="23"/>
        <v>446417.72796739684</v>
      </c>
      <c r="J68" s="27">
        <f t="shared" si="23"/>
        <v>451523.17880794703</v>
      </c>
      <c r="K68" s="27">
        <f t="shared" si="23"/>
        <v>391387.67193071829</v>
      </c>
      <c r="L68" s="27">
        <f t="shared" si="23"/>
        <v>378040.75394803868</v>
      </c>
      <c r="M68" s="27">
        <f t="shared" si="23"/>
        <v>409503.8206826286</v>
      </c>
      <c r="N68" s="20">
        <f>SUM(B68:M68)</f>
        <v>5114767.1930718292</v>
      </c>
    </row>
    <row r="69" spans="1:14" s="19" customFormat="1" ht="10.199999999999999">
      <c r="A69" s="247" t="s">
        <v>143</v>
      </c>
      <c r="B69" s="31">
        <f>'charges (1 &amp; 2)'!F29</f>
        <v>1.274E-2</v>
      </c>
      <c r="C69" s="31">
        <f>B69</f>
        <v>1.274E-2</v>
      </c>
      <c r="D69" s="31">
        <f t="shared" ref="D69:M69" si="24">C69</f>
        <v>1.274E-2</v>
      </c>
      <c r="E69" s="31">
        <f t="shared" si="24"/>
        <v>1.274E-2</v>
      </c>
      <c r="F69" s="31">
        <f t="shared" si="24"/>
        <v>1.274E-2</v>
      </c>
      <c r="G69" s="31">
        <f t="shared" si="24"/>
        <v>1.274E-2</v>
      </c>
      <c r="H69" s="31">
        <f t="shared" si="24"/>
        <v>1.274E-2</v>
      </c>
      <c r="I69" s="31">
        <f t="shared" si="24"/>
        <v>1.274E-2</v>
      </c>
      <c r="J69" s="31">
        <f t="shared" si="24"/>
        <v>1.274E-2</v>
      </c>
      <c r="K69" s="31">
        <f t="shared" si="24"/>
        <v>1.274E-2</v>
      </c>
      <c r="L69" s="31">
        <f t="shared" si="24"/>
        <v>1.274E-2</v>
      </c>
      <c r="M69" s="31">
        <f t="shared" si="24"/>
        <v>1.274E-2</v>
      </c>
    </row>
    <row r="70" spans="1:14" s="19" customFormat="1" ht="10.199999999999999">
      <c r="A70" s="247" t="s">
        <v>17</v>
      </c>
      <c r="B70" s="192">
        <f t="shared" ref="B70:M70" si="25">B68*B69</f>
        <v>6768.6977483443707</v>
      </c>
      <c r="C70" s="192">
        <f t="shared" si="25"/>
        <v>5547.9941721854302</v>
      </c>
      <c r="D70" s="192">
        <f t="shared" si="25"/>
        <v>4948.8052980132443</v>
      </c>
      <c r="E70" s="192">
        <f t="shared" si="25"/>
        <v>4679.6103311258275</v>
      </c>
      <c r="F70" s="192">
        <f t="shared" si="25"/>
        <v>5311.2495364238412</v>
      </c>
      <c r="G70" s="192">
        <f t="shared" si="25"/>
        <v>5747.2132450331119</v>
      </c>
      <c r="H70" s="192">
        <f t="shared" si="25"/>
        <v>5699.199735099337</v>
      </c>
      <c r="I70" s="192">
        <f t="shared" si="25"/>
        <v>5687.3618543046359</v>
      </c>
      <c r="J70" s="192">
        <f t="shared" si="25"/>
        <v>5752.4052980132446</v>
      </c>
      <c r="K70" s="192">
        <f t="shared" si="25"/>
        <v>4986.2789403973511</v>
      </c>
      <c r="L70" s="192">
        <f t="shared" si="25"/>
        <v>4816.2392052980122</v>
      </c>
      <c r="M70" s="192">
        <f t="shared" si="25"/>
        <v>5217.0786754966884</v>
      </c>
      <c r="N70" s="192">
        <f>SUM(B70:M70)</f>
        <v>65162.134039735094</v>
      </c>
    </row>
    <row r="71" spans="1:14" s="19" customFormat="1" ht="10.199999999999999">
      <c r="A71" s="250"/>
    </row>
    <row r="72" spans="1:14" s="19" customFormat="1" ht="10.199999999999999">
      <c r="A72" s="247" t="s">
        <v>38</v>
      </c>
    </row>
    <row r="73" spans="1:14" s="28" customFormat="1" ht="10.199999999999999">
      <c r="A73" s="249" t="str">
        <f>A63</f>
        <v xml:space="preserve">       SECI Load</v>
      </c>
      <c r="B73" s="27">
        <f>B63</f>
        <v>531294.95669893024</v>
      </c>
      <c r="C73" s="27">
        <f t="shared" ref="C73:M73" si="26">C63</f>
        <v>435478.3494651044</v>
      </c>
      <c r="D73" s="27">
        <f t="shared" si="26"/>
        <v>388446.25573102391</v>
      </c>
      <c r="E73" s="27">
        <f t="shared" si="26"/>
        <v>367316.35252165049</v>
      </c>
      <c r="F73" s="27">
        <f t="shared" si="26"/>
        <v>416895.56800815079</v>
      </c>
      <c r="G73" s="27">
        <f t="shared" si="26"/>
        <v>451115.63932755985</v>
      </c>
      <c r="H73" s="27">
        <f t="shared" si="26"/>
        <v>447346.91798267956</v>
      </c>
      <c r="I73" s="27">
        <f t="shared" si="26"/>
        <v>446417.72796739684</v>
      </c>
      <c r="J73" s="27">
        <f t="shared" si="26"/>
        <v>451523.17880794703</v>
      </c>
      <c r="K73" s="27">
        <f t="shared" si="26"/>
        <v>391387.67193071829</v>
      </c>
      <c r="L73" s="27">
        <f t="shared" si="26"/>
        <v>378040.75394803868</v>
      </c>
      <c r="M73" s="27">
        <f t="shared" si="26"/>
        <v>409503.8206826286</v>
      </c>
      <c r="N73" s="20">
        <f>SUM(B73:M73)</f>
        <v>5114767.1930718292</v>
      </c>
    </row>
    <row r="74" spans="1:14" s="19" customFormat="1" ht="10.199999999999999">
      <c r="A74" s="247" t="s">
        <v>144</v>
      </c>
      <c r="B74" s="31">
        <f>'charges (1 &amp; 2)'!F28</f>
        <v>0.02</v>
      </c>
      <c r="C74" s="31">
        <f>B74</f>
        <v>0.02</v>
      </c>
      <c r="D74" s="31">
        <f t="shared" ref="D74:M74" si="27">C74</f>
        <v>0.02</v>
      </c>
      <c r="E74" s="31">
        <f t="shared" si="27"/>
        <v>0.02</v>
      </c>
      <c r="F74" s="31">
        <f t="shared" si="27"/>
        <v>0.02</v>
      </c>
      <c r="G74" s="31">
        <f t="shared" si="27"/>
        <v>0.02</v>
      </c>
      <c r="H74" s="31">
        <f t="shared" si="27"/>
        <v>0.02</v>
      </c>
      <c r="I74" s="31">
        <f t="shared" si="27"/>
        <v>0.02</v>
      </c>
      <c r="J74" s="31">
        <f t="shared" si="27"/>
        <v>0.02</v>
      </c>
      <c r="K74" s="31">
        <f t="shared" si="27"/>
        <v>0.02</v>
      </c>
      <c r="L74" s="31">
        <f t="shared" si="27"/>
        <v>0.02</v>
      </c>
      <c r="M74" s="31">
        <f t="shared" si="27"/>
        <v>0.02</v>
      </c>
    </row>
    <row r="75" spans="1:14" s="19" customFormat="1" ht="10.199999999999999">
      <c r="A75" s="247" t="s">
        <v>17</v>
      </c>
      <c r="B75" s="192">
        <f t="shared" ref="B75:M75" si="28">B73*B74</f>
        <v>10625.899133978604</v>
      </c>
      <c r="C75" s="192">
        <f t="shared" si="28"/>
        <v>8709.5669893020877</v>
      </c>
      <c r="D75" s="192">
        <f t="shared" si="28"/>
        <v>7768.9251146204779</v>
      </c>
      <c r="E75" s="192">
        <f t="shared" si="28"/>
        <v>7346.3270504330103</v>
      </c>
      <c r="F75" s="192">
        <f t="shared" si="28"/>
        <v>8337.9113601630161</v>
      </c>
      <c r="G75" s="192">
        <f t="shared" si="28"/>
        <v>9022.3127865511979</v>
      </c>
      <c r="H75" s="192">
        <f t="shared" si="28"/>
        <v>8946.9383596535918</v>
      </c>
      <c r="I75" s="192">
        <f t="shared" si="28"/>
        <v>8928.3545593479375</v>
      </c>
      <c r="J75" s="192">
        <f t="shared" si="28"/>
        <v>9030.4635761589416</v>
      </c>
      <c r="K75" s="192">
        <f t="shared" si="28"/>
        <v>7827.7534386143661</v>
      </c>
      <c r="L75" s="192">
        <f t="shared" si="28"/>
        <v>7560.8150789607735</v>
      </c>
      <c r="M75" s="192">
        <f t="shared" si="28"/>
        <v>8190.0764136525722</v>
      </c>
      <c r="N75" s="192">
        <f>SUM(B75:M75)</f>
        <v>102295.34386143657</v>
      </c>
    </row>
    <row r="76" spans="1:14" s="19" customFormat="1" ht="10.199999999999999">
      <c r="A76" s="247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</row>
    <row r="77" spans="1:14" s="19" customFormat="1" ht="10.199999999999999">
      <c r="A77" s="247" t="s">
        <v>25</v>
      </c>
      <c r="B77" s="192">
        <f>B65+B75+B70</f>
        <v>862153.57803362212</v>
      </c>
      <c r="C77" s="192">
        <f t="shared" ref="C77:M77" si="29">C65+C75+C70</f>
        <v>706668.13681100355</v>
      </c>
      <c r="D77" s="192">
        <f t="shared" si="29"/>
        <v>630347.27702496178</v>
      </c>
      <c r="E77" s="192">
        <f t="shared" si="29"/>
        <v>596058.93789098319</v>
      </c>
      <c r="F77" s="192">
        <f t="shared" si="29"/>
        <v>676513.11402954662</v>
      </c>
      <c r="G77" s="192">
        <f t="shared" si="29"/>
        <v>732043.39256240451</v>
      </c>
      <c r="H77" s="192">
        <f t="shared" si="29"/>
        <v>725927.73768721346</v>
      </c>
      <c r="I77" s="192">
        <f t="shared" si="29"/>
        <v>724419.90388181363</v>
      </c>
      <c r="J77" s="192">
        <f t="shared" si="29"/>
        <v>732704.723178808</v>
      </c>
      <c r="K77" s="192">
        <f t="shared" si="29"/>
        <v>635120.43074885372</v>
      </c>
      <c r="L77" s="192">
        <f t="shared" si="29"/>
        <v>613461.85306164029</v>
      </c>
      <c r="M77" s="192">
        <f t="shared" si="29"/>
        <v>664518.22997452889</v>
      </c>
      <c r="N77" s="192">
        <f>SUM(B77:M77)</f>
        <v>8299937.3148853797</v>
      </c>
    </row>
    <row r="78" spans="1:14">
      <c r="B78" s="23" t="s">
        <v>0</v>
      </c>
      <c r="C78" s="23" t="s">
        <v>1</v>
      </c>
      <c r="D78" s="23" t="s">
        <v>2</v>
      </c>
      <c r="E78" s="23" t="s">
        <v>3</v>
      </c>
      <c r="F78" s="23" t="s">
        <v>4</v>
      </c>
      <c r="G78" s="23" t="s">
        <v>5</v>
      </c>
      <c r="H78" s="23" t="s">
        <v>6</v>
      </c>
      <c r="I78" s="23" t="s">
        <v>7</v>
      </c>
      <c r="J78" s="23" t="s">
        <v>8</v>
      </c>
      <c r="K78" s="23" t="s">
        <v>9</v>
      </c>
      <c r="L78" s="23" t="s">
        <v>10</v>
      </c>
      <c r="M78" s="23" t="s">
        <v>11</v>
      </c>
      <c r="N78" s="23" t="s">
        <v>12</v>
      </c>
    </row>
    <row r="79" spans="1:14">
      <c r="A79" s="248">
        <f>+A56+1</f>
        <v>2017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.2">
      <c r="A80" s="24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>
      <c r="A81" s="24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>
      <c r="A82" s="247" t="s">
        <v>37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>
      <c r="A83" s="249" t="s">
        <v>48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0">
        <f>SUM(B83:M83)</f>
        <v>0</v>
      </c>
    </row>
    <row r="84" spans="1:14">
      <c r="A84" s="249" t="s">
        <v>49</v>
      </c>
      <c r="B84" s="34">
        <f t="shared" ref="B84:M84" si="30">B85-B83</f>
        <v>531216</v>
      </c>
      <c r="C84" s="34">
        <f t="shared" si="30"/>
        <v>421803</v>
      </c>
      <c r="D84" s="34">
        <f t="shared" si="30"/>
        <v>388042</v>
      </c>
      <c r="E84" s="34">
        <f t="shared" si="30"/>
        <v>367173</v>
      </c>
      <c r="F84" s="34">
        <f t="shared" si="30"/>
        <v>415663</v>
      </c>
      <c r="G84" s="34">
        <f t="shared" si="30"/>
        <v>449990</v>
      </c>
      <c r="H84" s="34">
        <f t="shared" si="30"/>
        <v>446398</v>
      </c>
      <c r="I84" s="34">
        <f t="shared" si="30"/>
        <v>445351</v>
      </c>
      <c r="J84" s="34">
        <f t="shared" si="30"/>
        <v>450611</v>
      </c>
      <c r="K84" s="34">
        <f t="shared" si="30"/>
        <v>390875</v>
      </c>
      <c r="L84" s="34">
        <f t="shared" si="30"/>
        <v>377082</v>
      </c>
      <c r="M84" s="34">
        <f t="shared" si="30"/>
        <v>408350</v>
      </c>
      <c r="N84" s="20">
        <f>SUM(B84:M84)</f>
        <v>5092554</v>
      </c>
    </row>
    <row r="85" spans="1:14">
      <c r="A85" s="249" t="s">
        <v>47</v>
      </c>
      <c r="B85" s="144">
        <f>SECI_Network_Forecast!B16*1000</f>
        <v>531216</v>
      </c>
      <c r="C85" s="144">
        <f>SECI_Network_Forecast!C16*1000</f>
        <v>421803</v>
      </c>
      <c r="D85" s="144">
        <f>SECI_Network_Forecast!D16*1000</f>
        <v>388042</v>
      </c>
      <c r="E85" s="144">
        <f>SECI_Network_Forecast!E16*1000</f>
        <v>367173</v>
      </c>
      <c r="F85" s="144">
        <f>SECI_Network_Forecast!F16*1000</f>
        <v>415663</v>
      </c>
      <c r="G85" s="144">
        <f>SECI_Network_Forecast!G16*1000</f>
        <v>449990</v>
      </c>
      <c r="H85" s="144">
        <f>SECI_Network_Forecast!H16*1000</f>
        <v>446398</v>
      </c>
      <c r="I85" s="144">
        <f>SECI_Network_Forecast!I16*1000</f>
        <v>445351</v>
      </c>
      <c r="J85" s="144">
        <f>SECI_Network_Forecast!J16*1000</f>
        <v>450611</v>
      </c>
      <c r="K85" s="144">
        <f>SECI_Network_Forecast!K16*1000</f>
        <v>390875</v>
      </c>
      <c r="L85" s="144">
        <f>SECI_Network_Forecast!L16*1000</f>
        <v>377082</v>
      </c>
      <c r="M85" s="144">
        <f>SECI_Network_Forecast!M16*1000</f>
        <v>408350</v>
      </c>
      <c r="N85" s="20">
        <f>SUM(B85:M85)</f>
        <v>5092554</v>
      </c>
    </row>
    <row r="86" spans="1:14">
      <c r="A86" s="249" t="s">
        <v>45</v>
      </c>
      <c r="B86" s="27">
        <f t="shared" ref="B86:M86" si="31">B87-B83-B84</f>
        <v>10012.731533367303</v>
      </c>
      <c r="C86" s="27">
        <f t="shared" si="31"/>
        <v>7950.4386143657612</v>
      </c>
      <c r="D86" s="35">
        <f t="shared" si="31"/>
        <v>7314.0876209882554</v>
      </c>
      <c r="E86" s="35">
        <f t="shared" si="31"/>
        <v>6920.7340804890264</v>
      </c>
      <c r="F86" s="35">
        <f t="shared" si="31"/>
        <v>7834.7075904228259</v>
      </c>
      <c r="G86" s="35">
        <f t="shared" si="31"/>
        <v>8481.7269485481083</v>
      </c>
      <c r="H86" s="35">
        <f t="shared" si="31"/>
        <v>8414.0224146714318</v>
      </c>
      <c r="I86" s="35">
        <f t="shared" si="31"/>
        <v>8394.2878247579793</v>
      </c>
      <c r="J86" s="35">
        <f t="shared" si="31"/>
        <v>8493.431991849211</v>
      </c>
      <c r="K86" s="35">
        <f t="shared" si="31"/>
        <v>7367.4859908303479</v>
      </c>
      <c r="L86" s="35">
        <f t="shared" si="31"/>
        <v>7107.5058583799982</v>
      </c>
      <c r="M86" s="35">
        <f t="shared" si="31"/>
        <v>7696.8670402445132</v>
      </c>
      <c r="N86" s="20">
        <f>SUM(B86:M86)</f>
        <v>95988.027508914762</v>
      </c>
    </row>
    <row r="87" spans="1:14">
      <c r="A87" s="249" t="s">
        <v>50</v>
      </c>
      <c r="B87" s="27">
        <f>(B83/(1-0.0213)/(1-'Transmission Formula Rate (7)'!$B$27))+(B84/(1-'Transmission Formula Rate (7)'!$B$27))</f>
        <v>541228.7315333673</v>
      </c>
      <c r="C87" s="27">
        <f>(C83/(1-0.0213)/(1-'Transmission Formula Rate (7)'!$B$27))+(C84/(1-'Transmission Formula Rate (7)'!$B$27))</f>
        <v>429753.43861436576</v>
      </c>
      <c r="D87" s="27">
        <f>(D83/(1-0.0213)/(1-'Transmission Formula Rate (7)'!$B$27))+(D84/(1-'Transmission Formula Rate (7)'!$B$27))</f>
        <v>395356.08762098826</v>
      </c>
      <c r="E87" s="27">
        <f>(E83/(1-0.0213)/(1-'Transmission Formula Rate (7)'!$B$27))+(E84/(1-'Transmission Formula Rate (7)'!$B$27))</f>
        <v>374093.73408048903</v>
      </c>
      <c r="F87" s="27">
        <f>(F83/(1-0.0213)/(1-'Transmission Formula Rate (7)'!$B$27))+(F84/(1-'Transmission Formula Rate (7)'!$B$27))</f>
        <v>423497.70759042283</v>
      </c>
      <c r="G87" s="27">
        <f>(G83/(1-0.0213)/(1-'Transmission Formula Rate (7)'!$B$27))+(G84/(1-'Transmission Formula Rate (7)'!$B$27))</f>
        <v>458471.72694854811</v>
      </c>
      <c r="H87" s="27">
        <f>(H83/(1-0.0213)/(1-'Transmission Formula Rate (7)'!$B$27))+(H84/(1-'Transmission Formula Rate (7)'!$B$27))</f>
        <v>454812.02241467143</v>
      </c>
      <c r="I87" s="27">
        <f>(I83/(1-0.0213)/(1-'Transmission Formula Rate (7)'!$B$27))+(I84/(1-'Transmission Formula Rate (7)'!$B$27))</f>
        <v>453745.28782475798</v>
      </c>
      <c r="J87" s="27">
        <f>(J83/(1-0.0213)/(1-'Transmission Formula Rate (7)'!$B$27))+(J84/(1-'Transmission Formula Rate (7)'!$B$27))</f>
        <v>459104.43199184921</v>
      </c>
      <c r="K87" s="27">
        <f>(K83/(1-0.0213)/(1-'Transmission Formula Rate (7)'!$B$27))+(K84/(1-'Transmission Formula Rate (7)'!$B$27))</f>
        <v>398242.48599083035</v>
      </c>
      <c r="L87" s="27">
        <f>(L83/(1-0.0213)/(1-'Transmission Formula Rate (7)'!$B$27))+(L84/(1-'Transmission Formula Rate (7)'!$B$27))</f>
        <v>384189.50585838</v>
      </c>
      <c r="M87" s="27">
        <f>(M83/(1-0.0213)/(1-'Transmission Formula Rate (7)'!$B$27))+(M84/(1-'Transmission Formula Rate (7)'!$B$27))</f>
        <v>416046.86704024451</v>
      </c>
      <c r="N87" s="20">
        <f>SUM(B87:M87)</f>
        <v>5188542.0275089154</v>
      </c>
    </row>
    <row r="88" spans="1:14">
      <c r="A88" s="247" t="s">
        <v>20</v>
      </c>
      <c r="B88" s="29">
        <f>'Transmission Formula Rate (7)'!B14</f>
        <v>1.59</v>
      </c>
      <c r="C88" s="29">
        <f>'Transmission Formula Rate (7)'!C14</f>
        <v>1.59</v>
      </c>
      <c r="D88" s="29">
        <f>'Transmission Formula Rate (7)'!D14</f>
        <v>1.59</v>
      </c>
      <c r="E88" s="29">
        <f>'Transmission Formula Rate (7)'!E14</f>
        <v>1.59</v>
      </c>
      <c r="F88" s="29">
        <f>'Transmission Formula Rate (7)'!F14</f>
        <v>1.59</v>
      </c>
      <c r="G88" s="29">
        <f>'Transmission Formula Rate (7)'!G14</f>
        <v>1.59</v>
      </c>
      <c r="H88" s="29">
        <f>'Transmission Formula Rate (7)'!H14</f>
        <v>1.59</v>
      </c>
      <c r="I88" s="29">
        <f>'Transmission Formula Rate (7)'!I14</f>
        <v>1.59</v>
      </c>
      <c r="J88" s="29">
        <f>'Transmission Formula Rate (7)'!J14</f>
        <v>1.59</v>
      </c>
      <c r="K88" s="29">
        <f>'Transmission Formula Rate (7)'!K14</f>
        <v>1.59</v>
      </c>
      <c r="L88" s="29">
        <f>'Transmission Formula Rate (7)'!L14</f>
        <v>1.59</v>
      </c>
      <c r="M88" s="29">
        <f>'Transmission Formula Rate (7)'!M14</f>
        <v>1.59</v>
      </c>
      <c r="N88" s="19"/>
    </row>
    <row r="89" spans="1:14">
      <c r="A89" s="247" t="s">
        <v>17</v>
      </c>
      <c r="B89" s="192">
        <f>B87*B88</f>
        <v>860553.6831380541</v>
      </c>
      <c r="C89" s="192">
        <f t="shared" ref="C89:M89" si="32">C87*C88</f>
        <v>683307.96739684162</v>
      </c>
      <c r="D89" s="192">
        <f t="shared" si="32"/>
        <v>628616.17931737134</v>
      </c>
      <c r="E89" s="192">
        <f t="shared" si="32"/>
        <v>594809.03718797758</v>
      </c>
      <c r="F89" s="192">
        <f t="shared" si="32"/>
        <v>673361.35506877233</v>
      </c>
      <c r="G89" s="192">
        <f t="shared" si="32"/>
        <v>728970.04584819148</v>
      </c>
      <c r="H89" s="192">
        <f t="shared" si="32"/>
        <v>723151.11563932756</v>
      </c>
      <c r="I89" s="192">
        <f t="shared" si="32"/>
        <v>721455.00764136517</v>
      </c>
      <c r="J89" s="192">
        <f t="shared" si="32"/>
        <v>729976.04686704034</v>
      </c>
      <c r="K89" s="192">
        <f t="shared" si="32"/>
        <v>633205.55272542033</v>
      </c>
      <c r="L89" s="192">
        <f t="shared" si="32"/>
        <v>610861.31431482418</v>
      </c>
      <c r="M89" s="192">
        <f t="shared" si="32"/>
        <v>661514.51859398885</v>
      </c>
      <c r="N89" s="192">
        <f>SUM(B89:M89)</f>
        <v>8249781.8237391748</v>
      </c>
    </row>
    <row r="90" spans="1:14">
      <c r="A90" s="24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247" t="s">
        <v>135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>
      <c r="A92" s="249" t="str">
        <f>A87</f>
        <v xml:space="preserve">       SECI Load</v>
      </c>
      <c r="B92" s="27">
        <f>B87</f>
        <v>541228.7315333673</v>
      </c>
      <c r="C92" s="27">
        <f t="shared" ref="C92:M92" si="33">C87</f>
        <v>429753.43861436576</v>
      </c>
      <c r="D92" s="27">
        <f t="shared" si="33"/>
        <v>395356.08762098826</v>
      </c>
      <c r="E92" s="27">
        <f t="shared" si="33"/>
        <v>374093.73408048903</v>
      </c>
      <c r="F92" s="27">
        <f t="shared" si="33"/>
        <v>423497.70759042283</v>
      </c>
      <c r="G92" s="27">
        <f t="shared" si="33"/>
        <v>458471.72694854811</v>
      </c>
      <c r="H92" s="27">
        <f t="shared" si="33"/>
        <v>454812.02241467143</v>
      </c>
      <c r="I92" s="27">
        <f t="shared" si="33"/>
        <v>453745.28782475798</v>
      </c>
      <c r="J92" s="27">
        <f t="shared" si="33"/>
        <v>459104.43199184921</v>
      </c>
      <c r="K92" s="27">
        <f t="shared" si="33"/>
        <v>398242.48599083035</v>
      </c>
      <c r="L92" s="27">
        <f t="shared" si="33"/>
        <v>384189.50585838</v>
      </c>
      <c r="M92" s="27">
        <f t="shared" si="33"/>
        <v>416046.86704024451</v>
      </c>
      <c r="N92" s="20">
        <f>SUM(B92:M92)</f>
        <v>5188542.0275089154</v>
      </c>
    </row>
    <row r="93" spans="1:14">
      <c r="A93" s="247" t="s">
        <v>143</v>
      </c>
      <c r="B93" s="31">
        <f>'charges (1 &amp; 2)'!G29</f>
        <v>1.274E-2</v>
      </c>
      <c r="C93" s="31">
        <f>B93</f>
        <v>1.274E-2</v>
      </c>
      <c r="D93" s="31">
        <f t="shared" ref="D93:M93" si="34">C93</f>
        <v>1.274E-2</v>
      </c>
      <c r="E93" s="31">
        <f t="shared" si="34"/>
        <v>1.274E-2</v>
      </c>
      <c r="F93" s="31">
        <f t="shared" si="34"/>
        <v>1.274E-2</v>
      </c>
      <c r="G93" s="31">
        <f t="shared" si="34"/>
        <v>1.274E-2</v>
      </c>
      <c r="H93" s="31">
        <f t="shared" si="34"/>
        <v>1.274E-2</v>
      </c>
      <c r="I93" s="31">
        <f t="shared" si="34"/>
        <v>1.274E-2</v>
      </c>
      <c r="J93" s="31">
        <f t="shared" si="34"/>
        <v>1.274E-2</v>
      </c>
      <c r="K93" s="31">
        <f t="shared" si="34"/>
        <v>1.274E-2</v>
      </c>
      <c r="L93" s="31">
        <f t="shared" si="34"/>
        <v>1.274E-2</v>
      </c>
      <c r="M93" s="31">
        <f t="shared" si="34"/>
        <v>1.274E-2</v>
      </c>
      <c r="N93" s="19"/>
    </row>
    <row r="94" spans="1:14">
      <c r="A94" s="247" t="s">
        <v>17</v>
      </c>
      <c r="B94" s="192">
        <f t="shared" ref="B94:M94" si="35">B92*B93</f>
        <v>6895.2540397350995</v>
      </c>
      <c r="C94" s="192">
        <f t="shared" si="35"/>
        <v>5475.0588079470199</v>
      </c>
      <c r="D94" s="192">
        <f t="shared" si="35"/>
        <v>5036.8365562913905</v>
      </c>
      <c r="E94" s="192">
        <f t="shared" si="35"/>
        <v>4765.9541721854303</v>
      </c>
      <c r="F94" s="192">
        <f t="shared" si="35"/>
        <v>5395.3607947019864</v>
      </c>
      <c r="G94" s="192">
        <f t="shared" si="35"/>
        <v>5840.9298013245025</v>
      </c>
      <c r="H94" s="192">
        <f t="shared" si="35"/>
        <v>5794.3051655629142</v>
      </c>
      <c r="I94" s="192">
        <f t="shared" si="35"/>
        <v>5780.7149668874163</v>
      </c>
      <c r="J94" s="192">
        <f t="shared" si="35"/>
        <v>5848.9904635761586</v>
      </c>
      <c r="K94" s="192">
        <f t="shared" si="35"/>
        <v>5073.6092715231789</v>
      </c>
      <c r="L94" s="192">
        <f t="shared" si="35"/>
        <v>4894.5743046357611</v>
      </c>
      <c r="M94" s="192">
        <f t="shared" si="35"/>
        <v>5300.4370860927147</v>
      </c>
      <c r="N94" s="192">
        <f>SUM(B94:M94)</f>
        <v>66102.02543046356</v>
      </c>
    </row>
    <row r="95" spans="1:14">
      <c r="A95" s="250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>
      <c r="A96" s="247" t="s">
        <v>38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>
      <c r="A97" s="249" t="str">
        <f>A87</f>
        <v xml:space="preserve">       SECI Load</v>
      </c>
      <c r="B97" s="27">
        <f>B87</f>
        <v>541228.7315333673</v>
      </c>
      <c r="C97" s="27">
        <f t="shared" ref="C97:M97" si="36">C87</f>
        <v>429753.43861436576</v>
      </c>
      <c r="D97" s="27">
        <f t="shared" si="36"/>
        <v>395356.08762098826</v>
      </c>
      <c r="E97" s="27">
        <f t="shared" si="36"/>
        <v>374093.73408048903</v>
      </c>
      <c r="F97" s="27">
        <f t="shared" si="36"/>
        <v>423497.70759042283</v>
      </c>
      <c r="G97" s="27">
        <f t="shared" si="36"/>
        <v>458471.72694854811</v>
      </c>
      <c r="H97" s="27">
        <f t="shared" si="36"/>
        <v>454812.02241467143</v>
      </c>
      <c r="I97" s="27">
        <f t="shared" si="36"/>
        <v>453745.28782475798</v>
      </c>
      <c r="J97" s="27">
        <f t="shared" si="36"/>
        <v>459104.43199184921</v>
      </c>
      <c r="K97" s="27">
        <f t="shared" si="36"/>
        <v>398242.48599083035</v>
      </c>
      <c r="L97" s="27">
        <f t="shared" si="36"/>
        <v>384189.50585838</v>
      </c>
      <c r="M97" s="27">
        <f t="shared" si="36"/>
        <v>416046.86704024451</v>
      </c>
      <c r="N97" s="20">
        <f>SUM(B97:M97)</f>
        <v>5188542.0275089154</v>
      </c>
    </row>
    <row r="98" spans="1:14">
      <c r="A98" s="247" t="s">
        <v>144</v>
      </c>
      <c r="B98" s="31">
        <f>'charges (1 &amp; 2)'!G28</f>
        <v>0.02</v>
      </c>
      <c r="C98" s="31">
        <f>B98</f>
        <v>0.02</v>
      </c>
      <c r="D98" s="31">
        <f t="shared" ref="D98:M98" si="37">C98</f>
        <v>0.02</v>
      </c>
      <c r="E98" s="31">
        <f t="shared" si="37"/>
        <v>0.02</v>
      </c>
      <c r="F98" s="31">
        <f t="shared" si="37"/>
        <v>0.02</v>
      </c>
      <c r="G98" s="31">
        <f t="shared" si="37"/>
        <v>0.02</v>
      </c>
      <c r="H98" s="31">
        <f t="shared" si="37"/>
        <v>0.02</v>
      </c>
      <c r="I98" s="31">
        <f t="shared" si="37"/>
        <v>0.02</v>
      </c>
      <c r="J98" s="31">
        <f t="shared" si="37"/>
        <v>0.02</v>
      </c>
      <c r="K98" s="31">
        <f t="shared" si="37"/>
        <v>0.02</v>
      </c>
      <c r="L98" s="31">
        <f t="shared" si="37"/>
        <v>0.02</v>
      </c>
      <c r="M98" s="31">
        <f t="shared" si="37"/>
        <v>0.02</v>
      </c>
      <c r="N98" s="19"/>
    </row>
    <row r="99" spans="1:14">
      <c r="A99" s="247" t="s">
        <v>17</v>
      </c>
      <c r="B99" s="192">
        <f t="shared" ref="B99:M99" si="38">B97*B98</f>
        <v>10824.574630667346</v>
      </c>
      <c r="C99" s="192">
        <f t="shared" si="38"/>
        <v>8595.0687722873154</v>
      </c>
      <c r="D99" s="192">
        <f t="shared" si="38"/>
        <v>7907.1217524197655</v>
      </c>
      <c r="E99" s="192">
        <f t="shared" si="38"/>
        <v>7481.874681609781</v>
      </c>
      <c r="F99" s="192">
        <f t="shared" si="38"/>
        <v>8469.954151808457</v>
      </c>
      <c r="G99" s="192">
        <f t="shared" si="38"/>
        <v>9169.4345389709615</v>
      </c>
      <c r="H99" s="192">
        <f t="shared" si="38"/>
        <v>9096.2404482934289</v>
      </c>
      <c r="I99" s="192">
        <f t="shared" si="38"/>
        <v>9074.9057564951599</v>
      </c>
      <c r="J99" s="192">
        <f t="shared" si="38"/>
        <v>9182.0886398369839</v>
      </c>
      <c r="K99" s="192">
        <f t="shared" si="38"/>
        <v>7964.8497198166069</v>
      </c>
      <c r="L99" s="192">
        <f t="shared" si="38"/>
        <v>7683.7901171676003</v>
      </c>
      <c r="M99" s="192">
        <f t="shared" si="38"/>
        <v>8320.9373408048905</v>
      </c>
      <c r="N99" s="192">
        <f>SUM(B99:M99)</f>
        <v>103770.84055017828</v>
      </c>
    </row>
    <row r="100" spans="1:14">
      <c r="A100" s="247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</row>
    <row r="101" spans="1:14">
      <c r="A101" s="247" t="s">
        <v>25</v>
      </c>
      <c r="B101" s="192">
        <f>B89+B99+B94</f>
        <v>878273.5118084565</v>
      </c>
      <c r="C101" s="192">
        <f t="shared" ref="C101:M101" si="39">C89+C99+C94</f>
        <v>697378.09497707593</v>
      </c>
      <c r="D101" s="192">
        <f t="shared" si="39"/>
        <v>641560.13762608252</v>
      </c>
      <c r="E101" s="192">
        <f t="shared" si="39"/>
        <v>607056.86604177277</v>
      </c>
      <c r="F101" s="192">
        <f t="shared" si="39"/>
        <v>687226.6700152827</v>
      </c>
      <c r="G101" s="192">
        <f t="shared" si="39"/>
        <v>743980.41018848692</v>
      </c>
      <c r="H101" s="192">
        <f t="shared" si="39"/>
        <v>738041.66125318385</v>
      </c>
      <c r="I101" s="192">
        <f t="shared" si="39"/>
        <v>736310.62836474774</v>
      </c>
      <c r="J101" s="192">
        <f t="shared" si="39"/>
        <v>745007.12597045349</v>
      </c>
      <c r="K101" s="192">
        <f t="shared" si="39"/>
        <v>646244.01171676011</v>
      </c>
      <c r="L101" s="192">
        <f t="shared" si="39"/>
        <v>623439.67873662757</v>
      </c>
      <c r="M101" s="192">
        <f t="shared" si="39"/>
        <v>675135.89302088635</v>
      </c>
      <c r="N101" s="192">
        <f>SUM(B101:M101)</f>
        <v>8419654.6897198167</v>
      </c>
    </row>
    <row r="103" spans="1:14">
      <c r="B103" s="23" t="s">
        <v>0</v>
      </c>
      <c r="C103" s="23" t="s">
        <v>1</v>
      </c>
      <c r="D103" s="23" t="s">
        <v>2</v>
      </c>
      <c r="E103" s="23" t="s">
        <v>3</v>
      </c>
      <c r="F103" s="23" t="s">
        <v>4</v>
      </c>
      <c r="G103" s="23" t="s">
        <v>5</v>
      </c>
      <c r="H103" s="23" t="s">
        <v>6</v>
      </c>
      <c r="I103" s="23" t="s">
        <v>7</v>
      </c>
      <c r="J103" s="23" t="s">
        <v>8</v>
      </c>
      <c r="K103" s="23" t="s">
        <v>9</v>
      </c>
      <c r="L103" s="23" t="s">
        <v>10</v>
      </c>
      <c r="M103" s="23" t="s">
        <v>11</v>
      </c>
      <c r="N103" s="23" t="s">
        <v>12</v>
      </c>
    </row>
    <row r="104" spans="1:14">
      <c r="A104" s="248">
        <f>+A79+1</f>
        <v>2018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6.75" customHeight="1">
      <c r="A105" s="246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>
      <c r="A106" s="247" t="s">
        <v>37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>
      <c r="A107" s="249" t="s">
        <v>48</v>
      </c>
      <c r="B107" s="27">
        <v>0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0">
        <f>SUM(B107:M107)</f>
        <v>0</v>
      </c>
    </row>
    <row r="108" spans="1:14">
      <c r="A108" s="249" t="s">
        <v>49</v>
      </c>
      <c r="B108" s="34">
        <f t="shared" ref="B108:M108" si="40">B109-B107</f>
        <v>545059</v>
      </c>
      <c r="C108" s="34">
        <f t="shared" si="40"/>
        <v>434335</v>
      </c>
      <c r="D108" s="34">
        <f t="shared" si="40"/>
        <v>399322</v>
      </c>
      <c r="E108" s="34">
        <f t="shared" si="40"/>
        <v>378072</v>
      </c>
      <c r="F108" s="34">
        <f t="shared" si="40"/>
        <v>426788</v>
      </c>
      <c r="G108" s="34">
        <f t="shared" si="40"/>
        <v>458515</v>
      </c>
      <c r="H108" s="34">
        <f t="shared" si="40"/>
        <v>454939</v>
      </c>
      <c r="I108" s="34">
        <f t="shared" si="40"/>
        <v>453511</v>
      </c>
      <c r="J108" s="34">
        <f t="shared" si="40"/>
        <v>459480</v>
      </c>
      <c r="K108" s="34">
        <f t="shared" si="40"/>
        <v>399421</v>
      </c>
      <c r="L108" s="34">
        <f t="shared" si="40"/>
        <v>385009</v>
      </c>
      <c r="M108" s="34">
        <f t="shared" si="40"/>
        <v>416522</v>
      </c>
      <c r="N108" s="20">
        <f>SUM(B108:M108)</f>
        <v>5210973</v>
      </c>
    </row>
    <row r="109" spans="1:14">
      <c r="A109" s="249" t="s">
        <v>47</v>
      </c>
      <c r="B109" s="144">
        <f>SECI_Network_Forecast!B17*1000</f>
        <v>545059</v>
      </c>
      <c r="C109" s="144">
        <f>SECI_Network_Forecast!C17*1000</f>
        <v>434335</v>
      </c>
      <c r="D109" s="144">
        <f>SECI_Network_Forecast!D17*1000</f>
        <v>399322</v>
      </c>
      <c r="E109" s="144">
        <f>SECI_Network_Forecast!E17*1000</f>
        <v>378072</v>
      </c>
      <c r="F109" s="144">
        <f>SECI_Network_Forecast!F17*1000</f>
        <v>426788</v>
      </c>
      <c r="G109" s="144">
        <f>SECI_Network_Forecast!G17*1000</f>
        <v>458515</v>
      </c>
      <c r="H109" s="144">
        <f>SECI_Network_Forecast!H17*1000</f>
        <v>454939</v>
      </c>
      <c r="I109" s="144">
        <f>SECI_Network_Forecast!I17*1000</f>
        <v>453511</v>
      </c>
      <c r="J109" s="144">
        <f>SECI_Network_Forecast!J17*1000</f>
        <v>459480</v>
      </c>
      <c r="K109" s="144">
        <f>SECI_Network_Forecast!K17*1000</f>
        <v>399421</v>
      </c>
      <c r="L109" s="144">
        <f>SECI_Network_Forecast!L17*1000</f>
        <v>385009</v>
      </c>
      <c r="M109" s="144">
        <f>SECI_Network_Forecast!M17*1000</f>
        <v>416522</v>
      </c>
      <c r="N109" s="20">
        <f>SUM(B109:M109)</f>
        <v>5210973</v>
      </c>
    </row>
    <row r="110" spans="1:14">
      <c r="A110" s="249" t="s">
        <v>45</v>
      </c>
      <c r="B110" s="27">
        <f t="shared" ref="B110:M110" si="41">B111-B107-B108</f>
        <v>10273.654100866057</v>
      </c>
      <c r="C110" s="27">
        <f t="shared" si="41"/>
        <v>8186.6505348955397</v>
      </c>
      <c r="D110" s="35">
        <f t="shared" si="41"/>
        <v>7526.7009679062758</v>
      </c>
      <c r="E110" s="35">
        <f t="shared" si="41"/>
        <v>7126.1660723382374</v>
      </c>
      <c r="F110" s="35">
        <f t="shared" si="41"/>
        <v>8044.3993886907701</v>
      </c>
      <c r="G110" s="35">
        <f t="shared" si="41"/>
        <v>8642.4121242995025</v>
      </c>
      <c r="H110" s="35">
        <f t="shared" si="41"/>
        <v>8575.0091696382733</v>
      </c>
      <c r="I110" s="35">
        <f t="shared" si="41"/>
        <v>8548.0932246561279</v>
      </c>
      <c r="J110" s="35">
        <f t="shared" si="41"/>
        <v>8660.6011207335396</v>
      </c>
      <c r="K110" s="35">
        <f t="shared" si="41"/>
        <v>7528.5669893020531</v>
      </c>
      <c r="L110" s="35">
        <f t="shared" si="41"/>
        <v>7256.9195109526045</v>
      </c>
      <c r="M110" s="35">
        <f t="shared" si="41"/>
        <v>7850.8986245542183</v>
      </c>
      <c r="N110" s="20">
        <f>SUM(B110:M110)</f>
        <v>98220.071828833199</v>
      </c>
    </row>
    <row r="111" spans="1:14">
      <c r="A111" s="249" t="s">
        <v>50</v>
      </c>
      <c r="B111" s="27">
        <f>(B107/(1-0.0213)/(1-'Transmission Formula Rate (7)'!$B$27))+(B108/(1-'Transmission Formula Rate (7)'!$B$27))</f>
        <v>555332.65410086606</v>
      </c>
      <c r="C111" s="27">
        <f>(C107/(1-0.0213)/(1-'Transmission Formula Rate (7)'!$B$27))+(C108/(1-'Transmission Formula Rate (7)'!$B$27))</f>
        <v>442521.65053489554</v>
      </c>
      <c r="D111" s="27">
        <f>(D107/(1-0.0213)/(1-'Transmission Formula Rate (7)'!$B$27))+(D108/(1-'Transmission Formula Rate (7)'!$B$27))</f>
        <v>406848.70096790628</v>
      </c>
      <c r="E111" s="27">
        <f>(E107/(1-0.0213)/(1-'Transmission Formula Rate (7)'!$B$27))+(E108/(1-'Transmission Formula Rate (7)'!$B$27))</f>
        <v>385198.16607233824</v>
      </c>
      <c r="F111" s="27">
        <f>(F107/(1-0.0213)/(1-'Transmission Formula Rate (7)'!$B$27))+(F108/(1-'Transmission Formula Rate (7)'!$B$27))</f>
        <v>434832.39938869077</v>
      </c>
      <c r="G111" s="27">
        <f>(G107/(1-0.0213)/(1-'Transmission Formula Rate (7)'!$B$27))+(G108/(1-'Transmission Formula Rate (7)'!$B$27))</f>
        <v>467157.4121242995</v>
      </c>
      <c r="H111" s="27">
        <f>(H107/(1-0.0213)/(1-'Transmission Formula Rate (7)'!$B$27))+(H108/(1-'Transmission Formula Rate (7)'!$B$27))</f>
        <v>463514.00916963827</v>
      </c>
      <c r="I111" s="27">
        <f>(I107/(1-0.0213)/(1-'Transmission Formula Rate (7)'!$B$27))+(I108/(1-'Transmission Formula Rate (7)'!$B$27))</f>
        <v>462059.09322465613</v>
      </c>
      <c r="J111" s="27">
        <f>(J107/(1-0.0213)/(1-'Transmission Formula Rate (7)'!$B$27))+(J108/(1-'Transmission Formula Rate (7)'!$B$27))</f>
        <v>468140.60112073354</v>
      </c>
      <c r="K111" s="27">
        <f>(K107/(1-0.0213)/(1-'Transmission Formula Rate (7)'!$B$27))+(K108/(1-'Transmission Formula Rate (7)'!$B$27))</f>
        <v>406949.56698930205</v>
      </c>
      <c r="L111" s="27">
        <f>(L107/(1-0.0213)/(1-'Transmission Formula Rate (7)'!$B$27))+(L108/(1-'Transmission Formula Rate (7)'!$B$27))</f>
        <v>392265.9195109526</v>
      </c>
      <c r="M111" s="27">
        <f>(M107/(1-0.0213)/(1-'Transmission Formula Rate (7)'!$B$27))+(M108/(1-'Transmission Formula Rate (7)'!$B$27))</f>
        <v>424372.89862455422</v>
      </c>
      <c r="N111" s="20">
        <f>SUM(B111:M111)</f>
        <v>5309193.0718288328</v>
      </c>
    </row>
    <row r="112" spans="1:14">
      <c r="A112" s="247" t="s">
        <v>20</v>
      </c>
      <c r="B112" s="29">
        <f>'Transmission Formula Rate (7)'!B16</f>
        <v>1.59</v>
      </c>
      <c r="C112" s="29">
        <f>'Transmission Formula Rate (7)'!C16</f>
        <v>1.59</v>
      </c>
      <c r="D112" s="29">
        <f>'Transmission Formula Rate (7)'!D16</f>
        <v>1.59</v>
      </c>
      <c r="E112" s="29">
        <f>'Transmission Formula Rate (7)'!E16</f>
        <v>1.59</v>
      </c>
      <c r="F112" s="29">
        <f>'Transmission Formula Rate (7)'!F16</f>
        <v>1.59</v>
      </c>
      <c r="G112" s="29">
        <f>'Transmission Formula Rate (7)'!G16</f>
        <v>1.59</v>
      </c>
      <c r="H112" s="29">
        <f>'Transmission Formula Rate (7)'!H16</f>
        <v>1.59</v>
      </c>
      <c r="I112" s="29">
        <f>'Transmission Formula Rate (7)'!I16</f>
        <v>1.59</v>
      </c>
      <c r="J112" s="29">
        <f>'Transmission Formula Rate (7)'!J16</f>
        <v>1.59</v>
      </c>
      <c r="K112" s="29">
        <f>'Transmission Formula Rate (7)'!K16</f>
        <v>1.59</v>
      </c>
      <c r="L112" s="29">
        <f>'Transmission Formula Rate (7)'!L16</f>
        <v>1.59</v>
      </c>
      <c r="M112" s="29">
        <f>'Transmission Formula Rate (7)'!M16</f>
        <v>1.59</v>
      </c>
      <c r="N112" s="19"/>
    </row>
    <row r="113" spans="1:14">
      <c r="A113" s="247" t="s">
        <v>17</v>
      </c>
      <c r="B113" s="192">
        <f t="shared" ref="B113:M113" si="42">B111*B112</f>
        <v>882978.92002037703</v>
      </c>
      <c r="C113" s="192">
        <f t="shared" si="42"/>
        <v>703609.42435048393</v>
      </c>
      <c r="D113" s="192">
        <f t="shared" si="42"/>
        <v>646889.43453897105</v>
      </c>
      <c r="E113" s="192">
        <f t="shared" si="42"/>
        <v>612465.0840550178</v>
      </c>
      <c r="F113" s="192">
        <f t="shared" si="42"/>
        <v>691383.51502801839</v>
      </c>
      <c r="G113" s="192">
        <f t="shared" si="42"/>
        <v>742780.28527763626</v>
      </c>
      <c r="H113" s="192">
        <f t="shared" si="42"/>
        <v>736987.27457972488</v>
      </c>
      <c r="I113" s="192">
        <f t="shared" si="42"/>
        <v>734673.95822720323</v>
      </c>
      <c r="J113" s="192">
        <f t="shared" si="42"/>
        <v>744343.55578196631</v>
      </c>
      <c r="K113" s="192">
        <f t="shared" si="42"/>
        <v>647049.81151299027</v>
      </c>
      <c r="L113" s="192">
        <f t="shared" si="42"/>
        <v>623702.81202241464</v>
      </c>
      <c r="M113" s="192">
        <f t="shared" si="42"/>
        <v>674752.90881304129</v>
      </c>
      <c r="N113" s="192">
        <f>SUM(B113:M113)</f>
        <v>8441616.9842078462</v>
      </c>
    </row>
    <row r="114" spans="1:14">
      <c r="A114" s="24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>
      <c r="A115" s="247" t="s">
        <v>135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>
      <c r="A116" s="249" t="str">
        <f>A111</f>
        <v xml:space="preserve">       SECI Load</v>
      </c>
      <c r="B116" s="27">
        <f>B111</f>
        <v>555332.65410086606</v>
      </c>
      <c r="C116" s="27">
        <f t="shared" ref="C116:M116" si="43">C111</f>
        <v>442521.65053489554</v>
      </c>
      <c r="D116" s="27">
        <f t="shared" si="43"/>
        <v>406848.70096790628</v>
      </c>
      <c r="E116" s="27">
        <f t="shared" si="43"/>
        <v>385198.16607233824</v>
      </c>
      <c r="F116" s="27">
        <f t="shared" si="43"/>
        <v>434832.39938869077</v>
      </c>
      <c r="G116" s="27">
        <f t="shared" si="43"/>
        <v>467157.4121242995</v>
      </c>
      <c r="H116" s="27">
        <f t="shared" si="43"/>
        <v>463514.00916963827</v>
      </c>
      <c r="I116" s="27">
        <f t="shared" si="43"/>
        <v>462059.09322465613</v>
      </c>
      <c r="J116" s="27">
        <f t="shared" si="43"/>
        <v>468140.60112073354</v>
      </c>
      <c r="K116" s="27">
        <f t="shared" si="43"/>
        <v>406949.56698930205</v>
      </c>
      <c r="L116" s="27">
        <f t="shared" si="43"/>
        <v>392265.9195109526</v>
      </c>
      <c r="M116" s="27">
        <f t="shared" si="43"/>
        <v>424372.89862455422</v>
      </c>
      <c r="N116" s="20">
        <f>SUM(B116:M116)</f>
        <v>5309193.0718288328</v>
      </c>
    </row>
    <row r="117" spans="1:14">
      <c r="A117" s="247" t="s">
        <v>143</v>
      </c>
      <c r="B117" s="31">
        <f>'charges (1 &amp; 2)'!H29</f>
        <v>1.274E-2</v>
      </c>
      <c r="C117" s="31">
        <f>B117</f>
        <v>1.274E-2</v>
      </c>
      <c r="D117" s="31">
        <f t="shared" ref="D117:M117" si="44">C117</f>
        <v>1.274E-2</v>
      </c>
      <c r="E117" s="31">
        <f t="shared" si="44"/>
        <v>1.274E-2</v>
      </c>
      <c r="F117" s="31">
        <f t="shared" si="44"/>
        <v>1.274E-2</v>
      </c>
      <c r="G117" s="31">
        <f t="shared" si="44"/>
        <v>1.274E-2</v>
      </c>
      <c r="H117" s="31">
        <f t="shared" si="44"/>
        <v>1.274E-2</v>
      </c>
      <c r="I117" s="31">
        <f t="shared" si="44"/>
        <v>1.274E-2</v>
      </c>
      <c r="J117" s="31">
        <f t="shared" si="44"/>
        <v>1.274E-2</v>
      </c>
      <c r="K117" s="31">
        <f t="shared" si="44"/>
        <v>1.274E-2</v>
      </c>
      <c r="L117" s="31">
        <f t="shared" si="44"/>
        <v>1.274E-2</v>
      </c>
      <c r="M117" s="31">
        <f t="shared" si="44"/>
        <v>1.274E-2</v>
      </c>
      <c r="N117" s="19"/>
    </row>
    <row r="118" spans="1:14">
      <c r="A118" s="247" t="s">
        <v>17</v>
      </c>
      <c r="B118" s="192">
        <f t="shared" ref="B118:M118" si="45">B116*B117</f>
        <v>7074.9380132450333</v>
      </c>
      <c r="C118" s="192">
        <f t="shared" si="45"/>
        <v>5637.7258278145691</v>
      </c>
      <c r="D118" s="192">
        <f t="shared" si="45"/>
        <v>5183.2524503311261</v>
      </c>
      <c r="E118" s="192">
        <f t="shared" si="45"/>
        <v>4907.4246357615893</v>
      </c>
      <c r="F118" s="192">
        <f t="shared" si="45"/>
        <v>5539.7647682119205</v>
      </c>
      <c r="G118" s="192">
        <f t="shared" si="45"/>
        <v>5951.5854304635759</v>
      </c>
      <c r="H118" s="192">
        <f t="shared" si="45"/>
        <v>5905.1684768211917</v>
      </c>
      <c r="I118" s="192">
        <f t="shared" si="45"/>
        <v>5886.6328476821191</v>
      </c>
      <c r="J118" s="192">
        <f t="shared" si="45"/>
        <v>5964.1112582781452</v>
      </c>
      <c r="K118" s="192">
        <f t="shared" si="45"/>
        <v>5184.537483443708</v>
      </c>
      <c r="L118" s="192">
        <f t="shared" si="45"/>
        <v>4997.4678145695361</v>
      </c>
      <c r="M118" s="192">
        <f t="shared" si="45"/>
        <v>5406.510728476821</v>
      </c>
      <c r="N118" s="192">
        <f>SUM(B118:M118)</f>
        <v>67639.119735099332</v>
      </c>
    </row>
    <row r="119" spans="1:14" ht="6.75" customHeight="1">
      <c r="A119" s="250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>
      <c r="A120" s="247" t="s">
        <v>38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>
      <c r="A121" s="249" t="str">
        <f>A111</f>
        <v xml:space="preserve">       SECI Load</v>
      </c>
      <c r="B121" s="27">
        <f>B111</f>
        <v>555332.65410086606</v>
      </c>
      <c r="C121" s="27">
        <f t="shared" ref="C121:M121" si="46">C111</f>
        <v>442521.65053489554</v>
      </c>
      <c r="D121" s="27">
        <f t="shared" si="46"/>
        <v>406848.70096790628</v>
      </c>
      <c r="E121" s="27">
        <f t="shared" si="46"/>
        <v>385198.16607233824</v>
      </c>
      <c r="F121" s="27">
        <f t="shared" si="46"/>
        <v>434832.39938869077</v>
      </c>
      <c r="G121" s="27">
        <f t="shared" si="46"/>
        <v>467157.4121242995</v>
      </c>
      <c r="H121" s="27">
        <f t="shared" si="46"/>
        <v>463514.00916963827</v>
      </c>
      <c r="I121" s="27">
        <f t="shared" si="46"/>
        <v>462059.09322465613</v>
      </c>
      <c r="J121" s="27">
        <f t="shared" si="46"/>
        <v>468140.60112073354</v>
      </c>
      <c r="K121" s="27">
        <f t="shared" si="46"/>
        <v>406949.56698930205</v>
      </c>
      <c r="L121" s="27">
        <f t="shared" si="46"/>
        <v>392265.9195109526</v>
      </c>
      <c r="M121" s="27">
        <f t="shared" si="46"/>
        <v>424372.89862455422</v>
      </c>
      <c r="N121" s="20">
        <f>SUM(B121:M121)</f>
        <v>5309193.0718288328</v>
      </c>
    </row>
    <row r="122" spans="1:14">
      <c r="A122" s="247" t="s">
        <v>144</v>
      </c>
      <c r="B122" s="31">
        <f>'charges (1 &amp; 2)'!H28</f>
        <v>0.02</v>
      </c>
      <c r="C122" s="31">
        <f>B122</f>
        <v>0.02</v>
      </c>
      <c r="D122" s="31">
        <f t="shared" ref="D122:M122" si="47">C122</f>
        <v>0.02</v>
      </c>
      <c r="E122" s="31">
        <f t="shared" si="47"/>
        <v>0.02</v>
      </c>
      <c r="F122" s="31">
        <f t="shared" si="47"/>
        <v>0.02</v>
      </c>
      <c r="G122" s="31">
        <f t="shared" si="47"/>
        <v>0.02</v>
      </c>
      <c r="H122" s="31">
        <f t="shared" si="47"/>
        <v>0.02</v>
      </c>
      <c r="I122" s="31">
        <f t="shared" si="47"/>
        <v>0.02</v>
      </c>
      <c r="J122" s="31">
        <f t="shared" si="47"/>
        <v>0.02</v>
      </c>
      <c r="K122" s="31">
        <f t="shared" si="47"/>
        <v>0.02</v>
      </c>
      <c r="L122" s="31">
        <f t="shared" si="47"/>
        <v>0.02</v>
      </c>
      <c r="M122" s="31">
        <f t="shared" si="47"/>
        <v>0.02</v>
      </c>
      <c r="N122" s="19"/>
    </row>
    <row r="123" spans="1:14">
      <c r="A123" s="247" t="s">
        <v>17</v>
      </c>
      <c r="B123" s="192">
        <f t="shared" ref="B123:M123" si="48">B121*B122</f>
        <v>11106.653082017321</v>
      </c>
      <c r="C123" s="192">
        <f t="shared" si="48"/>
        <v>8850.4330106979105</v>
      </c>
      <c r="D123" s="192">
        <f t="shared" si="48"/>
        <v>8136.9740193581256</v>
      </c>
      <c r="E123" s="192">
        <f t="shared" si="48"/>
        <v>7703.9633214467649</v>
      </c>
      <c r="F123" s="192">
        <f t="shared" si="48"/>
        <v>8696.6479877738147</v>
      </c>
      <c r="G123" s="192">
        <f t="shared" si="48"/>
        <v>9343.1482424859896</v>
      </c>
      <c r="H123" s="192">
        <f t="shared" si="48"/>
        <v>9270.280183392766</v>
      </c>
      <c r="I123" s="192">
        <f t="shared" si="48"/>
        <v>9241.1818644931227</v>
      </c>
      <c r="J123" s="192">
        <f t="shared" si="48"/>
        <v>9362.8120224146714</v>
      </c>
      <c r="K123" s="192">
        <f t="shared" si="48"/>
        <v>8138.991339786041</v>
      </c>
      <c r="L123" s="192">
        <f t="shared" si="48"/>
        <v>7845.3183902190522</v>
      </c>
      <c r="M123" s="192">
        <f t="shared" si="48"/>
        <v>8487.4579724910836</v>
      </c>
      <c r="N123" s="192">
        <f>SUM(B123:M123)</f>
        <v>106183.86143657666</v>
      </c>
    </row>
    <row r="124" spans="1:14" ht="6" customHeight="1">
      <c r="A124" s="247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</row>
    <row r="125" spans="1:14">
      <c r="A125" s="247" t="s">
        <v>25</v>
      </c>
      <c r="B125" s="192">
        <f>B113+B123+B118</f>
        <v>901160.51111563935</v>
      </c>
      <c r="C125" s="192">
        <f t="shared" ref="C125:M125" si="49">C113+C123+C118</f>
        <v>718097.58318899642</v>
      </c>
      <c r="D125" s="192">
        <f t="shared" si="49"/>
        <v>660209.66100866033</v>
      </c>
      <c r="E125" s="192">
        <f t="shared" si="49"/>
        <v>625076.47201222612</v>
      </c>
      <c r="F125" s="192">
        <f t="shared" si="49"/>
        <v>705619.92778400402</v>
      </c>
      <c r="G125" s="192">
        <f t="shared" si="49"/>
        <v>758075.01895058574</v>
      </c>
      <c r="H125" s="192">
        <f t="shared" si="49"/>
        <v>752162.72323993884</v>
      </c>
      <c r="I125" s="192">
        <f t="shared" si="49"/>
        <v>749801.77293937851</v>
      </c>
      <c r="J125" s="192">
        <f t="shared" si="49"/>
        <v>759670.47906265908</v>
      </c>
      <c r="K125" s="192">
        <f t="shared" si="49"/>
        <v>660373.34033622011</v>
      </c>
      <c r="L125" s="192">
        <f t="shared" si="49"/>
        <v>636545.59822720313</v>
      </c>
      <c r="M125" s="192">
        <f t="shared" si="49"/>
        <v>688646.87751400913</v>
      </c>
      <c r="N125" s="192">
        <f>SUM(B125:M125)</f>
        <v>8615439.9653795194</v>
      </c>
    </row>
    <row r="128" spans="1:14">
      <c r="B128" s="23" t="s">
        <v>0</v>
      </c>
      <c r="C128" s="23" t="s">
        <v>1</v>
      </c>
      <c r="D128" s="23" t="s">
        <v>2</v>
      </c>
      <c r="E128" s="23" t="s">
        <v>3</v>
      </c>
      <c r="F128" s="23" t="s">
        <v>4</v>
      </c>
      <c r="G128" s="23" t="s">
        <v>5</v>
      </c>
      <c r="H128" s="23" t="s">
        <v>6</v>
      </c>
      <c r="I128" s="23" t="s">
        <v>7</v>
      </c>
      <c r="J128" s="23" t="s">
        <v>8</v>
      </c>
      <c r="K128" s="23" t="s">
        <v>9</v>
      </c>
      <c r="L128" s="23" t="s">
        <v>10</v>
      </c>
      <c r="M128" s="23" t="s">
        <v>11</v>
      </c>
      <c r="N128" s="23" t="s">
        <v>12</v>
      </c>
    </row>
    <row r="129" spans="1:14">
      <c r="A129" s="248">
        <f>+A104+1</f>
        <v>2019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>
      <c r="A130" s="246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1:14">
      <c r="A131" s="247" t="s">
        <v>37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>
      <c r="A132" s="249" t="s">
        <v>48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0">
        <f>SUM(B132:M132)</f>
        <v>0</v>
      </c>
    </row>
    <row r="133" spans="1:14">
      <c r="A133" s="249" t="s">
        <v>49</v>
      </c>
      <c r="B133" s="34">
        <f t="shared" ref="B133:M133" si="50">B134-B132</f>
        <v>550644</v>
      </c>
      <c r="C133" s="34">
        <f t="shared" si="50"/>
        <v>438917</v>
      </c>
      <c r="D133" s="34">
        <f t="shared" si="50"/>
        <v>403138</v>
      </c>
      <c r="E133" s="34">
        <f t="shared" si="50"/>
        <v>382060</v>
      </c>
      <c r="F133" s="34">
        <f t="shared" si="50"/>
        <v>431170</v>
      </c>
      <c r="G133" s="34">
        <f t="shared" si="50"/>
        <v>465687</v>
      </c>
      <c r="H133" s="34">
        <f t="shared" si="50"/>
        <v>462081</v>
      </c>
      <c r="I133" s="34">
        <f t="shared" si="50"/>
        <v>460591</v>
      </c>
      <c r="J133" s="34">
        <f t="shared" si="50"/>
        <v>467001</v>
      </c>
      <c r="K133" s="34">
        <f t="shared" si="50"/>
        <v>406071</v>
      </c>
      <c r="L133" s="34">
        <f t="shared" si="50"/>
        <v>391357</v>
      </c>
      <c r="M133" s="34">
        <f t="shared" si="50"/>
        <v>423458</v>
      </c>
      <c r="N133" s="20">
        <f>SUM(B133:M133)</f>
        <v>5282175</v>
      </c>
    </row>
    <row r="134" spans="1:14">
      <c r="A134" s="249" t="s">
        <v>47</v>
      </c>
      <c r="B134" s="144">
        <f>SECI_Network_Forecast!B18*1000</f>
        <v>550644</v>
      </c>
      <c r="C134" s="144">
        <f>SECI_Network_Forecast!C18*1000</f>
        <v>438917</v>
      </c>
      <c r="D134" s="144">
        <f>SECI_Network_Forecast!D18*1000</f>
        <v>403138</v>
      </c>
      <c r="E134" s="144">
        <f>SECI_Network_Forecast!E18*1000</f>
        <v>382060</v>
      </c>
      <c r="F134" s="144">
        <f>SECI_Network_Forecast!F18*1000</f>
        <v>431170</v>
      </c>
      <c r="G134" s="144">
        <f>SECI_Network_Forecast!G18*1000</f>
        <v>465687</v>
      </c>
      <c r="H134" s="144">
        <f>SECI_Network_Forecast!H18*1000</f>
        <v>462081</v>
      </c>
      <c r="I134" s="144">
        <f>SECI_Network_Forecast!I18*1000</f>
        <v>460591</v>
      </c>
      <c r="J134" s="144">
        <f>SECI_Network_Forecast!J18*1000</f>
        <v>467001</v>
      </c>
      <c r="K134" s="144">
        <f>SECI_Network_Forecast!K18*1000</f>
        <v>406071</v>
      </c>
      <c r="L134" s="144">
        <f>SECI_Network_Forecast!L18*1000</f>
        <v>391357</v>
      </c>
      <c r="M134" s="144">
        <f>SECI_Network_Forecast!M18*1000</f>
        <v>423458</v>
      </c>
      <c r="N134" s="20">
        <f>SUM(B134:M134)</f>
        <v>5282175</v>
      </c>
    </row>
    <row r="135" spans="1:14">
      <c r="A135" s="249" t="s">
        <v>45</v>
      </c>
      <c r="B135" s="27">
        <f t="shared" ref="B135:M135" si="51">B136-B132-B133</f>
        <v>10378.924095771741</v>
      </c>
      <c r="C135" s="27">
        <f t="shared" si="51"/>
        <v>8273.0152827305137</v>
      </c>
      <c r="D135" s="35">
        <f t="shared" si="51"/>
        <v>7598.6276107997983</v>
      </c>
      <c r="E135" s="35">
        <f t="shared" si="51"/>
        <v>7201.3346917982562</v>
      </c>
      <c r="F135" s="35">
        <f t="shared" si="51"/>
        <v>8126.9943963321275</v>
      </c>
      <c r="G135" s="35">
        <f t="shared" si="51"/>
        <v>8777.5950076413574</v>
      </c>
      <c r="H135" s="35">
        <f t="shared" si="51"/>
        <v>8709.6265919510624</v>
      </c>
      <c r="I135" s="35">
        <f t="shared" si="51"/>
        <v>8681.5420275088982</v>
      </c>
      <c r="J135" s="35">
        <f t="shared" si="51"/>
        <v>8802.3622007131926</v>
      </c>
      <c r="K135" s="35">
        <f t="shared" si="51"/>
        <v>7653.9108507386409</v>
      </c>
      <c r="L135" s="35">
        <f t="shared" si="51"/>
        <v>7376.5710646968801</v>
      </c>
      <c r="M135" s="35">
        <f t="shared" si="51"/>
        <v>7981.6332144676126</v>
      </c>
      <c r="N135" s="20">
        <f>SUM(B135:M135)</f>
        <v>99562.137035150081</v>
      </c>
    </row>
    <row r="136" spans="1:14">
      <c r="A136" s="249" t="s">
        <v>50</v>
      </c>
      <c r="B136" s="27">
        <f>(B132/(1-0.0213)/(1-'Transmission Formula Rate (7)'!$B$27))+(B133/(1-'Transmission Formula Rate (7)'!$B$27))</f>
        <v>561022.92409577174</v>
      </c>
      <c r="C136" s="27">
        <f>(C132/(1-0.0213)/(1-'Transmission Formula Rate (7)'!$B$27))+(C133/(1-'Transmission Formula Rate (7)'!$B$27))</f>
        <v>447190.01528273051</v>
      </c>
      <c r="D136" s="27">
        <f>(D132/(1-0.0213)/(1-'Transmission Formula Rate (7)'!$B$27))+(D133/(1-'Transmission Formula Rate (7)'!$B$27))</f>
        <v>410736.6276107998</v>
      </c>
      <c r="E136" s="27">
        <f>(E132/(1-0.0213)/(1-'Transmission Formula Rate (7)'!$B$27))+(E133/(1-'Transmission Formula Rate (7)'!$B$27))</f>
        <v>389261.33469179826</v>
      </c>
      <c r="F136" s="27">
        <f>(F132/(1-0.0213)/(1-'Transmission Formula Rate (7)'!$B$27))+(F133/(1-'Transmission Formula Rate (7)'!$B$27))</f>
        <v>439296.99439633213</v>
      </c>
      <c r="G136" s="27">
        <f>(G132/(1-0.0213)/(1-'Transmission Formula Rate (7)'!$B$27))+(G133/(1-'Transmission Formula Rate (7)'!$B$27))</f>
        <v>474464.59500764136</v>
      </c>
      <c r="H136" s="27">
        <f>(H132/(1-0.0213)/(1-'Transmission Formula Rate (7)'!$B$27))+(H133/(1-'Transmission Formula Rate (7)'!$B$27))</f>
        <v>470790.62659195106</v>
      </c>
      <c r="I136" s="27">
        <f>(I132/(1-0.0213)/(1-'Transmission Formula Rate (7)'!$B$27))+(I133/(1-'Transmission Formula Rate (7)'!$B$27))</f>
        <v>469272.5420275089</v>
      </c>
      <c r="J136" s="27">
        <f>(J132/(1-0.0213)/(1-'Transmission Formula Rate (7)'!$B$27))+(J133/(1-'Transmission Formula Rate (7)'!$B$27))</f>
        <v>475803.36220071319</v>
      </c>
      <c r="K136" s="27">
        <f>(K132/(1-0.0213)/(1-'Transmission Formula Rate (7)'!$B$27))+(K133/(1-'Transmission Formula Rate (7)'!$B$27))</f>
        <v>413724.91085073864</v>
      </c>
      <c r="L136" s="27">
        <f>(L132/(1-0.0213)/(1-'Transmission Formula Rate (7)'!$B$27))+(L133/(1-'Transmission Formula Rate (7)'!$B$27))</f>
        <v>398733.57106469688</v>
      </c>
      <c r="M136" s="27">
        <f>(M132/(1-0.0213)/(1-'Transmission Formula Rate (7)'!$B$27))+(M133/(1-'Transmission Formula Rate (7)'!$B$27))</f>
        <v>431439.63321446761</v>
      </c>
      <c r="N136" s="20">
        <f>SUM(B136:M136)</f>
        <v>5381737.1370351501</v>
      </c>
    </row>
    <row r="137" spans="1:14">
      <c r="A137" s="247" t="s">
        <v>20</v>
      </c>
      <c r="B137" s="29">
        <f>'Transmission Formula Rate (7)'!B20</f>
        <v>1.59</v>
      </c>
      <c r="C137" s="29">
        <f>'Transmission Formula Rate (7)'!C20</f>
        <v>1.59</v>
      </c>
      <c r="D137" s="29">
        <f>'Transmission Formula Rate (7)'!D20</f>
        <v>1.59</v>
      </c>
      <c r="E137" s="29">
        <f>'Transmission Formula Rate (7)'!E20</f>
        <v>1.59</v>
      </c>
      <c r="F137" s="29">
        <f>'Transmission Formula Rate (7)'!F20</f>
        <v>1.59</v>
      </c>
      <c r="G137" s="29">
        <f>'Transmission Formula Rate (7)'!G20</f>
        <v>1.59</v>
      </c>
      <c r="H137" s="29">
        <f>'Transmission Formula Rate (7)'!H20</f>
        <v>1.59</v>
      </c>
      <c r="I137" s="29">
        <f>'Transmission Formula Rate (7)'!I20</f>
        <v>1.59</v>
      </c>
      <c r="J137" s="29">
        <f>'Transmission Formula Rate (7)'!J20</f>
        <v>1.59</v>
      </c>
      <c r="K137" s="29">
        <f>'Transmission Formula Rate (7)'!K20</f>
        <v>1.59</v>
      </c>
      <c r="L137" s="29">
        <f>'Transmission Formula Rate (7)'!L20</f>
        <v>1.59</v>
      </c>
      <c r="M137" s="29">
        <f>'Transmission Formula Rate (7)'!M20</f>
        <v>1.59</v>
      </c>
      <c r="N137" s="19"/>
    </row>
    <row r="138" spans="1:14">
      <c r="A138" s="247" t="s">
        <v>17</v>
      </c>
      <c r="B138" s="192">
        <f>B136*B137</f>
        <v>892026.44931227714</v>
      </c>
      <c r="C138" s="192">
        <f t="shared" ref="C138:M138" si="52">C136*C137</f>
        <v>711032.12429954158</v>
      </c>
      <c r="D138" s="192">
        <f t="shared" si="52"/>
        <v>653071.23790117167</v>
      </c>
      <c r="E138" s="192">
        <f t="shared" si="52"/>
        <v>618925.52215995931</v>
      </c>
      <c r="F138" s="192">
        <f t="shared" si="52"/>
        <v>698482.22109016811</v>
      </c>
      <c r="G138" s="192">
        <f t="shared" si="52"/>
        <v>754398.70606214984</v>
      </c>
      <c r="H138" s="192">
        <f t="shared" si="52"/>
        <v>748557.09628120228</v>
      </c>
      <c r="I138" s="192">
        <f t="shared" si="52"/>
        <v>746143.34182373923</v>
      </c>
      <c r="J138" s="192">
        <f t="shared" si="52"/>
        <v>756527.34589913406</v>
      </c>
      <c r="K138" s="192">
        <f t="shared" si="52"/>
        <v>657822.60825267446</v>
      </c>
      <c r="L138" s="192">
        <f t="shared" si="52"/>
        <v>633986.37799286807</v>
      </c>
      <c r="M138" s="192">
        <f t="shared" si="52"/>
        <v>685989.01681100356</v>
      </c>
      <c r="N138" s="192">
        <f>SUM(B138:M138)</f>
        <v>8556962.0478858892</v>
      </c>
    </row>
    <row r="139" spans="1:14">
      <c r="A139" s="24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>
      <c r="A140" s="247" t="s">
        <v>135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>
      <c r="A141" s="249" t="str">
        <f>A136</f>
        <v xml:space="preserve">       SECI Load</v>
      </c>
      <c r="B141" s="27">
        <f>B136</f>
        <v>561022.92409577174</v>
      </c>
      <c r="C141" s="27">
        <f t="shared" ref="C141:M141" si="53">C136</f>
        <v>447190.01528273051</v>
      </c>
      <c r="D141" s="27">
        <f t="shared" si="53"/>
        <v>410736.6276107998</v>
      </c>
      <c r="E141" s="27">
        <f t="shared" si="53"/>
        <v>389261.33469179826</v>
      </c>
      <c r="F141" s="27">
        <f t="shared" si="53"/>
        <v>439296.99439633213</v>
      </c>
      <c r="G141" s="27">
        <f t="shared" si="53"/>
        <v>474464.59500764136</v>
      </c>
      <c r="H141" s="27">
        <f t="shared" si="53"/>
        <v>470790.62659195106</v>
      </c>
      <c r="I141" s="27">
        <f t="shared" si="53"/>
        <v>469272.5420275089</v>
      </c>
      <c r="J141" s="27">
        <f t="shared" si="53"/>
        <v>475803.36220071319</v>
      </c>
      <c r="K141" s="27">
        <f t="shared" si="53"/>
        <v>413724.91085073864</v>
      </c>
      <c r="L141" s="27">
        <f t="shared" si="53"/>
        <v>398733.57106469688</v>
      </c>
      <c r="M141" s="27">
        <f t="shared" si="53"/>
        <v>431439.63321446761</v>
      </c>
      <c r="N141" s="20">
        <f>SUM(B141:M141)</f>
        <v>5381737.1370351501</v>
      </c>
    </row>
    <row r="142" spans="1:14">
      <c r="A142" s="247" t="s">
        <v>143</v>
      </c>
      <c r="B142" s="31">
        <f>'charges (1 &amp; 2)'!H29</f>
        <v>1.274E-2</v>
      </c>
      <c r="C142" s="31">
        <f>B142</f>
        <v>1.274E-2</v>
      </c>
      <c r="D142" s="31">
        <f t="shared" ref="D142" si="54">C142</f>
        <v>1.274E-2</v>
      </c>
      <c r="E142" s="31">
        <f t="shared" ref="E142" si="55">D142</f>
        <v>1.274E-2</v>
      </c>
      <c r="F142" s="31">
        <f t="shared" ref="F142" si="56">E142</f>
        <v>1.274E-2</v>
      </c>
      <c r="G142" s="31">
        <f t="shared" ref="G142" si="57">F142</f>
        <v>1.274E-2</v>
      </c>
      <c r="H142" s="31">
        <f t="shared" ref="H142" si="58">G142</f>
        <v>1.274E-2</v>
      </c>
      <c r="I142" s="31">
        <f t="shared" ref="I142" si="59">H142</f>
        <v>1.274E-2</v>
      </c>
      <c r="J142" s="31">
        <f t="shared" ref="J142" si="60">I142</f>
        <v>1.274E-2</v>
      </c>
      <c r="K142" s="31">
        <f t="shared" ref="K142" si="61">J142</f>
        <v>1.274E-2</v>
      </c>
      <c r="L142" s="31">
        <f t="shared" ref="L142" si="62">K142</f>
        <v>1.274E-2</v>
      </c>
      <c r="M142" s="31">
        <f t="shared" ref="M142" si="63">L142</f>
        <v>1.274E-2</v>
      </c>
      <c r="N142" s="19"/>
    </row>
    <row r="143" spans="1:14">
      <c r="A143" s="247" t="s">
        <v>17</v>
      </c>
      <c r="B143" s="192">
        <f>B141*B142</f>
        <v>7147.4320529801316</v>
      </c>
      <c r="C143" s="192">
        <f t="shared" ref="C143:M143" si="64">C141*C142</f>
        <v>5697.2007947019865</v>
      </c>
      <c r="D143" s="192">
        <f t="shared" si="64"/>
        <v>5232.784635761589</v>
      </c>
      <c r="E143" s="192">
        <f t="shared" si="64"/>
        <v>4959.1894039735098</v>
      </c>
      <c r="F143" s="192">
        <f t="shared" si="64"/>
        <v>5596.643708609271</v>
      </c>
      <c r="G143" s="192">
        <f t="shared" si="64"/>
        <v>6044.6789403973507</v>
      </c>
      <c r="H143" s="192">
        <f t="shared" si="64"/>
        <v>5997.872582781456</v>
      </c>
      <c r="I143" s="192">
        <f t="shared" si="64"/>
        <v>5978.532185430463</v>
      </c>
      <c r="J143" s="192">
        <f t="shared" si="64"/>
        <v>6061.7348344370857</v>
      </c>
      <c r="K143" s="192">
        <f t="shared" si="64"/>
        <v>5270.8553642384104</v>
      </c>
      <c r="L143" s="192">
        <f t="shared" si="64"/>
        <v>5079.8656953642385</v>
      </c>
      <c r="M143" s="192">
        <f t="shared" si="64"/>
        <v>5496.5409271523176</v>
      </c>
      <c r="N143" s="192">
        <f>SUM(B143:M143)</f>
        <v>68563.331125827812</v>
      </c>
    </row>
    <row r="144" spans="1:14">
      <c r="A144" s="250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>
      <c r="A145" s="247" t="s">
        <v>38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>
      <c r="A146" s="249" t="str">
        <f>A136</f>
        <v xml:space="preserve">       SECI Load</v>
      </c>
      <c r="B146" s="27">
        <f>B136</f>
        <v>561022.92409577174</v>
      </c>
      <c r="C146" s="27">
        <f t="shared" ref="C146:M146" si="65">C136</f>
        <v>447190.01528273051</v>
      </c>
      <c r="D146" s="27">
        <f t="shared" si="65"/>
        <v>410736.6276107998</v>
      </c>
      <c r="E146" s="27">
        <f t="shared" si="65"/>
        <v>389261.33469179826</v>
      </c>
      <c r="F146" s="27">
        <f t="shared" si="65"/>
        <v>439296.99439633213</v>
      </c>
      <c r="G146" s="27">
        <f t="shared" si="65"/>
        <v>474464.59500764136</v>
      </c>
      <c r="H146" s="27">
        <f t="shared" si="65"/>
        <v>470790.62659195106</v>
      </c>
      <c r="I146" s="27">
        <f t="shared" si="65"/>
        <v>469272.5420275089</v>
      </c>
      <c r="J146" s="27">
        <f t="shared" si="65"/>
        <v>475803.36220071319</v>
      </c>
      <c r="K146" s="27">
        <f t="shared" si="65"/>
        <v>413724.91085073864</v>
      </c>
      <c r="L146" s="27">
        <f t="shared" si="65"/>
        <v>398733.57106469688</v>
      </c>
      <c r="M146" s="27">
        <f t="shared" si="65"/>
        <v>431439.63321446761</v>
      </c>
      <c r="N146" s="20">
        <f>SUM(B146:M146)</f>
        <v>5381737.1370351501</v>
      </c>
    </row>
    <row r="147" spans="1:14">
      <c r="A147" s="247" t="s">
        <v>144</v>
      </c>
      <c r="B147" s="31">
        <f>'charges (1 &amp; 2)'!H28</f>
        <v>0.02</v>
      </c>
      <c r="C147" s="31">
        <f>B147</f>
        <v>0.02</v>
      </c>
      <c r="D147" s="31">
        <f t="shared" ref="D147" si="66">C147</f>
        <v>0.02</v>
      </c>
      <c r="E147" s="31">
        <f t="shared" ref="E147" si="67">D147</f>
        <v>0.02</v>
      </c>
      <c r="F147" s="31">
        <f t="shared" ref="F147" si="68">E147</f>
        <v>0.02</v>
      </c>
      <c r="G147" s="31">
        <f t="shared" ref="G147" si="69">F147</f>
        <v>0.02</v>
      </c>
      <c r="H147" s="31">
        <f t="shared" ref="H147" si="70">G147</f>
        <v>0.02</v>
      </c>
      <c r="I147" s="31">
        <f t="shared" ref="I147" si="71">H147</f>
        <v>0.02</v>
      </c>
      <c r="J147" s="31">
        <f t="shared" ref="J147" si="72">I147</f>
        <v>0.02</v>
      </c>
      <c r="K147" s="31">
        <f t="shared" ref="K147" si="73">J147</f>
        <v>0.02</v>
      </c>
      <c r="L147" s="31">
        <f t="shared" ref="L147" si="74">K147</f>
        <v>0.02</v>
      </c>
      <c r="M147" s="31">
        <f t="shared" ref="M147" si="75">L147</f>
        <v>0.02</v>
      </c>
      <c r="N147" s="19"/>
    </row>
    <row r="148" spans="1:14">
      <c r="A148" s="247" t="s">
        <v>17</v>
      </c>
      <c r="B148" s="192">
        <f t="shared" ref="B148:M148" si="76">B146*B147</f>
        <v>11220.458481915435</v>
      </c>
      <c r="C148" s="192">
        <f t="shared" si="76"/>
        <v>8943.8003056546113</v>
      </c>
      <c r="D148" s="192">
        <f t="shared" si="76"/>
        <v>8214.7325522159954</v>
      </c>
      <c r="E148" s="192">
        <f t="shared" si="76"/>
        <v>7785.2266938359653</v>
      </c>
      <c r="F148" s="192">
        <f t="shared" si="76"/>
        <v>8785.9398879266428</v>
      </c>
      <c r="G148" s="192">
        <f t="shared" si="76"/>
        <v>9489.291900152828</v>
      </c>
      <c r="H148" s="192">
        <f t="shared" si="76"/>
        <v>9415.8125318390212</v>
      </c>
      <c r="I148" s="192">
        <f t="shared" si="76"/>
        <v>9385.4508405501783</v>
      </c>
      <c r="J148" s="192">
        <f t="shared" si="76"/>
        <v>9516.0672440142644</v>
      </c>
      <c r="K148" s="192">
        <f t="shared" si="76"/>
        <v>8274.4982170147723</v>
      </c>
      <c r="L148" s="192">
        <f t="shared" si="76"/>
        <v>7974.6714212939378</v>
      </c>
      <c r="M148" s="192">
        <f t="shared" si="76"/>
        <v>8628.7926642893526</v>
      </c>
      <c r="N148" s="192">
        <f>SUM(B148:M148)</f>
        <v>107634.74274070302</v>
      </c>
    </row>
    <row r="149" spans="1:14">
      <c r="A149" s="247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</row>
    <row r="150" spans="1:14">
      <c r="A150" s="247" t="s">
        <v>25</v>
      </c>
      <c r="B150" s="192">
        <f>B138+B148+B143</f>
        <v>910394.33984717273</v>
      </c>
      <c r="C150" s="192">
        <f t="shared" ref="C150:M150" si="77">C138+C148+C143</f>
        <v>725673.12539989816</v>
      </c>
      <c r="D150" s="192">
        <f t="shared" si="77"/>
        <v>666518.75508914934</v>
      </c>
      <c r="E150" s="192">
        <f t="shared" si="77"/>
        <v>631669.93825776875</v>
      </c>
      <c r="F150" s="192">
        <f t="shared" si="77"/>
        <v>712864.80468670407</v>
      </c>
      <c r="G150" s="192">
        <f t="shared" si="77"/>
        <v>769932.67690269998</v>
      </c>
      <c r="H150" s="192">
        <f t="shared" si="77"/>
        <v>763970.78139582276</v>
      </c>
      <c r="I150" s="192">
        <f t="shared" si="77"/>
        <v>761507.32484971976</v>
      </c>
      <c r="J150" s="192">
        <f t="shared" si="77"/>
        <v>772105.14797758544</v>
      </c>
      <c r="K150" s="192">
        <f t="shared" si="77"/>
        <v>671367.96183392766</v>
      </c>
      <c r="L150" s="192">
        <f t="shared" si="77"/>
        <v>647040.91510952625</v>
      </c>
      <c r="M150" s="192">
        <f t="shared" si="77"/>
        <v>700114.35040244518</v>
      </c>
      <c r="N150" s="192">
        <f>SUM(B150:M150)</f>
        <v>8733160.1217524204</v>
      </c>
    </row>
    <row r="153" spans="1:14">
      <c r="B153" s="23" t="s">
        <v>0</v>
      </c>
      <c r="C153" s="23" t="s">
        <v>1</v>
      </c>
      <c r="D153" s="23" t="s">
        <v>2</v>
      </c>
      <c r="E153" s="23" t="s">
        <v>3</v>
      </c>
      <c r="F153" s="23" t="s">
        <v>4</v>
      </c>
      <c r="G153" s="23" t="s">
        <v>5</v>
      </c>
      <c r="H153" s="23" t="s">
        <v>6</v>
      </c>
      <c r="I153" s="23" t="s">
        <v>7</v>
      </c>
      <c r="J153" s="23" t="s">
        <v>8</v>
      </c>
      <c r="K153" s="23" t="s">
        <v>9</v>
      </c>
      <c r="L153" s="23" t="s">
        <v>10</v>
      </c>
      <c r="M153" s="23" t="s">
        <v>11</v>
      </c>
      <c r="N153" s="23" t="s">
        <v>12</v>
      </c>
    </row>
    <row r="154" spans="1:14">
      <c r="A154" s="248">
        <f>+A129+1</f>
        <v>2020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>
      <c r="A155" s="246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>
      <c r="A156" s="247" t="s">
        <v>37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4">
      <c r="A157" s="249" t="s">
        <v>48</v>
      </c>
      <c r="B157" s="27">
        <v>0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0">
        <f>SUM(B157:M157)</f>
        <v>0</v>
      </c>
    </row>
    <row r="158" spans="1:14">
      <c r="A158" s="249" t="s">
        <v>49</v>
      </c>
      <c r="B158" s="34">
        <f t="shared" ref="B158:M158" si="78">B159-B157</f>
        <v>559340</v>
      </c>
      <c r="C158" s="34">
        <f t="shared" si="78"/>
        <v>460654</v>
      </c>
      <c r="D158" s="34">
        <f t="shared" si="78"/>
        <v>409494</v>
      </c>
      <c r="E158" s="34">
        <f t="shared" si="78"/>
        <v>388301</v>
      </c>
      <c r="F158" s="34">
        <f t="shared" si="78"/>
        <v>437996</v>
      </c>
      <c r="G158" s="34">
        <f t="shared" si="78"/>
        <v>472662</v>
      </c>
      <c r="H158" s="34">
        <f t="shared" si="78"/>
        <v>468941</v>
      </c>
      <c r="I158" s="34">
        <f t="shared" si="78"/>
        <v>467395</v>
      </c>
      <c r="J158" s="34">
        <f t="shared" si="78"/>
        <v>474218</v>
      </c>
      <c r="K158" s="34">
        <f t="shared" si="78"/>
        <v>412527</v>
      </c>
      <c r="L158" s="34">
        <f t="shared" si="78"/>
        <v>397489</v>
      </c>
      <c r="M158" s="34">
        <f t="shared" si="78"/>
        <v>430098</v>
      </c>
      <c r="N158" s="20">
        <f>SUM(B158:M158)</f>
        <v>5379115</v>
      </c>
    </row>
    <row r="159" spans="1:14">
      <c r="A159" s="249" t="s">
        <v>47</v>
      </c>
      <c r="B159" s="144">
        <f>SECI_Network_Forecast!B19*1000</f>
        <v>559340</v>
      </c>
      <c r="C159" s="144">
        <f>SECI_Network_Forecast!C19*1000</f>
        <v>460654</v>
      </c>
      <c r="D159" s="144">
        <f>SECI_Network_Forecast!D19*1000</f>
        <v>409494</v>
      </c>
      <c r="E159" s="144">
        <f>SECI_Network_Forecast!E19*1000</f>
        <v>388301</v>
      </c>
      <c r="F159" s="144">
        <f>SECI_Network_Forecast!F19*1000</f>
        <v>437996</v>
      </c>
      <c r="G159" s="144">
        <f>SECI_Network_Forecast!G19*1000</f>
        <v>472662</v>
      </c>
      <c r="H159" s="144">
        <f>SECI_Network_Forecast!H19*1000</f>
        <v>468941</v>
      </c>
      <c r="I159" s="144">
        <f>SECI_Network_Forecast!I19*1000</f>
        <v>467395</v>
      </c>
      <c r="J159" s="144">
        <f>SECI_Network_Forecast!J19*1000</f>
        <v>474218</v>
      </c>
      <c r="K159" s="144">
        <f>SECI_Network_Forecast!K19*1000</f>
        <v>412527</v>
      </c>
      <c r="L159" s="144">
        <f>SECI_Network_Forecast!L19*1000</f>
        <v>397489</v>
      </c>
      <c r="M159" s="144">
        <f>SECI_Network_Forecast!M19*1000</f>
        <v>430098</v>
      </c>
      <c r="N159" s="20">
        <f>SUM(B159:M159)</f>
        <v>5379115</v>
      </c>
    </row>
    <row r="160" spans="1:14">
      <c r="A160" s="249" t="s">
        <v>45</v>
      </c>
      <c r="B160" s="27">
        <f t="shared" ref="B160:M160" si="79">B161-B157-B158</f>
        <v>10542.832399388659</v>
      </c>
      <c r="C160" s="27">
        <f t="shared" si="79"/>
        <v>8682.7294956698897</v>
      </c>
      <c r="D160" s="35">
        <f t="shared" si="79"/>
        <v>7718.4299541517976</v>
      </c>
      <c r="E160" s="35">
        <f t="shared" si="79"/>
        <v>7318.9694345389726</v>
      </c>
      <c r="F160" s="35">
        <f t="shared" si="79"/>
        <v>8255.6556291390443</v>
      </c>
      <c r="G160" s="35">
        <f t="shared" si="79"/>
        <v>8909.0646968925139</v>
      </c>
      <c r="H160" s="35">
        <f t="shared" si="79"/>
        <v>8838.928680590936</v>
      </c>
      <c r="I160" s="35">
        <f t="shared" si="79"/>
        <v>8809.7885888945311</v>
      </c>
      <c r="J160" s="35">
        <f t="shared" si="79"/>
        <v>8938.3932755985297</v>
      </c>
      <c r="K160" s="35">
        <f t="shared" si="79"/>
        <v>7775.5980641874485</v>
      </c>
      <c r="L160" s="35">
        <f t="shared" si="79"/>
        <v>7492.1512990320916</v>
      </c>
      <c r="M160" s="35">
        <f t="shared" si="79"/>
        <v>8106.7885888945311</v>
      </c>
      <c r="N160" s="20">
        <f>SUM(B160:M160)</f>
        <v>101389.33010697894</v>
      </c>
    </row>
    <row r="161" spans="1:14">
      <c r="A161" s="249" t="s">
        <v>50</v>
      </c>
      <c r="B161" s="27">
        <f>(B157/(1-0.0213)/(1-'Transmission Formula Rate (7)'!$B$27))+(B158/(1-'Transmission Formula Rate (7)'!$B$27))</f>
        <v>569882.83239938866</v>
      </c>
      <c r="C161" s="27">
        <f>(C157/(1-0.0213)/(1-'Transmission Formula Rate (7)'!$B$27))+(C158/(1-'Transmission Formula Rate (7)'!$B$27))</f>
        <v>469336.72949566989</v>
      </c>
      <c r="D161" s="27">
        <f>(D157/(1-0.0213)/(1-'Transmission Formula Rate (7)'!$B$27))+(D158/(1-'Transmission Formula Rate (7)'!$B$27))</f>
        <v>417212.4299541518</v>
      </c>
      <c r="E161" s="27">
        <f>(E157/(1-0.0213)/(1-'Transmission Formula Rate (7)'!$B$27))+(E158/(1-'Transmission Formula Rate (7)'!$B$27))</f>
        <v>395619.96943453897</v>
      </c>
      <c r="F161" s="27">
        <f>(F157/(1-0.0213)/(1-'Transmission Formula Rate (7)'!$B$27))+(F158/(1-'Transmission Formula Rate (7)'!$B$27))</f>
        <v>446251.65562913904</v>
      </c>
      <c r="G161" s="27">
        <f>(G157/(1-0.0213)/(1-'Transmission Formula Rate (7)'!$B$27))+(G158/(1-'Transmission Formula Rate (7)'!$B$27))</f>
        <v>481571.06469689251</v>
      </c>
      <c r="H161" s="27">
        <f>(H157/(1-0.0213)/(1-'Transmission Formula Rate (7)'!$B$27))+(H158/(1-'Transmission Formula Rate (7)'!$B$27))</f>
        <v>477779.92868059094</v>
      </c>
      <c r="I161" s="27">
        <f>(I157/(1-0.0213)/(1-'Transmission Formula Rate (7)'!$B$27))+(I158/(1-'Transmission Formula Rate (7)'!$B$27))</f>
        <v>476204.78858889453</v>
      </c>
      <c r="J161" s="27">
        <f>(J157/(1-0.0213)/(1-'Transmission Formula Rate (7)'!$B$27))+(J158/(1-'Transmission Formula Rate (7)'!$B$27))</f>
        <v>483156.39327559853</v>
      </c>
      <c r="K161" s="27">
        <f>(K157/(1-0.0213)/(1-'Transmission Formula Rate (7)'!$B$27))+(K158/(1-'Transmission Formula Rate (7)'!$B$27))</f>
        <v>420302.59806418745</v>
      </c>
      <c r="L161" s="27">
        <f>(L157/(1-0.0213)/(1-'Transmission Formula Rate (7)'!$B$27))+(L158/(1-'Transmission Formula Rate (7)'!$B$27))</f>
        <v>404981.15129903209</v>
      </c>
      <c r="M161" s="27">
        <f>(M157/(1-0.0213)/(1-'Transmission Formula Rate (7)'!$B$27))+(M158/(1-'Transmission Formula Rate (7)'!$B$27))</f>
        <v>438204.78858889453</v>
      </c>
      <c r="N161" s="20">
        <f>SUM(B161:M161)</f>
        <v>5480504.3301069802</v>
      </c>
    </row>
    <row r="162" spans="1:14">
      <c r="A162" s="247" t="s">
        <v>20</v>
      </c>
      <c r="B162" s="29">
        <f>B137</f>
        <v>1.59</v>
      </c>
      <c r="C162" s="29">
        <f t="shared" ref="C162:M162" si="80">C137</f>
        <v>1.59</v>
      </c>
      <c r="D162" s="29">
        <f t="shared" si="80"/>
        <v>1.59</v>
      </c>
      <c r="E162" s="29">
        <f t="shared" si="80"/>
        <v>1.59</v>
      </c>
      <c r="F162" s="29">
        <f t="shared" si="80"/>
        <v>1.59</v>
      </c>
      <c r="G162" s="29">
        <f t="shared" si="80"/>
        <v>1.59</v>
      </c>
      <c r="H162" s="29">
        <f t="shared" si="80"/>
        <v>1.59</v>
      </c>
      <c r="I162" s="29">
        <f t="shared" si="80"/>
        <v>1.59</v>
      </c>
      <c r="J162" s="29">
        <f t="shared" si="80"/>
        <v>1.59</v>
      </c>
      <c r="K162" s="29">
        <f t="shared" si="80"/>
        <v>1.59</v>
      </c>
      <c r="L162" s="29">
        <f t="shared" si="80"/>
        <v>1.59</v>
      </c>
      <c r="M162" s="29">
        <f t="shared" si="80"/>
        <v>1.59</v>
      </c>
      <c r="N162" s="19"/>
    </row>
    <row r="163" spans="1:14">
      <c r="A163" s="247" t="s">
        <v>17</v>
      </c>
      <c r="B163" s="192">
        <f>B161*B162</f>
        <v>906113.703515028</v>
      </c>
      <c r="C163" s="192">
        <f t="shared" ref="C163:M163" si="81">C161*C162</f>
        <v>746245.3998981152</v>
      </c>
      <c r="D163" s="192">
        <f t="shared" si="81"/>
        <v>663367.76362710143</v>
      </c>
      <c r="E163" s="192">
        <f t="shared" si="81"/>
        <v>629035.75140091695</v>
      </c>
      <c r="F163" s="192">
        <f t="shared" si="81"/>
        <v>709540.13245033112</v>
      </c>
      <c r="G163" s="192">
        <f t="shared" si="81"/>
        <v>765697.99286805908</v>
      </c>
      <c r="H163" s="192">
        <f t="shared" si="81"/>
        <v>759670.08660213964</v>
      </c>
      <c r="I163" s="192">
        <f t="shared" si="81"/>
        <v>757165.61385634239</v>
      </c>
      <c r="J163" s="192">
        <f t="shared" si="81"/>
        <v>768218.66530820169</v>
      </c>
      <c r="K163" s="192">
        <f t="shared" si="81"/>
        <v>668281.13092205813</v>
      </c>
      <c r="L163" s="192">
        <f t="shared" si="81"/>
        <v>643920.03056546103</v>
      </c>
      <c r="M163" s="192">
        <f t="shared" si="81"/>
        <v>696745.61385634239</v>
      </c>
      <c r="N163" s="192">
        <f>SUM(B163:M163)</f>
        <v>8714001.884870097</v>
      </c>
    </row>
    <row r="164" spans="1:14">
      <c r="A164" s="24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>
      <c r="A165" s="247" t="s">
        <v>135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>
      <c r="A166" s="249" t="str">
        <f>A161</f>
        <v xml:space="preserve">       SECI Load</v>
      </c>
      <c r="B166" s="27">
        <f>B161</f>
        <v>569882.83239938866</v>
      </c>
      <c r="C166" s="27">
        <f t="shared" ref="C166:M166" si="82">C161</f>
        <v>469336.72949566989</v>
      </c>
      <c r="D166" s="27">
        <f t="shared" si="82"/>
        <v>417212.4299541518</v>
      </c>
      <c r="E166" s="27">
        <f t="shared" si="82"/>
        <v>395619.96943453897</v>
      </c>
      <c r="F166" s="27">
        <f t="shared" si="82"/>
        <v>446251.65562913904</v>
      </c>
      <c r="G166" s="27">
        <f t="shared" si="82"/>
        <v>481571.06469689251</v>
      </c>
      <c r="H166" s="27">
        <f t="shared" si="82"/>
        <v>477779.92868059094</v>
      </c>
      <c r="I166" s="27">
        <f t="shared" si="82"/>
        <v>476204.78858889453</v>
      </c>
      <c r="J166" s="27">
        <f t="shared" si="82"/>
        <v>483156.39327559853</v>
      </c>
      <c r="K166" s="27">
        <f t="shared" si="82"/>
        <v>420302.59806418745</v>
      </c>
      <c r="L166" s="27">
        <f t="shared" si="82"/>
        <v>404981.15129903209</v>
      </c>
      <c r="M166" s="27">
        <f t="shared" si="82"/>
        <v>438204.78858889453</v>
      </c>
      <c r="N166" s="20">
        <f>SUM(B166:M166)</f>
        <v>5480504.3301069802</v>
      </c>
    </row>
    <row r="167" spans="1:14">
      <c r="A167" s="247" t="s">
        <v>143</v>
      </c>
      <c r="B167" s="31">
        <f>B142</f>
        <v>1.274E-2</v>
      </c>
      <c r="C167" s="31">
        <f>B167</f>
        <v>1.274E-2</v>
      </c>
      <c r="D167" s="31">
        <f t="shared" ref="D167" si="83">C167</f>
        <v>1.274E-2</v>
      </c>
      <c r="E167" s="31">
        <f t="shared" ref="E167" si="84">D167</f>
        <v>1.274E-2</v>
      </c>
      <c r="F167" s="31">
        <f t="shared" ref="F167" si="85">E167</f>
        <v>1.274E-2</v>
      </c>
      <c r="G167" s="31">
        <f t="shared" ref="G167" si="86">F167</f>
        <v>1.274E-2</v>
      </c>
      <c r="H167" s="31">
        <f t="shared" ref="H167" si="87">G167</f>
        <v>1.274E-2</v>
      </c>
      <c r="I167" s="31">
        <f t="shared" ref="I167" si="88">H167</f>
        <v>1.274E-2</v>
      </c>
      <c r="J167" s="31">
        <f t="shared" ref="J167" si="89">I167</f>
        <v>1.274E-2</v>
      </c>
      <c r="K167" s="31">
        <f t="shared" ref="K167" si="90">J167</f>
        <v>1.274E-2</v>
      </c>
      <c r="L167" s="31">
        <f t="shared" ref="L167" si="91">K167</f>
        <v>1.274E-2</v>
      </c>
      <c r="M167" s="31">
        <f t="shared" ref="M167" si="92">L167</f>
        <v>1.274E-2</v>
      </c>
      <c r="N167" s="19"/>
    </row>
    <row r="168" spans="1:14">
      <c r="A168" s="247" t="s">
        <v>17</v>
      </c>
      <c r="B168" s="192">
        <f>B166*B167</f>
        <v>7260.3072847682115</v>
      </c>
      <c r="C168" s="192">
        <f t="shared" ref="C168:M168" si="93">C166*C167</f>
        <v>5979.3499337748344</v>
      </c>
      <c r="D168" s="192">
        <f t="shared" si="93"/>
        <v>5315.2863576158934</v>
      </c>
      <c r="E168" s="192">
        <f t="shared" si="93"/>
        <v>5040.1984105960264</v>
      </c>
      <c r="F168" s="192">
        <f t="shared" si="93"/>
        <v>5685.2460927152315</v>
      </c>
      <c r="G168" s="192">
        <f t="shared" si="93"/>
        <v>6135.2153642384101</v>
      </c>
      <c r="H168" s="192">
        <f t="shared" si="93"/>
        <v>6086.9162913907285</v>
      </c>
      <c r="I168" s="192">
        <f t="shared" si="93"/>
        <v>6066.8490066225158</v>
      </c>
      <c r="J168" s="192">
        <f t="shared" si="93"/>
        <v>6155.412450331125</v>
      </c>
      <c r="K168" s="192">
        <f t="shared" si="93"/>
        <v>5354.6550993377477</v>
      </c>
      <c r="L168" s="192">
        <f t="shared" si="93"/>
        <v>5159.4598675496691</v>
      </c>
      <c r="M168" s="192">
        <f t="shared" si="93"/>
        <v>5582.729006622516</v>
      </c>
      <c r="N168" s="192">
        <f>SUM(B168:M168)</f>
        <v>69821.625165562902</v>
      </c>
    </row>
    <row r="169" spans="1:14">
      <c r="A169" s="250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>
      <c r="A170" s="247" t="s">
        <v>38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1:14">
      <c r="A171" s="249" t="str">
        <f>A161</f>
        <v xml:space="preserve">       SECI Load</v>
      </c>
      <c r="B171" s="27">
        <f>B161</f>
        <v>569882.83239938866</v>
      </c>
      <c r="C171" s="27">
        <f t="shared" ref="C171:M171" si="94">C161</f>
        <v>469336.72949566989</v>
      </c>
      <c r="D171" s="27">
        <f t="shared" si="94"/>
        <v>417212.4299541518</v>
      </c>
      <c r="E171" s="27">
        <f t="shared" si="94"/>
        <v>395619.96943453897</v>
      </c>
      <c r="F171" s="27">
        <f t="shared" si="94"/>
        <v>446251.65562913904</v>
      </c>
      <c r="G171" s="27">
        <f t="shared" si="94"/>
        <v>481571.06469689251</v>
      </c>
      <c r="H171" s="27">
        <f t="shared" si="94"/>
        <v>477779.92868059094</v>
      </c>
      <c r="I171" s="27">
        <f t="shared" si="94"/>
        <v>476204.78858889453</v>
      </c>
      <c r="J171" s="27">
        <f t="shared" si="94"/>
        <v>483156.39327559853</v>
      </c>
      <c r="K171" s="27">
        <f t="shared" si="94"/>
        <v>420302.59806418745</v>
      </c>
      <c r="L171" s="27">
        <f t="shared" si="94"/>
        <v>404981.15129903209</v>
      </c>
      <c r="M171" s="27">
        <f t="shared" si="94"/>
        <v>438204.78858889453</v>
      </c>
      <c r="N171" s="20">
        <f>SUM(B171:M171)</f>
        <v>5480504.3301069802</v>
      </c>
    </row>
    <row r="172" spans="1:14">
      <c r="A172" s="247" t="s">
        <v>144</v>
      </c>
      <c r="B172" s="31">
        <f>B147</f>
        <v>0.02</v>
      </c>
      <c r="C172" s="31">
        <f>B172</f>
        <v>0.02</v>
      </c>
      <c r="D172" s="31">
        <f t="shared" ref="D172" si="95">C172</f>
        <v>0.02</v>
      </c>
      <c r="E172" s="31">
        <f t="shared" ref="E172" si="96">D172</f>
        <v>0.02</v>
      </c>
      <c r="F172" s="31">
        <f t="shared" ref="F172" si="97">E172</f>
        <v>0.02</v>
      </c>
      <c r="G172" s="31">
        <f t="shared" ref="G172" si="98">F172</f>
        <v>0.02</v>
      </c>
      <c r="H172" s="31">
        <f t="shared" ref="H172" si="99">G172</f>
        <v>0.02</v>
      </c>
      <c r="I172" s="31">
        <f t="shared" ref="I172" si="100">H172</f>
        <v>0.02</v>
      </c>
      <c r="J172" s="31">
        <f t="shared" ref="J172" si="101">I172</f>
        <v>0.02</v>
      </c>
      <c r="K172" s="31">
        <f t="shared" ref="K172" si="102">J172</f>
        <v>0.02</v>
      </c>
      <c r="L172" s="31">
        <f t="shared" ref="L172" si="103">K172</f>
        <v>0.02</v>
      </c>
      <c r="M172" s="31">
        <f t="shared" ref="M172" si="104">L172</f>
        <v>0.02</v>
      </c>
      <c r="N172" s="19"/>
    </row>
    <row r="173" spans="1:14">
      <c r="A173" s="247" t="s">
        <v>17</v>
      </c>
      <c r="B173" s="192">
        <f t="shared" ref="B173:M173" si="105">B171*B172</f>
        <v>11397.656647987773</v>
      </c>
      <c r="C173" s="192">
        <f t="shared" si="105"/>
        <v>9386.7345899133979</v>
      </c>
      <c r="D173" s="192">
        <f t="shared" si="105"/>
        <v>8344.2485990830355</v>
      </c>
      <c r="E173" s="192">
        <f t="shared" si="105"/>
        <v>7912.3993886907792</v>
      </c>
      <c r="F173" s="192">
        <f t="shared" si="105"/>
        <v>8925.0331125827815</v>
      </c>
      <c r="G173" s="192">
        <f t="shared" si="105"/>
        <v>9631.4212939378504</v>
      </c>
      <c r="H173" s="192">
        <f t="shared" si="105"/>
        <v>9555.5985736118182</v>
      </c>
      <c r="I173" s="192">
        <f t="shared" si="105"/>
        <v>9524.0957717778911</v>
      </c>
      <c r="J173" s="192">
        <f t="shared" si="105"/>
        <v>9663.1278655119713</v>
      </c>
      <c r="K173" s="192">
        <f t="shared" si="105"/>
        <v>8406.0519612837488</v>
      </c>
      <c r="L173" s="192">
        <f t="shared" si="105"/>
        <v>8099.6230259806416</v>
      </c>
      <c r="M173" s="192">
        <f t="shared" si="105"/>
        <v>8764.0957717778911</v>
      </c>
      <c r="N173" s="192">
        <f>SUM(B173:M173)</f>
        <v>109610.08660213958</v>
      </c>
    </row>
    <row r="174" spans="1:14">
      <c r="A174" s="247"/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</row>
    <row r="175" spans="1:14">
      <c r="A175" s="247" t="s">
        <v>25</v>
      </c>
      <c r="B175" s="192">
        <f>B163+B173+B168</f>
        <v>924771.66744778398</v>
      </c>
      <c r="C175" s="192">
        <f t="shared" ref="C175:M175" si="106">C163+C173+C168</f>
        <v>761611.48442180338</v>
      </c>
      <c r="D175" s="192">
        <f t="shared" si="106"/>
        <v>677027.29858380032</v>
      </c>
      <c r="E175" s="192">
        <f t="shared" si="106"/>
        <v>641988.34920020378</v>
      </c>
      <c r="F175" s="192">
        <f t="shared" si="106"/>
        <v>724150.41165562905</v>
      </c>
      <c r="G175" s="192">
        <f t="shared" si="106"/>
        <v>781464.62952623528</v>
      </c>
      <c r="H175" s="192">
        <f t="shared" si="106"/>
        <v>775312.60146714223</v>
      </c>
      <c r="I175" s="192">
        <f t="shared" si="106"/>
        <v>772756.55863474286</v>
      </c>
      <c r="J175" s="192">
        <f t="shared" si="106"/>
        <v>784037.20562404476</v>
      </c>
      <c r="K175" s="192">
        <f t="shared" si="106"/>
        <v>682041.83798267972</v>
      </c>
      <c r="L175" s="192">
        <f t="shared" si="106"/>
        <v>657179.1134589914</v>
      </c>
      <c r="M175" s="192">
        <f t="shared" si="106"/>
        <v>711092.43863474287</v>
      </c>
      <c r="N175" s="192">
        <f>SUM(B175:M175)</f>
        <v>8893433.5966377985</v>
      </c>
    </row>
  </sheetData>
  <phoneticPr fontId="23" type="noConversion"/>
  <pageMargins left="0.21" right="0.2" top="0.61" bottom="0.46" header="0.38" footer="0.18"/>
  <pageSetup pageOrder="overThenDown" orientation="landscape" r:id="rId1"/>
  <headerFooter alignWithMargins="0">
    <oddHeader>&amp;A</oddHeader>
    <oddFooter>&amp;Z&amp;F</oddFooter>
  </headerFooter>
  <rowBreaks count="5" manualBreakCount="5">
    <brk id="29" max="16383" man="1"/>
    <brk id="53" max="16383" man="1"/>
    <brk id="77" max="16383" man="1"/>
    <brk id="101" max="16383" man="1"/>
    <brk id="126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O19"/>
  <sheetViews>
    <sheetView zoomScale="85" workbookViewId="0">
      <pane xSplit="1" ySplit="6" topLeftCell="B7" activePane="bottomRight" state="frozen"/>
      <selection sqref="A1:XFD1428"/>
      <selection pane="topRight" sqref="A1:XFD1428"/>
      <selection pane="bottomLeft" sqref="A1:XFD1428"/>
      <selection pane="bottomRight" activeCell="A2" sqref="A2"/>
    </sheetView>
  </sheetViews>
  <sheetFormatPr defaultRowHeight="12"/>
  <cols>
    <col min="1" max="1" width="18.6640625" customWidth="1"/>
    <col min="2" max="13" width="10.6640625" customWidth="1"/>
    <col min="14" max="14" width="16.6640625" customWidth="1"/>
  </cols>
  <sheetData>
    <row r="1" spans="1:15" ht="12.6">
      <c r="A1" s="482" t="s">
        <v>491</v>
      </c>
    </row>
    <row r="2" spans="1:15" ht="12.6">
      <c r="A2" s="482" t="s">
        <v>458</v>
      </c>
    </row>
    <row r="4" spans="1:15">
      <c r="A4" t="s">
        <v>166</v>
      </c>
      <c r="O4" s="264"/>
    </row>
    <row r="6" spans="1:15"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</row>
    <row r="7" spans="1:15">
      <c r="A7" s="239" t="s">
        <v>167</v>
      </c>
      <c r="B7" s="241">
        <f>$N$7/12</f>
        <v>209049.75</v>
      </c>
      <c r="C7" s="241">
        <f t="shared" ref="C7:M7" si="0">$N$7/12</f>
        <v>209049.75</v>
      </c>
      <c r="D7" s="241">
        <f t="shared" si="0"/>
        <v>209049.75</v>
      </c>
      <c r="E7" s="241">
        <f t="shared" si="0"/>
        <v>209049.75</v>
      </c>
      <c r="F7" s="241">
        <f t="shared" si="0"/>
        <v>209049.75</v>
      </c>
      <c r="G7" s="241">
        <f t="shared" si="0"/>
        <v>209049.75</v>
      </c>
      <c r="H7" s="241">
        <f t="shared" si="0"/>
        <v>209049.75</v>
      </c>
      <c r="I7" s="241">
        <f t="shared" si="0"/>
        <v>209049.75</v>
      </c>
      <c r="J7" s="241">
        <f t="shared" si="0"/>
        <v>209049.75</v>
      </c>
      <c r="K7" s="241">
        <f t="shared" si="0"/>
        <v>209049.75</v>
      </c>
      <c r="L7" s="241">
        <f t="shared" si="0"/>
        <v>209049.75</v>
      </c>
      <c r="M7" s="241">
        <f t="shared" si="0"/>
        <v>209049.75</v>
      </c>
      <c r="N7" s="241">
        <f>2508597</f>
        <v>2508597</v>
      </c>
    </row>
    <row r="8" spans="1:15">
      <c r="A8" s="239" t="s">
        <v>168</v>
      </c>
      <c r="B8" s="241">
        <f>$N$8/12</f>
        <v>357377.16666666669</v>
      </c>
      <c r="C8" s="241">
        <f t="shared" ref="C8:M8" si="1">$N$8/12</f>
        <v>357377.16666666669</v>
      </c>
      <c r="D8" s="241">
        <f t="shared" si="1"/>
        <v>357377.16666666669</v>
      </c>
      <c r="E8" s="241">
        <f t="shared" si="1"/>
        <v>357377.16666666669</v>
      </c>
      <c r="F8" s="241">
        <f t="shared" si="1"/>
        <v>357377.16666666669</v>
      </c>
      <c r="G8" s="241">
        <f t="shared" si="1"/>
        <v>357377.16666666669</v>
      </c>
      <c r="H8" s="241">
        <f t="shared" si="1"/>
        <v>357377.16666666669</v>
      </c>
      <c r="I8" s="241">
        <f t="shared" si="1"/>
        <v>357377.16666666669</v>
      </c>
      <c r="J8" s="241">
        <f t="shared" si="1"/>
        <v>357377.16666666669</v>
      </c>
      <c r="K8" s="241">
        <f t="shared" si="1"/>
        <v>357377.16666666669</v>
      </c>
      <c r="L8" s="241">
        <f t="shared" si="1"/>
        <v>357377.16666666669</v>
      </c>
      <c r="M8" s="241">
        <f t="shared" si="1"/>
        <v>357377.16666666669</v>
      </c>
      <c r="N8" s="241">
        <f>4288526</f>
        <v>4288526</v>
      </c>
    </row>
    <row r="9" spans="1:15">
      <c r="A9" s="240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</row>
    <row r="10" spans="1:15" ht="19.8">
      <c r="A10" s="239" t="s">
        <v>169</v>
      </c>
      <c r="B10" s="241">
        <f t="shared" ref="B10:N10" si="2">SUM(B7:B8)</f>
        <v>566426.91666666674</v>
      </c>
      <c r="C10" s="241">
        <f t="shared" si="2"/>
        <v>566426.91666666674</v>
      </c>
      <c r="D10" s="241">
        <f t="shared" si="2"/>
        <v>566426.91666666674</v>
      </c>
      <c r="E10" s="241">
        <f t="shared" si="2"/>
        <v>566426.91666666674</v>
      </c>
      <c r="F10" s="241">
        <f t="shared" si="2"/>
        <v>566426.91666666674</v>
      </c>
      <c r="G10" s="241">
        <f t="shared" si="2"/>
        <v>566426.91666666674</v>
      </c>
      <c r="H10" s="241">
        <f t="shared" si="2"/>
        <v>566426.91666666674</v>
      </c>
      <c r="I10" s="241">
        <f t="shared" si="2"/>
        <v>566426.91666666674</v>
      </c>
      <c r="J10" s="241">
        <f t="shared" si="2"/>
        <v>566426.91666666674</v>
      </c>
      <c r="K10" s="241">
        <f t="shared" si="2"/>
        <v>566426.91666666674</v>
      </c>
      <c r="L10" s="241">
        <f t="shared" si="2"/>
        <v>566426.91666666674</v>
      </c>
      <c r="M10" s="241">
        <f t="shared" si="2"/>
        <v>566426.91666666674</v>
      </c>
      <c r="N10" s="241">
        <f t="shared" si="2"/>
        <v>6797123</v>
      </c>
    </row>
    <row r="13" spans="1:15">
      <c r="A13" s="264" t="s">
        <v>259</v>
      </c>
    </row>
    <row r="15" spans="1:15">
      <c r="A15" s="385" t="s">
        <v>317</v>
      </c>
      <c r="B15" s="385"/>
      <c r="C15" s="385"/>
    </row>
    <row r="18" spans="2:14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2:14" ht="13.2"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6"/>
    </row>
  </sheetData>
  <phoneticPr fontId="2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00B050"/>
    <pageSetUpPr fitToPage="1"/>
  </sheetPr>
  <dimension ref="A1:M54"/>
  <sheetViews>
    <sheetView zoomScale="75" zoomScaleNormal="75" workbookViewId="0">
      <pane xSplit="2" ySplit="7" topLeftCell="C8" activePane="bottomRight" state="frozen"/>
      <selection sqref="A1:XFD1428"/>
      <selection pane="topRight" sqref="A1:XFD1428"/>
      <selection pane="bottomLeft" sqref="A1:XFD1428"/>
      <selection pane="bottomRight" activeCell="A2" sqref="A2"/>
    </sheetView>
  </sheetViews>
  <sheetFormatPr defaultColWidth="9" defaultRowHeight="10.8"/>
  <cols>
    <col min="1" max="1" width="51.109375" style="51" customWidth="1"/>
    <col min="2" max="2" width="1.44140625" style="51" customWidth="1"/>
    <col min="3" max="9" width="10.109375" style="51" customWidth="1"/>
    <col min="10" max="10" width="19.33203125" style="51" customWidth="1"/>
    <col min="11" max="11" width="13.77734375" style="51" customWidth="1"/>
    <col min="12" max="16384" width="9" style="51"/>
  </cols>
  <sheetData>
    <row r="1" spans="1:13" ht="16.2" customHeight="1">
      <c r="A1" s="482" t="s">
        <v>492</v>
      </c>
    </row>
    <row r="2" spans="1:13" ht="12">
      <c r="A2" s="482" t="s">
        <v>458</v>
      </c>
    </row>
    <row r="4" spans="1:13">
      <c r="A4" s="50" t="s">
        <v>403</v>
      </c>
      <c r="H4" s="262"/>
      <c r="I4" s="262"/>
    </row>
    <row r="5" spans="1:13">
      <c r="A5" s="52" t="s">
        <v>131</v>
      </c>
    </row>
    <row r="6" spans="1:13" ht="5.25" customHeight="1">
      <c r="A6" s="53"/>
    </row>
    <row r="7" spans="1:13">
      <c r="A7" s="54" t="s">
        <v>26</v>
      </c>
      <c r="C7" s="55">
        <v>2014</v>
      </c>
      <c r="D7" s="55">
        <f>+C7+1</f>
        <v>2015</v>
      </c>
      <c r="E7" s="55">
        <f>+D7+1</f>
        <v>2016</v>
      </c>
      <c r="F7" s="55">
        <f>+E7+1</f>
        <v>2017</v>
      </c>
      <c r="G7" s="55">
        <f>+F7+1</f>
        <v>2018</v>
      </c>
      <c r="H7" s="55">
        <f>+G7+1</f>
        <v>2019</v>
      </c>
      <c r="I7" s="55">
        <v>2020</v>
      </c>
      <c r="J7" s="55"/>
      <c r="K7" s="56" t="s">
        <v>27</v>
      </c>
      <c r="L7" s="57"/>
      <c r="M7" s="58"/>
    </row>
    <row r="8" spans="1:13">
      <c r="A8" s="50" t="s">
        <v>55</v>
      </c>
    </row>
    <row r="9" spans="1:13">
      <c r="A9" s="59"/>
    </row>
    <row r="10" spans="1:13">
      <c r="A10" s="59" t="s">
        <v>29</v>
      </c>
      <c r="C10" s="166">
        <v>0.1008</v>
      </c>
      <c r="D10" s="166">
        <v>0.1008</v>
      </c>
      <c r="E10" s="166">
        <v>0.1008</v>
      </c>
      <c r="F10" s="166">
        <v>0.1008</v>
      </c>
      <c r="G10" s="166">
        <v>0.1008</v>
      </c>
      <c r="H10" s="166">
        <v>0.1008</v>
      </c>
      <c r="I10" s="166">
        <v>0.1008</v>
      </c>
      <c r="K10" s="62" t="s">
        <v>28</v>
      </c>
    </row>
    <row r="11" spans="1:13">
      <c r="A11" s="190" t="s">
        <v>228</v>
      </c>
      <c r="C11" s="305">
        <v>1.274E-2</v>
      </c>
      <c r="D11" s="305">
        <v>1.274E-2</v>
      </c>
      <c r="E11" s="305">
        <v>1.274E-2</v>
      </c>
      <c r="F11" s="305">
        <v>1.274E-2</v>
      </c>
      <c r="G11" s="305">
        <v>1.274E-2</v>
      </c>
      <c r="H11" s="305">
        <v>1.274E-2</v>
      </c>
      <c r="I11" s="305">
        <v>1.274E-2</v>
      </c>
      <c r="K11" s="62" t="s">
        <v>28</v>
      </c>
    </row>
    <row r="12" spans="1:13">
      <c r="A12" s="333" t="s">
        <v>30</v>
      </c>
    </row>
    <row r="13" spans="1:13">
      <c r="A13" s="334" t="s">
        <v>29</v>
      </c>
      <c r="C13" s="166">
        <v>7.0000000000000007E-2</v>
      </c>
      <c r="D13" s="166">
        <v>7.0000000000000007E-2</v>
      </c>
      <c r="E13" s="166">
        <v>7.0000000000000007E-2</v>
      </c>
      <c r="F13" s="166">
        <v>7.0000000000000007E-2</v>
      </c>
      <c r="G13" s="166">
        <v>7.0000000000000007E-2</v>
      </c>
      <c r="H13" s="166">
        <v>7.0000000000000007E-2</v>
      </c>
      <c r="I13" s="166"/>
      <c r="K13" s="62" t="s">
        <v>28</v>
      </c>
    </row>
    <row r="14" spans="1:13">
      <c r="A14" s="332" t="s">
        <v>228</v>
      </c>
      <c r="C14" s="305">
        <f t="shared" ref="C14:H14" si="0">C11</f>
        <v>1.274E-2</v>
      </c>
      <c r="D14" s="305">
        <f t="shared" si="0"/>
        <v>1.274E-2</v>
      </c>
      <c r="E14" s="305">
        <f t="shared" si="0"/>
        <v>1.274E-2</v>
      </c>
      <c r="F14" s="305">
        <f t="shared" si="0"/>
        <v>1.274E-2</v>
      </c>
      <c r="G14" s="305">
        <f t="shared" si="0"/>
        <v>1.274E-2</v>
      </c>
      <c r="H14" s="305">
        <f t="shared" si="0"/>
        <v>1.274E-2</v>
      </c>
      <c r="I14" s="305"/>
      <c r="K14" s="62" t="s">
        <v>28</v>
      </c>
    </row>
    <row r="15" spans="1:13">
      <c r="A15" s="59" t="s">
        <v>36</v>
      </c>
    </row>
    <row r="16" spans="1:13">
      <c r="A16" s="59" t="s">
        <v>29</v>
      </c>
      <c r="C16" s="166">
        <v>0.1008</v>
      </c>
      <c r="D16" s="166">
        <v>0.1008</v>
      </c>
      <c r="E16" s="166">
        <v>0.1008</v>
      </c>
      <c r="F16" s="166">
        <v>0.1008</v>
      </c>
      <c r="G16" s="166">
        <v>0.1008</v>
      </c>
      <c r="H16" s="166">
        <v>0.1008</v>
      </c>
      <c r="I16" s="166"/>
      <c r="K16" s="62" t="s">
        <v>28</v>
      </c>
    </row>
    <row r="17" spans="1:11">
      <c r="A17" s="190" t="s">
        <v>228</v>
      </c>
      <c r="C17" s="305">
        <f t="shared" ref="C17:H17" si="1">C14</f>
        <v>1.274E-2</v>
      </c>
      <c r="D17" s="305">
        <f t="shared" si="1"/>
        <v>1.274E-2</v>
      </c>
      <c r="E17" s="305">
        <f t="shared" si="1"/>
        <v>1.274E-2</v>
      </c>
      <c r="F17" s="305">
        <f t="shared" si="1"/>
        <v>1.274E-2</v>
      </c>
      <c r="G17" s="305">
        <f t="shared" si="1"/>
        <v>1.274E-2</v>
      </c>
      <c r="H17" s="305">
        <f t="shared" si="1"/>
        <v>1.274E-2</v>
      </c>
      <c r="I17" s="305"/>
      <c r="K17" s="62" t="s">
        <v>28</v>
      </c>
    </row>
    <row r="18" spans="1:11">
      <c r="A18" s="63" t="s">
        <v>31</v>
      </c>
    </row>
    <row r="19" spans="1:11">
      <c r="A19" s="59" t="s">
        <v>29</v>
      </c>
      <c r="C19" s="167">
        <f t="shared" ref="C19:H20" si="2">C16</f>
        <v>0.1008</v>
      </c>
      <c r="D19" s="167">
        <f t="shared" si="2"/>
        <v>0.1008</v>
      </c>
      <c r="E19" s="167">
        <f t="shared" si="2"/>
        <v>0.1008</v>
      </c>
      <c r="F19" s="167">
        <f t="shared" si="2"/>
        <v>0.1008</v>
      </c>
      <c r="G19" s="167">
        <f t="shared" si="2"/>
        <v>0.1008</v>
      </c>
      <c r="H19" s="167">
        <f t="shared" si="2"/>
        <v>0.1008</v>
      </c>
      <c r="I19" s="167"/>
      <c r="K19" s="62" t="s">
        <v>28</v>
      </c>
    </row>
    <row r="20" spans="1:11">
      <c r="A20" s="190" t="s">
        <v>228</v>
      </c>
      <c r="C20" s="305">
        <f t="shared" si="2"/>
        <v>1.274E-2</v>
      </c>
      <c r="D20" s="305">
        <f t="shared" si="2"/>
        <v>1.274E-2</v>
      </c>
      <c r="E20" s="305">
        <f t="shared" si="2"/>
        <v>1.274E-2</v>
      </c>
      <c r="F20" s="305">
        <f t="shared" si="2"/>
        <v>1.274E-2</v>
      </c>
      <c r="G20" s="305">
        <f t="shared" si="2"/>
        <v>1.274E-2</v>
      </c>
      <c r="H20" s="305">
        <f t="shared" si="2"/>
        <v>1.274E-2</v>
      </c>
      <c r="I20" s="305"/>
      <c r="K20" s="62" t="s">
        <v>28</v>
      </c>
    </row>
    <row r="21" spans="1:11">
      <c r="A21" s="59" t="s">
        <v>32</v>
      </c>
    </row>
    <row r="22" spans="1:11">
      <c r="A22" s="59" t="s">
        <v>29</v>
      </c>
      <c r="C22" s="167">
        <f t="shared" ref="C22:H23" si="3">C19</f>
        <v>0.1008</v>
      </c>
      <c r="D22" s="167">
        <f t="shared" si="3"/>
        <v>0.1008</v>
      </c>
      <c r="E22" s="167">
        <f t="shared" si="3"/>
        <v>0.1008</v>
      </c>
      <c r="F22" s="167">
        <f t="shared" si="3"/>
        <v>0.1008</v>
      </c>
      <c r="G22" s="167">
        <f t="shared" si="3"/>
        <v>0.1008</v>
      </c>
      <c r="H22" s="167">
        <f t="shared" si="3"/>
        <v>0.1008</v>
      </c>
      <c r="I22" s="167"/>
      <c r="K22" s="62" t="s">
        <v>28</v>
      </c>
    </row>
    <row r="23" spans="1:11">
      <c r="A23" s="190" t="s">
        <v>228</v>
      </c>
      <c r="C23" s="305">
        <f t="shared" si="3"/>
        <v>1.274E-2</v>
      </c>
      <c r="D23" s="305">
        <f t="shared" si="3"/>
        <v>1.274E-2</v>
      </c>
      <c r="E23" s="305">
        <f t="shared" si="3"/>
        <v>1.274E-2</v>
      </c>
      <c r="F23" s="305">
        <f t="shared" si="3"/>
        <v>1.274E-2</v>
      </c>
      <c r="G23" s="305">
        <f t="shared" si="3"/>
        <v>1.274E-2</v>
      </c>
      <c r="H23" s="305">
        <f t="shared" si="3"/>
        <v>1.274E-2</v>
      </c>
      <c r="I23" s="305"/>
      <c r="K23" s="62" t="s">
        <v>28</v>
      </c>
    </row>
    <row r="24" spans="1:11">
      <c r="A24" s="331" t="s">
        <v>160</v>
      </c>
      <c r="C24" s="64"/>
      <c r="D24" s="64"/>
      <c r="E24" s="64"/>
      <c r="F24" s="64"/>
      <c r="G24" s="64"/>
      <c r="H24" s="64"/>
      <c r="I24" s="64"/>
      <c r="K24" s="62"/>
    </row>
    <row r="25" spans="1:11">
      <c r="A25" s="331" t="s">
        <v>132</v>
      </c>
      <c r="C25" s="167">
        <v>7.0000000000000007E-2</v>
      </c>
      <c r="D25" s="167">
        <v>7.0000000000000007E-2</v>
      </c>
      <c r="E25" s="167">
        <v>7.0000000000000007E-2</v>
      </c>
      <c r="F25" s="167">
        <v>7.0000000000000007E-2</v>
      </c>
      <c r="G25" s="167">
        <v>7.0000000000000007E-2</v>
      </c>
      <c r="H25" s="167">
        <v>7.0000000000000007E-2</v>
      </c>
      <c r="I25" s="167"/>
      <c r="K25" s="62" t="s">
        <v>28</v>
      </c>
    </row>
    <row r="26" spans="1:11">
      <c r="A26" s="190" t="s">
        <v>228</v>
      </c>
      <c r="C26" s="305">
        <f t="shared" ref="C26:H26" si="4">C23</f>
        <v>1.274E-2</v>
      </c>
      <c r="D26" s="305">
        <f t="shared" si="4"/>
        <v>1.274E-2</v>
      </c>
      <c r="E26" s="305">
        <f t="shared" si="4"/>
        <v>1.274E-2</v>
      </c>
      <c r="F26" s="305">
        <f t="shared" si="4"/>
        <v>1.274E-2</v>
      </c>
      <c r="G26" s="305">
        <f t="shared" si="4"/>
        <v>1.274E-2</v>
      </c>
      <c r="H26" s="305">
        <f t="shared" si="4"/>
        <v>1.274E-2</v>
      </c>
      <c r="I26" s="305"/>
      <c r="K26" s="62" t="s">
        <v>28</v>
      </c>
    </row>
    <row r="27" spans="1:11">
      <c r="A27" s="331" t="s">
        <v>161</v>
      </c>
      <c r="C27" s="60"/>
      <c r="D27" s="60"/>
      <c r="E27" s="60"/>
      <c r="F27" s="60"/>
      <c r="G27" s="60"/>
      <c r="H27" s="60"/>
      <c r="I27" s="60"/>
      <c r="K27" s="62"/>
    </row>
    <row r="28" spans="1:11">
      <c r="A28" s="331" t="s">
        <v>133</v>
      </c>
      <c r="C28" s="167">
        <v>0.02</v>
      </c>
      <c r="D28" s="167">
        <v>0.02</v>
      </c>
      <c r="E28" s="167">
        <v>0.02</v>
      </c>
      <c r="F28" s="167">
        <v>0.02</v>
      </c>
      <c r="G28" s="167">
        <v>0.02</v>
      </c>
      <c r="H28" s="167">
        <v>0.02</v>
      </c>
      <c r="I28" s="167"/>
      <c r="K28" s="62" t="s">
        <v>28</v>
      </c>
    </row>
    <row r="29" spans="1:11">
      <c r="A29" s="190" t="s">
        <v>228</v>
      </c>
      <c r="C29" s="306">
        <f t="shared" ref="C29:H29" si="5">C26</f>
        <v>1.274E-2</v>
      </c>
      <c r="D29" s="306">
        <f t="shared" si="5"/>
        <v>1.274E-2</v>
      </c>
      <c r="E29" s="306">
        <f t="shared" si="5"/>
        <v>1.274E-2</v>
      </c>
      <c r="F29" s="306">
        <f t="shared" si="5"/>
        <v>1.274E-2</v>
      </c>
      <c r="G29" s="306">
        <f t="shared" si="5"/>
        <v>1.274E-2</v>
      </c>
      <c r="H29" s="306">
        <f t="shared" si="5"/>
        <v>1.274E-2</v>
      </c>
      <c r="I29" s="306"/>
      <c r="K29" s="62" t="s">
        <v>28</v>
      </c>
    </row>
    <row r="30" spans="1:11">
      <c r="A30" s="331" t="s">
        <v>162</v>
      </c>
      <c r="C30" s="189"/>
      <c r="D30" s="61"/>
      <c r="E30" s="61"/>
      <c r="F30" s="61"/>
      <c r="G30" s="61"/>
      <c r="H30" s="61"/>
      <c r="I30" s="61"/>
      <c r="K30" s="62"/>
    </row>
    <row r="31" spans="1:11">
      <c r="A31" s="331" t="s">
        <v>134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/>
      <c r="K31" s="62" t="s">
        <v>28</v>
      </c>
    </row>
    <row r="32" spans="1:11" ht="10.5" customHeight="1">
      <c r="A32" s="190" t="s">
        <v>228</v>
      </c>
      <c r="C32" s="307">
        <f t="shared" ref="C32:H32" si="6">C29</f>
        <v>1.274E-2</v>
      </c>
      <c r="D32" s="307">
        <f t="shared" si="6"/>
        <v>1.274E-2</v>
      </c>
      <c r="E32" s="307">
        <f t="shared" si="6"/>
        <v>1.274E-2</v>
      </c>
      <c r="F32" s="307">
        <f t="shared" si="6"/>
        <v>1.274E-2</v>
      </c>
      <c r="G32" s="307">
        <f t="shared" si="6"/>
        <v>1.274E-2</v>
      </c>
      <c r="H32" s="307">
        <f t="shared" si="6"/>
        <v>1.274E-2</v>
      </c>
      <c r="I32" s="307"/>
      <c r="K32" s="62" t="s">
        <v>28</v>
      </c>
    </row>
    <row r="33" spans="1:11" ht="10.5" customHeight="1">
      <c r="A33" s="331" t="s">
        <v>184</v>
      </c>
    </row>
    <row r="34" spans="1:11" ht="10.5" customHeight="1">
      <c r="A34" s="331" t="s">
        <v>185</v>
      </c>
      <c r="C34" s="95">
        <f>C10</f>
        <v>0.1008</v>
      </c>
      <c r="D34" s="95">
        <f t="shared" ref="D34:H35" si="7">D31</f>
        <v>0</v>
      </c>
      <c r="E34" s="95">
        <f t="shared" si="7"/>
        <v>0</v>
      </c>
      <c r="F34" s="95">
        <f t="shared" si="7"/>
        <v>0</v>
      </c>
      <c r="G34" s="95">
        <f t="shared" si="7"/>
        <v>0</v>
      </c>
      <c r="H34" s="95">
        <f t="shared" si="7"/>
        <v>0</v>
      </c>
      <c r="I34" s="95"/>
      <c r="K34" s="62" t="s">
        <v>28</v>
      </c>
    </row>
    <row r="35" spans="1:11" ht="10.5" customHeight="1">
      <c r="A35" s="332" t="s">
        <v>228</v>
      </c>
      <c r="C35" s="307">
        <f>C11</f>
        <v>1.274E-2</v>
      </c>
      <c r="D35" s="307">
        <f t="shared" si="7"/>
        <v>1.274E-2</v>
      </c>
      <c r="E35" s="307">
        <f t="shared" si="7"/>
        <v>1.274E-2</v>
      </c>
      <c r="F35" s="307">
        <f t="shared" si="7"/>
        <v>1.274E-2</v>
      </c>
      <c r="G35" s="307">
        <f t="shared" si="7"/>
        <v>1.274E-2</v>
      </c>
      <c r="H35" s="307">
        <f t="shared" si="7"/>
        <v>1.274E-2</v>
      </c>
      <c r="I35" s="307"/>
      <c r="K35" s="62" t="s">
        <v>28</v>
      </c>
    </row>
    <row r="36" spans="1:11" ht="12.75" customHeight="1">
      <c r="A36" s="331" t="s">
        <v>163</v>
      </c>
      <c r="C36" s="61"/>
      <c r="D36" s="61"/>
      <c r="E36" s="61"/>
      <c r="F36" s="61"/>
      <c r="G36" s="61"/>
      <c r="H36" s="61"/>
      <c r="I36" s="61"/>
      <c r="K36" s="62"/>
    </row>
    <row r="37" spans="1:11">
      <c r="A37" s="59" t="s">
        <v>29</v>
      </c>
      <c r="C37" s="95">
        <f>C10</f>
        <v>0.1008</v>
      </c>
      <c r="D37" s="95">
        <f>D10</f>
        <v>0.1008</v>
      </c>
      <c r="E37" s="95">
        <f>D37</f>
        <v>0.1008</v>
      </c>
      <c r="F37" s="95">
        <f>E37</f>
        <v>0.1008</v>
      </c>
      <c r="G37" s="95">
        <f>F37</f>
        <v>0.1008</v>
      </c>
      <c r="H37" s="95">
        <f>G37</f>
        <v>0.1008</v>
      </c>
      <c r="I37" s="95"/>
      <c r="K37" s="62" t="s">
        <v>28</v>
      </c>
    </row>
    <row r="38" spans="1:11">
      <c r="A38" s="190" t="s">
        <v>228</v>
      </c>
      <c r="C38" s="307">
        <f t="shared" ref="C38:H38" si="8">C32</f>
        <v>1.274E-2</v>
      </c>
      <c r="D38" s="307">
        <f t="shared" si="8"/>
        <v>1.274E-2</v>
      </c>
      <c r="E38" s="307">
        <f t="shared" si="8"/>
        <v>1.274E-2</v>
      </c>
      <c r="F38" s="307">
        <f t="shared" si="8"/>
        <v>1.274E-2</v>
      </c>
      <c r="G38" s="307">
        <f t="shared" si="8"/>
        <v>1.274E-2</v>
      </c>
      <c r="H38" s="307">
        <f t="shared" si="8"/>
        <v>1.274E-2</v>
      </c>
      <c r="I38" s="307"/>
      <c r="K38" s="62" t="s">
        <v>28</v>
      </c>
    </row>
    <row r="39" spans="1:11">
      <c r="A39" s="65"/>
    </row>
    <row r="40" spans="1:11">
      <c r="A40" s="59" t="s">
        <v>88</v>
      </c>
    </row>
    <row r="41" spans="1:11">
      <c r="A41" s="6" t="s">
        <v>227</v>
      </c>
    </row>
    <row r="42" spans="1:11" ht="12">
      <c r="A42" s="36"/>
    </row>
    <row r="43" spans="1:11" ht="12">
      <c r="A43" s="36"/>
    </row>
    <row r="44" spans="1:11">
      <c r="A44" s="330"/>
    </row>
    <row r="45" spans="1:11" ht="12">
      <c r="A45" s="36"/>
      <c r="B45" s="36"/>
      <c r="C45" s="36"/>
      <c r="D45" s="36"/>
      <c r="E45" s="36"/>
      <c r="F45" s="36"/>
      <c r="G45" s="36"/>
      <c r="H45" s="36"/>
      <c r="I45" s="36"/>
    </row>
    <row r="46" spans="1:11" ht="12">
      <c r="A46" s="243" t="s">
        <v>336</v>
      </c>
      <c r="B46" s="361" t="s">
        <v>337</v>
      </c>
      <c r="C46" s="21"/>
      <c r="D46" s="21"/>
      <c r="E46" s="21"/>
      <c r="F46" s="36"/>
      <c r="G46" s="36"/>
      <c r="H46" s="36"/>
      <c r="I46" s="36"/>
    </row>
    <row r="49" spans="1:9">
      <c r="A49" s="59"/>
    </row>
    <row r="50" spans="1:9">
      <c r="A50" s="62"/>
    </row>
    <row r="51" spans="1:9">
      <c r="A51" s="59"/>
      <c r="C51" s="166"/>
      <c r="D51" s="166"/>
      <c r="E51" s="166"/>
      <c r="F51" s="166"/>
      <c r="G51" s="166"/>
      <c r="H51" s="166"/>
      <c r="I51" s="166"/>
    </row>
    <row r="52" spans="1:9">
      <c r="A52" s="190"/>
      <c r="C52" s="305"/>
      <c r="D52" s="305"/>
      <c r="E52" s="305"/>
      <c r="F52" s="305"/>
      <c r="G52" s="305"/>
      <c r="H52" s="305"/>
    </row>
    <row r="54" spans="1:9">
      <c r="A54" s="62"/>
    </row>
  </sheetData>
  <phoneticPr fontId="23" type="noConversion"/>
  <hyperlinks>
    <hyperlink ref="B46" r:id="rId1"/>
  </hyperlinks>
  <pageMargins left="0.25" right="0.2" top="0.66" bottom="0.5" header="0.64" footer="0.5"/>
  <pageSetup pageOrder="overThenDown" orientation="landscape" horizontalDpi="4294967292" verticalDpi="4294967292" r:id="rId2"/>
  <headerFooter alignWithMargins="0"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M33"/>
  <sheetViews>
    <sheetView workbookViewId="0">
      <selection activeCell="A2" sqref="A2"/>
    </sheetView>
  </sheetViews>
  <sheetFormatPr defaultColWidth="8" defaultRowHeight="13.2"/>
  <cols>
    <col min="1" max="1" width="33" style="212" customWidth="1"/>
    <col min="2" max="2" width="8" style="212" customWidth="1"/>
    <col min="3" max="3" width="8.88671875" style="212" customWidth="1"/>
    <col min="4" max="9" width="8" style="212" customWidth="1"/>
    <col min="10" max="10" width="10.44140625" style="212" customWidth="1"/>
    <col min="11" max="11" width="8" style="212" customWidth="1"/>
    <col min="12" max="12" width="9" style="212" customWidth="1"/>
    <col min="13" max="13" width="9.44140625" style="212" customWidth="1"/>
    <col min="14" max="16384" width="8" style="212"/>
  </cols>
  <sheetData>
    <row r="1" spans="1:13">
      <c r="A1" s="482" t="s">
        <v>493</v>
      </c>
    </row>
    <row r="2" spans="1:13">
      <c r="A2" s="482" t="s">
        <v>458</v>
      </c>
    </row>
    <row r="4" spans="1:13" ht="17.399999999999999">
      <c r="A4" s="211" t="s">
        <v>155</v>
      </c>
    </row>
    <row r="5" spans="1:13">
      <c r="A5" s="213" t="s">
        <v>156</v>
      </c>
    </row>
    <row r="6" spans="1:13" ht="5.25" customHeight="1"/>
    <row r="7" spans="1:13">
      <c r="A7" s="214" t="s">
        <v>158</v>
      </c>
      <c r="B7" s="215" t="s">
        <v>61</v>
      </c>
      <c r="C7" s="215" t="s">
        <v>62</v>
      </c>
      <c r="D7" s="215" t="s">
        <v>63</v>
      </c>
      <c r="E7" s="215" t="s">
        <v>64</v>
      </c>
      <c r="F7" s="215" t="s">
        <v>4</v>
      </c>
      <c r="G7" s="215" t="s">
        <v>65</v>
      </c>
      <c r="H7" s="215" t="s">
        <v>66</v>
      </c>
      <c r="I7" s="215" t="s">
        <v>67</v>
      </c>
      <c r="J7" s="215" t="s">
        <v>68</v>
      </c>
      <c r="K7" s="215" t="s">
        <v>69</v>
      </c>
      <c r="L7" s="215" t="s">
        <v>70</v>
      </c>
      <c r="M7" s="215" t="s">
        <v>71</v>
      </c>
    </row>
    <row r="8" spans="1:13" ht="13.5" customHeight="1">
      <c r="A8" s="216" t="s">
        <v>157</v>
      </c>
      <c r="B8" s="275">
        <f>1.59</f>
        <v>1.59</v>
      </c>
      <c r="C8" s="275">
        <f t="shared" ref="C8:M8" si="0">1.59</f>
        <v>1.59</v>
      </c>
      <c r="D8" s="275">
        <f t="shared" si="0"/>
        <v>1.59</v>
      </c>
      <c r="E8" s="275">
        <f t="shared" si="0"/>
        <v>1.59</v>
      </c>
      <c r="F8" s="275">
        <f t="shared" si="0"/>
        <v>1.59</v>
      </c>
      <c r="G8" s="275">
        <f t="shared" si="0"/>
        <v>1.59</v>
      </c>
      <c r="H8" s="275">
        <f t="shared" si="0"/>
        <v>1.59</v>
      </c>
      <c r="I8" s="275">
        <f t="shared" si="0"/>
        <v>1.59</v>
      </c>
      <c r="J8" s="275">
        <f t="shared" si="0"/>
        <v>1.59</v>
      </c>
      <c r="K8" s="275">
        <f t="shared" si="0"/>
        <v>1.59</v>
      </c>
      <c r="L8" s="275">
        <f t="shared" si="0"/>
        <v>1.59</v>
      </c>
      <c r="M8" s="275">
        <f t="shared" si="0"/>
        <v>1.59</v>
      </c>
    </row>
    <row r="9" spans="1:13">
      <c r="A9" s="218" t="s">
        <v>159</v>
      </c>
      <c r="B9" s="219" t="s">
        <v>61</v>
      </c>
      <c r="C9" s="219" t="s">
        <v>62</v>
      </c>
      <c r="D9" s="219" t="s">
        <v>63</v>
      </c>
      <c r="E9" s="219" t="s">
        <v>64</v>
      </c>
      <c r="F9" s="219" t="s">
        <v>4</v>
      </c>
      <c r="G9" s="219" t="s">
        <v>65</v>
      </c>
      <c r="H9" s="219" t="s">
        <v>66</v>
      </c>
      <c r="I9" s="219" t="s">
        <v>67</v>
      </c>
      <c r="J9" s="219" t="s">
        <v>68</v>
      </c>
      <c r="K9" s="219" t="s">
        <v>69</v>
      </c>
      <c r="L9" s="219" t="s">
        <v>70</v>
      </c>
      <c r="M9" s="219" t="s">
        <v>71</v>
      </c>
    </row>
    <row r="10" spans="1:13">
      <c r="A10" s="216" t="s">
        <v>157</v>
      </c>
      <c r="B10" s="217">
        <v>1.59</v>
      </c>
      <c r="C10" s="217">
        <v>1.59</v>
      </c>
      <c r="D10" s="217">
        <v>1.59</v>
      </c>
      <c r="E10" s="217">
        <v>1.59</v>
      </c>
      <c r="F10" s="217">
        <v>1.59</v>
      </c>
      <c r="G10" s="217">
        <v>1.59</v>
      </c>
      <c r="H10" s="217">
        <v>1.59</v>
      </c>
      <c r="I10" s="217">
        <v>1.59</v>
      </c>
      <c r="J10" s="217">
        <v>1.59</v>
      </c>
      <c r="K10" s="217">
        <v>1.59</v>
      </c>
      <c r="L10" s="217">
        <v>1.59</v>
      </c>
      <c r="M10" s="217">
        <v>1.59</v>
      </c>
    </row>
    <row r="11" spans="1:13">
      <c r="A11" s="218" t="s">
        <v>179</v>
      </c>
      <c r="B11" s="219" t="s">
        <v>61</v>
      </c>
      <c r="C11" s="219" t="s">
        <v>62</v>
      </c>
      <c r="D11" s="219" t="s">
        <v>63</v>
      </c>
      <c r="E11" s="219" t="s">
        <v>64</v>
      </c>
      <c r="F11" s="219" t="s">
        <v>4</v>
      </c>
      <c r="G11" s="219" t="s">
        <v>65</v>
      </c>
      <c r="H11" s="219" t="s">
        <v>66</v>
      </c>
      <c r="I11" s="219" t="s">
        <v>67</v>
      </c>
      <c r="J11" s="219" t="s">
        <v>68</v>
      </c>
      <c r="K11" s="219" t="s">
        <v>69</v>
      </c>
      <c r="L11" s="219" t="s">
        <v>70</v>
      </c>
      <c r="M11" s="219" t="s">
        <v>71</v>
      </c>
    </row>
    <row r="12" spans="1:13">
      <c r="A12" s="216" t="s">
        <v>157</v>
      </c>
      <c r="B12" s="217">
        <v>1.59</v>
      </c>
      <c r="C12" s="217">
        <v>1.59</v>
      </c>
      <c r="D12" s="217">
        <v>1.59</v>
      </c>
      <c r="E12" s="217">
        <v>1.59</v>
      </c>
      <c r="F12" s="217">
        <v>1.59</v>
      </c>
      <c r="G12" s="217">
        <v>1.59</v>
      </c>
      <c r="H12" s="217">
        <v>1.59</v>
      </c>
      <c r="I12" s="217">
        <v>1.59</v>
      </c>
      <c r="J12" s="217">
        <v>1.59</v>
      </c>
      <c r="K12" s="217">
        <v>1.59</v>
      </c>
      <c r="L12" s="217">
        <v>1.59</v>
      </c>
      <c r="M12" s="217">
        <v>1.59</v>
      </c>
    </row>
    <row r="13" spans="1:13">
      <c r="A13" s="218" t="s">
        <v>180</v>
      </c>
      <c r="B13" s="219" t="s">
        <v>61</v>
      </c>
      <c r="C13" s="219" t="s">
        <v>62</v>
      </c>
      <c r="D13" s="219" t="s">
        <v>63</v>
      </c>
      <c r="E13" s="219" t="s">
        <v>64</v>
      </c>
      <c r="F13" s="219" t="s">
        <v>4</v>
      </c>
      <c r="G13" s="219" t="s">
        <v>65</v>
      </c>
      <c r="H13" s="219" t="s">
        <v>66</v>
      </c>
      <c r="I13" s="219" t="s">
        <v>67</v>
      </c>
      <c r="J13" s="219" t="s">
        <v>68</v>
      </c>
      <c r="K13" s="219" t="s">
        <v>69</v>
      </c>
      <c r="L13" s="219" t="s">
        <v>70</v>
      </c>
      <c r="M13" s="219" t="s">
        <v>71</v>
      </c>
    </row>
    <row r="14" spans="1:13">
      <c r="A14" s="216" t="s">
        <v>157</v>
      </c>
      <c r="B14" s="217">
        <v>1.59</v>
      </c>
      <c r="C14" s="217">
        <v>1.59</v>
      </c>
      <c r="D14" s="217">
        <v>1.59</v>
      </c>
      <c r="E14" s="217">
        <v>1.59</v>
      </c>
      <c r="F14" s="217">
        <v>1.59</v>
      </c>
      <c r="G14" s="217">
        <v>1.59</v>
      </c>
      <c r="H14" s="217">
        <v>1.59</v>
      </c>
      <c r="I14" s="217">
        <v>1.59</v>
      </c>
      <c r="J14" s="217">
        <v>1.59</v>
      </c>
      <c r="K14" s="217">
        <v>1.59</v>
      </c>
      <c r="L14" s="217">
        <v>1.59</v>
      </c>
      <c r="M14" s="217">
        <v>1.59</v>
      </c>
    </row>
    <row r="15" spans="1:13">
      <c r="A15" s="218" t="s">
        <v>226</v>
      </c>
      <c r="B15" s="219" t="s">
        <v>61</v>
      </c>
      <c r="C15" s="219" t="s">
        <v>62</v>
      </c>
      <c r="D15" s="219" t="s">
        <v>63</v>
      </c>
      <c r="E15" s="219" t="s">
        <v>64</v>
      </c>
      <c r="F15" s="219" t="s">
        <v>4</v>
      </c>
      <c r="G15" s="219" t="s">
        <v>65</v>
      </c>
      <c r="H15" s="219" t="s">
        <v>66</v>
      </c>
      <c r="I15" s="219" t="s">
        <v>67</v>
      </c>
      <c r="J15" s="219" t="s">
        <v>68</v>
      </c>
      <c r="K15" s="219" t="s">
        <v>69</v>
      </c>
      <c r="L15" s="219" t="s">
        <v>70</v>
      </c>
      <c r="M15" s="219" t="s">
        <v>71</v>
      </c>
    </row>
    <row r="16" spans="1:13">
      <c r="A16" s="216" t="s">
        <v>157</v>
      </c>
      <c r="B16" s="217">
        <v>1.59</v>
      </c>
      <c r="C16" s="217">
        <v>1.59</v>
      </c>
      <c r="D16" s="217">
        <v>1.59</v>
      </c>
      <c r="E16" s="217">
        <v>1.59</v>
      </c>
      <c r="F16" s="217">
        <v>1.59</v>
      </c>
      <c r="G16" s="217">
        <v>1.59</v>
      </c>
      <c r="H16" s="217">
        <v>1.59</v>
      </c>
      <c r="I16" s="217">
        <v>1.59</v>
      </c>
      <c r="J16" s="217">
        <v>1.59</v>
      </c>
      <c r="K16" s="217">
        <v>1.59</v>
      </c>
      <c r="L16" s="217">
        <v>1.59</v>
      </c>
      <c r="M16" s="217">
        <v>1.59</v>
      </c>
    </row>
    <row r="17" spans="1:13">
      <c r="A17" s="218" t="s">
        <v>180</v>
      </c>
      <c r="B17" s="219" t="s">
        <v>61</v>
      </c>
      <c r="C17" s="219" t="s">
        <v>62</v>
      </c>
      <c r="D17" s="219" t="s">
        <v>63</v>
      </c>
      <c r="E17" s="219" t="s">
        <v>64</v>
      </c>
      <c r="F17" s="219" t="s">
        <v>4</v>
      </c>
      <c r="G17" s="219" t="s">
        <v>65</v>
      </c>
      <c r="H17" s="219" t="s">
        <v>66</v>
      </c>
      <c r="I17" s="219" t="s">
        <v>67</v>
      </c>
      <c r="J17" s="219" t="s">
        <v>68</v>
      </c>
      <c r="K17" s="219" t="s">
        <v>69</v>
      </c>
      <c r="L17" s="219" t="s">
        <v>70</v>
      </c>
      <c r="M17" s="219" t="s">
        <v>71</v>
      </c>
    </row>
    <row r="18" spans="1:13">
      <c r="A18" s="220" t="s">
        <v>157</v>
      </c>
      <c r="B18" s="217">
        <v>0</v>
      </c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</row>
    <row r="19" spans="1:13">
      <c r="A19" s="218" t="s">
        <v>318</v>
      </c>
      <c r="B19" s="219" t="s">
        <v>61</v>
      </c>
      <c r="C19" s="219" t="s">
        <v>62</v>
      </c>
      <c r="D19" s="219" t="s">
        <v>63</v>
      </c>
      <c r="E19" s="219" t="s">
        <v>64</v>
      </c>
      <c r="F19" s="219" t="s">
        <v>4</v>
      </c>
      <c r="G19" s="219" t="s">
        <v>65</v>
      </c>
      <c r="H19" s="219" t="s">
        <v>66</v>
      </c>
      <c r="I19" s="219" t="s">
        <v>67</v>
      </c>
      <c r="J19" s="219" t="s">
        <v>68</v>
      </c>
      <c r="K19" s="219" t="s">
        <v>69</v>
      </c>
      <c r="L19" s="219" t="s">
        <v>70</v>
      </c>
      <c r="M19" s="219" t="s">
        <v>71</v>
      </c>
    </row>
    <row r="20" spans="1:13">
      <c r="A20" s="216" t="s">
        <v>157</v>
      </c>
      <c r="B20" s="217">
        <v>1.59</v>
      </c>
      <c r="C20" s="217">
        <v>1.59</v>
      </c>
      <c r="D20" s="217">
        <v>1.59</v>
      </c>
      <c r="E20" s="217">
        <v>1.59</v>
      </c>
      <c r="F20" s="217">
        <v>1.59</v>
      </c>
      <c r="G20" s="217">
        <v>1.59</v>
      </c>
      <c r="H20" s="217">
        <v>1.59</v>
      </c>
      <c r="I20" s="217">
        <v>1.59</v>
      </c>
      <c r="J20" s="217">
        <v>1.59</v>
      </c>
      <c r="K20" s="217">
        <v>1.59</v>
      </c>
      <c r="L20" s="217">
        <v>1.59</v>
      </c>
      <c r="M20" s="217">
        <v>1.59</v>
      </c>
    </row>
    <row r="21" spans="1:13">
      <c r="A21" s="218" t="s">
        <v>368</v>
      </c>
      <c r="B21" s="219" t="s">
        <v>61</v>
      </c>
      <c r="C21" s="219" t="s">
        <v>62</v>
      </c>
      <c r="D21" s="219" t="s">
        <v>63</v>
      </c>
      <c r="E21" s="219" t="s">
        <v>64</v>
      </c>
      <c r="F21" s="219" t="s">
        <v>4</v>
      </c>
      <c r="G21" s="219" t="s">
        <v>65</v>
      </c>
      <c r="H21" s="219" t="s">
        <v>66</v>
      </c>
      <c r="I21" s="219" t="s">
        <v>67</v>
      </c>
      <c r="J21" s="219" t="s">
        <v>68</v>
      </c>
      <c r="K21" s="219" t="s">
        <v>69</v>
      </c>
      <c r="L21" s="219" t="s">
        <v>70</v>
      </c>
      <c r="M21" s="219" t="s">
        <v>71</v>
      </c>
    </row>
    <row r="22" spans="1:13">
      <c r="A22" s="216" t="s">
        <v>157</v>
      </c>
      <c r="B22" s="217">
        <v>1.59</v>
      </c>
      <c r="C22" s="217">
        <v>1.59</v>
      </c>
      <c r="D22" s="217">
        <v>1.59</v>
      </c>
      <c r="E22" s="217">
        <v>1.59</v>
      </c>
      <c r="F22" s="217">
        <v>1.59</v>
      </c>
      <c r="G22" s="217">
        <v>1.59</v>
      </c>
      <c r="H22" s="217">
        <v>1.59</v>
      </c>
      <c r="I22" s="217">
        <v>1.59</v>
      </c>
      <c r="J22" s="217">
        <v>1.59</v>
      </c>
      <c r="K22" s="217">
        <v>1.59</v>
      </c>
      <c r="L22" s="217">
        <v>1.59</v>
      </c>
      <c r="M22" s="217">
        <v>1.59</v>
      </c>
    </row>
    <row r="23" spans="1:13">
      <c r="A23" s="451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3">
      <c r="A24" s="451"/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</row>
    <row r="25" spans="1:13">
      <c r="A25" s="257" t="s">
        <v>187</v>
      </c>
      <c r="B25" s="259">
        <f>0.0135</f>
        <v>1.35E-2</v>
      </c>
    </row>
    <row r="26" spans="1:13">
      <c r="A26" s="258" t="s">
        <v>171</v>
      </c>
      <c r="B26" s="260">
        <f>4.818</f>
        <v>4.8179999999999996</v>
      </c>
    </row>
    <row r="27" spans="1:13">
      <c r="A27" s="258" t="s">
        <v>188</v>
      </c>
      <c r="B27" s="303">
        <v>1.8499999999999999E-2</v>
      </c>
    </row>
    <row r="30" spans="1:13">
      <c r="A30" s="212" t="s">
        <v>200</v>
      </c>
      <c r="B30" s="212" t="s">
        <v>273</v>
      </c>
    </row>
    <row r="33" spans="1:5">
      <c r="A33" s="243" t="s">
        <v>336</v>
      </c>
      <c r="B33" s="361" t="s">
        <v>337</v>
      </c>
      <c r="C33" s="21"/>
      <c r="D33" s="21"/>
      <c r="E33" s="21"/>
    </row>
  </sheetData>
  <phoneticPr fontId="28" type="noConversion"/>
  <hyperlinks>
    <hyperlink ref="B33" r:id="rId1"/>
  </hyperlinks>
  <pageMargins left="0.22" right="0.25" top="0.79" bottom="1" header="0.5" footer="0.5"/>
  <pageSetup orientation="landscape" r:id="rId2"/>
  <headerFooter alignWithMargins="0">
    <oddHeader>&amp;R&amp;D &amp;T</oddHeader>
    <oddFooter>&amp;Z&amp;F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00B050"/>
  </sheetPr>
  <dimension ref="A1:R430"/>
  <sheetViews>
    <sheetView zoomScaleNormal="100" workbookViewId="0">
      <pane xSplit="1" ySplit="5" topLeftCell="B6" activePane="bottomRight" state="frozen"/>
      <selection sqref="A1:XFD1428"/>
      <selection pane="topRight" sqref="A1:XFD1428"/>
      <selection pane="bottomLeft" sqref="A1:XFD1428"/>
      <selection pane="bottomRight" activeCell="A2" sqref="A2"/>
    </sheetView>
  </sheetViews>
  <sheetFormatPr defaultColWidth="9" defaultRowHeight="12"/>
  <cols>
    <col min="1" max="1" width="25" style="21" customWidth="1"/>
    <col min="2" max="2" width="9.33203125" style="21" customWidth="1"/>
    <col min="3" max="3" width="8.44140625" style="21" customWidth="1"/>
    <col min="4" max="4" width="7.21875" style="21" customWidth="1"/>
    <col min="5" max="5" width="7.44140625" style="21" customWidth="1"/>
    <col min="6" max="6" width="7.33203125" style="21" customWidth="1"/>
    <col min="7" max="7" width="6.88671875" style="21" customWidth="1"/>
    <col min="8" max="8" width="7.33203125" style="21" customWidth="1"/>
    <col min="9" max="9" width="6.33203125" style="21" customWidth="1"/>
    <col min="10" max="10" width="7.21875" style="21" customWidth="1"/>
    <col min="11" max="11" width="6.6640625" style="21" customWidth="1"/>
    <col min="12" max="12" width="7.21875" style="21" customWidth="1"/>
    <col min="13" max="13" width="8.44140625" style="21" customWidth="1"/>
    <col min="14" max="14" width="8" style="21" customWidth="1"/>
    <col min="15" max="16" width="9.21875" style="21" bestFit="1" customWidth="1"/>
    <col min="17" max="16384" width="9" style="21"/>
  </cols>
  <sheetData>
    <row r="1" spans="1:18" ht="12.6">
      <c r="A1" s="482" t="s">
        <v>494</v>
      </c>
    </row>
    <row r="2" spans="1:18" s="15" customFormat="1" ht="13.8">
      <c r="A2" s="482" t="s">
        <v>458</v>
      </c>
      <c r="B2" s="13">
        <f ca="1">TRUNC(NOW())</f>
        <v>42476</v>
      </c>
      <c r="C2" s="14"/>
      <c r="D2" s="16" t="s">
        <v>89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15" customFormat="1" ht="13.8">
      <c r="A3" s="16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15" customFormat="1" ht="15.6">
      <c r="A4" s="392" t="s">
        <v>342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  <c r="Q4" s="14"/>
      <c r="R4" s="14"/>
    </row>
    <row r="5" spans="1:18" s="15" customFormat="1" ht="13.8">
      <c r="A5" s="22" t="s">
        <v>18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</row>
    <row r="6" spans="1:18" s="19" customFormat="1" ht="10.199999999999999">
      <c r="A6" s="421">
        <v>2014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9"/>
    </row>
    <row r="7" spans="1:18" s="19" customFormat="1" ht="10.199999999999999">
      <c r="A7" s="400"/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2"/>
    </row>
    <row r="8" spans="1:18" s="19" customFormat="1" ht="13.2">
      <c r="A8" s="400" t="s">
        <v>19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4"/>
    </row>
    <row r="9" spans="1:18" s="19" customFormat="1" ht="10.199999999999999">
      <c r="A9" s="400"/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2"/>
    </row>
    <row r="10" spans="1:18" s="19" customFormat="1" ht="10.199999999999999">
      <c r="A10" s="405" t="s">
        <v>344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50"/>
    </row>
    <row r="11" spans="1:18" s="28" customFormat="1" ht="10.199999999999999">
      <c r="A11" s="406" t="s">
        <v>16</v>
      </c>
      <c r="B11" s="407">
        <f>5000</f>
        <v>5000</v>
      </c>
      <c r="C11" s="407">
        <f>5000</f>
        <v>5000</v>
      </c>
      <c r="D11" s="407">
        <f>5000</f>
        <v>5000</v>
      </c>
      <c r="E11" s="407">
        <f>5000</f>
        <v>5000</v>
      </c>
      <c r="F11" s="407">
        <f>5000</f>
        <v>5000</v>
      </c>
      <c r="G11" s="407">
        <f>5000</f>
        <v>5000</v>
      </c>
      <c r="H11" s="407">
        <f>5000</f>
        <v>5000</v>
      </c>
      <c r="I11" s="407">
        <f>5000</f>
        <v>5000</v>
      </c>
      <c r="J11" s="407">
        <f>5000</f>
        <v>5000</v>
      </c>
      <c r="K11" s="407">
        <f>5000</f>
        <v>5000</v>
      </c>
      <c r="L11" s="407">
        <f>5000</f>
        <v>5000</v>
      </c>
      <c r="M11" s="407">
        <f>5000</f>
        <v>5000</v>
      </c>
      <c r="N11" s="408">
        <f>SUM(B11:M11)</f>
        <v>60000</v>
      </c>
      <c r="O11" s="329"/>
    </row>
    <row r="12" spans="1:18" s="19" customFormat="1">
      <c r="A12" s="409" t="s">
        <v>20</v>
      </c>
      <c r="B12" s="410">
        <f>'Transmission Formula Rate (7)'!B8</f>
        <v>1.59</v>
      </c>
      <c r="C12" s="410">
        <f>'Transmission Formula Rate (7)'!C8</f>
        <v>1.59</v>
      </c>
      <c r="D12" s="410">
        <f>'Transmission Formula Rate (7)'!D8</f>
        <v>1.59</v>
      </c>
      <c r="E12" s="410">
        <f>'Transmission Formula Rate (7)'!E8</f>
        <v>1.59</v>
      </c>
      <c r="F12" s="410">
        <f>'Transmission Formula Rate (7)'!F8</f>
        <v>1.59</v>
      </c>
      <c r="G12" s="410">
        <f>'Transmission Formula Rate (7)'!G8</f>
        <v>1.59</v>
      </c>
      <c r="H12" s="410">
        <f>'Transmission Formula Rate (7)'!H8</f>
        <v>1.59</v>
      </c>
      <c r="I12" s="410">
        <f>'Transmission Formula Rate (7)'!I8</f>
        <v>1.59</v>
      </c>
      <c r="J12" s="410">
        <f>'Transmission Formula Rate (7)'!J8</f>
        <v>1.59</v>
      </c>
      <c r="K12" s="410">
        <f>'Transmission Formula Rate (7)'!K8</f>
        <v>1.59</v>
      </c>
      <c r="L12" s="410">
        <f>'Transmission Formula Rate (7)'!L8</f>
        <v>1.59</v>
      </c>
      <c r="M12" s="410">
        <f>'Transmission Formula Rate (7)'!M8</f>
        <v>1.59</v>
      </c>
      <c r="N12" s="250"/>
      <c r="O12" s="21"/>
    </row>
    <row r="13" spans="1:18" s="19" customFormat="1">
      <c r="A13" s="409" t="s">
        <v>17</v>
      </c>
      <c r="B13" s="411">
        <f t="shared" ref="B13:M13" si="0">B11*B12</f>
        <v>7950</v>
      </c>
      <c r="C13" s="411">
        <f t="shared" si="0"/>
        <v>7950</v>
      </c>
      <c r="D13" s="411">
        <f t="shared" si="0"/>
        <v>7950</v>
      </c>
      <c r="E13" s="411">
        <f t="shared" si="0"/>
        <v>7950</v>
      </c>
      <c r="F13" s="411">
        <f t="shared" si="0"/>
        <v>7950</v>
      </c>
      <c r="G13" s="411">
        <f t="shared" si="0"/>
        <v>7950</v>
      </c>
      <c r="H13" s="411">
        <f t="shared" si="0"/>
        <v>7950</v>
      </c>
      <c r="I13" s="411">
        <f t="shared" si="0"/>
        <v>7950</v>
      </c>
      <c r="J13" s="411">
        <f t="shared" si="0"/>
        <v>7950</v>
      </c>
      <c r="K13" s="411">
        <f t="shared" si="0"/>
        <v>7950</v>
      </c>
      <c r="L13" s="411">
        <f t="shared" si="0"/>
        <v>7950</v>
      </c>
      <c r="M13" s="411">
        <f t="shared" si="0"/>
        <v>7950</v>
      </c>
      <c r="N13" s="412">
        <f>SUM(B13:M13)</f>
        <v>95400</v>
      </c>
      <c r="O13" s="21"/>
    </row>
    <row r="14" spans="1:18" s="19" customFormat="1">
      <c r="A14" s="413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50"/>
      <c r="O14" s="21"/>
    </row>
    <row r="15" spans="1:18" s="19" customFormat="1">
      <c r="A15" s="405" t="s">
        <v>287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50"/>
      <c r="O15" s="21"/>
    </row>
    <row r="16" spans="1:18" s="28" customFormat="1">
      <c r="A16" s="406" t="s">
        <v>16</v>
      </c>
      <c r="B16" s="407">
        <v>23000</v>
      </c>
      <c r="C16" s="407">
        <v>23000</v>
      </c>
      <c r="D16" s="407">
        <v>23000</v>
      </c>
      <c r="E16" s="407">
        <v>23000</v>
      </c>
      <c r="F16" s="407">
        <v>23000</v>
      </c>
      <c r="G16" s="407">
        <v>23000</v>
      </c>
      <c r="H16" s="407">
        <v>23000</v>
      </c>
      <c r="I16" s="407">
        <v>23000</v>
      </c>
      <c r="J16" s="407">
        <v>23000</v>
      </c>
      <c r="K16" s="407">
        <v>23000</v>
      </c>
      <c r="L16" s="407">
        <v>23000</v>
      </c>
      <c r="M16" s="407">
        <v>23000</v>
      </c>
      <c r="N16" s="408">
        <f>SUM(B16:M16)</f>
        <v>276000</v>
      </c>
      <c r="O16" s="395" t="s">
        <v>346</v>
      </c>
      <c r="P16" s="396"/>
    </row>
    <row r="17" spans="1:15" s="19" customFormat="1">
      <c r="A17" s="409" t="s">
        <v>20</v>
      </c>
      <c r="B17" s="410">
        <f>B12</f>
        <v>1.59</v>
      </c>
      <c r="C17" s="410">
        <f t="shared" ref="C17:M17" si="1">C12</f>
        <v>1.59</v>
      </c>
      <c r="D17" s="410">
        <f t="shared" si="1"/>
        <v>1.59</v>
      </c>
      <c r="E17" s="410">
        <f t="shared" si="1"/>
        <v>1.59</v>
      </c>
      <c r="F17" s="410">
        <f t="shared" si="1"/>
        <v>1.59</v>
      </c>
      <c r="G17" s="410">
        <f t="shared" si="1"/>
        <v>1.59</v>
      </c>
      <c r="H17" s="410">
        <f t="shared" si="1"/>
        <v>1.59</v>
      </c>
      <c r="I17" s="410">
        <f t="shared" si="1"/>
        <v>1.59</v>
      </c>
      <c r="J17" s="410">
        <f t="shared" si="1"/>
        <v>1.59</v>
      </c>
      <c r="K17" s="410">
        <f t="shared" si="1"/>
        <v>1.59</v>
      </c>
      <c r="L17" s="410">
        <f t="shared" si="1"/>
        <v>1.59</v>
      </c>
      <c r="M17" s="410">
        <f t="shared" si="1"/>
        <v>1.59</v>
      </c>
      <c r="N17" s="250"/>
      <c r="O17" s="21"/>
    </row>
    <row r="18" spans="1:15" s="19" customFormat="1">
      <c r="A18" s="409" t="s">
        <v>17</v>
      </c>
      <c r="B18" s="411">
        <f t="shared" ref="B18:M18" si="2">B16*B17</f>
        <v>36570</v>
      </c>
      <c r="C18" s="411">
        <f t="shared" si="2"/>
        <v>36570</v>
      </c>
      <c r="D18" s="411">
        <f t="shared" si="2"/>
        <v>36570</v>
      </c>
      <c r="E18" s="411">
        <f t="shared" si="2"/>
        <v>36570</v>
      </c>
      <c r="F18" s="411">
        <f t="shared" si="2"/>
        <v>36570</v>
      </c>
      <c r="G18" s="411">
        <f t="shared" si="2"/>
        <v>36570</v>
      </c>
      <c r="H18" s="411">
        <f t="shared" si="2"/>
        <v>36570</v>
      </c>
      <c r="I18" s="411">
        <f t="shared" si="2"/>
        <v>36570</v>
      </c>
      <c r="J18" s="411">
        <f t="shared" si="2"/>
        <v>36570</v>
      </c>
      <c r="K18" s="411">
        <f t="shared" si="2"/>
        <v>36570</v>
      </c>
      <c r="L18" s="411">
        <f t="shared" si="2"/>
        <v>36570</v>
      </c>
      <c r="M18" s="411">
        <f t="shared" si="2"/>
        <v>36570</v>
      </c>
      <c r="N18" s="412">
        <f>SUM(B18:M18)</f>
        <v>438840</v>
      </c>
      <c r="O18" s="21"/>
    </row>
    <row r="19" spans="1:15" s="19" customFormat="1">
      <c r="A19" s="413"/>
      <c r="B19" s="411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50"/>
      <c r="O19" s="21"/>
    </row>
    <row r="20" spans="1:15" s="19" customFormat="1">
      <c r="A20" s="405" t="s">
        <v>112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50"/>
      <c r="O20" s="21"/>
    </row>
    <row r="21" spans="1:15" s="28" customFormat="1">
      <c r="A21" s="406" t="s">
        <v>16</v>
      </c>
      <c r="B21" s="407">
        <f>(50+100)*1000</f>
        <v>150000</v>
      </c>
      <c r="C21" s="407">
        <f t="shared" ref="C21:M21" si="3">(50+100)*1000</f>
        <v>150000</v>
      </c>
      <c r="D21" s="407">
        <f t="shared" si="3"/>
        <v>150000</v>
      </c>
      <c r="E21" s="407">
        <f t="shared" si="3"/>
        <v>150000</v>
      </c>
      <c r="F21" s="407">
        <f t="shared" si="3"/>
        <v>150000</v>
      </c>
      <c r="G21" s="407">
        <f t="shared" si="3"/>
        <v>150000</v>
      </c>
      <c r="H21" s="407">
        <f t="shared" si="3"/>
        <v>150000</v>
      </c>
      <c r="I21" s="407">
        <f t="shared" si="3"/>
        <v>150000</v>
      </c>
      <c r="J21" s="407">
        <f t="shared" si="3"/>
        <v>150000</v>
      </c>
      <c r="K21" s="407">
        <f t="shared" si="3"/>
        <v>150000</v>
      </c>
      <c r="L21" s="407">
        <f t="shared" si="3"/>
        <v>150000</v>
      </c>
      <c r="M21" s="407">
        <f t="shared" si="3"/>
        <v>150000</v>
      </c>
      <c r="N21" s="408">
        <f>SUM(B21:M21)</f>
        <v>1800000</v>
      </c>
      <c r="O21" s="21"/>
    </row>
    <row r="22" spans="1:15" s="19" customFormat="1">
      <c r="A22" s="409" t="s">
        <v>20</v>
      </c>
      <c r="B22" s="414">
        <f>B17</f>
        <v>1.59</v>
      </c>
      <c r="C22" s="414">
        <f t="shared" ref="C22:M22" si="4">C17</f>
        <v>1.59</v>
      </c>
      <c r="D22" s="414">
        <f t="shared" si="4"/>
        <v>1.59</v>
      </c>
      <c r="E22" s="414">
        <f t="shared" si="4"/>
        <v>1.59</v>
      </c>
      <c r="F22" s="414">
        <f t="shared" si="4"/>
        <v>1.59</v>
      </c>
      <c r="G22" s="414">
        <f t="shared" si="4"/>
        <v>1.59</v>
      </c>
      <c r="H22" s="414">
        <f t="shared" si="4"/>
        <v>1.59</v>
      </c>
      <c r="I22" s="414">
        <f t="shared" si="4"/>
        <v>1.59</v>
      </c>
      <c r="J22" s="414">
        <f t="shared" si="4"/>
        <v>1.59</v>
      </c>
      <c r="K22" s="414">
        <f t="shared" si="4"/>
        <v>1.59</v>
      </c>
      <c r="L22" s="414">
        <f t="shared" si="4"/>
        <v>1.59</v>
      </c>
      <c r="M22" s="414">
        <f t="shared" si="4"/>
        <v>1.59</v>
      </c>
      <c r="N22" s="250"/>
      <c r="O22" s="21"/>
    </row>
    <row r="23" spans="1:15" s="19" customFormat="1">
      <c r="A23" s="409" t="s">
        <v>17</v>
      </c>
      <c r="B23" s="411">
        <f t="shared" ref="B23:M23" si="5">B21*B22</f>
        <v>238500</v>
      </c>
      <c r="C23" s="411">
        <f t="shared" si="5"/>
        <v>238500</v>
      </c>
      <c r="D23" s="411">
        <f t="shared" si="5"/>
        <v>238500</v>
      </c>
      <c r="E23" s="411">
        <f t="shared" si="5"/>
        <v>238500</v>
      </c>
      <c r="F23" s="411">
        <f t="shared" si="5"/>
        <v>238500</v>
      </c>
      <c r="G23" s="411">
        <f t="shared" si="5"/>
        <v>238500</v>
      </c>
      <c r="H23" s="411">
        <f t="shared" si="5"/>
        <v>238500</v>
      </c>
      <c r="I23" s="411">
        <f t="shared" si="5"/>
        <v>238500</v>
      </c>
      <c r="J23" s="411">
        <f t="shared" si="5"/>
        <v>238500</v>
      </c>
      <c r="K23" s="411">
        <f t="shared" si="5"/>
        <v>238500</v>
      </c>
      <c r="L23" s="411">
        <f t="shared" si="5"/>
        <v>238500</v>
      </c>
      <c r="M23" s="411">
        <f t="shared" si="5"/>
        <v>238500</v>
      </c>
      <c r="N23" s="412">
        <f>SUM(B23:M23)</f>
        <v>2862000</v>
      </c>
      <c r="O23" s="21"/>
    </row>
    <row r="24" spans="1:15" s="19" customFormat="1">
      <c r="A24" s="413"/>
      <c r="B24" s="411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50"/>
      <c r="O24" s="21"/>
    </row>
    <row r="25" spans="1:15" s="19" customFormat="1" ht="10.199999999999999">
      <c r="A25" s="405" t="s">
        <v>23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50"/>
      <c r="O25" s="28"/>
    </row>
    <row r="26" spans="1:15" s="28" customFormat="1" ht="10.199999999999999">
      <c r="A26" s="406" t="s">
        <v>16</v>
      </c>
      <c r="B26" s="407">
        <f>37.056*1000</f>
        <v>37056</v>
      </c>
      <c r="C26" s="407">
        <f t="shared" ref="C26:L26" si="6">37.056*1000</f>
        <v>37056</v>
      </c>
      <c r="D26" s="407">
        <f t="shared" si="6"/>
        <v>37056</v>
      </c>
      <c r="E26" s="407">
        <f t="shared" si="6"/>
        <v>37056</v>
      </c>
      <c r="F26" s="407">
        <f t="shared" si="6"/>
        <v>37056</v>
      </c>
      <c r="G26" s="407">
        <f t="shared" si="6"/>
        <v>37056</v>
      </c>
      <c r="H26" s="407">
        <f t="shared" si="6"/>
        <v>37056</v>
      </c>
      <c r="I26" s="407">
        <f t="shared" si="6"/>
        <v>37056</v>
      </c>
      <c r="J26" s="407">
        <f t="shared" si="6"/>
        <v>37056</v>
      </c>
      <c r="K26" s="407">
        <f t="shared" si="6"/>
        <v>37056</v>
      </c>
      <c r="L26" s="407">
        <f t="shared" si="6"/>
        <v>37056</v>
      </c>
      <c r="M26" s="407">
        <f>37.056*1000</f>
        <v>37056</v>
      </c>
      <c r="N26" s="408">
        <f>SUM(B26:M26)</f>
        <v>444672</v>
      </c>
    </row>
    <row r="27" spans="1:15" s="19" customFormat="1" ht="10.199999999999999">
      <c r="A27" s="409" t="s">
        <v>20</v>
      </c>
      <c r="B27" s="414">
        <f>B22</f>
        <v>1.59</v>
      </c>
      <c r="C27" s="414">
        <f t="shared" ref="C27:M27" si="7">C22</f>
        <v>1.59</v>
      </c>
      <c r="D27" s="414">
        <f t="shared" si="7"/>
        <v>1.59</v>
      </c>
      <c r="E27" s="414">
        <f t="shared" si="7"/>
        <v>1.59</v>
      </c>
      <c r="F27" s="414">
        <f t="shared" si="7"/>
        <v>1.59</v>
      </c>
      <c r="G27" s="414">
        <f t="shared" si="7"/>
        <v>1.59</v>
      </c>
      <c r="H27" s="414">
        <f t="shared" si="7"/>
        <v>1.59</v>
      </c>
      <c r="I27" s="414">
        <f t="shared" si="7"/>
        <v>1.59</v>
      </c>
      <c r="J27" s="414">
        <f t="shared" si="7"/>
        <v>1.59</v>
      </c>
      <c r="K27" s="414">
        <f t="shared" si="7"/>
        <v>1.59</v>
      </c>
      <c r="L27" s="414">
        <f t="shared" si="7"/>
        <v>1.59</v>
      </c>
      <c r="M27" s="414">
        <f t="shared" si="7"/>
        <v>1.59</v>
      </c>
      <c r="N27" s="250"/>
    </row>
    <row r="28" spans="1:15" s="19" customFormat="1" ht="10.199999999999999">
      <c r="A28" s="409" t="s">
        <v>17</v>
      </c>
      <c r="B28" s="411">
        <f t="shared" ref="B28:M28" si="8">B26*B27</f>
        <v>58919.040000000001</v>
      </c>
      <c r="C28" s="411">
        <f t="shared" si="8"/>
        <v>58919.040000000001</v>
      </c>
      <c r="D28" s="411">
        <f t="shared" si="8"/>
        <v>58919.040000000001</v>
      </c>
      <c r="E28" s="411">
        <f t="shared" si="8"/>
        <v>58919.040000000001</v>
      </c>
      <c r="F28" s="411">
        <f t="shared" si="8"/>
        <v>58919.040000000001</v>
      </c>
      <c r="G28" s="411">
        <f t="shared" si="8"/>
        <v>58919.040000000001</v>
      </c>
      <c r="H28" s="411">
        <f t="shared" si="8"/>
        <v>58919.040000000001</v>
      </c>
      <c r="I28" s="411">
        <f t="shared" si="8"/>
        <v>58919.040000000001</v>
      </c>
      <c r="J28" s="411">
        <f t="shared" si="8"/>
        <v>58919.040000000001</v>
      </c>
      <c r="K28" s="411">
        <f t="shared" si="8"/>
        <v>58919.040000000001</v>
      </c>
      <c r="L28" s="411">
        <f t="shared" si="8"/>
        <v>58919.040000000001</v>
      </c>
      <c r="M28" s="411">
        <f t="shared" si="8"/>
        <v>58919.040000000001</v>
      </c>
      <c r="N28" s="412">
        <f>SUM(B28:M28)</f>
        <v>707028.4800000001</v>
      </c>
    </row>
    <row r="29" spans="1:15" s="19" customFormat="1" ht="10.199999999999999">
      <c r="A29" s="413"/>
      <c r="B29" s="411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50"/>
    </row>
    <row r="30" spans="1:15" s="19" customFormat="1" ht="10.199999999999999">
      <c r="A30" s="405" t="s">
        <v>24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50"/>
    </row>
    <row r="31" spans="1:15" s="28" customFormat="1" ht="10.199999999999999">
      <c r="A31" s="406" t="s">
        <v>16</v>
      </c>
      <c r="B31" s="407">
        <v>52000</v>
      </c>
      <c r="C31" s="407">
        <v>52000</v>
      </c>
      <c r="D31" s="407">
        <v>52000</v>
      </c>
      <c r="E31" s="407">
        <v>52000</v>
      </c>
      <c r="F31" s="407">
        <v>52000</v>
      </c>
      <c r="G31" s="407">
        <v>52000</v>
      </c>
      <c r="H31" s="407">
        <v>52000</v>
      </c>
      <c r="I31" s="407">
        <v>52000</v>
      </c>
      <c r="J31" s="407">
        <v>52000</v>
      </c>
      <c r="K31" s="407">
        <v>52000</v>
      </c>
      <c r="L31" s="407">
        <v>52000</v>
      </c>
      <c r="M31" s="407">
        <v>52000</v>
      </c>
      <c r="N31" s="408">
        <f>SUM(B31:M31)</f>
        <v>624000</v>
      </c>
    </row>
    <row r="32" spans="1:15" s="19" customFormat="1" ht="10.199999999999999">
      <c r="A32" s="409" t="s">
        <v>20</v>
      </c>
      <c r="B32" s="414">
        <f>B27</f>
        <v>1.59</v>
      </c>
      <c r="C32" s="414">
        <f t="shared" ref="C32:M32" si="9">C27</f>
        <v>1.59</v>
      </c>
      <c r="D32" s="414">
        <f t="shared" si="9"/>
        <v>1.59</v>
      </c>
      <c r="E32" s="414">
        <f t="shared" si="9"/>
        <v>1.59</v>
      </c>
      <c r="F32" s="414">
        <f t="shared" si="9"/>
        <v>1.59</v>
      </c>
      <c r="G32" s="414">
        <f t="shared" si="9"/>
        <v>1.59</v>
      </c>
      <c r="H32" s="414">
        <f t="shared" si="9"/>
        <v>1.59</v>
      </c>
      <c r="I32" s="414">
        <f t="shared" si="9"/>
        <v>1.59</v>
      </c>
      <c r="J32" s="414">
        <f t="shared" si="9"/>
        <v>1.59</v>
      </c>
      <c r="K32" s="414">
        <f t="shared" si="9"/>
        <v>1.59</v>
      </c>
      <c r="L32" s="414">
        <f t="shared" si="9"/>
        <v>1.59</v>
      </c>
      <c r="M32" s="414">
        <f t="shared" si="9"/>
        <v>1.59</v>
      </c>
      <c r="N32" s="250"/>
    </row>
    <row r="33" spans="1:15" s="19" customFormat="1" ht="10.199999999999999">
      <c r="A33" s="409" t="s">
        <v>17</v>
      </c>
      <c r="B33" s="411">
        <f t="shared" ref="B33:M33" si="10">B31*B32</f>
        <v>82680</v>
      </c>
      <c r="C33" s="411">
        <f t="shared" si="10"/>
        <v>82680</v>
      </c>
      <c r="D33" s="411">
        <f t="shared" si="10"/>
        <v>82680</v>
      </c>
      <c r="E33" s="411">
        <f t="shared" si="10"/>
        <v>82680</v>
      </c>
      <c r="F33" s="411">
        <f t="shared" si="10"/>
        <v>82680</v>
      </c>
      <c r="G33" s="411">
        <f t="shared" si="10"/>
        <v>82680</v>
      </c>
      <c r="H33" s="411">
        <f t="shared" si="10"/>
        <v>82680</v>
      </c>
      <c r="I33" s="411">
        <f t="shared" si="10"/>
        <v>82680</v>
      </c>
      <c r="J33" s="411">
        <f t="shared" si="10"/>
        <v>82680</v>
      </c>
      <c r="K33" s="411">
        <f t="shared" si="10"/>
        <v>82680</v>
      </c>
      <c r="L33" s="411">
        <f t="shared" si="10"/>
        <v>82680</v>
      </c>
      <c r="M33" s="411">
        <f t="shared" si="10"/>
        <v>82680</v>
      </c>
      <c r="N33" s="412">
        <f>SUM(B33:M33)</f>
        <v>992160</v>
      </c>
    </row>
    <row r="34" spans="1:15" s="19" customFormat="1" ht="10.199999999999999">
      <c r="A34" s="409"/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2"/>
    </row>
    <row r="35" spans="1:15" s="19" customFormat="1" ht="10.199999999999999">
      <c r="A35" s="405" t="s">
        <v>111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50"/>
    </row>
    <row r="36" spans="1:15" s="19" customFormat="1" ht="10.199999999999999">
      <c r="A36" s="406" t="s">
        <v>16</v>
      </c>
      <c r="B36" s="407">
        <v>40000</v>
      </c>
      <c r="C36" s="407">
        <v>40000</v>
      </c>
      <c r="D36" s="407">
        <v>40000</v>
      </c>
      <c r="E36" s="407">
        <v>40000</v>
      </c>
      <c r="F36" s="407">
        <v>40000</v>
      </c>
      <c r="G36" s="407">
        <v>40000</v>
      </c>
      <c r="H36" s="407">
        <v>40000</v>
      </c>
      <c r="I36" s="407">
        <v>40000</v>
      </c>
      <c r="J36" s="407">
        <v>40000</v>
      </c>
      <c r="K36" s="407">
        <v>40000</v>
      </c>
      <c r="L36" s="407">
        <v>40000</v>
      </c>
      <c r="M36" s="407">
        <v>40000</v>
      </c>
      <c r="N36" s="408">
        <f>SUM(B36:M36)</f>
        <v>480000</v>
      </c>
    </row>
    <row r="37" spans="1:15" s="19" customFormat="1" ht="10.199999999999999">
      <c r="A37" s="409" t="s">
        <v>20</v>
      </c>
      <c r="B37" s="414">
        <f>B32</f>
        <v>1.59</v>
      </c>
      <c r="C37" s="414">
        <f t="shared" ref="C37:M37" si="11">C32</f>
        <v>1.59</v>
      </c>
      <c r="D37" s="414">
        <f t="shared" si="11"/>
        <v>1.59</v>
      </c>
      <c r="E37" s="414">
        <f t="shared" si="11"/>
        <v>1.59</v>
      </c>
      <c r="F37" s="414">
        <f t="shared" si="11"/>
        <v>1.59</v>
      </c>
      <c r="G37" s="414">
        <f t="shared" si="11"/>
        <v>1.59</v>
      </c>
      <c r="H37" s="414">
        <f t="shared" si="11"/>
        <v>1.59</v>
      </c>
      <c r="I37" s="414">
        <f t="shared" si="11"/>
        <v>1.59</v>
      </c>
      <c r="J37" s="414">
        <f t="shared" si="11"/>
        <v>1.59</v>
      </c>
      <c r="K37" s="414">
        <f t="shared" si="11"/>
        <v>1.59</v>
      </c>
      <c r="L37" s="414">
        <f t="shared" si="11"/>
        <v>1.59</v>
      </c>
      <c r="M37" s="414">
        <f t="shared" si="11"/>
        <v>1.59</v>
      </c>
      <c r="N37" s="250"/>
    </row>
    <row r="38" spans="1:15" s="19" customFormat="1" ht="10.199999999999999">
      <c r="A38" s="409" t="s">
        <v>17</v>
      </c>
      <c r="B38" s="411">
        <f t="shared" ref="B38:M38" si="12">B36*B37</f>
        <v>63600</v>
      </c>
      <c r="C38" s="411">
        <f t="shared" si="12"/>
        <v>63600</v>
      </c>
      <c r="D38" s="411">
        <f t="shared" si="12"/>
        <v>63600</v>
      </c>
      <c r="E38" s="411">
        <f t="shared" si="12"/>
        <v>63600</v>
      </c>
      <c r="F38" s="411">
        <f t="shared" si="12"/>
        <v>63600</v>
      </c>
      <c r="G38" s="411">
        <f t="shared" si="12"/>
        <v>63600</v>
      </c>
      <c r="H38" s="411">
        <f t="shared" si="12"/>
        <v>63600</v>
      </c>
      <c r="I38" s="411">
        <f t="shared" si="12"/>
        <v>63600</v>
      </c>
      <c r="J38" s="411">
        <f t="shared" si="12"/>
        <v>63600</v>
      </c>
      <c r="K38" s="411">
        <f t="shared" si="12"/>
        <v>63600</v>
      </c>
      <c r="L38" s="411">
        <f t="shared" si="12"/>
        <v>63600</v>
      </c>
      <c r="M38" s="411">
        <f t="shared" si="12"/>
        <v>63600</v>
      </c>
      <c r="N38" s="412">
        <f>SUM(B38:M38)</f>
        <v>763200</v>
      </c>
    </row>
    <row r="39" spans="1:15" s="19" customFormat="1" ht="10.199999999999999">
      <c r="A39" s="409"/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2"/>
    </row>
    <row r="40" spans="1:15" s="19" customFormat="1" ht="10.199999999999999">
      <c r="A40" s="405" t="s">
        <v>222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50"/>
    </row>
    <row r="41" spans="1:15" s="19" customFormat="1" ht="10.199999999999999">
      <c r="A41" s="406" t="s">
        <v>16</v>
      </c>
      <c r="B41" s="407">
        <v>4000</v>
      </c>
      <c r="C41" s="407">
        <f t="shared" ref="C41:M41" si="13">B41</f>
        <v>4000</v>
      </c>
      <c r="D41" s="407">
        <f t="shared" si="13"/>
        <v>4000</v>
      </c>
      <c r="E41" s="407">
        <f t="shared" si="13"/>
        <v>4000</v>
      </c>
      <c r="F41" s="407">
        <f t="shared" si="13"/>
        <v>4000</v>
      </c>
      <c r="G41" s="407">
        <f t="shared" si="13"/>
        <v>4000</v>
      </c>
      <c r="H41" s="407">
        <f t="shared" si="13"/>
        <v>4000</v>
      </c>
      <c r="I41" s="407">
        <f t="shared" si="13"/>
        <v>4000</v>
      </c>
      <c r="J41" s="407">
        <f t="shared" si="13"/>
        <v>4000</v>
      </c>
      <c r="K41" s="407">
        <f t="shared" si="13"/>
        <v>4000</v>
      </c>
      <c r="L41" s="407">
        <f t="shared" si="13"/>
        <v>4000</v>
      </c>
      <c r="M41" s="407">
        <f t="shared" si="13"/>
        <v>4000</v>
      </c>
      <c r="N41" s="408">
        <f>SUM(B41:M41)</f>
        <v>48000</v>
      </c>
    </row>
    <row r="42" spans="1:15" s="19" customFormat="1" ht="10.199999999999999">
      <c r="A42" s="409" t="s">
        <v>20</v>
      </c>
      <c r="B42" s="414">
        <f>B37</f>
        <v>1.59</v>
      </c>
      <c r="C42" s="414">
        <f t="shared" ref="C42:M42" si="14">C37</f>
        <v>1.59</v>
      </c>
      <c r="D42" s="414">
        <f t="shared" si="14"/>
        <v>1.59</v>
      </c>
      <c r="E42" s="414">
        <f t="shared" si="14"/>
        <v>1.59</v>
      </c>
      <c r="F42" s="414">
        <f t="shared" si="14"/>
        <v>1.59</v>
      </c>
      <c r="G42" s="414">
        <f t="shared" si="14"/>
        <v>1.59</v>
      </c>
      <c r="H42" s="414">
        <f t="shared" si="14"/>
        <v>1.59</v>
      </c>
      <c r="I42" s="414">
        <f t="shared" si="14"/>
        <v>1.59</v>
      </c>
      <c r="J42" s="414">
        <f t="shared" si="14"/>
        <v>1.59</v>
      </c>
      <c r="K42" s="414">
        <f t="shared" si="14"/>
        <v>1.59</v>
      </c>
      <c r="L42" s="414">
        <f t="shared" si="14"/>
        <v>1.59</v>
      </c>
      <c r="M42" s="414">
        <f t="shared" si="14"/>
        <v>1.59</v>
      </c>
      <c r="N42" s="250"/>
    </row>
    <row r="43" spans="1:15" s="19" customFormat="1" ht="10.199999999999999">
      <c r="A43" s="409" t="s">
        <v>17</v>
      </c>
      <c r="B43" s="411">
        <f t="shared" ref="B43:M43" si="15">B41*B42</f>
        <v>6360</v>
      </c>
      <c r="C43" s="411">
        <f t="shared" si="15"/>
        <v>6360</v>
      </c>
      <c r="D43" s="411">
        <f t="shared" si="15"/>
        <v>6360</v>
      </c>
      <c r="E43" s="411">
        <f t="shared" si="15"/>
        <v>6360</v>
      </c>
      <c r="F43" s="411">
        <f t="shared" si="15"/>
        <v>6360</v>
      </c>
      <c r="G43" s="411">
        <f t="shared" si="15"/>
        <v>6360</v>
      </c>
      <c r="H43" s="411">
        <f t="shared" si="15"/>
        <v>6360</v>
      </c>
      <c r="I43" s="411">
        <f t="shared" si="15"/>
        <v>6360</v>
      </c>
      <c r="J43" s="411">
        <f t="shared" si="15"/>
        <v>6360</v>
      </c>
      <c r="K43" s="411">
        <f t="shared" si="15"/>
        <v>6360</v>
      </c>
      <c r="L43" s="411">
        <f t="shared" si="15"/>
        <v>6360</v>
      </c>
      <c r="M43" s="411">
        <f t="shared" si="15"/>
        <v>6360</v>
      </c>
      <c r="N43" s="412">
        <f>SUM(B43:M43)</f>
        <v>76320</v>
      </c>
    </row>
    <row r="44" spans="1:15" s="19" customFormat="1" ht="10.199999999999999">
      <c r="A44" s="409"/>
      <c r="B44" s="411"/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2"/>
    </row>
    <row r="45" spans="1:15">
      <c r="A45" s="405" t="s">
        <v>173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50"/>
    </row>
    <row r="46" spans="1:15">
      <c r="A46" s="406" t="s">
        <v>16</v>
      </c>
      <c r="B46" s="407">
        <v>3000</v>
      </c>
      <c r="C46" s="407">
        <f t="shared" ref="C46:M46" si="16">B46</f>
        <v>3000</v>
      </c>
      <c r="D46" s="407">
        <f t="shared" si="16"/>
        <v>3000</v>
      </c>
      <c r="E46" s="407">
        <f t="shared" si="16"/>
        <v>3000</v>
      </c>
      <c r="F46" s="407">
        <f t="shared" si="16"/>
        <v>3000</v>
      </c>
      <c r="G46" s="407">
        <f t="shared" si="16"/>
        <v>3000</v>
      </c>
      <c r="H46" s="407">
        <f t="shared" si="16"/>
        <v>3000</v>
      </c>
      <c r="I46" s="407">
        <f t="shared" si="16"/>
        <v>3000</v>
      </c>
      <c r="J46" s="407">
        <f t="shared" si="16"/>
        <v>3000</v>
      </c>
      <c r="K46" s="407">
        <f t="shared" si="16"/>
        <v>3000</v>
      </c>
      <c r="L46" s="407">
        <f t="shared" si="16"/>
        <v>3000</v>
      </c>
      <c r="M46" s="407">
        <f t="shared" si="16"/>
        <v>3000</v>
      </c>
      <c r="N46" s="408">
        <f>SUM(B46:M46)</f>
        <v>36000</v>
      </c>
      <c r="O46" s="362" t="s">
        <v>267</v>
      </c>
    </row>
    <row r="47" spans="1:15">
      <c r="A47" s="409" t="s">
        <v>20</v>
      </c>
      <c r="B47" s="414">
        <f>B37</f>
        <v>1.59</v>
      </c>
      <c r="C47" s="414">
        <f t="shared" ref="C47:M47" si="17">C37</f>
        <v>1.59</v>
      </c>
      <c r="D47" s="414">
        <f t="shared" si="17"/>
        <v>1.59</v>
      </c>
      <c r="E47" s="414">
        <f t="shared" si="17"/>
        <v>1.59</v>
      </c>
      <c r="F47" s="414">
        <f t="shared" si="17"/>
        <v>1.59</v>
      </c>
      <c r="G47" s="414">
        <f t="shared" si="17"/>
        <v>1.59</v>
      </c>
      <c r="H47" s="414">
        <f t="shared" si="17"/>
        <v>1.59</v>
      </c>
      <c r="I47" s="414">
        <f t="shared" si="17"/>
        <v>1.59</v>
      </c>
      <c r="J47" s="414">
        <f t="shared" si="17"/>
        <v>1.59</v>
      </c>
      <c r="K47" s="414">
        <f t="shared" si="17"/>
        <v>1.59</v>
      </c>
      <c r="L47" s="414">
        <f t="shared" si="17"/>
        <v>1.59</v>
      </c>
      <c r="M47" s="414">
        <f t="shared" si="17"/>
        <v>1.59</v>
      </c>
      <c r="N47" s="250"/>
    </row>
    <row r="48" spans="1:15">
      <c r="A48" s="409" t="s">
        <v>17</v>
      </c>
      <c r="B48" s="411">
        <f t="shared" ref="B48:M48" si="18">B46*B47</f>
        <v>4770</v>
      </c>
      <c r="C48" s="411">
        <f t="shared" si="18"/>
        <v>4770</v>
      </c>
      <c r="D48" s="411">
        <f t="shared" si="18"/>
        <v>4770</v>
      </c>
      <c r="E48" s="411">
        <f t="shared" si="18"/>
        <v>4770</v>
      </c>
      <c r="F48" s="411">
        <f t="shared" si="18"/>
        <v>4770</v>
      </c>
      <c r="G48" s="411">
        <f t="shared" si="18"/>
        <v>4770</v>
      </c>
      <c r="H48" s="411">
        <f t="shared" si="18"/>
        <v>4770</v>
      </c>
      <c r="I48" s="411">
        <f t="shared" si="18"/>
        <v>4770</v>
      </c>
      <c r="J48" s="411">
        <f t="shared" si="18"/>
        <v>4770</v>
      </c>
      <c r="K48" s="411">
        <f t="shared" si="18"/>
        <v>4770</v>
      </c>
      <c r="L48" s="411">
        <f t="shared" si="18"/>
        <v>4770</v>
      </c>
      <c r="M48" s="411">
        <f t="shared" si="18"/>
        <v>4770</v>
      </c>
      <c r="N48" s="412">
        <f>SUM(B48:M48)</f>
        <v>57240</v>
      </c>
    </row>
    <row r="49" spans="1:15">
      <c r="A49" s="409"/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2"/>
    </row>
    <row r="50" spans="1:15" s="19" customFormat="1" ht="10.199999999999999">
      <c r="A50" s="405" t="s">
        <v>44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50"/>
    </row>
    <row r="51" spans="1:15" s="19" customFormat="1" ht="10.199999999999999">
      <c r="A51" s="406" t="s">
        <v>16</v>
      </c>
      <c r="B51" s="407">
        <v>25000</v>
      </c>
      <c r="C51" s="407">
        <f>B51</f>
        <v>25000</v>
      </c>
      <c r="D51" s="407">
        <f t="shared" ref="D51:M51" si="19">C51</f>
        <v>25000</v>
      </c>
      <c r="E51" s="407">
        <f t="shared" si="19"/>
        <v>25000</v>
      </c>
      <c r="F51" s="407">
        <f t="shared" si="19"/>
        <v>25000</v>
      </c>
      <c r="G51" s="407">
        <f t="shared" si="19"/>
        <v>25000</v>
      </c>
      <c r="H51" s="407">
        <f t="shared" si="19"/>
        <v>25000</v>
      </c>
      <c r="I51" s="407">
        <f t="shared" si="19"/>
        <v>25000</v>
      </c>
      <c r="J51" s="407">
        <f t="shared" si="19"/>
        <v>25000</v>
      </c>
      <c r="K51" s="407">
        <f t="shared" si="19"/>
        <v>25000</v>
      </c>
      <c r="L51" s="407">
        <f t="shared" si="19"/>
        <v>25000</v>
      </c>
      <c r="M51" s="407">
        <f t="shared" si="19"/>
        <v>25000</v>
      </c>
      <c r="N51" s="408">
        <f>SUM(B51:M51)</f>
        <v>300000</v>
      </c>
      <c r="O51" s="269" t="s">
        <v>345</v>
      </c>
    </row>
    <row r="52" spans="1:15" s="19" customFormat="1" ht="10.199999999999999">
      <c r="A52" s="409" t="s">
        <v>20</v>
      </c>
      <c r="B52" s="414">
        <f>B37</f>
        <v>1.59</v>
      </c>
      <c r="C52" s="414">
        <f t="shared" ref="C52:M52" si="20">C37</f>
        <v>1.59</v>
      </c>
      <c r="D52" s="414">
        <f t="shared" si="20"/>
        <v>1.59</v>
      </c>
      <c r="E52" s="414">
        <f t="shared" si="20"/>
        <v>1.59</v>
      </c>
      <c r="F52" s="414">
        <f t="shared" si="20"/>
        <v>1.59</v>
      </c>
      <c r="G52" s="414">
        <f t="shared" si="20"/>
        <v>1.59</v>
      </c>
      <c r="H52" s="414">
        <f t="shared" si="20"/>
        <v>1.59</v>
      </c>
      <c r="I52" s="414">
        <f t="shared" si="20"/>
        <v>1.59</v>
      </c>
      <c r="J52" s="414">
        <f t="shared" si="20"/>
        <v>1.59</v>
      </c>
      <c r="K52" s="414">
        <f t="shared" si="20"/>
        <v>1.59</v>
      </c>
      <c r="L52" s="414">
        <f t="shared" si="20"/>
        <v>1.59</v>
      </c>
      <c r="M52" s="414">
        <f t="shared" si="20"/>
        <v>1.59</v>
      </c>
      <c r="N52" s="250"/>
    </row>
    <row r="53" spans="1:15" s="19" customFormat="1" ht="10.199999999999999">
      <c r="A53" s="409" t="s">
        <v>17</v>
      </c>
      <c r="B53" s="411">
        <f t="shared" ref="B53:M53" si="21">B51*B52</f>
        <v>39750</v>
      </c>
      <c r="C53" s="411">
        <f t="shared" si="21"/>
        <v>39750</v>
      </c>
      <c r="D53" s="411">
        <f t="shared" si="21"/>
        <v>39750</v>
      </c>
      <c r="E53" s="411">
        <f t="shared" si="21"/>
        <v>39750</v>
      </c>
      <c r="F53" s="411">
        <f t="shared" si="21"/>
        <v>39750</v>
      </c>
      <c r="G53" s="411">
        <f t="shared" si="21"/>
        <v>39750</v>
      </c>
      <c r="H53" s="411">
        <f t="shared" si="21"/>
        <v>39750</v>
      </c>
      <c r="I53" s="411">
        <f t="shared" si="21"/>
        <v>39750</v>
      </c>
      <c r="J53" s="411">
        <f t="shared" si="21"/>
        <v>39750</v>
      </c>
      <c r="K53" s="411">
        <f t="shared" si="21"/>
        <v>39750</v>
      </c>
      <c r="L53" s="411">
        <f t="shared" si="21"/>
        <v>39750</v>
      </c>
      <c r="M53" s="411">
        <f t="shared" si="21"/>
        <v>39750</v>
      </c>
      <c r="N53" s="412">
        <f>SUM(B53:M53)</f>
        <v>477000</v>
      </c>
    </row>
    <row r="54" spans="1:15" s="19" customFormat="1" ht="10.199999999999999">
      <c r="A54" s="409"/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2"/>
    </row>
    <row r="55" spans="1:15" s="19" customFormat="1" ht="10.199999999999999">
      <c r="A55" s="405" t="s">
        <v>165</v>
      </c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2"/>
    </row>
    <row r="56" spans="1:15" s="19" customFormat="1" ht="10.199999999999999">
      <c r="A56" s="406" t="s">
        <v>16</v>
      </c>
      <c r="B56" s="411">
        <v>4000</v>
      </c>
      <c r="C56" s="411">
        <v>4000</v>
      </c>
      <c r="D56" s="411">
        <v>4000</v>
      </c>
      <c r="E56" s="411">
        <v>4000</v>
      </c>
      <c r="F56" s="411">
        <v>4000</v>
      </c>
      <c r="G56" s="411">
        <v>4000</v>
      </c>
      <c r="H56" s="411">
        <v>4000</v>
      </c>
      <c r="I56" s="411">
        <v>4000</v>
      </c>
      <c r="J56" s="411">
        <v>4000</v>
      </c>
      <c r="K56" s="411">
        <v>4000</v>
      </c>
      <c r="L56" s="411">
        <v>4000</v>
      </c>
      <c r="M56" s="411">
        <v>4000</v>
      </c>
      <c r="N56" s="408">
        <f>SUM(B56:M56)</f>
        <v>48000</v>
      </c>
    </row>
    <row r="57" spans="1:15" s="19" customFormat="1" ht="10.199999999999999">
      <c r="A57" s="409" t="s">
        <v>20</v>
      </c>
      <c r="B57" s="414">
        <f>B52</f>
        <v>1.59</v>
      </c>
      <c r="C57" s="414">
        <f t="shared" ref="C57:M57" si="22">C52</f>
        <v>1.59</v>
      </c>
      <c r="D57" s="414">
        <f t="shared" si="22"/>
        <v>1.59</v>
      </c>
      <c r="E57" s="414">
        <f t="shared" si="22"/>
        <v>1.59</v>
      </c>
      <c r="F57" s="414">
        <f t="shared" si="22"/>
        <v>1.59</v>
      </c>
      <c r="G57" s="414">
        <f t="shared" si="22"/>
        <v>1.59</v>
      </c>
      <c r="H57" s="414">
        <f t="shared" si="22"/>
        <v>1.59</v>
      </c>
      <c r="I57" s="414">
        <f t="shared" si="22"/>
        <v>1.59</v>
      </c>
      <c r="J57" s="414">
        <f t="shared" si="22"/>
        <v>1.59</v>
      </c>
      <c r="K57" s="414">
        <f t="shared" si="22"/>
        <v>1.59</v>
      </c>
      <c r="L57" s="414">
        <f t="shared" si="22"/>
        <v>1.59</v>
      </c>
      <c r="M57" s="414">
        <f t="shared" si="22"/>
        <v>1.59</v>
      </c>
      <c r="N57" s="250"/>
    </row>
    <row r="58" spans="1:15" s="19" customFormat="1" ht="10.199999999999999">
      <c r="A58" s="409" t="s">
        <v>17</v>
      </c>
      <c r="B58" s="411">
        <f t="shared" ref="B58:M58" si="23">B56*B57</f>
        <v>6360</v>
      </c>
      <c r="C58" s="411">
        <f t="shared" si="23"/>
        <v>6360</v>
      </c>
      <c r="D58" s="411">
        <f t="shared" si="23"/>
        <v>6360</v>
      </c>
      <c r="E58" s="411">
        <f t="shared" si="23"/>
        <v>6360</v>
      </c>
      <c r="F58" s="411">
        <f t="shared" si="23"/>
        <v>6360</v>
      </c>
      <c r="G58" s="411">
        <f t="shared" si="23"/>
        <v>6360</v>
      </c>
      <c r="H58" s="411">
        <f t="shared" si="23"/>
        <v>6360</v>
      </c>
      <c r="I58" s="411">
        <f t="shared" si="23"/>
        <v>6360</v>
      </c>
      <c r="J58" s="411">
        <f t="shared" si="23"/>
        <v>6360</v>
      </c>
      <c r="K58" s="411">
        <f t="shared" si="23"/>
        <v>6360</v>
      </c>
      <c r="L58" s="411">
        <f t="shared" si="23"/>
        <v>6360</v>
      </c>
      <c r="M58" s="411">
        <f t="shared" si="23"/>
        <v>6360</v>
      </c>
      <c r="N58" s="412">
        <f>SUM(B58:M58)</f>
        <v>76320</v>
      </c>
    </row>
    <row r="59" spans="1:15" s="19" customFormat="1" ht="10.199999999999999">
      <c r="A59" s="409"/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2"/>
    </row>
    <row r="60" spans="1:15" s="19" customFormat="1" ht="10.199999999999999">
      <c r="A60" s="405" t="s">
        <v>224</v>
      </c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2"/>
    </row>
    <row r="61" spans="1:15" s="19" customFormat="1" ht="10.199999999999999">
      <c r="A61" s="406" t="s">
        <v>16</v>
      </c>
      <c r="B61" s="411">
        <v>160000</v>
      </c>
      <c r="C61" s="411">
        <v>160000</v>
      </c>
      <c r="D61" s="411">
        <v>160000</v>
      </c>
      <c r="E61" s="411">
        <v>160000</v>
      </c>
      <c r="F61" s="411">
        <v>160000</v>
      </c>
      <c r="G61" s="411">
        <v>160000</v>
      </c>
      <c r="H61" s="411">
        <v>160000</v>
      </c>
      <c r="I61" s="411">
        <v>160000</v>
      </c>
      <c r="J61" s="411">
        <v>160000</v>
      </c>
      <c r="K61" s="411">
        <v>160000</v>
      </c>
      <c r="L61" s="411">
        <v>160000</v>
      </c>
      <c r="M61" s="411">
        <v>160000</v>
      </c>
      <c r="N61" s="408">
        <f>SUM(B61:M61)</f>
        <v>1920000</v>
      </c>
    </row>
    <row r="62" spans="1:15" s="19" customFormat="1" ht="10.199999999999999">
      <c r="A62" s="409" t="s">
        <v>20</v>
      </c>
      <c r="B62" s="414">
        <f>B57</f>
        <v>1.59</v>
      </c>
      <c r="C62" s="414">
        <f t="shared" ref="C62:M62" si="24">C57</f>
        <v>1.59</v>
      </c>
      <c r="D62" s="414">
        <f t="shared" si="24"/>
        <v>1.59</v>
      </c>
      <c r="E62" s="414">
        <f t="shared" si="24"/>
        <v>1.59</v>
      </c>
      <c r="F62" s="414">
        <f t="shared" si="24"/>
        <v>1.59</v>
      </c>
      <c r="G62" s="414">
        <f t="shared" si="24"/>
        <v>1.59</v>
      </c>
      <c r="H62" s="414">
        <f t="shared" si="24"/>
        <v>1.59</v>
      </c>
      <c r="I62" s="414">
        <f t="shared" si="24"/>
        <v>1.59</v>
      </c>
      <c r="J62" s="414">
        <f t="shared" si="24"/>
        <v>1.59</v>
      </c>
      <c r="K62" s="414">
        <f t="shared" si="24"/>
        <v>1.59</v>
      </c>
      <c r="L62" s="414">
        <f t="shared" si="24"/>
        <v>1.59</v>
      </c>
      <c r="M62" s="414">
        <f t="shared" si="24"/>
        <v>1.59</v>
      </c>
      <c r="N62" s="250"/>
    </row>
    <row r="63" spans="1:15" s="19" customFormat="1" ht="10.199999999999999">
      <c r="A63" s="409" t="s">
        <v>17</v>
      </c>
      <c r="B63" s="411">
        <f t="shared" ref="B63:M63" si="25">B61*B62</f>
        <v>254400</v>
      </c>
      <c r="C63" s="411">
        <f t="shared" si="25"/>
        <v>254400</v>
      </c>
      <c r="D63" s="411">
        <f t="shared" si="25"/>
        <v>254400</v>
      </c>
      <c r="E63" s="411">
        <f t="shared" si="25"/>
        <v>254400</v>
      </c>
      <c r="F63" s="411">
        <f t="shared" si="25"/>
        <v>254400</v>
      </c>
      <c r="G63" s="411">
        <f t="shared" si="25"/>
        <v>254400</v>
      </c>
      <c r="H63" s="411">
        <f t="shared" si="25"/>
        <v>254400</v>
      </c>
      <c r="I63" s="411">
        <f t="shared" si="25"/>
        <v>254400</v>
      </c>
      <c r="J63" s="411">
        <f t="shared" si="25"/>
        <v>254400</v>
      </c>
      <c r="K63" s="411">
        <f t="shared" si="25"/>
        <v>254400</v>
      </c>
      <c r="L63" s="411">
        <f t="shared" si="25"/>
        <v>254400</v>
      </c>
      <c r="M63" s="411">
        <f t="shared" si="25"/>
        <v>254400</v>
      </c>
      <c r="N63" s="412">
        <f>SUM(B63:M63)</f>
        <v>3052800</v>
      </c>
    </row>
    <row r="64" spans="1:15" s="19" customFormat="1" ht="10.199999999999999">
      <c r="A64" s="409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2"/>
    </row>
    <row r="65" spans="1:16" s="19" customFormat="1" ht="10.199999999999999">
      <c r="A65" s="409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2"/>
    </row>
    <row r="66" spans="1:16" s="19" customFormat="1" ht="10.199999999999999">
      <c r="A66" s="415" t="s">
        <v>25</v>
      </c>
      <c r="B66" s="416">
        <f>B13+B18+B23+B28+B33+B38+B43+B48+B53+B58+B63</f>
        <v>799859.04</v>
      </c>
      <c r="C66" s="416">
        <f t="shared" ref="C66:M66" si="26">C13+C18+C23+C28+C33+C38+C43+C48+C53+C58+C63</f>
        <v>799859.04</v>
      </c>
      <c r="D66" s="416">
        <f t="shared" si="26"/>
        <v>799859.04</v>
      </c>
      <c r="E66" s="416">
        <f t="shared" si="26"/>
        <v>799859.04</v>
      </c>
      <c r="F66" s="416">
        <f t="shared" si="26"/>
        <v>799859.04</v>
      </c>
      <c r="G66" s="416">
        <f t="shared" si="26"/>
        <v>799859.04</v>
      </c>
      <c r="H66" s="416">
        <f t="shared" si="26"/>
        <v>799859.04</v>
      </c>
      <c r="I66" s="416">
        <f t="shared" si="26"/>
        <v>799859.04</v>
      </c>
      <c r="J66" s="416">
        <f t="shared" si="26"/>
        <v>799859.04</v>
      </c>
      <c r="K66" s="416">
        <f t="shared" si="26"/>
        <v>799859.04</v>
      </c>
      <c r="L66" s="416">
        <f t="shared" si="26"/>
        <v>799859.04</v>
      </c>
      <c r="M66" s="416">
        <f t="shared" si="26"/>
        <v>799859.04</v>
      </c>
      <c r="N66" s="417">
        <f>SUM(B66:M66)</f>
        <v>9598308.4800000004</v>
      </c>
    </row>
    <row r="67" spans="1:16" s="19" customFormat="1" ht="10.199999999999999">
      <c r="A67" s="418" t="s">
        <v>59</v>
      </c>
      <c r="B67" s="419">
        <f>B11+B16+B21+B26+B31+B51+B36+B56+B41+B46+B61</f>
        <v>503056</v>
      </c>
      <c r="C67" s="419">
        <f t="shared" ref="C67:M67" si="27">C11+C16+C21+C26+C31+C51+C36+C56+C41+C46+C61</f>
        <v>503056</v>
      </c>
      <c r="D67" s="419">
        <f t="shared" si="27"/>
        <v>503056</v>
      </c>
      <c r="E67" s="419">
        <f t="shared" si="27"/>
        <v>503056</v>
      </c>
      <c r="F67" s="419">
        <f t="shared" si="27"/>
        <v>503056</v>
      </c>
      <c r="G67" s="419">
        <f t="shared" si="27"/>
        <v>503056</v>
      </c>
      <c r="H67" s="419">
        <f t="shared" si="27"/>
        <v>503056</v>
      </c>
      <c r="I67" s="419">
        <f t="shared" si="27"/>
        <v>503056</v>
      </c>
      <c r="J67" s="419">
        <f t="shared" si="27"/>
        <v>503056</v>
      </c>
      <c r="K67" s="419">
        <f t="shared" si="27"/>
        <v>503056</v>
      </c>
      <c r="L67" s="419">
        <f t="shared" si="27"/>
        <v>503056</v>
      </c>
      <c r="M67" s="419">
        <f t="shared" si="27"/>
        <v>503056</v>
      </c>
      <c r="N67" s="420">
        <f>SUM(B67:M67)</f>
        <v>6036672</v>
      </c>
      <c r="O67" s="27">
        <f>'TSAS Scheduling Revenue (1)'!N66</f>
        <v>6036672</v>
      </c>
      <c r="P67" s="27">
        <f>'TSAS Reactive Revenues (2)'!N65</f>
        <v>6036672</v>
      </c>
    </row>
    <row r="68" spans="1:16" s="19" customFormat="1" ht="10.199999999999999">
      <c r="A68" s="397">
        <f>+A6+1</f>
        <v>2015</v>
      </c>
      <c r="B68" s="398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9"/>
    </row>
    <row r="69" spans="1:16" s="19" customFormat="1" ht="13.2">
      <c r="A69" s="400" t="s">
        <v>19</v>
      </c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4"/>
    </row>
    <row r="70" spans="1:16" s="19" customFormat="1" ht="10.199999999999999">
      <c r="A70" s="400"/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2"/>
    </row>
    <row r="71" spans="1:16" s="19" customFormat="1" ht="10.199999999999999">
      <c r="A71" s="405" t="s">
        <v>344</v>
      </c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50"/>
      <c r="O71" s="448"/>
    </row>
    <row r="72" spans="1:16" s="28" customFormat="1">
      <c r="A72" s="406" t="s">
        <v>16</v>
      </c>
      <c r="B72" s="407">
        <f>B11</f>
        <v>5000</v>
      </c>
      <c r="C72" s="407">
        <f t="shared" ref="C72:M72" si="28">C11</f>
        <v>5000</v>
      </c>
      <c r="D72" s="407">
        <f t="shared" si="28"/>
        <v>5000</v>
      </c>
      <c r="E72" s="407">
        <f t="shared" si="28"/>
        <v>5000</v>
      </c>
      <c r="F72" s="407">
        <f t="shared" si="28"/>
        <v>5000</v>
      </c>
      <c r="G72" s="407">
        <f t="shared" si="28"/>
        <v>5000</v>
      </c>
      <c r="H72" s="407">
        <f t="shared" si="28"/>
        <v>5000</v>
      </c>
      <c r="I72" s="407">
        <f t="shared" si="28"/>
        <v>5000</v>
      </c>
      <c r="J72" s="407">
        <f t="shared" si="28"/>
        <v>5000</v>
      </c>
      <c r="K72" s="407">
        <f t="shared" si="28"/>
        <v>5000</v>
      </c>
      <c r="L72" s="407">
        <f t="shared" si="28"/>
        <v>5000</v>
      </c>
      <c r="M72" s="407">
        <f t="shared" si="28"/>
        <v>5000</v>
      </c>
      <c r="N72" s="408">
        <f>SUM(B72:M72)</f>
        <v>60000</v>
      </c>
      <c r="O72" s="21"/>
    </row>
    <row r="73" spans="1:16" s="19" customFormat="1">
      <c r="A73" s="409" t="s">
        <v>20</v>
      </c>
      <c r="B73" s="410">
        <f>'Transmission Formula Rate (7)'!B10</f>
        <v>1.59</v>
      </c>
      <c r="C73" s="410">
        <f>'Transmission Formula Rate (7)'!C10</f>
        <v>1.59</v>
      </c>
      <c r="D73" s="410">
        <f>'Transmission Formula Rate (7)'!D10</f>
        <v>1.59</v>
      </c>
      <c r="E73" s="410">
        <f>'Transmission Formula Rate (7)'!E10</f>
        <v>1.59</v>
      </c>
      <c r="F73" s="410">
        <f>'Transmission Formula Rate (7)'!F10</f>
        <v>1.59</v>
      </c>
      <c r="G73" s="410">
        <f>'Transmission Formula Rate (7)'!G10</f>
        <v>1.59</v>
      </c>
      <c r="H73" s="410">
        <f>'Transmission Formula Rate (7)'!H10</f>
        <v>1.59</v>
      </c>
      <c r="I73" s="410">
        <f>'Transmission Formula Rate (7)'!I10</f>
        <v>1.59</v>
      </c>
      <c r="J73" s="410">
        <f>'Transmission Formula Rate (7)'!J10</f>
        <v>1.59</v>
      </c>
      <c r="K73" s="410">
        <f>'Transmission Formula Rate (7)'!K10</f>
        <v>1.59</v>
      </c>
      <c r="L73" s="410">
        <f>'Transmission Formula Rate (7)'!L10</f>
        <v>1.59</v>
      </c>
      <c r="M73" s="410">
        <f>'Transmission Formula Rate (7)'!M10</f>
        <v>1.59</v>
      </c>
      <c r="N73" s="250"/>
      <c r="O73" s="21"/>
    </row>
    <row r="74" spans="1:16" s="19" customFormat="1">
      <c r="A74" s="409" t="s">
        <v>17</v>
      </c>
      <c r="B74" s="411">
        <f t="shared" ref="B74:M74" si="29">B72*B73</f>
        <v>7950</v>
      </c>
      <c r="C74" s="411">
        <f t="shared" si="29"/>
        <v>7950</v>
      </c>
      <c r="D74" s="411">
        <f t="shared" si="29"/>
        <v>7950</v>
      </c>
      <c r="E74" s="411">
        <f t="shared" si="29"/>
        <v>7950</v>
      </c>
      <c r="F74" s="411">
        <f t="shared" si="29"/>
        <v>7950</v>
      </c>
      <c r="G74" s="411">
        <f t="shared" si="29"/>
        <v>7950</v>
      </c>
      <c r="H74" s="411">
        <f t="shared" si="29"/>
        <v>7950</v>
      </c>
      <c r="I74" s="411">
        <f t="shared" si="29"/>
        <v>7950</v>
      </c>
      <c r="J74" s="411">
        <f t="shared" si="29"/>
        <v>7950</v>
      </c>
      <c r="K74" s="411">
        <f t="shared" si="29"/>
        <v>7950</v>
      </c>
      <c r="L74" s="411">
        <f t="shared" si="29"/>
        <v>7950</v>
      </c>
      <c r="M74" s="411">
        <f t="shared" si="29"/>
        <v>7950</v>
      </c>
      <c r="N74" s="412">
        <f>SUM(B74:M74)</f>
        <v>95400</v>
      </c>
      <c r="O74" s="21"/>
    </row>
    <row r="75" spans="1:16" s="19" customFormat="1">
      <c r="A75" s="413"/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50"/>
      <c r="O75" s="21"/>
    </row>
    <row r="76" spans="1:16" s="19" customFormat="1">
      <c r="A76" s="422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50"/>
      <c r="O76" s="21"/>
    </row>
    <row r="77" spans="1:16" s="28" customFormat="1">
      <c r="A77" s="406" t="s">
        <v>16</v>
      </c>
      <c r="B77" s="407">
        <v>0</v>
      </c>
      <c r="C77" s="407">
        <v>0</v>
      </c>
      <c r="D77" s="407">
        <v>0</v>
      </c>
      <c r="E77" s="407">
        <v>0</v>
      </c>
      <c r="F77" s="407">
        <v>0</v>
      </c>
      <c r="G77" s="407">
        <v>0</v>
      </c>
      <c r="H77" s="407">
        <v>0</v>
      </c>
      <c r="I77" s="407">
        <v>0</v>
      </c>
      <c r="J77" s="407">
        <v>0</v>
      </c>
      <c r="K77" s="407">
        <v>0</v>
      </c>
      <c r="L77" s="407">
        <v>0</v>
      </c>
      <c r="M77" s="407">
        <v>0</v>
      </c>
      <c r="N77" s="408">
        <f>SUM(B77:M77)</f>
        <v>0</v>
      </c>
      <c r="O77" s="21"/>
    </row>
    <row r="78" spans="1:16" s="19" customFormat="1">
      <c r="A78" s="409" t="s">
        <v>20</v>
      </c>
      <c r="B78" s="410">
        <f>B73</f>
        <v>1.59</v>
      </c>
      <c r="C78" s="410">
        <f t="shared" ref="C78:M78" si="30">C73</f>
        <v>1.59</v>
      </c>
      <c r="D78" s="410">
        <f t="shared" si="30"/>
        <v>1.59</v>
      </c>
      <c r="E78" s="410">
        <f t="shared" si="30"/>
        <v>1.59</v>
      </c>
      <c r="F78" s="410">
        <f t="shared" si="30"/>
        <v>1.59</v>
      </c>
      <c r="G78" s="410">
        <f t="shared" si="30"/>
        <v>1.59</v>
      </c>
      <c r="H78" s="410">
        <f t="shared" si="30"/>
        <v>1.59</v>
      </c>
      <c r="I78" s="410">
        <f t="shared" si="30"/>
        <v>1.59</v>
      </c>
      <c r="J78" s="410">
        <f t="shared" si="30"/>
        <v>1.59</v>
      </c>
      <c r="K78" s="410">
        <f t="shared" si="30"/>
        <v>1.59</v>
      </c>
      <c r="L78" s="410">
        <f t="shared" si="30"/>
        <v>1.59</v>
      </c>
      <c r="M78" s="410">
        <f t="shared" si="30"/>
        <v>1.59</v>
      </c>
      <c r="N78" s="250"/>
      <c r="O78" s="21"/>
    </row>
    <row r="79" spans="1:16" s="19" customFormat="1">
      <c r="A79" s="409" t="s">
        <v>17</v>
      </c>
      <c r="B79" s="411">
        <f t="shared" ref="B79:M79" si="31">B77*B78</f>
        <v>0</v>
      </c>
      <c r="C79" s="411">
        <f t="shared" si="31"/>
        <v>0</v>
      </c>
      <c r="D79" s="411">
        <f t="shared" si="31"/>
        <v>0</v>
      </c>
      <c r="E79" s="411">
        <f t="shared" si="31"/>
        <v>0</v>
      </c>
      <c r="F79" s="411">
        <f t="shared" si="31"/>
        <v>0</v>
      </c>
      <c r="G79" s="411">
        <f t="shared" si="31"/>
        <v>0</v>
      </c>
      <c r="H79" s="411">
        <f t="shared" si="31"/>
        <v>0</v>
      </c>
      <c r="I79" s="411">
        <f t="shared" si="31"/>
        <v>0</v>
      </c>
      <c r="J79" s="411">
        <f t="shared" si="31"/>
        <v>0</v>
      </c>
      <c r="K79" s="411">
        <f t="shared" si="31"/>
        <v>0</v>
      </c>
      <c r="L79" s="411">
        <f t="shared" si="31"/>
        <v>0</v>
      </c>
      <c r="M79" s="411">
        <f t="shared" si="31"/>
        <v>0</v>
      </c>
      <c r="N79" s="412">
        <f>SUM(B79:M79)</f>
        <v>0</v>
      </c>
      <c r="O79" s="21"/>
    </row>
    <row r="80" spans="1:16" s="19" customFormat="1">
      <c r="A80" s="413"/>
      <c r="B80" s="411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50"/>
      <c r="O80" s="21"/>
    </row>
    <row r="81" spans="1:15" s="19" customFormat="1">
      <c r="A81" s="422"/>
      <c r="B81" s="295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50"/>
      <c r="O81" s="21"/>
    </row>
    <row r="82" spans="1:15" s="28" customFormat="1">
      <c r="A82" s="406" t="s">
        <v>16</v>
      </c>
      <c r="B82" s="407">
        <v>0</v>
      </c>
      <c r="C82" s="407">
        <v>0</v>
      </c>
      <c r="D82" s="407">
        <v>0</v>
      </c>
      <c r="E82" s="407">
        <v>0</v>
      </c>
      <c r="F82" s="407">
        <v>0</v>
      </c>
      <c r="G82" s="407">
        <v>0</v>
      </c>
      <c r="H82" s="407">
        <v>0</v>
      </c>
      <c r="I82" s="407">
        <v>0</v>
      </c>
      <c r="J82" s="407">
        <v>0</v>
      </c>
      <c r="K82" s="407">
        <v>0</v>
      </c>
      <c r="L82" s="407">
        <v>0</v>
      </c>
      <c r="M82" s="407">
        <v>0</v>
      </c>
      <c r="N82" s="408">
        <f>SUM(B82:M82)</f>
        <v>0</v>
      </c>
      <c r="O82" s="21"/>
    </row>
    <row r="83" spans="1:15" s="19" customFormat="1">
      <c r="A83" s="409" t="s">
        <v>20</v>
      </c>
      <c r="B83" s="414">
        <f>B78</f>
        <v>1.59</v>
      </c>
      <c r="C83" s="414">
        <f t="shared" ref="C83:M83" si="32">C78</f>
        <v>1.59</v>
      </c>
      <c r="D83" s="414">
        <f t="shared" si="32"/>
        <v>1.59</v>
      </c>
      <c r="E83" s="414">
        <f t="shared" si="32"/>
        <v>1.59</v>
      </c>
      <c r="F83" s="414">
        <f t="shared" si="32"/>
        <v>1.59</v>
      </c>
      <c r="G83" s="414">
        <f t="shared" si="32"/>
        <v>1.59</v>
      </c>
      <c r="H83" s="414">
        <f t="shared" si="32"/>
        <v>1.59</v>
      </c>
      <c r="I83" s="414">
        <f t="shared" si="32"/>
        <v>1.59</v>
      </c>
      <c r="J83" s="414">
        <f t="shared" si="32"/>
        <v>1.59</v>
      </c>
      <c r="K83" s="414">
        <f t="shared" si="32"/>
        <v>1.59</v>
      </c>
      <c r="L83" s="414">
        <f t="shared" si="32"/>
        <v>1.59</v>
      </c>
      <c r="M83" s="414">
        <f t="shared" si="32"/>
        <v>1.59</v>
      </c>
      <c r="N83" s="250"/>
      <c r="O83" s="21"/>
    </row>
    <row r="84" spans="1:15" s="19" customFormat="1">
      <c r="A84" s="409" t="s">
        <v>17</v>
      </c>
      <c r="B84" s="411">
        <f t="shared" ref="B84:M84" si="33">B82*B83</f>
        <v>0</v>
      </c>
      <c r="C84" s="411">
        <f t="shared" si="33"/>
        <v>0</v>
      </c>
      <c r="D84" s="411">
        <f t="shared" si="33"/>
        <v>0</v>
      </c>
      <c r="E84" s="411">
        <f t="shared" si="33"/>
        <v>0</v>
      </c>
      <c r="F84" s="411">
        <f t="shared" si="33"/>
        <v>0</v>
      </c>
      <c r="G84" s="411">
        <f t="shared" si="33"/>
        <v>0</v>
      </c>
      <c r="H84" s="411">
        <f t="shared" si="33"/>
        <v>0</v>
      </c>
      <c r="I84" s="411">
        <f t="shared" si="33"/>
        <v>0</v>
      </c>
      <c r="J84" s="411">
        <f t="shared" si="33"/>
        <v>0</v>
      </c>
      <c r="K84" s="411">
        <f t="shared" si="33"/>
        <v>0</v>
      </c>
      <c r="L84" s="411">
        <f t="shared" si="33"/>
        <v>0</v>
      </c>
      <c r="M84" s="411">
        <f t="shared" si="33"/>
        <v>0</v>
      </c>
      <c r="N84" s="412">
        <f>SUM(B84:M84)</f>
        <v>0</v>
      </c>
      <c r="O84" s="21"/>
    </row>
    <row r="85" spans="1:15" s="19" customFormat="1">
      <c r="A85" s="413"/>
      <c r="B85" s="411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50"/>
      <c r="O85" s="21"/>
    </row>
    <row r="86" spans="1:15" s="19" customFormat="1" ht="10.199999999999999">
      <c r="A86" s="405" t="s">
        <v>23</v>
      </c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50"/>
      <c r="O86" s="28"/>
    </row>
    <row r="87" spans="1:15" s="28" customFormat="1" ht="10.199999999999999">
      <c r="A87" s="406" t="s">
        <v>16</v>
      </c>
      <c r="B87" s="407">
        <v>37056</v>
      </c>
      <c r="C87" s="407">
        <f>B87</f>
        <v>37056</v>
      </c>
      <c r="D87" s="407">
        <f t="shared" ref="D87:M87" si="34">C87</f>
        <v>37056</v>
      </c>
      <c r="E87" s="407">
        <f t="shared" si="34"/>
        <v>37056</v>
      </c>
      <c r="F87" s="407">
        <f t="shared" si="34"/>
        <v>37056</v>
      </c>
      <c r="G87" s="407">
        <f t="shared" si="34"/>
        <v>37056</v>
      </c>
      <c r="H87" s="407">
        <f t="shared" si="34"/>
        <v>37056</v>
      </c>
      <c r="I87" s="407">
        <f t="shared" si="34"/>
        <v>37056</v>
      </c>
      <c r="J87" s="407">
        <f t="shared" si="34"/>
        <v>37056</v>
      </c>
      <c r="K87" s="407">
        <f t="shared" si="34"/>
        <v>37056</v>
      </c>
      <c r="L87" s="407">
        <f t="shared" si="34"/>
        <v>37056</v>
      </c>
      <c r="M87" s="407">
        <f t="shared" si="34"/>
        <v>37056</v>
      </c>
      <c r="N87" s="408">
        <f>SUM(B87:M87)</f>
        <v>444672</v>
      </c>
      <c r="O87" s="449"/>
    </row>
    <row r="88" spans="1:15" s="19" customFormat="1" ht="10.199999999999999">
      <c r="A88" s="409" t="s">
        <v>20</v>
      </c>
      <c r="B88" s="414">
        <f t="shared" ref="B88:M88" si="35">B83</f>
        <v>1.59</v>
      </c>
      <c r="C88" s="414">
        <f t="shared" si="35"/>
        <v>1.59</v>
      </c>
      <c r="D88" s="414">
        <f t="shared" si="35"/>
        <v>1.59</v>
      </c>
      <c r="E88" s="414">
        <f t="shared" si="35"/>
        <v>1.59</v>
      </c>
      <c r="F88" s="414">
        <f t="shared" si="35"/>
        <v>1.59</v>
      </c>
      <c r="G88" s="414">
        <f t="shared" si="35"/>
        <v>1.59</v>
      </c>
      <c r="H88" s="414">
        <f t="shared" si="35"/>
        <v>1.59</v>
      </c>
      <c r="I88" s="414">
        <f t="shared" si="35"/>
        <v>1.59</v>
      </c>
      <c r="J88" s="414">
        <f t="shared" si="35"/>
        <v>1.59</v>
      </c>
      <c r="K88" s="414">
        <f t="shared" si="35"/>
        <v>1.59</v>
      </c>
      <c r="L88" s="414">
        <f t="shared" si="35"/>
        <v>1.59</v>
      </c>
      <c r="M88" s="414">
        <f t="shared" si="35"/>
        <v>1.59</v>
      </c>
      <c r="N88" s="250"/>
    </row>
    <row r="89" spans="1:15" s="19" customFormat="1" ht="10.199999999999999">
      <c r="A89" s="409" t="s">
        <v>17</v>
      </c>
      <c r="B89" s="411">
        <f t="shared" ref="B89:M89" si="36">B87*B88</f>
        <v>58919.040000000001</v>
      </c>
      <c r="C89" s="411">
        <f t="shared" si="36"/>
        <v>58919.040000000001</v>
      </c>
      <c r="D89" s="411">
        <f t="shared" si="36"/>
        <v>58919.040000000001</v>
      </c>
      <c r="E89" s="411">
        <f t="shared" si="36"/>
        <v>58919.040000000001</v>
      </c>
      <c r="F89" s="411">
        <f t="shared" si="36"/>
        <v>58919.040000000001</v>
      </c>
      <c r="G89" s="411">
        <f t="shared" si="36"/>
        <v>58919.040000000001</v>
      </c>
      <c r="H89" s="411">
        <f t="shared" si="36"/>
        <v>58919.040000000001</v>
      </c>
      <c r="I89" s="411">
        <f t="shared" si="36"/>
        <v>58919.040000000001</v>
      </c>
      <c r="J89" s="411">
        <f t="shared" si="36"/>
        <v>58919.040000000001</v>
      </c>
      <c r="K89" s="411">
        <f t="shared" si="36"/>
        <v>58919.040000000001</v>
      </c>
      <c r="L89" s="411">
        <f t="shared" si="36"/>
        <v>58919.040000000001</v>
      </c>
      <c r="M89" s="411">
        <f t="shared" si="36"/>
        <v>58919.040000000001</v>
      </c>
      <c r="N89" s="412">
        <f>SUM(B89:M89)</f>
        <v>707028.4800000001</v>
      </c>
    </row>
    <row r="90" spans="1:15" s="19" customFormat="1" ht="10.199999999999999">
      <c r="A90" s="413"/>
      <c r="B90" s="411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50"/>
    </row>
    <row r="91" spans="1:15" s="19" customFormat="1" ht="10.199999999999999">
      <c r="A91" s="405" t="s">
        <v>24</v>
      </c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50"/>
    </row>
    <row r="92" spans="1:15" s="28" customFormat="1" ht="10.199999999999999">
      <c r="A92" s="406" t="s">
        <v>16</v>
      </c>
      <c r="B92" s="407">
        <v>62000</v>
      </c>
      <c r="C92" s="407">
        <v>62000</v>
      </c>
      <c r="D92" s="407">
        <v>62000</v>
      </c>
      <c r="E92" s="407">
        <v>62000</v>
      </c>
      <c r="F92" s="407">
        <v>62000</v>
      </c>
      <c r="G92" s="407">
        <v>62000</v>
      </c>
      <c r="H92" s="407">
        <v>62000</v>
      </c>
      <c r="I92" s="407">
        <v>62000</v>
      </c>
      <c r="J92" s="407">
        <v>62000</v>
      </c>
      <c r="K92" s="407">
        <v>62000</v>
      </c>
      <c r="L92" s="407">
        <v>62000</v>
      </c>
      <c r="M92" s="407">
        <v>62000</v>
      </c>
      <c r="N92" s="408">
        <f>SUM(B92:M92)</f>
        <v>744000</v>
      </c>
      <c r="O92" s="449"/>
    </row>
    <row r="93" spans="1:15" s="19" customFormat="1" ht="10.199999999999999">
      <c r="A93" s="409" t="s">
        <v>20</v>
      </c>
      <c r="B93" s="414">
        <f>B88</f>
        <v>1.59</v>
      </c>
      <c r="C93" s="414">
        <f t="shared" ref="C93:M93" si="37">C88</f>
        <v>1.59</v>
      </c>
      <c r="D93" s="414">
        <f t="shared" si="37"/>
        <v>1.59</v>
      </c>
      <c r="E93" s="414">
        <f t="shared" si="37"/>
        <v>1.59</v>
      </c>
      <c r="F93" s="414">
        <f t="shared" si="37"/>
        <v>1.59</v>
      </c>
      <c r="G93" s="414">
        <f t="shared" si="37"/>
        <v>1.59</v>
      </c>
      <c r="H93" s="414">
        <f t="shared" si="37"/>
        <v>1.59</v>
      </c>
      <c r="I93" s="414">
        <f t="shared" si="37"/>
        <v>1.59</v>
      </c>
      <c r="J93" s="414">
        <f t="shared" si="37"/>
        <v>1.59</v>
      </c>
      <c r="K93" s="414">
        <f t="shared" si="37"/>
        <v>1.59</v>
      </c>
      <c r="L93" s="414">
        <f t="shared" si="37"/>
        <v>1.59</v>
      </c>
      <c r="M93" s="414">
        <f t="shared" si="37"/>
        <v>1.59</v>
      </c>
      <c r="N93" s="250"/>
    </row>
    <row r="94" spans="1:15" s="19" customFormat="1" ht="10.199999999999999">
      <c r="A94" s="409" t="s">
        <v>17</v>
      </c>
      <c r="B94" s="411">
        <f t="shared" ref="B94:M94" si="38">B92*B93</f>
        <v>98580</v>
      </c>
      <c r="C94" s="411">
        <f t="shared" si="38"/>
        <v>98580</v>
      </c>
      <c r="D94" s="411">
        <f t="shared" si="38"/>
        <v>98580</v>
      </c>
      <c r="E94" s="411">
        <f t="shared" si="38"/>
        <v>98580</v>
      </c>
      <c r="F94" s="411">
        <f t="shared" si="38"/>
        <v>98580</v>
      </c>
      <c r="G94" s="411">
        <f t="shared" si="38"/>
        <v>98580</v>
      </c>
      <c r="H94" s="411">
        <f t="shared" si="38"/>
        <v>98580</v>
      </c>
      <c r="I94" s="411">
        <f t="shared" si="38"/>
        <v>98580</v>
      </c>
      <c r="J94" s="411">
        <f t="shared" si="38"/>
        <v>98580</v>
      </c>
      <c r="K94" s="411">
        <f t="shared" si="38"/>
        <v>98580</v>
      </c>
      <c r="L94" s="411">
        <f t="shared" si="38"/>
        <v>98580</v>
      </c>
      <c r="M94" s="411">
        <f t="shared" si="38"/>
        <v>98580</v>
      </c>
      <c r="N94" s="412">
        <f>SUM(B94:M94)</f>
        <v>1182960</v>
      </c>
    </row>
    <row r="95" spans="1:15" s="19" customFormat="1" ht="10.199999999999999">
      <c r="A95" s="409"/>
      <c r="B95" s="411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250"/>
    </row>
    <row r="96" spans="1:15" s="19" customFormat="1" ht="10.199999999999999">
      <c r="A96" s="405" t="s">
        <v>111</v>
      </c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50"/>
    </row>
    <row r="97" spans="1:15" s="19" customFormat="1" ht="10.199999999999999">
      <c r="A97" s="406" t="s">
        <v>16</v>
      </c>
      <c r="B97" s="407">
        <v>40000</v>
      </c>
      <c r="C97" s="407">
        <v>40000</v>
      </c>
      <c r="D97" s="407">
        <v>40000</v>
      </c>
      <c r="E97" s="407">
        <v>40000</v>
      </c>
      <c r="F97" s="407">
        <v>40000</v>
      </c>
      <c r="G97" s="407">
        <v>40000</v>
      </c>
      <c r="H97" s="407">
        <v>40000</v>
      </c>
      <c r="I97" s="407">
        <v>40000</v>
      </c>
      <c r="J97" s="407">
        <v>40000</v>
      </c>
      <c r="K97" s="407">
        <v>40000</v>
      </c>
      <c r="L97" s="407">
        <v>40000</v>
      </c>
      <c r="M97" s="407">
        <v>40000</v>
      </c>
      <c r="N97" s="408">
        <f>SUM(B97:M97)</f>
        <v>480000</v>
      </c>
      <c r="O97" s="448"/>
    </row>
    <row r="98" spans="1:15" s="19" customFormat="1" ht="10.199999999999999">
      <c r="A98" s="409" t="s">
        <v>20</v>
      </c>
      <c r="B98" s="414">
        <f>B93</f>
        <v>1.59</v>
      </c>
      <c r="C98" s="414">
        <f t="shared" ref="C98:M98" si="39">C93</f>
        <v>1.59</v>
      </c>
      <c r="D98" s="414">
        <f t="shared" si="39"/>
        <v>1.59</v>
      </c>
      <c r="E98" s="414">
        <f t="shared" si="39"/>
        <v>1.59</v>
      </c>
      <c r="F98" s="414">
        <f t="shared" si="39"/>
        <v>1.59</v>
      </c>
      <c r="G98" s="414">
        <f t="shared" si="39"/>
        <v>1.59</v>
      </c>
      <c r="H98" s="414">
        <f t="shared" si="39"/>
        <v>1.59</v>
      </c>
      <c r="I98" s="414">
        <f t="shared" si="39"/>
        <v>1.59</v>
      </c>
      <c r="J98" s="414">
        <f t="shared" si="39"/>
        <v>1.59</v>
      </c>
      <c r="K98" s="414">
        <f t="shared" si="39"/>
        <v>1.59</v>
      </c>
      <c r="L98" s="414">
        <f t="shared" si="39"/>
        <v>1.59</v>
      </c>
      <c r="M98" s="414">
        <f t="shared" si="39"/>
        <v>1.59</v>
      </c>
      <c r="N98" s="250"/>
    </row>
    <row r="99" spans="1:15" s="19" customFormat="1" ht="10.199999999999999">
      <c r="A99" s="409" t="s">
        <v>17</v>
      </c>
      <c r="B99" s="411">
        <f t="shared" ref="B99:M99" si="40">B97*B98</f>
        <v>63600</v>
      </c>
      <c r="C99" s="411">
        <f t="shared" si="40"/>
        <v>63600</v>
      </c>
      <c r="D99" s="411">
        <f t="shared" si="40"/>
        <v>63600</v>
      </c>
      <c r="E99" s="411">
        <f t="shared" si="40"/>
        <v>63600</v>
      </c>
      <c r="F99" s="411">
        <f t="shared" si="40"/>
        <v>63600</v>
      </c>
      <c r="G99" s="411">
        <f t="shared" si="40"/>
        <v>63600</v>
      </c>
      <c r="H99" s="411">
        <f t="shared" si="40"/>
        <v>63600</v>
      </c>
      <c r="I99" s="411">
        <f t="shared" si="40"/>
        <v>63600</v>
      </c>
      <c r="J99" s="411">
        <f t="shared" si="40"/>
        <v>63600</v>
      </c>
      <c r="K99" s="411">
        <f t="shared" si="40"/>
        <v>63600</v>
      </c>
      <c r="L99" s="411">
        <f t="shared" si="40"/>
        <v>63600</v>
      </c>
      <c r="M99" s="411">
        <f t="shared" si="40"/>
        <v>63600</v>
      </c>
      <c r="N99" s="412">
        <f>SUM(B99:M99)</f>
        <v>763200</v>
      </c>
    </row>
    <row r="100" spans="1:15" s="19" customFormat="1" ht="10.199999999999999">
      <c r="A100" s="409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2"/>
    </row>
    <row r="101" spans="1:15" s="19" customFormat="1" ht="10.199999999999999">
      <c r="A101" s="405" t="s">
        <v>222</v>
      </c>
      <c r="B101" s="295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50"/>
      <c r="O101" s="448"/>
    </row>
    <row r="102" spans="1:15" s="19" customFormat="1" ht="10.199999999999999">
      <c r="A102" s="406" t="s">
        <v>16</v>
      </c>
      <c r="B102" s="407">
        <v>4000</v>
      </c>
      <c r="C102" s="407">
        <f t="shared" ref="C102:H102" si="41">B102</f>
        <v>4000</v>
      </c>
      <c r="D102" s="407">
        <f t="shared" si="41"/>
        <v>4000</v>
      </c>
      <c r="E102" s="407">
        <f t="shared" si="41"/>
        <v>4000</v>
      </c>
      <c r="F102" s="407">
        <f t="shared" si="41"/>
        <v>4000</v>
      </c>
      <c r="G102" s="407">
        <f t="shared" si="41"/>
        <v>4000</v>
      </c>
      <c r="H102" s="407">
        <f t="shared" si="41"/>
        <v>4000</v>
      </c>
      <c r="I102" s="407">
        <f>H102</f>
        <v>4000</v>
      </c>
      <c r="J102" s="407">
        <f>I102</f>
        <v>4000</v>
      </c>
      <c r="K102" s="407">
        <f>J102</f>
        <v>4000</v>
      </c>
      <c r="L102" s="407">
        <f>K102</f>
        <v>4000</v>
      </c>
      <c r="M102" s="407">
        <f>L102</f>
        <v>4000</v>
      </c>
      <c r="N102" s="408">
        <f>SUM(B102:M102)</f>
        <v>48000</v>
      </c>
    </row>
    <row r="103" spans="1:15" s="19" customFormat="1" ht="10.199999999999999">
      <c r="A103" s="409" t="s">
        <v>20</v>
      </c>
      <c r="B103" s="414">
        <f>B98</f>
        <v>1.59</v>
      </c>
      <c r="C103" s="414">
        <f t="shared" ref="C103:M103" si="42">C98</f>
        <v>1.59</v>
      </c>
      <c r="D103" s="414">
        <f t="shared" si="42"/>
        <v>1.59</v>
      </c>
      <c r="E103" s="414">
        <f t="shared" si="42"/>
        <v>1.59</v>
      </c>
      <c r="F103" s="414">
        <f t="shared" si="42"/>
        <v>1.59</v>
      </c>
      <c r="G103" s="414">
        <f t="shared" si="42"/>
        <v>1.59</v>
      </c>
      <c r="H103" s="414">
        <f t="shared" si="42"/>
        <v>1.59</v>
      </c>
      <c r="I103" s="414">
        <f t="shared" si="42"/>
        <v>1.59</v>
      </c>
      <c r="J103" s="414">
        <f t="shared" si="42"/>
        <v>1.59</v>
      </c>
      <c r="K103" s="414">
        <f t="shared" si="42"/>
        <v>1.59</v>
      </c>
      <c r="L103" s="414">
        <f t="shared" si="42"/>
        <v>1.59</v>
      </c>
      <c r="M103" s="414">
        <f t="shared" si="42"/>
        <v>1.59</v>
      </c>
      <c r="N103" s="250"/>
    </row>
    <row r="104" spans="1:15" s="19" customFormat="1" ht="10.199999999999999">
      <c r="A104" s="409" t="s">
        <v>17</v>
      </c>
      <c r="B104" s="411">
        <f t="shared" ref="B104:M104" si="43">B102*B103</f>
        <v>6360</v>
      </c>
      <c r="C104" s="411">
        <f t="shared" si="43"/>
        <v>6360</v>
      </c>
      <c r="D104" s="411">
        <f t="shared" si="43"/>
        <v>6360</v>
      </c>
      <c r="E104" s="411">
        <f t="shared" si="43"/>
        <v>6360</v>
      </c>
      <c r="F104" s="411">
        <f t="shared" si="43"/>
        <v>6360</v>
      </c>
      <c r="G104" s="411">
        <f t="shared" si="43"/>
        <v>6360</v>
      </c>
      <c r="H104" s="411">
        <f t="shared" si="43"/>
        <v>6360</v>
      </c>
      <c r="I104" s="411">
        <f t="shared" si="43"/>
        <v>6360</v>
      </c>
      <c r="J104" s="411">
        <f t="shared" si="43"/>
        <v>6360</v>
      </c>
      <c r="K104" s="411">
        <f t="shared" si="43"/>
        <v>6360</v>
      </c>
      <c r="L104" s="411">
        <f t="shared" si="43"/>
        <v>6360</v>
      </c>
      <c r="M104" s="411">
        <f t="shared" si="43"/>
        <v>6360</v>
      </c>
      <c r="N104" s="412">
        <f>SUM(B104:M104)</f>
        <v>76320</v>
      </c>
    </row>
    <row r="105" spans="1:15" s="19" customFormat="1" ht="10.199999999999999">
      <c r="A105" s="409"/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2"/>
    </row>
    <row r="106" spans="1:15">
      <c r="A106" s="405" t="s">
        <v>173</v>
      </c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50"/>
      <c r="O106" s="450"/>
    </row>
    <row r="107" spans="1:15">
      <c r="A107" s="406" t="s">
        <v>16</v>
      </c>
      <c r="B107" s="407"/>
      <c r="C107" s="407">
        <f t="shared" ref="C107:M107" si="44">B107</f>
        <v>0</v>
      </c>
      <c r="D107" s="407">
        <f t="shared" si="44"/>
        <v>0</v>
      </c>
      <c r="E107" s="407">
        <f t="shared" si="44"/>
        <v>0</v>
      </c>
      <c r="F107" s="407">
        <f t="shared" si="44"/>
        <v>0</v>
      </c>
      <c r="G107" s="407">
        <f t="shared" si="44"/>
        <v>0</v>
      </c>
      <c r="H107" s="407">
        <f t="shared" si="44"/>
        <v>0</v>
      </c>
      <c r="I107" s="407">
        <f t="shared" si="44"/>
        <v>0</v>
      </c>
      <c r="J107" s="407">
        <f t="shared" si="44"/>
        <v>0</v>
      </c>
      <c r="K107" s="407">
        <f t="shared" si="44"/>
        <v>0</v>
      </c>
      <c r="L107" s="407">
        <f t="shared" si="44"/>
        <v>0</v>
      </c>
      <c r="M107" s="407">
        <f t="shared" si="44"/>
        <v>0</v>
      </c>
      <c r="N107" s="408">
        <f>SUM(B107:M107)</f>
        <v>0</v>
      </c>
      <c r="O107" s="362"/>
    </row>
    <row r="108" spans="1:15">
      <c r="A108" s="409" t="s">
        <v>20</v>
      </c>
      <c r="B108" s="414">
        <f>B98</f>
        <v>1.59</v>
      </c>
      <c r="C108" s="414">
        <f t="shared" ref="C108:M108" si="45">C98</f>
        <v>1.59</v>
      </c>
      <c r="D108" s="414">
        <f t="shared" si="45"/>
        <v>1.59</v>
      </c>
      <c r="E108" s="414">
        <f t="shared" si="45"/>
        <v>1.59</v>
      </c>
      <c r="F108" s="414">
        <f t="shared" si="45"/>
        <v>1.59</v>
      </c>
      <c r="G108" s="414">
        <f t="shared" si="45"/>
        <v>1.59</v>
      </c>
      <c r="H108" s="414">
        <f t="shared" si="45"/>
        <v>1.59</v>
      </c>
      <c r="I108" s="414">
        <f t="shared" si="45"/>
        <v>1.59</v>
      </c>
      <c r="J108" s="414">
        <f t="shared" si="45"/>
        <v>1.59</v>
      </c>
      <c r="K108" s="414">
        <f t="shared" si="45"/>
        <v>1.59</v>
      </c>
      <c r="L108" s="414">
        <f t="shared" si="45"/>
        <v>1.59</v>
      </c>
      <c r="M108" s="414">
        <f t="shared" si="45"/>
        <v>1.59</v>
      </c>
      <c r="N108" s="250"/>
    </row>
    <row r="109" spans="1:15">
      <c r="A109" s="409" t="s">
        <v>17</v>
      </c>
      <c r="B109" s="411">
        <f t="shared" ref="B109:M109" si="46">B107*B108</f>
        <v>0</v>
      </c>
      <c r="C109" s="411">
        <f t="shared" si="46"/>
        <v>0</v>
      </c>
      <c r="D109" s="411">
        <f t="shared" si="46"/>
        <v>0</v>
      </c>
      <c r="E109" s="411">
        <f t="shared" si="46"/>
        <v>0</v>
      </c>
      <c r="F109" s="411">
        <f t="shared" si="46"/>
        <v>0</v>
      </c>
      <c r="G109" s="411">
        <f t="shared" si="46"/>
        <v>0</v>
      </c>
      <c r="H109" s="411">
        <f t="shared" si="46"/>
        <v>0</v>
      </c>
      <c r="I109" s="411">
        <f t="shared" si="46"/>
        <v>0</v>
      </c>
      <c r="J109" s="411">
        <f t="shared" si="46"/>
        <v>0</v>
      </c>
      <c r="K109" s="411">
        <f t="shared" si="46"/>
        <v>0</v>
      </c>
      <c r="L109" s="411">
        <f t="shared" si="46"/>
        <v>0</v>
      </c>
      <c r="M109" s="411">
        <f t="shared" si="46"/>
        <v>0</v>
      </c>
      <c r="N109" s="412">
        <f>SUM(B109:M109)</f>
        <v>0</v>
      </c>
    </row>
    <row r="110" spans="1:15" s="19" customFormat="1" ht="10.199999999999999">
      <c r="A110" s="409"/>
      <c r="B110" s="411"/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2"/>
    </row>
    <row r="111" spans="1:15" s="19" customFormat="1" ht="10.199999999999999">
      <c r="A111" s="405" t="s">
        <v>44</v>
      </c>
      <c r="B111" s="295"/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50"/>
      <c r="O111" s="448"/>
    </row>
    <row r="112" spans="1:15" s="19" customFormat="1" ht="10.199999999999999">
      <c r="A112" s="406" t="s">
        <v>16</v>
      </c>
      <c r="B112" s="407">
        <v>25000</v>
      </c>
      <c r="C112" s="407"/>
      <c r="D112" s="407"/>
      <c r="E112" s="407"/>
      <c r="F112" s="407"/>
      <c r="G112" s="407"/>
      <c r="H112" s="407"/>
      <c r="I112" s="407"/>
      <c r="J112" s="407"/>
      <c r="K112" s="407"/>
      <c r="L112" s="407"/>
      <c r="M112" s="407"/>
      <c r="N112" s="408">
        <f>SUM(B112:M112)</f>
        <v>25000</v>
      </c>
    </row>
    <row r="113" spans="1:15" s="19" customFormat="1" ht="10.199999999999999">
      <c r="A113" s="409" t="s">
        <v>20</v>
      </c>
      <c r="B113" s="414">
        <f>B103</f>
        <v>1.59</v>
      </c>
      <c r="C113" s="414">
        <f t="shared" ref="C113:M113" si="47">C103</f>
        <v>1.59</v>
      </c>
      <c r="D113" s="414">
        <f t="shared" si="47"/>
        <v>1.59</v>
      </c>
      <c r="E113" s="414">
        <f t="shared" si="47"/>
        <v>1.59</v>
      </c>
      <c r="F113" s="414">
        <f t="shared" si="47"/>
        <v>1.59</v>
      </c>
      <c r="G113" s="414">
        <f t="shared" si="47"/>
        <v>1.59</v>
      </c>
      <c r="H113" s="414">
        <f t="shared" si="47"/>
        <v>1.59</v>
      </c>
      <c r="I113" s="414">
        <f t="shared" si="47"/>
        <v>1.59</v>
      </c>
      <c r="J113" s="414">
        <f t="shared" si="47"/>
        <v>1.59</v>
      </c>
      <c r="K113" s="414">
        <f t="shared" si="47"/>
        <v>1.59</v>
      </c>
      <c r="L113" s="414">
        <f t="shared" si="47"/>
        <v>1.59</v>
      </c>
      <c r="M113" s="414">
        <f t="shared" si="47"/>
        <v>1.59</v>
      </c>
      <c r="N113" s="250"/>
    </row>
    <row r="114" spans="1:15" s="19" customFormat="1" ht="10.199999999999999">
      <c r="A114" s="409" t="s">
        <v>17</v>
      </c>
      <c r="B114" s="411">
        <f t="shared" ref="B114:M114" si="48">B112*B113</f>
        <v>39750</v>
      </c>
      <c r="C114" s="411">
        <f t="shared" si="48"/>
        <v>0</v>
      </c>
      <c r="D114" s="411">
        <f t="shared" si="48"/>
        <v>0</v>
      </c>
      <c r="E114" s="411">
        <f t="shared" si="48"/>
        <v>0</v>
      </c>
      <c r="F114" s="411">
        <f t="shared" si="48"/>
        <v>0</v>
      </c>
      <c r="G114" s="411">
        <f t="shared" si="48"/>
        <v>0</v>
      </c>
      <c r="H114" s="411">
        <f t="shared" si="48"/>
        <v>0</v>
      </c>
      <c r="I114" s="411">
        <f t="shared" si="48"/>
        <v>0</v>
      </c>
      <c r="J114" s="411">
        <f t="shared" si="48"/>
        <v>0</v>
      </c>
      <c r="K114" s="411">
        <f t="shared" si="48"/>
        <v>0</v>
      </c>
      <c r="L114" s="411">
        <f t="shared" si="48"/>
        <v>0</v>
      </c>
      <c r="M114" s="411">
        <f t="shared" si="48"/>
        <v>0</v>
      </c>
      <c r="N114" s="412">
        <f>SUM(B114:M114)</f>
        <v>39750</v>
      </c>
    </row>
    <row r="115" spans="1:15" s="19" customFormat="1" ht="10.199999999999999">
      <c r="A115" s="409"/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2"/>
    </row>
    <row r="116" spans="1:15">
      <c r="A116" s="405" t="s">
        <v>112</v>
      </c>
      <c r="B116" s="295"/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50"/>
    </row>
    <row r="117" spans="1:15">
      <c r="A117" s="406" t="s">
        <v>16</v>
      </c>
      <c r="B117" s="407">
        <v>150000</v>
      </c>
      <c r="C117" s="407">
        <f>B117</f>
        <v>150000</v>
      </c>
      <c r="D117" s="407">
        <f>C117</f>
        <v>150000</v>
      </c>
      <c r="E117" s="407">
        <f>D117</f>
        <v>150000</v>
      </c>
      <c r="F117" s="407">
        <f>E117</f>
        <v>150000</v>
      </c>
      <c r="G117" s="407">
        <v>150000</v>
      </c>
      <c r="H117" s="407">
        <f>G117</f>
        <v>150000</v>
      </c>
      <c r="I117" s="407">
        <f t="shared" ref="I117" si="49">H117</f>
        <v>150000</v>
      </c>
      <c r="J117" s="407">
        <f t="shared" ref="J117" si="50">I117</f>
        <v>150000</v>
      </c>
      <c r="K117" s="407">
        <f t="shared" ref="K117" si="51">J117</f>
        <v>150000</v>
      </c>
      <c r="L117" s="407">
        <f t="shared" ref="L117" si="52">K117</f>
        <v>150000</v>
      </c>
      <c r="M117" s="407">
        <f t="shared" ref="M117" si="53">L117</f>
        <v>150000</v>
      </c>
      <c r="N117" s="408">
        <f>SUM(B117:M117)</f>
        <v>1800000</v>
      </c>
    </row>
    <row r="118" spans="1:15">
      <c r="A118" s="409" t="s">
        <v>20</v>
      </c>
      <c r="B118" s="414">
        <f>B113</f>
        <v>1.59</v>
      </c>
      <c r="C118" s="414">
        <f t="shared" ref="C118:M118" si="54">C113</f>
        <v>1.59</v>
      </c>
      <c r="D118" s="414">
        <f t="shared" si="54"/>
        <v>1.59</v>
      </c>
      <c r="E118" s="414">
        <f t="shared" si="54"/>
        <v>1.59</v>
      </c>
      <c r="F118" s="414">
        <f t="shared" si="54"/>
        <v>1.59</v>
      </c>
      <c r="G118" s="414">
        <f t="shared" si="54"/>
        <v>1.59</v>
      </c>
      <c r="H118" s="414">
        <f t="shared" si="54"/>
        <v>1.59</v>
      </c>
      <c r="I118" s="414">
        <f t="shared" si="54"/>
        <v>1.59</v>
      </c>
      <c r="J118" s="414">
        <f t="shared" si="54"/>
        <v>1.59</v>
      </c>
      <c r="K118" s="414">
        <f t="shared" si="54"/>
        <v>1.59</v>
      </c>
      <c r="L118" s="414">
        <f t="shared" si="54"/>
        <v>1.59</v>
      </c>
      <c r="M118" s="414">
        <f t="shared" si="54"/>
        <v>1.59</v>
      </c>
      <c r="N118" s="250"/>
    </row>
    <row r="119" spans="1:15">
      <c r="A119" s="409" t="s">
        <v>17</v>
      </c>
      <c r="B119" s="411">
        <f t="shared" ref="B119:M119" si="55">B117*B118</f>
        <v>238500</v>
      </c>
      <c r="C119" s="411">
        <f t="shared" si="55"/>
        <v>238500</v>
      </c>
      <c r="D119" s="411">
        <f t="shared" si="55"/>
        <v>238500</v>
      </c>
      <c r="E119" s="411">
        <f t="shared" si="55"/>
        <v>238500</v>
      </c>
      <c r="F119" s="411">
        <f t="shared" si="55"/>
        <v>238500</v>
      </c>
      <c r="G119" s="411">
        <f t="shared" si="55"/>
        <v>238500</v>
      </c>
      <c r="H119" s="411">
        <f t="shared" si="55"/>
        <v>238500</v>
      </c>
      <c r="I119" s="411">
        <f t="shared" si="55"/>
        <v>238500</v>
      </c>
      <c r="J119" s="411">
        <f t="shared" si="55"/>
        <v>238500</v>
      </c>
      <c r="K119" s="411">
        <f t="shared" si="55"/>
        <v>238500</v>
      </c>
      <c r="L119" s="411">
        <f t="shared" si="55"/>
        <v>238500</v>
      </c>
      <c r="M119" s="411">
        <f t="shared" si="55"/>
        <v>238500</v>
      </c>
      <c r="N119" s="412">
        <f>SUM(B119:M119)</f>
        <v>2862000</v>
      </c>
    </row>
    <row r="120" spans="1:15">
      <c r="A120" s="409"/>
      <c r="B120" s="411"/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2"/>
    </row>
    <row r="121" spans="1:15" s="19" customFormat="1" ht="10.199999999999999">
      <c r="A121" s="405" t="s">
        <v>165</v>
      </c>
      <c r="B121" s="411"/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2"/>
    </row>
    <row r="122" spans="1:15" s="19" customFormat="1" ht="10.199999999999999">
      <c r="A122" s="406" t="s">
        <v>16</v>
      </c>
      <c r="B122" s="411">
        <v>4000</v>
      </c>
      <c r="C122" s="411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08">
        <f>SUM(B122:M122)</f>
        <v>4000</v>
      </c>
      <c r="O122" s="327" t="s">
        <v>221</v>
      </c>
    </row>
    <row r="123" spans="1:15" s="19" customFormat="1" ht="10.199999999999999">
      <c r="A123" s="409" t="s">
        <v>20</v>
      </c>
      <c r="B123" s="414">
        <f>B113</f>
        <v>1.59</v>
      </c>
      <c r="C123" s="414">
        <f t="shared" ref="C123:M123" si="56">C113</f>
        <v>1.59</v>
      </c>
      <c r="D123" s="414">
        <f t="shared" si="56"/>
        <v>1.59</v>
      </c>
      <c r="E123" s="414">
        <f t="shared" si="56"/>
        <v>1.59</v>
      </c>
      <c r="F123" s="414">
        <f t="shared" si="56"/>
        <v>1.59</v>
      </c>
      <c r="G123" s="414">
        <f t="shared" si="56"/>
        <v>1.59</v>
      </c>
      <c r="H123" s="414">
        <f t="shared" si="56"/>
        <v>1.59</v>
      </c>
      <c r="I123" s="414">
        <f t="shared" si="56"/>
        <v>1.59</v>
      </c>
      <c r="J123" s="414">
        <f t="shared" si="56"/>
        <v>1.59</v>
      </c>
      <c r="K123" s="414">
        <f t="shared" si="56"/>
        <v>1.59</v>
      </c>
      <c r="L123" s="414">
        <f t="shared" si="56"/>
        <v>1.59</v>
      </c>
      <c r="M123" s="414">
        <f t="shared" si="56"/>
        <v>1.59</v>
      </c>
      <c r="N123" s="412"/>
    </row>
    <row r="124" spans="1:15" s="19" customFormat="1" ht="10.199999999999999">
      <c r="A124" s="409" t="s">
        <v>17</v>
      </c>
      <c r="B124" s="411">
        <f t="shared" ref="B124:M124" si="57">B122*B123</f>
        <v>6360</v>
      </c>
      <c r="C124" s="411">
        <f t="shared" si="57"/>
        <v>0</v>
      </c>
      <c r="D124" s="411">
        <f t="shared" si="57"/>
        <v>0</v>
      </c>
      <c r="E124" s="411">
        <f t="shared" si="57"/>
        <v>0</v>
      </c>
      <c r="F124" s="411">
        <f t="shared" si="57"/>
        <v>0</v>
      </c>
      <c r="G124" s="411">
        <f t="shared" si="57"/>
        <v>0</v>
      </c>
      <c r="H124" s="411">
        <f t="shared" si="57"/>
        <v>0</v>
      </c>
      <c r="I124" s="411">
        <f t="shared" si="57"/>
        <v>0</v>
      </c>
      <c r="J124" s="411">
        <f t="shared" si="57"/>
        <v>0</v>
      </c>
      <c r="K124" s="411">
        <f t="shared" si="57"/>
        <v>0</v>
      </c>
      <c r="L124" s="411">
        <f t="shared" si="57"/>
        <v>0</v>
      </c>
      <c r="M124" s="411">
        <f t="shared" si="57"/>
        <v>0</v>
      </c>
      <c r="N124" s="412">
        <f>SUM(B124:M124)</f>
        <v>6360</v>
      </c>
    </row>
    <row r="125" spans="1:15" s="19" customFormat="1" ht="10.199999999999999">
      <c r="A125" s="409"/>
      <c r="B125" s="411"/>
      <c r="C125" s="411"/>
      <c r="D125" s="411"/>
      <c r="E125" s="411"/>
      <c r="F125" s="411"/>
      <c r="G125" s="411"/>
      <c r="H125" s="411"/>
      <c r="I125" s="411"/>
      <c r="J125" s="411"/>
      <c r="K125" s="411"/>
      <c r="L125" s="411"/>
      <c r="M125" s="411"/>
      <c r="N125" s="412"/>
    </row>
    <row r="126" spans="1:15" s="19" customFormat="1" ht="10.199999999999999">
      <c r="A126" s="405" t="s">
        <v>224</v>
      </c>
      <c r="B126" s="411"/>
      <c r="C126" s="411"/>
      <c r="D126" s="411"/>
      <c r="E126" s="411"/>
      <c r="F126" s="411"/>
      <c r="G126" s="411"/>
      <c r="H126" s="411"/>
      <c r="I126" s="411"/>
      <c r="J126" s="411"/>
      <c r="K126" s="411"/>
      <c r="L126" s="411"/>
      <c r="M126" s="411"/>
      <c r="N126" s="412"/>
      <c r="O126" s="448"/>
    </row>
    <row r="127" spans="1:15" s="19" customFormat="1" ht="10.199999999999999">
      <c r="A127" s="406" t="s">
        <v>16</v>
      </c>
      <c r="B127" s="411">
        <v>160000</v>
      </c>
      <c r="C127" s="411">
        <v>160000</v>
      </c>
      <c r="D127" s="411">
        <v>160000</v>
      </c>
      <c r="E127" s="411">
        <v>160000</v>
      </c>
      <c r="F127" s="411">
        <v>160000</v>
      </c>
      <c r="G127" s="411">
        <v>160000</v>
      </c>
      <c r="H127" s="411">
        <v>160000</v>
      </c>
      <c r="I127" s="411">
        <v>160000</v>
      </c>
      <c r="J127" s="411">
        <v>160000</v>
      </c>
      <c r="K127" s="411">
        <v>160000</v>
      </c>
      <c r="L127" s="411">
        <v>160000</v>
      </c>
      <c r="M127" s="411">
        <v>160000</v>
      </c>
      <c r="N127" s="408">
        <f>SUM(B127:M127)</f>
        <v>1920000</v>
      </c>
      <c r="O127" s="19" t="s">
        <v>266</v>
      </c>
    </row>
    <row r="128" spans="1:15" s="19" customFormat="1" ht="10.199999999999999">
      <c r="A128" s="409" t="s">
        <v>20</v>
      </c>
      <c r="B128" s="414">
        <f>B123</f>
        <v>1.59</v>
      </c>
      <c r="C128" s="414">
        <f t="shared" ref="C128:M128" si="58">C123</f>
        <v>1.59</v>
      </c>
      <c r="D128" s="414">
        <f t="shared" si="58"/>
        <v>1.59</v>
      </c>
      <c r="E128" s="414">
        <f t="shared" si="58"/>
        <v>1.59</v>
      </c>
      <c r="F128" s="414">
        <f t="shared" si="58"/>
        <v>1.59</v>
      </c>
      <c r="G128" s="414">
        <f t="shared" si="58"/>
        <v>1.59</v>
      </c>
      <c r="H128" s="414">
        <f t="shared" si="58"/>
        <v>1.59</v>
      </c>
      <c r="I128" s="414">
        <f t="shared" si="58"/>
        <v>1.59</v>
      </c>
      <c r="J128" s="414">
        <f t="shared" si="58"/>
        <v>1.59</v>
      </c>
      <c r="K128" s="414">
        <f t="shared" si="58"/>
        <v>1.59</v>
      </c>
      <c r="L128" s="414">
        <f t="shared" si="58"/>
        <v>1.59</v>
      </c>
      <c r="M128" s="414">
        <f t="shared" si="58"/>
        <v>1.59</v>
      </c>
      <c r="N128" s="250"/>
    </row>
    <row r="129" spans="1:16" s="19" customFormat="1" ht="10.199999999999999">
      <c r="A129" s="409" t="s">
        <v>17</v>
      </c>
      <c r="B129" s="411">
        <f t="shared" ref="B129:M129" si="59">B127*B128</f>
        <v>254400</v>
      </c>
      <c r="C129" s="411">
        <f t="shared" si="59"/>
        <v>254400</v>
      </c>
      <c r="D129" s="411">
        <f t="shared" si="59"/>
        <v>254400</v>
      </c>
      <c r="E129" s="411">
        <f t="shared" si="59"/>
        <v>254400</v>
      </c>
      <c r="F129" s="411">
        <f t="shared" si="59"/>
        <v>254400</v>
      </c>
      <c r="G129" s="411">
        <f t="shared" si="59"/>
        <v>254400</v>
      </c>
      <c r="H129" s="411">
        <f t="shared" si="59"/>
        <v>254400</v>
      </c>
      <c r="I129" s="411">
        <f t="shared" si="59"/>
        <v>254400</v>
      </c>
      <c r="J129" s="411">
        <f t="shared" si="59"/>
        <v>254400</v>
      </c>
      <c r="K129" s="411">
        <f t="shared" si="59"/>
        <v>254400</v>
      </c>
      <c r="L129" s="411">
        <f t="shared" si="59"/>
        <v>254400</v>
      </c>
      <c r="M129" s="411">
        <f t="shared" si="59"/>
        <v>254400</v>
      </c>
      <c r="N129" s="412">
        <f>SUM(B129:M129)</f>
        <v>3052800</v>
      </c>
    </row>
    <row r="130" spans="1:16" s="19" customFormat="1" ht="10.199999999999999">
      <c r="A130" s="409"/>
      <c r="B130" s="411"/>
      <c r="C130" s="411"/>
      <c r="D130" s="411"/>
      <c r="E130" s="411"/>
      <c r="F130" s="411"/>
      <c r="G130" s="411"/>
      <c r="H130" s="411"/>
      <c r="I130" s="411"/>
      <c r="J130" s="411"/>
      <c r="K130" s="411"/>
      <c r="L130" s="411"/>
      <c r="M130" s="411"/>
      <c r="N130" s="412"/>
    </row>
    <row r="131" spans="1:16" s="19" customFormat="1" ht="10.199999999999999">
      <c r="A131" s="405" t="s">
        <v>287</v>
      </c>
      <c r="B131" s="411">
        <f>20*1000</f>
        <v>20000</v>
      </c>
      <c r="C131" s="411"/>
      <c r="D131" s="411"/>
      <c r="E131" s="411"/>
      <c r="F131" s="411"/>
      <c r="G131" s="411"/>
      <c r="H131" s="411"/>
      <c r="I131" s="411"/>
      <c r="J131" s="411"/>
      <c r="K131" s="411"/>
      <c r="L131" s="411"/>
      <c r="M131" s="411"/>
      <c r="N131" s="408">
        <f>SUM(B131:M131)</f>
        <v>20000</v>
      </c>
      <c r="O131" s="327" t="s">
        <v>365</v>
      </c>
    </row>
    <row r="132" spans="1:16" s="19" customFormat="1" ht="10.199999999999999">
      <c r="A132" s="409" t="s">
        <v>20</v>
      </c>
      <c r="B132" s="414">
        <f>B128</f>
        <v>1.59</v>
      </c>
      <c r="C132" s="414">
        <f t="shared" ref="C132:M132" si="60">C128</f>
        <v>1.59</v>
      </c>
      <c r="D132" s="414">
        <f t="shared" si="60"/>
        <v>1.59</v>
      </c>
      <c r="E132" s="414">
        <f t="shared" si="60"/>
        <v>1.59</v>
      </c>
      <c r="F132" s="414">
        <f t="shared" si="60"/>
        <v>1.59</v>
      </c>
      <c r="G132" s="414">
        <f t="shared" si="60"/>
        <v>1.59</v>
      </c>
      <c r="H132" s="414">
        <f t="shared" si="60"/>
        <v>1.59</v>
      </c>
      <c r="I132" s="414">
        <f t="shared" si="60"/>
        <v>1.59</v>
      </c>
      <c r="J132" s="414">
        <f t="shared" si="60"/>
        <v>1.59</v>
      </c>
      <c r="K132" s="414">
        <f t="shared" si="60"/>
        <v>1.59</v>
      </c>
      <c r="L132" s="414">
        <f t="shared" si="60"/>
        <v>1.59</v>
      </c>
      <c r="M132" s="414">
        <f t="shared" si="60"/>
        <v>1.59</v>
      </c>
      <c r="N132" s="250"/>
    </row>
    <row r="133" spans="1:16" s="19" customFormat="1" ht="10.199999999999999">
      <c r="A133" s="409" t="s">
        <v>17</v>
      </c>
      <c r="B133" s="411">
        <f t="shared" ref="B133:M133" si="61">B131*B132</f>
        <v>31800</v>
      </c>
      <c r="C133" s="411">
        <f t="shared" si="61"/>
        <v>0</v>
      </c>
      <c r="D133" s="411">
        <f t="shared" si="61"/>
        <v>0</v>
      </c>
      <c r="E133" s="411">
        <f t="shared" si="61"/>
        <v>0</v>
      </c>
      <c r="F133" s="411">
        <f t="shared" si="61"/>
        <v>0</v>
      </c>
      <c r="G133" s="411">
        <f t="shared" si="61"/>
        <v>0</v>
      </c>
      <c r="H133" s="411">
        <f t="shared" si="61"/>
        <v>0</v>
      </c>
      <c r="I133" s="411">
        <f t="shared" si="61"/>
        <v>0</v>
      </c>
      <c r="J133" s="411">
        <f t="shared" si="61"/>
        <v>0</v>
      </c>
      <c r="K133" s="411">
        <f t="shared" si="61"/>
        <v>0</v>
      </c>
      <c r="L133" s="411">
        <f t="shared" si="61"/>
        <v>0</v>
      </c>
      <c r="M133" s="411">
        <f t="shared" si="61"/>
        <v>0</v>
      </c>
      <c r="N133" s="412">
        <f>SUM(B133:M133)</f>
        <v>31800</v>
      </c>
    </row>
    <row r="134" spans="1:16" s="19" customFormat="1" ht="10.199999999999999">
      <c r="A134" s="409"/>
      <c r="B134" s="411"/>
      <c r="C134" s="411"/>
      <c r="D134" s="411"/>
      <c r="E134" s="411"/>
      <c r="F134" s="411"/>
      <c r="G134" s="411"/>
      <c r="H134" s="411"/>
      <c r="I134" s="411"/>
      <c r="J134" s="411"/>
      <c r="K134" s="411"/>
      <c r="L134" s="411"/>
      <c r="M134" s="411"/>
      <c r="N134" s="250"/>
    </row>
    <row r="135" spans="1:16" s="19" customFormat="1" ht="10.199999999999999">
      <c r="A135" s="415" t="s">
        <v>25</v>
      </c>
      <c r="B135" s="416">
        <f t="shared" ref="B135:M135" si="62">B74+B79+B84+B89+B94+B99+B114+B104+B124+B109+B119+B129+B133</f>
        <v>806219.04</v>
      </c>
      <c r="C135" s="416">
        <f t="shared" si="62"/>
        <v>728309.04</v>
      </c>
      <c r="D135" s="416">
        <f t="shared" si="62"/>
        <v>728309.04</v>
      </c>
      <c r="E135" s="416">
        <f t="shared" si="62"/>
        <v>728309.04</v>
      </c>
      <c r="F135" s="416">
        <f t="shared" si="62"/>
        <v>728309.04</v>
      </c>
      <c r="G135" s="416">
        <f t="shared" si="62"/>
        <v>728309.04</v>
      </c>
      <c r="H135" s="416">
        <f t="shared" si="62"/>
        <v>728309.04</v>
      </c>
      <c r="I135" s="416">
        <f t="shared" si="62"/>
        <v>728309.04</v>
      </c>
      <c r="J135" s="416">
        <f t="shared" si="62"/>
        <v>728309.04</v>
      </c>
      <c r="K135" s="416">
        <f t="shared" si="62"/>
        <v>728309.04</v>
      </c>
      <c r="L135" s="416">
        <f t="shared" si="62"/>
        <v>728309.04</v>
      </c>
      <c r="M135" s="416">
        <f t="shared" si="62"/>
        <v>728309.04</v>
      </c>
      <c r="N135" s="417">
        <f>SUM(B135:M135)</f>
        <v>8817618.4800000004</v>
      </c>
    </row>
    <row r="136" spans="1:16" s="19" customFormat="1" ht="10.199999999999999">
      <c r="A136" s="418" t="s">
        <v>59</v>
      </c>
      <c r="B136" s="419">
        <f t="shared" ref="B136:M136" si="63">B72+B77+B82+B87+B92+B112+B97+B102+B122+B107+B117+B127+B131</f>
        <v>507056</v>
      </c>
      <c r="C136" s="419">
        <f t="shared" si="63"/>
        <v>458056</v>
      </c>
      <c r="D136" s="419">
        <f t="shared" si="63"/>
        <v>458056</v>
      </c>
      <c r="E136" s="419">
        <f t="shared" si="63"/>
        <v>458056</v>
      </c>
      <c r="F136" s="419">
        <f t="shared" si="63"/>
        <v>458056</v>
      </c>
      <c r="G136" s="419">
        <f t="shared" si="63"/>
        <v>458056</v>
      </c>
      <c r="H136" s="419">
        <f t="shared" si="63"/>
        <v>458056</v>
      </c>
      <c r="I136" s="419">
        <f t="shared" si="63"/>
        <v>458056</v>
      </c>
      <c r="J136" s="419">
        <f t="shared" si="63"/>
        <v>458056</v>
      </c>
      <c r="K136" s="419">
        <f t="shared" si="63"/>
        <v>458056</v>
      </c>
      <c r="L136" s="419">
        <f t="shared" si="63"/>
        <v>458056</v>
      </c>
      <c r="M136" s="419">
        <f t="shared" si="63"/>
        <v>458056</v>
      </c>
      <c r="N136" s="420">
        <f>SUM(B136:M136)</f>
        <v>5545672</v>
      </c>
      <c r="O136" s="27">
        <f>'TSAS Scheduling Revenue (1)'!N141</f>
        <v>5545672</v>
      </c>
      <c r="P136" s="27">
        <f>'TSAS Reactive Revenues (2)'!N136</f>
        <v>5545672</v>
      </c>
    </row>
    <row r="137" spans="1:16" s="19" customFormat="1" ht="10.199999999999999">
      <c r="A137" s="397">
        <f>+A68+1</f>
        <v>2016</v>
      </c>
      <c r="B137" s="398"/>
      <c r="C137" s="398"/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9"/>
    </row>
    <row r="138" spans="1:16" s="19" customFormat="1" ht="13.2">
      <c r="A138" s="400" t="s">
        <v>19</v>
      </c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4"/>
    </row>
    <row r="139" spans="1:16" s="19" customFormat="1" ht="10.199999999999999">
      <c r="A139" s="400"/>
      <c r="B139" s="401"/>
      <c r="C139" s="401"/>
      <c r="D139" s="401"/>
      <c r="E139" s="401"/>
      <c r="F139" s="401"/>
      <c r="G139" s="401"/>
      <c r="H139" s="401"/>
      <c r="I139" s="401"/>
      <c r="J139" s="401"/>
      <c r="K139" s="401"/>
      <c r="L139" s="401"/>
      <c r="M139" s="401"/>
      <c r="N139" s="402"/>
    </row>
    <row r="140" spans="1:16" s="19" customFormat="1" ht="10.199999999999999">
      <c r="A140" s="405" t="s">
        <v>344</v>
      </c>
      <c r="B140" s="295"/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50"/>
    </row>
    <row r="141" spans="1:16" s="28" customFormat="1">
      <c r="A141" s="406" t="s">
        <v>16</v>
      </c>
      <c r="B141" s="407">
        <f>B72</f>
        <v>5000</v>
      </c>
      <c r="C141" s="407">
        <f t="shared" ref="C141:M141" si="64">C72</f>
        <v>5000</v>
      </c>
      <c r="D141" s="407">
        <f t="shared" si="64"/>
        <v>5000</v>
      </c>
      <c r="E141" s="407">
        <f t="shared" si="64"/>
        <v>5000</v>
      </c>
      <c r="F141" s="407">
        <f t="shared" si="64"/>
        <v>5000</v>
      </c>
      <c r="G141" s="407">
        <f t="shared" si="64"/>
        <v>5000</v>
      </c>
      <c r="H141" s="407">
        <f t="shared" si="64"/>
        <v>5000</v>
      </c>
      <c r="I141" s="407">
        <f t="shared" si="64"/>
        <v>5000</v>
      </c>
      <c r="J141" s="407">
        <f t="shared" si="64"/>
        <v>5000</v>
      </c>
      <c r="K141" s="407">
        <f t="shared" si="64"/>
        <v>5000</v>
      </c>
      <c r="L141" s="407">
        <f t="shared" si="64"/>
        <v>5000</v>
      </c>
      <c r="M141" s="407">
        <f t="shared" si="64"/>
        <v>5000</v>
      </c>
      <c r="N141" s="408">
        <f>SUM(B141:M141)</f>
        <v>60000</v>
      </c>
      <c r="O141" s="450"/>
    </row>
    <row r="142" spans="1:16" s="19" customFormat="1">
      <c r="A142" s="409" t="s">
        <v>20</v>
      </c>
      <c r="B142" s="410">
        <f>'Transmission Formula Rate (7)'!B12</f>
        <v>1.59</v>
      </c>
      <c r="C142" s="410">
        <f>'Transmission Formula Rate (7)'!C12</f>
        <v>1.59</v>
      </c>
      <c r="D142" s="410">
        <f>'Transmission Formula Rate (7)'!D12</f>
        <v>1.59</v>
      </c>
      <c r="E142" s="410">
        <f>'Transmission Formula Rate (7)'!E12</f>
        <v>1.59</v>
      </c>
      <c r="F142" s="410">
        <f>'Transmission Formula Rate (7)'!F12</f>
        <v>1.59</v>
      </c>
      <c r="G142" s="410">
        <f>'Transmission Formula Rate (7)'!G12</f>
        <v>1.59</v>
      </c>
      <c r="H142" s="410">
        <f>'Transmission Formula Rate (7)'!H12</f>
        <v>1.59</v>
      </c>
      <c r="I142" s="410">
        <f>'Transmission Formula Rate (7)'!I12</f>
        <v>1.59</v>
      </c>
      <c r="J142" s="410">
        <f>'Transmission Formula Rate (7)'!J12</f>
        <v>1.59</v>
      </c>
      <c r="K142" s="410">
        <f>'Transmission Formula Rate (7)'!K12</f>
        <v>1.59</v>
      </c>
      <c r="L142" s="410">
        <f>'Transmission Formula Rate (7)'!L12</f>
        <v>1.59</v>
      </c>
      <c r="M142" s="410">
        <f>'Transmission Formula Rate (7)'!M12</f>
        <v>1.59</v>
      </c>
      <c r="N142" s="250"/>
      <c r="O142" s="21"/>
    </row>
    <row r="143" spans="1:16" s="19" customFormat="1">
      <c r="A143" s="409" t="s">
        <v>17</v>
      </c>
      <c r="B143" s="411">
        <f t="shared" ref="B143:M143" si="65">B141*B142</f>
        <v>7950</v>
      </c>
      <c r="C143" s="411">
        <f t="shared" si="65"/>
        <v>7950</v>
      </c>
      <c r="D143" s="411">
        <f t="shared" si="65"/>
        <v>7950</v>
      </c>
      <c r="E143" s="411">
        <f t="shared" si="65"/>
        <v>7950</v>
      </c>
      <c r="F143" s="411">
        <f t="shared" si="65"/>
        <v>7950</v>
      </c>
      <c r="G143" s="411">
        <f t="shared" si="65"/>
        <v>7950</v>
      </c>
      <c r="H143" s="411">
        <f t="shared" si="65"/>
        <v>7950</v>
      </c>
      <c r="I143" s="411">
        <f t="shared" si="65"/>
        <v>7950</v>
      </c>
      <c r="J143" s="411">
        <f t="shared" si="65"/>
        <v>7950</v>
      </c>
      <c r="K143" s="411">
        <f t="shared" si="65"/>
        <v>7950</v>
      </c>
      <c r="L143" s="411">
        <f t="shared" si="65"/>
        <v>7950</v>
      </c>
      <c r="M143" s="411">
        <f t="shared" si="65"/>
        <v>7950</v>
      </c>
      <c r="N143" s="412">
        <f>SUM(B143:M143)</f>
        <v>95400</v>
      </c>
      <c r="O143" s="21"/>
    </row>
    <row r="144" spans="1:16" s="19" customFormat="1">
      <c r="A144" s="413"/>
      <c r="B144" s="295"/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50"/>
      <c r="O144" s="21"/>
    </row>
    <row r="145" spans="1:15" s="19" customFormat="1">
      <c r="A145" s="422"/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50"/>
      <c r="O145" s="21"/>
    </row>
    <row r="146" spans="1:15" s="28" customFormat="1">
      <c r="A146" s="406" t="s">
        <v>16</v>
      </c>
      <c r="B146" s="407">
        <v>0</v>
      </c>
      <c r="C146" s="407">
        <v>0</v>
      </c>
      <c r="D146" s="407">
        <v>0</v>
      </c>
      <c r="E146" s="407">
        <v>0</v>
      </c>
      <c r="F146" s="407">
        <v>0</v>
      </c>
      <c r="G146" s="407">
        <v>0</v>
      </c>
      <c r="H146" s="407">
        <v>0</v>
      </c>
      <c r="I146" s="407">
        <v>0</v>
      </c>
      <c r="J146" s="407">
        <v>0</v>
      </c>
      <c r="K146" s="407">
        <v>0</v>
      </c>
      <c r="L146" s="407">
        <v>0</v>
      </c>
      <c r="M146" s="407">
        <v>0</v>
      </c>
      <c r="N146" s="408">
        <f>SUM(B146:M146)</f>
        <v>0</v>
      </c>
      <c r="O146" s="21"/>
    </row>
    <row r="147" spans="1:15" s="19" customFormat="1">
      <c r="A147" s="409" t="s">
        <v>20</v>
      </c>
      <c r="B147" s="410">
        <f>B142</f>
        <v>1.59</v>
      </c>
      <c r="C147" s="410">
        <f t="shared" ref="C147:M147" si="66">C142</f>
        <v>1.59</v>
      </c>
      <c r="D147" s="410">
        <f t="shared" si="66"/>
        <v>1.59</v>
      </c>
      <c r="E147" s="410">
        <f t="shared" si="66"/>
        <v>1.59</v>
      </c>
      <c r="F147" s="410">
        <f t="shared" si="66"/>
        <v>1.59</v>
      </c>
      <c r="G147" s="410">
        <f t="shared" si="66"/>
        <v>1.59</v>
      </c>
      <c r="H147" s="410">
        <f t="shared" si="66"/>
        <v>1.59</v>
      </c>
      <c r="I147" s="410">
        <f t="shared" si="66"/>
        <v>1.59</v>
      </c>
      <c r="J147" s="410">
        <f t="shared" si="66"/>
        <v>1.59</v>
      </c>
      <c r="K147" s="410">
        <f t="shared" si="66"/>
        <v>1.59</v>
      </c>
      <c r="L147" s="410">
        <f t="shared" si="66"/>
        <v>1.59</v>
      </c>
      <c r="M147" s="410">
        <f t="shared" si="66"/>
        <v>1.59</v>
      </c>
      <c r="N147" s="250"/>
      <c r="O147" s="21"/>
    </row>
    <row r="148" spans="1:15" s="19" customFormat="1">
      <c r="A148" s="409" t="s">
        <v>17</v>
      </c>
      <c r="B148" s="411">
        <f t="shared" ref="B148:M148" si="67">B146*B147</f>
        <v>0</v>
      </c>
      <c r="C148" s="411">
        <f t="shared" si="67"/>
        <v>0</v>
      </c>
      <c r="D148" s="411">
        <f t="shared" si="67"/>
        <v>0</v>
      </c>
      <c r="E148" s="411">
        <f t="shared" si="67"/>
        <v>0</v>
      </c>
      <c r="F148" s="411">
        <f t="shared" si="67"/>
        <v>0</v>
      </c>
      <c r="G148" s="411">
        <f t="shared" si="67"/>
        <v>0</v>
      </c>
      <c r="H148" s="411">
        <f t="shared" si="67"/>
        <v>0</v>
      </c>
      <c r="I148" s="411">
        <f t="shared" si="67"/>
        <v>0</v>
      </c>
      <c r="J148" s="411">
        <f t="shared" si="67"/>
        <v>0</v>
      </c>
      <c r="K148" s="411">
        <f t="shared" si="67"/>
        <v>0</v>
      </c>
      <c r="L148" s="411">
        <f t="shared" si="67"/>
        <v>0</v>
      </c>
      <c r="M148" s="411">
        <f t="shared" si="67"/>
        <v>0</v>
      </c>
      <c r="N148" s="412">
        <f>SUM(B148:M148)</f>
        <v>0</v>
      </c>
      <c r="O148" s="21"/>
    </row>
    <row r="149" spans="1:15" s="19" customFormat="1">
      <c r="A149" s="413"/>
      <c r="B149" s="411"/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50"/>
      <c r="O149" s="21"/>
    </row>
    <row r="150" spans="1:15" s="19" customFormat="1">
      <c r="A150" s="422"/>
      <c r="B150" s="295"/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50"/>
      <c r="O150" s="21"/>
    </row>
    <row r="151" spans="1:15" s="28" customFormat="1">
      <c r="A151" s="406" t="s">
        <v>16</v>
      </c>
      <c r="B151" s="407">
        <v>0</v>
      </c>
      <c r="C151" s="407">
        <v>0</v>
      </c>
      <c r="D151" s="407">
        <v>0</v>
      </c>
      <c r="E151" s="407">
        <v>0</v>
      </c>
      <c r="F151" s="407">
        <v>0</v>
      </c>
      <c r="G151" s="407">
        <v>0</v>
      </c>
      <c r="H151" s="407">
        <v>0</v>
      </c>
      <c r="I151" s="407">
        <v>0</v>
      </c>
      <c r="J151" s="407">
        <v>0</v>
      </c>
      <c r="K151" s="407">
        <v>0</v>
      </c>
      <c r="L151" s="407">
        <v>0</v>
      </c>
      <c r="M151" s="407">
        <v>0</v>
      </c>
      <c r="N151" s="408">
        <f>SUM(B151:M151)</f>
        <v>0</v>
      </c>
      <c r="O151" s="21"/>
    </row>
    <row r="152" spans="1:15" s="19" customFormat="1">
      <c r="A152" s="409" t="s">
        <v>20</v>
      </c>
      <c r="B152" s="414">
        <f>B147</f>
        <v>1.59</v>
      </c>
      <c r="C152" s="414">
        <f t="shared" ref="C152:M152" si="68">C147</f>
        <v>1.59</v>
      </c>
      <c r="D152" s="414">
        <f t="shared" si="68"/>
        <v>1.59</v>
      </c>
      <c r="E152" s="414">
        <f t="shared" si="68"/>
        <v>1.59</v>
      </c>
      <c r="F152" s="414">
        <f t="shared" si="68"/>
        <v>1.59</v>
      </c>
      <c r="G152" s="414">
        <f t="shared" si="68"/>
        <v>1.59</v>
      </c>
      <c r="H152" s="414">
        <f t="shared" si="68"/>
        <v>1.59</v>
      </c>
      <c r="I152" s="414">
        <f t="shared" si="68"/>
        <v>1.59</v>
      </c>
      <c r="J152" s="414">
        <f t="shared" si="68"/>
        <v>1.59</v>
      </c>
      <c r="K152" s="414">
        <f t="shared" si="68"/>
        <v>1.59</v>
      </c>
      <c r="L152" s="414">
        <f t="shared" si="68"/>
        <v>1.59</v>
      </c>
      <c r="M152" s="414">
        <f t="shared" si="68"/>
        <v>1.59</v>
      </c>
      <c r="N152" s="250"/>
      <c r="O152" s="21"/>
    </row>
    <row r="153" spans="1:15" s="19" customFormat="1">
      <c r="A153" s="409" t="s">
        <v>17</v>
      </c>
      <c r="B153" s="411">
        <f t="shared" ref="B153:M153" si="69">B151*B152</f>
        <v>0</v>
      </c>
      <c r="C153" s="411">
        <f t="shared" si="69"/>
        <v>0</v>
      </c>
      <c r="D153" s="411">
        <f t="shared" si="69"/>
        <v>0</v>
      </c>
      <c r="E153" s="411">
        <f t="shared" si="69"/>
        <v>0</v>
      </c>
      <c r="F153" s="411">
        <f t="shared" si="69"/>
        <v>0</v>
      </c>
      <c r="G153" s="411">
        <f t="shared" si="69"/>
        <v>0</v>
      </c>
      <c r="H153" s="411">
        <f t="shared" si="69"/>
        <v>0</v>
      </c>
      <c r="I153" s="411">
        <f t="shared" si="69"/>
        <v>0</v>
      </c>
      <c r="J153" s="411">
        <f t="shared" si="69"/>
        <v>0</v>
      </c>
      <c r="K153" s="411">
        <f t="shared" si="69"/>
        <v>0</v>
      </c>
      <c r="L153" s="411">
        <f t="shared" si="69"/>
        <v>0</v>
      </c>
      <c r="M153" s="411">
        <f t="shared" si="69"/>
        <v>0</v>
      </c>
      <c r="N153" s="412">
        <f>SUM(B153:M153)</f>
        <v>0</v>
      </c>
      <c r="O153" s="21"/>
    </row>
    <row r="154" spans="1:15" s="19" customFormat="1">
      <c r="A154" s="413"/>
      <c r="B154" s="411"/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50"/>
      <c r="O154" s="21"/>
    </row>
    <row r="155" spans="1:15" s="19" customFormat="1" ht="10.199999999999999">
      <c r="A155" s="405" t="s">
        <v>23</v>
      </c>
      <c r="B155" s="295"/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50"/>
      <c r="O155" s="449"/>
    </row>
    <row r="156" spans="1:15" s="28" customFormat="1" ht="10.199999999999999">
      <c r="A156" s="406" t="s">
        <v>16</v>
      </c>
      <c r="B156" s="407">
        <f>B87</f>
        <v>37056</v>
      </c>
      <c r="C156" s="407">
        <f t="shared" ref="C156:M156" si="70">C87</f>
        <v>37056</v>
      </c>
      <c r="D156" s="407">
        <f t="shared" si="70"/>
        <v>37056</v>
      </c>
      <c r="E156" s="407">
        <f t="shared" si="70"/>
        <v>37056</v>
      </c>
      <c r="F156" s="407">
        <f t="shared" si="70"/>
        <v>37056</v>
      </c>
      <c r="G156" s="407">
        <f t="shared" si="70"/>
        <v>37056</v>
      </c>
      <c r="H156" s="407">
        <f t="shared" si="70"/>
        <v>37056</v>
      </c>
      <c r="I156" s="407">
        <f t="shared" si="70"/>
        <v>37056</v>
      </c>
      <c r="J156" s="407">
        <f t="shared" si="70"/>
        <v>37056</v>
      </c>
      <c r="K156" s="407">
        <f t="shared" si="70"/>
        <v>37056</v>
      </c>
      <c r="L156" s="407">
        <f t="shared" si="70"/>
        <v>37056</v>
      </c>
      <c r="M156" s="407">
        <f t="shared" si="70"/>
        <v>37056</v>
      </c>
      <c r="N156" s="408">
        <f>SUM(B156:M156)</f>
        <v>444672</v>
      </c>
    </row>
    <row r="157" spans="1:15" s="19" customFormat="1" ht="10.199999999999999">
      <c r="A157" s="409" t="s">
        <v>20</v>
      </c>
      <c r="B157" s="414">
        <f>B152</f>
        <v>1.59</v>
      </c>
      <c r="C157" s="414">
        <f t="shared" ref="C157:M157" si="71">C152</f>
        <v>1.59</v>
      </c>
      <c r="D157" s="414">
        <f t="shared" si="71"/>
        <v>1.59</v>
      </c>
      <c r="E157" s="414">
        <f t="shared" si="71"/>
        <v>1.59</v>
      </c>
      <c r="F157" s="414">
        <f t="shared" si="71"/>
        <v>1.59</v>
      </c>
      <c r="G157" s="414">
        <f t="shared" si="71"/>
        <v>1.59</v>
      </c>
      <c r="H157" s="414">
        <f t="shared" si="71"/>
        <v>1.59</v>
      </c>
      <c r="I157" s="414">
        <f t="shared" si="71"/>
        <v>1.59</v>
      </c>
      <c r="J157" s="414">
        <f t="shared" si="71"/>
        <v>1.59</v>
      </c>
      <c r="K157" s="414">
        <f t="shared" si="71"/>
        <v>1.59</v>
      </c>
      <c r="L157" s="414">
        <f t="shared" si="71"/>
        <v>1.59</v>
      </c>
      <c r="M157" s="414">
        <f t="shared" si="71"/>
        <v>1.59</v>
      </c>
      <c r="N157" s="250"/>
    </row>
    <row r="158" spans="1:15" s="19" customFormat="1" ht="10.199999999999999">
      <c r="A158" s="409" t="s">
        <v>17</v>
      </c>
      <c r="B158" s="411">
        <f t="shared" ref="B158:M158" si="72">B156*B157</f>
        <v>58919.040000000001</v>
      </c>
      <c r="C158" s="411">
        <f t="shared" si="72"/>
        <v>58919.040000000001</v>
      </c>
      <c r="D158" s="411">
        <f t="shared" si="72"/>
        <v>58919.040000000001</v>
      </c>
      <c r="E158" s="411">
        <f t="shared" si="72"/>
        <v>58919.040000000001</v>
      </c>
      <c r="F158" s="411">
        <f t="shared" si="72"/>
        <v>58919.040000000001</v>
      </c>
      <c r="G158" s="411">
        <f t="shared" si="72"/>
        <v>58919.040000000001</v>
      </c>
      <c r="H158" s="411">
        <f t="shared" si="72"/>
        <v>58919.040000000001</v>
      </c>
      <c r="I158" s="411">
        <f t="shared" si="72"/>
        <v>58919.040000000001</v>
      </c>
      <c r="J158" s="411">
        <f t="shared" si="72"/>
        <v>58919.040000000001</v>
      </c>
      <c r="K158" s="411">
        <f t="shared" si="72"/>
        <v>58919.040000000001</v>
      </c>
      <c r="L158" s="411">
        <f t="shared" si="72"/>
        <v>58919.040000000001</v>
      </c>
      <c r="M158" s="411">
        <f t="shared" si="72"/>
        <v>58919.040000000001</v>
      </c>
      <c r="N158" s="412">
        <f>SUM(B158:M158)</f>
        <v>707028.4800000001</v>
      </c>
    </row>
    <row r="159" spans="1:15" s="19" customFormat="1" ht="10.199999999999999">
      <c r="A159" s="413"/>
      <c r="B159" s="411"/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50"/>
    </row>
    <row r="160" spans="1:15" s="19" customFormat="1" ht="10.199999999999999">
      <c r="A160" s="405" t="s">
        <v>24</v>
      </c>
      <c r="B160" s="295"/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50"/>
      <c r="O160" s="448"/>
    </row>
    <row r="161" spans="1:16" s="28" customFormat="1" ht="10.199999999999999">
      <c r="A161" s="406" t="s">
        <v>16</v>
      </c>
      <c r="B161" s="407">
        <v>62000</v>
      </c>
      <c r="C161" s="407">
        <v>62000</v>
      </c>
      <c r="D161" s="407">
        <v>62000</v>
      </c>
      <c r="E161" s="407">
        <v>62000</v>
      </c>
      <c r="F161" s="407">
        <v>62000</v>
      </c>
      <c r="G161" s="407">
        <v>62000</v>
      </c>
      <c r="H161" s="407">
        <v>62000</v>
      </c>
      <c r="I161" s="407">
        <v>62000</v>
      </c>
      <c r="J161" s="407">
        <v>62000</v>
      </c>
      <c r="K161" s="407">
        <v>62000</v>
      </c>
      <c r="L161" s="407">
        <v>62000</v>
      </c>
      <c r="M161" s="407">
        <v>62000</v>
      </c>
      <c r="N161" s="408">
        <f>SUM(B161:M161)</f>
        <v>744000</v>
      </c>
    </row>
    <row r="162" spans="1:16" s="19" customFormat="1" ht="10.199999999999999">
      <c r="A162" s="409" t="s">
        <v>20</v>
      </c>
      <c r="B162" s="414">
        <f>B157</f>
        <v>1.59</v>
      </c>
      <c r="C162" s="414">
        <f t="shared" ref="C162:M162" si="73">C157</f>
        <v>1.59</v>
      </c>
      <c r="D162" s="414">
        <f t="shared" si="73"/>
        <v>1.59</v>
      </c>
      <c r="E162" s="414">
        <f t="shared" si="73"/>
        <v>1.59</v>
      </c>
      <c r="F162" s="414">
        <f t="shared" si="73"/>
        <v>1.59</v>
      </c>
      <c r="G162" s="414">
        <f t="shared" si="73"/>
        <v>1.59</v>
      </c>
      <c r="H162" s="414">
        <f t="shared" si="73"/>
        <v>1.59</v>
      </c>
      <c r="I162" s="414">
        <f t="shared" si="73"/>
        <v>1.59</v>
      </c>
      <c r="J162" s="414">
        <f t="shared" si="73"/>
        <v>1.59</v>
      </c>
      <c r="K162" s="414">
        <f t="shared" si="73"/>
        <v>1.59</v>
      </c>
      <c r="L162" s="414">
        <f t="shared" si="73"/>
        <v>1.59</v>
      </c>
      <c r="M162" s="414">
        <f t="shared" si="73"/>
        <v>1.59</v>
      </c>
      <c r="N162" s="250"/>
    </row>
    <row r="163" spans="1:16" s="19" customFormat="1" ht="10.199999999999999">
      <c r="A163" s="409" t="s">
        <v>17</v>
      </c>
      <c r="B163" s="411">
        <f t="shared" ref="B163:M163" si="74">B161*B162</f>
        <v>98580</v>
      </c>
      <c r="C163" s="411">
        <f t="shared" si="74"/>
        <v>98580</v>
      </c>
      <c r="D163" s="411">
        <f t="shared" si="74"/>
        <v>98580</v>
      </c>
      <c r="E163" s="411">
        <f t="shared" si="74"/>
        <v>98580</v>
      </c>
      <c r="F163" s="411">
        <f t="shared" si="74"/>
        <v>98580</v>
      </c>
      <c r="G163" s="411">
        <f t="shared" si="74"/>
        <v>98580</v>
      </c>
      <c r="H163" s="411">
        <f t="shared" si="74"/>
        <v>98580</v>
      </c>
      <c r="I163" s="411">
        <f t="shared" si="74"/>
        <v>98580</v>
      </c>
      <c r="J163" s="411">
        <f t="shared" si="74"/>
        <v>98580</v>
      </c>
      <c r="K163" s="411">
        <f t="shared" si="74"/>
        <v>98580</v>
      </c>
      <c r="L163" s="411">
        <f t="shared" si="74"/>
        <v>98580</v>
      </c>
      <c r="M163" s="411">
        <f t="shared" si="74"/>
        <v>98580</v>
      </c>
      <c r="N163" s="412">
        <f>SUM(B163:M163)</f>
        <v>1182960</v>
      </c>
    </row>
    <row r="164" spans="1:16" s="19" customFormat="1" ht="10.199999999999999">
      <c r="A164" s="409"/>
      <c r="B164" s="411"/>
      <c r="C164" s="411"/>
      <c r="D164" s="411"/>
      <c r="E164" s="411"/>
      <c r="F164" s="411"/>
      <c r="G164" s="411"/>
      <c r="H164" s="411"/>
      <c r="I164" s="411"/>
      <c r="J164" s="411"/>
      <c r="K164" s="411"/>
      <c r="L164" s="411"/>
      <c r="M164" s="411"/>
      <c r="N164" s="412"/>
    </row>
    <row r="165" spans="1:16" s="19" customFormat="1" ht="10.199999999999999">
      <c r="A165" s="405" t="s">
        <v>111</v>
      </c>
      <c r="B165" s="295"/>
      <c r="C165" s="295"/>
      <c r="D165" s="295"/>
      <c r="E165" s="295"/>
      <c r="F165" s="295"/>
      <c r="G165" s="295"/>
      <c r="H165" s="295"/>
      <c r="I165" s="295"/>
      <c r="J165" s="295"/>
      <c r="K165" s="295"/>
      <c r="L165" s="295"/>
      <c r="M165" s="295"/>
      <c r="N165" s="250"/>
      <c r="O165" s="448"/>
    </row>
    <row r="166" spans="1:16" s="19" customFormat="1" ht="10.199999999999999">
      <c r="A166" s="406" t="s">
        <v>16</v>
      </c>
      <c r="B166" s="407">
        <v>40000</v>
      </c>
      <c r="C166" s="407">
        <f>B166</f>
        <v>40000</v>
      </c>
      <c r="D166" s="407">
        <f t="shared" ref="D166:M166" si="75">C166</f>
        <v>40000</v>
      </c>
      <c r="E166" s="407">
        <f t="shared" si="75"/>
        <v>40000</v>
      </c>
      <c r="F166" s="407">
        <f t="shared" si="75"/>
        <v>40000</v>
      </c>
      <c r="G166" s="407">
        <f t="shared" si="75"/>
        <v>40000</v>
      </c>
      <c r="H166" s="407">
        <f t="shared" si="75"/>
        <v>40000</v>
      </c>
      <c r="I166" s="407">
        <f t="shared" si="75"/>
        <v>40000</v>
      </c>
      <c r="J166" s="407">
        <f t="shared" si="75"/>
        <v>40000</v>
      </c>
      <c r="K166" s="407">
        <f t="shared" si="75"/>
        <v>40000</v>
      </c>
      <c r="L166" s="407">
        <f t="shared" si="75"/>
        <v>40000</v>
      </c>
      <c r="M166" s="407">
        <f t="shared" si="75"/>
        <v>40000</v>
      </c>
      <c r="N166" s="408">
        <f>SUM(B166:M166)</f>
        <v>480000</v>
      </c>
    </row>
    <row r="167" spans="1:16" s="19" customFormat="1" ht="10.199999999999999">
      <c r="A167" s="409" t="s">
        <v>20</v>
      </c>
      <c r="B167" s="414">
        <f>B162</f>
        <v>1.59</v>
      </c>
      <c r="C167" s="414">
        <f t="shared" ref="C167:M167" si="76">C162</f>
        <v>1.59</v>
      </c>
      <c r="D167" s="414">
        <f t="shared" si="76"/>
        <v>1.59</v>
      </c>
      <c r="E167" s="414">
        <f t="shared" si="76"/>
        <v>1.59</v>
      </c>
      <c r="F167" s="414">
        <f t="shared" si="76"/>
        <v>1.59</v>
      </c>
      <c r="G167" s="414">
        <f t="shared" si="76"/>
        <v>1.59</v>
      </c>
      <c r="H167" s="414">
        <f t="shared" si="76"/>
        <v>1.59</v>
      </c>
      <c r="I167" s="414">
        <f t="shared" si="76"/>
        <v>1.59</v>
      </c>
      <c r="J167" s="414">
        <f t="shared" si="76"/>
        <v>1.59</v>
      </c>
      <c r="K167" s="414">
        <f t="shared" si="76"/>
        <v>1.59</v>
      </c>
      <c r="L167" s="414">
        <f t="shared" si="76"/>
        <v>1.59</v>
      </c>
      <c r="M167" s="414">
        <f t="shared" si="76"/>
        <v>1.59</v>
      </c>
      <c r="N167" s="250"/>
    </row>
    <row r="168" spans="1:16" s="19" customFormat="1" ht="10.199999999999999">
      <c r="A168" s="409" t="s">
        <v>17</v>
      </c>
      <c r="B168" s="411">
        <f t="shared" ref="B168:M168" si="77">B166*B167</f>
        <v>63600</v>
      </c>
      <c r="C168" s="411">
        <f t="shared" si="77"/>
        <v>63600</v>
      </c>
      <c r="D168" s="411">
        <f t="shared" si="77"/>
        <v>63600</v>
      </c>
      <c r="E168" s="411">
        <f t="shared" si="77"/>
        <v>63600</v>
      </c>
      <c r="F168" s="411">
        <f t="shared" si="77"/>
        <v>63600</v>
      </c>
      <c r="G168" s="411">
        <f t="shared" si="77"/>
        <v>63600</v>
      </c>
      <c r="H168" s="411">
        <f t="shared" si="77"/>
        <v>63600</v>
      </c>
      <c r="I168" s="411">
        <f t="shared" si="77"/>
        <v>63600</v>
      </c>
      <c r="J168" s="411">
        <f t="shared" si="77"/>
        <v>63600</v>
      </c>
      <c r="K168" s="411">
        <f t="shared" si="77"/>
        <v>63600</v>
      </c>
      <c r="L168" s="411">
        <f t="shared" si="77"/>
        <v>63600</v>
      </c>
      <c r="M168" s="411">
        <f t="shared" si="77"/>
        <v>63600</v>
      </c>
      <c r="N168" s="412">
        <f>SUM(B168:M168)</f>
        <v>763200</v>
      </c>
    </row>
    <row r="169" spans="1:16" s="19" customFormat="1" ht="10.199999999999999">
      <c r="A169" s="409"/>
      <c r="B169" s="411"/>
      <c r="C169" s="411"/>
      <c r="D169" s="411"/>
      <c r="E169" s="411"/>
      <c r="F169" s="411"/>
      <c r="G169" s="411"/>
      <c r="H169" s="411"/>
      <c r="I169" s="411"/>
      <c r="J169" s="411"/>
      <c r="K169" s="411"/>
      <c r="L169" s="411"/>
      <c r="M169" s="411"/>
      <c r="N169" s="412"/>
    </row>
    <row r="170" spans="1:16" s="19" customFormat="1" ht="10.199999999999999">
      <c r="A170" s="405" t="s">
        <v>222</v>
      </c>
      <c r="B170" s="295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50"/>
      <c r="O170" s="448"/>
      <c r="P170" s="327" t="s">
        <v>396</v>
      </c>
    </row>
    <row r="171" spans="1:16" s="19" customFormat="1" ht="10.199999999999999">
      <c r="A171" s="406" t="s">
        <v>16</v>
      </c>
      <c r="B171" s="407">
        <f>B102</f>
        <v>4000</v>
      </c>
      <c r="C171" s="407">
        <f t="shared" ref="C171:K171" si="78">C102</f>
        <v>4000</v>
      </c>
      <c r="D171" s="407">
        <f t="shared" si="78"/>
        <v>4000</v>
      </c>
      <c r="E171" s="407">
        <f t="shared" si="78"/>
        <v>4000</v>
      </c>
      <c r="F171" s="407">
        <f t="shared" si="78"/>
        <v>4000</v>
      </c>
      <c r="G171" s="407">
        <f t="shared" si="78"/>
        <v>4000</v>
      </c>
      <c r="H171" s="407">
        <f t="shared" si="78"/>
        <v>4000</v>
      </c>
      <c r="I171" s="407">
        <f t="shared" si="78"/>
        <v>4000</v>
      </c>
      <c r="J171" s="407">
        <f t="shared" si="78"/>
        <v>4000</v>
      </c>
      <c r="K171" s="407">
        <f t="shared" si="78"/>
        <v>4000</v>
      </c>
      <c r="L171" s="407">
        <v>3000</v>
      </c>
      <c r="M171" s="407">
        <f t="shared" ref="M171" si="79">L171</f>
        <v>3000</v>
      </c>
      <c r="N171" s="408">
        <f>SUM(B171:M171)</f>
        <v>46000</v>
      </c>
    </row>
    <row r="172" spans="1:16" s="19" customFormat="1" ht="10.199999999999999">
      <c r="A172" s="409" t="s">
        <v>20</v>
      </c>
      <c r="B172" s="414">
        <f>B167</f>
        <v>1.59</v>
      </c>
      <c r="C172" s="414">
        <f t="shared" ref="C172:M172" si="80">C167</f>
        <v>1.59</v>
      </c>
      <c r="D172" s="414">
        <f t="shared" si="80"/>
        <v>1.59</v>
      </c>
      <c r="E172" s="414">
        <f t="shared" si="80"/>
        <v>1.59</v>
      </c>
      <c r="F172" s="414">
        <f t="shared" si="80"/>
        <v>1.59</v>
      </c>
      <c r="G172" s="414">
        <f t="shared" si="80"/>
        <v>1.59</v>
      </c>
      <c r="H172" s="414">
        <f t="shared" si="80"/>
        <v>1.59</v>
      </c>
      <c r="I172" s="414">
        <f t="shared" si="80"/>
        <v>1.59</v>
      </c>
      <c r="J172" s="414">
        <f t="shared" si="80"/>
        <v>1.59</v>
      </c>
      <c r="K172" s="414">
        <f t="shared" si="80"/>
        <v>1.59</v>
      </c>
      <c r="L172" s="414">
        <f t="shared" si="80"/>
        <v>1.59</v>
      </c>
      <c r="M172" s="414">
        <f t="shared" si="80"/>
        <v>1.59</v>
      </c>
      <c r="N172" s="250"/>
    </row>
    <row r="173" spans="1:16" s="19" customFormat="1" ht="10.199999999999999">
      <c r="A173" s="409" t="s">
        <v>17</v>
      </c>
      <c r="B173" s="411">
        <f t="shared" ref="B173:M173" si="81">B171*B172</f>
        <v>6360</v>
      </c>
      <c r="C173" s="411">
        <f t="shared" si="81"/>
        <v>6360</v>
      </c>
      <c r="D173" s="411">
        <f t="shared" si="81"/>
        <v>6360</v>
      </c>
      <c r="E173" s="411">
        <f t="shared" si="81"/>
        <v>6360</v>
      </c>
      <c r="F173" s="411">
        <f t="shared" si="81"/>
        <v>6360</v>
      </c>
      <c r="G173" s="411">
        <f t="shared" si="81"/>
        <v>6360</v>
      </c>
      <c r="H173" s="411">
        <f t="shared" si="81"/>
        <v>6360</v>
      </c>
      <c r="I173" s="411">
        <f t="shared" si="81"/>
        <v>6360</v>
      </c>
      <c r="J173" s="411">
        <f t="shared" si="81"/>
        <v>6360</v>
      </c>
      <c r="K173" s="411">
        <f t="shared" si="81"/>
        <v>6360</v>
      </c>
      <c r="L173" s="411">
        <f t="shared" si="81"/>
        <v>4770</v>
      </c>
      <c r="M173" s="411">
        <f t="shared" si="81"/>
        <v>4770</v>
      </c>
      <c r="N173" s="412">
        <f>SUM(B173:M173)</f>
        <v>73140</v>
      </c>
    </row>
    <row r="174" spans="1:16" s="19" customFormat="1" ht="10.199999999999999">
      <c r="A174" s="409"/>
      <c r="B174" s="411"/>
      <c r="C174" s="411"/>
      <c r="D174" s="411"/>
      <c r="E174" s="411"/>
      <c r="F174" s="411"/>
      <c r="G174" s="411"/>
      <c r="H174" s="411"/>
      <c r="I174" s="411"/>
      <c r="J174" s="411"/>
      <c r="K174" s="411"/>
      <c r="L174" s="411"/>
      <c r="M174" s="411"/>
      <c r="N174" s="412"/>
    </row>
    <row r="175" spans="1:16">
      <c r="A175" s="405" t="s">
        <v>173</v>
      </c>
      <c r="B175" s="295"/>
      <c r="C175" s="295"/>
      <c r="D175" s="295"/>
      <c r="E175" s="295"/>
      <c r="F175" s="295"/>
      <c r="G175" s="295"/>
      <c r="H175" s="295"/>
      <c r="I175" s="295"/>
      <c r="J175" s="295"/>
      <c r="K175" s="295"/>
      <c r="L175" s="295"/>
      <c r="M175" s="295"/>
      <c r="N175" s="250"/>
      <c r="O175" s="450"/>
    </row>
    <row r="176" spans="1:16">
      <c r="A176" s="406" t="s">
        <v>16</v>
      </c>
      <c r="B176" s="407"/>
      <c r="C176" s="407"/>
      <c r="D176" s="407"/>
      <c r="E176" s="407"/>
      <c r="F176" s="407"/>
      <c r="G176" s="407"/>
      <c r="H176" s="407"/>
      <c r="I176" s="407"/>
      <c r="J176" s="407"/>
      <c r="K176" s="407"/>
      <c r="L176" s="407"/>
      <c r="M176" s="407"/>
      <c r="N176" s="408">
        <f>SUM(B176:M176)</f>
        <v>0</v>
      </c>
    </row>
    <row r="177" spans="1:15">
      <c r="A177" s="409" t="s">
        <v>20</v>
      </c>
      <c r="B177" s="414">
        <f>B167</f>
        <v>1.59</v>
      </c>
      <c r="C177" s="414">
        <f t="shared" ref="C177:M177" si="82">C167</f>
        <v>1.59</v>
      </c>
      <c r="D177" s="414">
        <f t="shared" si="82"/>
        <v>1.59</v>
      </c>
      <c r="E177" s="414">
        <f t="shared" si="82"/>
        <v>1.59</v>
      </c>
      <c r="F177" s="414">
        <f t="shared" si="82"/>
        <v>1.59</v>
      </c>
      <c r="G177" s="414">
        <f t="shared" si="82"/>
        <v>1.59</v>
      </c>
      <c r="H177" s="414">
        <f t="shared" si="82"/>
        <v>1.59</v>
      </c>
      <c r="I177" s="414">
        <f t="shared" si="82"/>
        <v>1.59</v>
      </c>
      <c r="J177" s="414">
        <f t="shared" si="82"/>
        <v>1.59</v>
      </c>
      <c r="K177" s="414">
        <f t="shared" si="82"/>
        <v>1.59</v>
      </c>
      <c r="L177" s="414">
        <f t="shared" si="82"/>
        <v>1.59</v>
      </c>
      <c r="M177" s="414">
        <f t="shared" si="82"/>
        <v>1.59</v>
      </c>
      <c r="N177" s="250"/>
    </row>
    <row r="178" spans="1:15">
      <c r="A178" s="409" t="s">
        <v>17</v>
      </c>
      <c r="B178" s="411">
        <f t="shared" ref="B178:M178" si="83">B176*B177</f>
        <v>0</v>
      </c>
      <c r="C178" s="411">
        <f t="shared" si="83"/>
        <v>0</v>
      </c>
      <c r="D178" s="411">
        <f t="shared" si="83"/>
        <v>0</v>
      </c>
      <c r="E178" s="411">
        <f t="shared" si="83"/>
        <v>0</v>
      </c>
      <c r="F178" s="411">
        <f t="shared" si="83"/>
        <v>0</v>
      </c>
      <c r="G178" s="411">
        <f t="shared" si="83"/>
        <v>0</v>
      </c>
      <c r="H178" s="411">
        <f t="shared" si="83"/>
        <v>0</v>
      </c>
      <c r="I178" s="411">
        <f t="shared" si="83"/>
        <v>0</v>
      </c>
      <c r="J178" s="411">
        <f t="shared" si="83"/>
        <v>0</v>
      </c>
      <c r="K178" s="411">
        <f t="shared" si="83"/>
        <v>0</v>
      </c>
      <c r="L178" s="411">
        <f t="shared" si="83"/>
        <v>0</v>
      </c>
      <c r="M178" s="411">
        <f t="shared" si="83"/>
        <v>0</v>
      </c>
      <c r="N178" s="412">
        <f>SUM(B178:M178)</f>
        <v>0</v>
      </c>
    </row>
    <row r="179" spans="1:15" s="19" customFormat="1" ht="10.199999999999999">
      <c r="A179" s="409"/>
      <c r="B179" s="411"/>
      <c r="C179" s="411"/>
      <c r="D179" s="411"/>
      <c r="E179" s="411"/>
      <c r="F179" s="411"/>
      <c r="G179" s="411"/>
      <c r="H179" s="411"/>
      <c r="I179" s="411"/>
      <c r="J179" s="411"/>
      <c r="K179" s="411"/>
      <c r="L179" s="411"/>
      <c r="M179" s="411"/>
      <c r="N179" s="412"/>
    </row>
    <row r="180" spans="1:15" s="19" customFormat="1" ht="10.199999999999999">
      <c r="A180" s="405" t="s">
        <v>44</v>
      </c>
      <c r="B180" s="295"/>
      <c r="C180" s="295"/>
      <c r="D180" s="295"/>
      <c r="E180" s="295"/>
      <c r="F180" s="295"/>
      <c r="G180" s="295"/>
      <c r="H180" s="295"/>
      <c r="I180" s="295"/>
      <c r="J180" s="295"/>
      <c r="K180" s="295"/>
      <c r="L180" s="295"/>
      <c r="M180" s="295"/>
      <c r="N180" s="250"/>
      <c r="O180" s="448"/>
    </row>
    <row r="181" spans="1:15" s="19" customFormat="1" ht="10.199999999999999">
      <c r="A181" s="406" t="s">
        <v>16</v>
      </c>
      <c r="B181" s="407"/>
      <c r="C181" s="407"/>
      <c r="D181" s="407"/>
      <c r="E181" s="407"/>
      <c r="F181" s="407"/>
      <c r="G181" s="407"/>
      <c r="H181" s="407"/>
      <c r="I181" s="407"/>
      <c r="J181" s="407"/>
      <c r="K181" s="407"/>
      <c r="L181" s="407"/>
      <c r="M181" s="407"/>
      <c r="N181" s="408">
        <f>SUM(B181:M181)</f>
        <v>0</v>
      </c>
    </row>
    <row r="182" spans="1:15" s="19" customFormat="1" ht="10.199999999999999">
      <c r="A182" s="409" t="s">
        <v>20</v>
      </c>
      <c r="B182" s="414">
        <f>B177</f>
        <v>1.59</v>
      </c>
      <c r="C182" s="414">
        <f t="shared" ref="C182:M182" si="84">C177</f>
        <v>1.59</v>
      </c>
      <c r="D182" s="414">
        <f t="shared" si="84"/>
        <v>1.59</v>
      </c>
      <c r="E182" s="414">
        <f t="shared" si="84"/>
        <v>1.59</v>
      </c>
      <c r="F182" s="414">
        <f t="shared" si="84"/>
        <v>1.59</v>
      </c>
      <c r="G182" s="414">
        <f t="shared" si="84"/>
        <v>1.59</v>
      </c>
      <c r="H182" s="414">
        <f t="shared" si="84"/>
        <v>1.59</v>
      </c>
      <c r="I182" s="414">
        <f t="shared" si="84"/>
        <v>1.59</v>
      </c>
      <c r="J182" s="414">
        <f t="shared" si="84"/>
        <v>1.59</v>
      </c>
      <c r="K182" s="414">
        <f t="shared" si="84"/>
        <v>1.59</v>
      </c>
      <c r="L182" s="414">
        <f t="shared" si="84"/>
        <v>1.59</v>
      </c>
      <c r="M182" s="414">
        <f t="shared" si="84"/>
        <v>1.59</v>
      </c>
      <c r="N182" s="250"/>
    </row>
    <row r="183" spans="1:15" s="19" customFormat="1" ht="10.199999999999999">
      <c r="A183" s="409" t="s">
        <v>17</v>
      </c>
      <c r="B183" s="411">
        <f t="shared" ref="B183:M183" si="85">B181*B182</f>
        <v>0</v>
      </c>
      <c r="C183" s="411">
        <f t="shared" si="85"/>
        <v>0</v>
      </c>
      <c r="D183" s="411">
        <f t="shared" si="85"/>
        <v>0</v>
      </c>
      <c r="E183" s="411">
        <f t="shared" si="85"/>
        <v>0</v>
      </c>
      <c r="F183" s="411">
        <f t="shared" si="85"/>
        <v>0</v>
      </c>
      <c r="G183" s="411">
        <f t="shared" si="85"/>
        <v>0</v>
      </c>
      <c r="H183" s="411">
        <f t="shared" si="85"/>
        <v>0</v>
      </c>
      <c r="I183" s="411">
        <f t="shared" si="85"/>
        <v>0</v>
      </c>
      <c r="J183" s="411">
        <f t="shared" si="85"/>
        <v>0</v>
      </c>
      <c r="K183" s="411">
        <f t="shared" si="85"/>
        <v>0</v>
      </c>
      <c r="L183" s="411">
        <f t="shared" si="85"/>
        <v>0</v>
      </c>
      <c r="M183" s="411">
        <f t="shared" si="85"/>
        <v>0</v>
      </c>
      <c r="N183" s="412">
        <f>SUM(B183:M183)</f>
        <v>0</v>
      </c>
    </row>
    <row r="184" spans="1:15" s="19" customFormat="1" ht="10.199999999999999">
      <c r="A184" s="409"/>
      <c r="B184" s="411"/>
      <c r="C184" s="411"/>
      <c r="D184" s="411"/>
      <c r="E184" s="411"/>
      <c r="F184" s="411"/>
      <c r="G184" s="411"/>
      <c r="H184" s="411"/>
      <c r="I184" s="411"/>
      <c r="J184" s="411"/>
      <c r="K184" s="411"/>
      <c r="L184" s="411"/>
      <c r="M184" s="411"/>
      <c r="N184" s="412"/>
    </row>
    <row r="185" spans="1:15">
      <c r="A185" s="405" t="s">
        <v>112</v>
      </c>
      <c r="B185" s="295"/>
      <c r="C185" s="295"/>
      <c r="D185" s="295"/>
      <c r="E185" s="295"/>
      <c r="F185" s="295"/>
      <c r="G185" s="295"/>
      <c r="H185" s="295"/>
      <c r="I185" s="295"/>
      <c r="J185" s="295"/>
      <c r="K185" s="295"/>
      <c r="L185" s="295"/>
      <c r="M185" s="295"/>
      <c r="N185" s="250"/>
    </row>
    <row r="186" spans="1:15">
      <c r="A186" s="406" t="s">
        <v>16</v>
      </c>
      <c r="B186" s="407">
        <v>150000</v>
      </c>
      <c r="C186" s="407">
        <f>B186</f>
        <v>150000</v>
      </c>
      <c r="D186" s="407">
        <f>C186</f>
        <v>150000</v>
      </c>
      <c r="E186" s="407">
        <f>D186</f>
        <v>150000</v>
      </c>
      <c r="F186" s="407">
        <f>E186</f>
        <v>150000</v>
      </c>
      <c r="G186" s="407">
        <v>150000</v>
      </c>
      <c r="H186" s="407">
        <f t="shared" ref="H186:M186" si="86">G186</f>
        <v>150000</v>
      </c>
      <c r="I186" s="407">
        <f t="shared" si="86"/>
        <v>150000</v>
      </c>
      <c r="J186" s="407">
        <f t="shared" si="86"/>
        <v>150000</v>
      </c>
      <c r="K186" s="407">
        <f t="shared" si="86"/>
        <v>150000</v>
      </c>
      <c r="L186" s="407">
        <f t="shared" si="86"/>
        <v>150000</v>
      </c>
      <c r="M186" s="407">
        <f t="shared" si="86"/>
        <v>150000</v>
      </c>
      <c r="N186" s="408">
        <f>SUM(B186:M186)</f>
        <v>1800000</v>
      </c>
    </row>
    <row r="187" spans="1:15">
      <c r="A187" s="409" t="s">
        <v>20</v>
      </c>
      <c r="B187" s="414">
        <f>B182</f>
        <v>1.59</v>
      </c>
      <c r="C187" s="414">
        <f t="shared" ref="C187:M187" si="87">C182</f>
        <v>1.59</v>
      </c>
      <c r="D187" s="414">
        <f t="shared" si="87"/>
        <v>1.59</v>
      </c>
      <c r="E187" s="414">
        <f t="shared" si="87"/>
        <v>1.59</v>
      </c>
      <c r="F187" s="414">
        <f t="shared" si="87"/>
        <v>1.59</v>
      </c>
      <c r="G187" s="414">
        <f t="shared" si="87"/>
        <v>1.59</v>
      </c>
      <c r="H187" s="414">
        <f t="shared" si="87"/>
        <v>1.59</v>
      </c>
      <c r="I187" s="414">
        <f t="shared" si="87"/>
        <v>1.59</v>
      </c>
      <c r="J187" s="414">
        <f t="shared" si="87"/>
        <v>1.59</v>
      </c>
      <c r="K187" s="414">
        <f t="shared" si="87"/>
        <v>1.59</v>
      </c>
      <c r="L187" s="414">
        <f t="shared" si="87"/>
        <v>1.59</v>
      </c>
      <c r="M187" s="414">
        <f t="shared" si="87"/>
        <v>1.59</v>
      </c>
      <c r="N187" s="250"/>
    </row>
    <row r="188" spans="1:15">
      <c r="A188" s="409" t="s">
        <v>17</v>
      </c>
      <c r="B188" s="411">
        <f t="shared" ref="B188:M188" si="88">B186*B187</f>
        <v>238500</v>
      </c>
      <c r="C188" s="411">
        <f t="shared" si="88"/>
        <v>238500</v>
      </c>
      <c r="D188" s="411">
        <f t="shared" si="88"/>
        <v>238500</v>
      </c>
      <c r="E188" s="411">
        <f t="shared" si="88"/>
        <v>238500</v>
      </c>
      <c r="F188" s="411">
        <f t="shared" si="88"/>
        <v>238500</v>
      </c>
      <c r="G188" s="411">
        <f t="shared" si="88"/>
        <v>238500</v>
      </c>
      <c r="H188" s="411">
        <f t="shared" si="88"/>
        <v>238500</v>
      </c>
      <c r="I188" s="411">
        <f t="shared" si="88"/>
        <v>238500</v>
      </c>
      <c r="J188" s="411">
        <f t="shared" si="88"/>
        <v>238500</v>
      </c>
      <c r="K188" s="411">
        <f t="shared" si="88"/>
        <v>238500</v>
      </c>
      <c r="L188" s="411">
        <f t="shared" si="88"/>
        <v>238500</v>
      </c>
      <c r="M188" s="411">
        <f t="shared" si="88"/>
        <v>238500</v>
      </c>
      <c r="N188" s="412">
        <f>SUM(B188:M188)</f>
        <v>2862000</v>
      </c>
    </row>
    <row r="189" spans="1:15">
      <c r="A189" s="409"/>
      <c r="B189" s="411"/>
      <c r="C189" s="411"/>
      <c r="D189" s="411"/>
      <c r="E189" s="411"/>
      <c r="F189" s="411"/>
      <c r="G189" s="411"/>
      <c r="H189" s="411"/>
      <c r="I189" s="411"/>
      <c r="J189" s="411"/>
      <c r="K189" s="411"/>
      <c r="L189" s="411"/>
      <c r="M189" s="411"/>
      <c r="N189" s="412"/>
    </row>
    <row r="190" spans="1:15" s="19" customFormat="1" ht="10.199999999999999">
      <c r="A190" s="405" t="s">
        <v>165</v>
      </c>
      <c r="B190" s="411"/>
      <c r="C190" s="411"/>
      <c r="D190" s="411"/>
      <c r="E190" s="411"/>
      <c r="F190" s="411"/>
      <c r="G190" s="411"/>
      <c r="H190" s="411"/>
      <c r="I190" s="411"/>
      <c r="J190" s="411"/>
      <c r="K190" s="411"/>
      <c r="L190" s="411"/>
      <c r="M190" s="411"/>
      <c r="N190" s="412"/>
      <c r="O190" s="448"/>
    </row>
    <row r="191" spans="1:15" s="19" customFormat="1" ht="10.199999999999999">
      <c r="A191" s="406" t="s">
        <v>16</v>
      </c>
      <c r="B191" s="411">
        <v>0</v>
      </c>
      <c r="C191" s="411">
        <v>0</v>
      </c>
      <c r="D191" s="411">
        <v>0</v>
      </c>
      <c r="E191" s="411">
        <v>0</v>
      </c>
      <c r="F191" s="411">
        <v>0</v>
      </c>
      <c r="G191" s="411">
        <v>0</v>
      </c>
      <c r="H191" s="411">
        <v>0</v>
      </c>
      <c r="I191" s="411">
        <v>0</v>
      </c>
      <c r="J191" s="411">
        <v>0</v>
      </c>
      <c r="K191" s="411">
        <v>0</v>
      </c>
      <c r="L191" s="411">
        <v>0</v>
      </c>
      <c r="M191" s="411">
        <v>0</v>
      </c>
      <c r="N191" s="408">
        <f>SUM(B191:M191)</f>
        <v>0</v>
      </c>
    </row>
    <row r="192" spans="1:15" s="19" customFormat="1" ht="10.199999999999999">
      <c r="A192" s="409" t="s">
        <v>20</v>
      </c>
      <c r="B192" s="414">
        <f>B182</f>
        <v>1.59</v>
      </c>
      <c r="C192" s="414">
        <f t="shared" ref="C192:M192" si="89">C182</f>
        <v>1.59</v>
      </c>
      <c r="D192" s="414">
        <f t="shared" si="89"/>
        <v>1.59</v>
      </c>
      <c r="E192" s="414">
        <f t="shared" si="89"/>
        <v>1.59</v>
      </c>
      <c r="F192" s="414">
        <f t="shared" si="89"/>
        <v>1.59</v>
      </c>
      <c r="G192" s="414">
        <f t="shared" si="89"/>
        <v>1.59</v>
      </c>
      <c r="H192" s="414">
        <f t="shared" si="89"/>
        <v>1.59</v>
      </c>
      <c r="I192" s="414">
        <f t="shared" si="89"/>
        <v>1.59</v>
      </c>
      <c r="J192" s="414">
        <f t="shared" si="89"/>
        <v>1.59</v>
      </c>
      <c r="K192" s="414">
        <f t="shared" si="89"/>
        <v>1.59</v>
      </c>
      <c r="L192" s="414">
        <f t="shared" si="89"/>
        <v>1.59</v>
      </c>
      <c r="M192" s="414">
        <f t="shared" si="89"/>
        <v>1.59</v>
      </c>
      <c r="N192" s="250"/>
    </row>
    <row r="193" spans="1:16" s="19" customFormat="1" ht="10.199999999999999">
      <c r="A193" s="409" t="s">
        <v>17</v>
      </c>
      <c r="B193" s="411">
        <f t="shared" ref="B193:M193" si="90">B191*B192</f>
        <v>0</v>
      </c>
      <c r="C193" s="411">
        <f t="shared" si="90"/>
        <v>0</v>
      </c>
      <c r="D193" s="411">
        <f t="shared" si="90"/>
        <v>0</v>
      </c>
      <c r="E193" s="411">
        <f t="shared" si="90"/>
        <v>0</v>
      </c>
      <c r="F193" s="411">
        <f t="shared" si="90"/>
        <v>0</v>
      </c>
      <c r="G193" s="411">
        <f t="shared" si="90"/>
        <v>0</v>
      </c>
      <c r="H193" s="411">
        <f t="shared" si="90"/>
        <v>0</v>
      </c>
      <c r="I193" s="411">
        <f t="shared" si="90"/>
        <v>0</v>
      </c>
      <c r="J193" s="411">
        <f t="shared" si="90"/>
        <v>0</v>
      </c>
      <c r="K193" s="411">
        <f t="shared" si="90"/>
        <v>0</v>
      </c>
      <c r="L193" s="411">
        <f t="shared" si="90"/>
        <v>0</v>
      </c>
      <c r="M193" s="411">
        <f t="shared" si="90"/>
        <v>0</v>
      </c>
      <c r="N193" s="412">
        <f>SUM(B193:M193)</f>
        <v>0</v>
      </c>
    </row>
    <row r="194" spans="1:16" s="19" customFormat="1" ht="10.199999999999999">
      <c r="A194" s="409"/>
      <c r="B194" s="411"/>
      <c r="C194" s="411"/>
      <c r="D194" s="411"/>
      <c r="E194" s="411"/>
      <c r="F194" s="411"/>
      <c r="G194" s="411"/>
      <c r="H194" s="411"/>
      <c r="I194" s="411"/>
      <c r="J194" s="411"/>
      <c r="K194" s="411"/>
      <c r="L194" s="411"/>
      <c r="M194" s="411"/>
      <c r="N194" s="412"/>
    </row>
    <row r="195" spans="1:16" s="19" customFormat="1" ht="10.199999999999999">
      <c r="A195" s="405" t="s">
        <v>224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1"/>
      <c r="N195" s="412"/>
      <c r="O195" s="448"/>
    </row>
    <row r="196" spans="1:16" s="19" customFormat="1" ht="10.199999999999999">
      <c r="A196" s="406" t="s">
        <v>16</v>
      </c>
      <c r="B196" s="411">
        <v>160000</v>
      </c>
      <c r="C196" s="411">
        <v>160000</v>
      </c>
      <c r="D196" s="411"/>
      <c r="E196" s="411"/>
      <c r="F196" s="411"/>
      <c r="G196" s="411"/>
      <c r="H196" s="411"/>
      <c r="I196" s="411"/>
      <c r="J196" s="411"/>
      <c r="K196" s="411"/>
      <c r="L196" s="411"/>
      <c r="M196" s="411"/>
      <c r="N196" s="408">
        <f>SUM(B196:M196)</f>
        <v>320000</v>
      </c>
      <c r="O196" s="327" t="s">
        <v>225</v>
      </c>
    </row>
    <row r="197" spans="1:16" s="19" customFormat="1" ht="10.199999999999999">
      <c r="A197" s="409" t="s">
        <v>20</v>
      </c>
      <c r="B197" s="414">
        <f>B192</f>
        <v>1.59</v>
      </c>
      <c r="C197" s="414">
        <f t="shared" ref="C197:M197" si="91">C192</f>
        <v>1.59</v>
      </c>
      <c r="D197" s="414">
        <f t="shared" si="91"/>
        <v>1.59</v>
      </c>
      <c r="E197" s="414">
        <f t="shared" si="91"/>
        <v>1.59</v>
      </c>
      <c r="F197" s="414">
        <f t="shared" si="91"/>
        <v>1.59</v>
      </c>
      <c r="G197" s="414">
        <f t="shared" si="91"/>
        <v>1.59</v>
      </c>
      <c r="H197" s="414">
        <f t="shared" si="91"/>
        <v>1.59</v>
      </c>
      <c r="I197" s="414">
        <f t="shared" si="91"/>
        <v>1.59</v>
      </c>
      <c r="J197" s="414">
        <f t="shared" si="91"/>
        <v>1.59</v>
      </c>
      <c r="K197" s="414">
        <f t="shared" si="91"/>
        <v>1.59</v>
      </c>
      <c r="L197" s="414">
        <f t="shared" si="91"/>
        <v>1.59</v>
      </c>
      <c r="M197" s="414">
        <f t="shared" si="91"/>
        <v>1.59</v>
      </c>
      <c r="N197" s="250"/>
    </row>
    <row r="198" spans="1:16" s="19" customFormat="1" ht="10.199999999999999">
      <c r="A198" s="409" t="s">
        <v>17</v>
      </c>
      <c r="B198" s="411">
        <f t="shared" ref="B198:M198" si="92">B196*B197</f>
        <v>254400</v>
      </c>
      <c r="C198" s="411">
        <f t="shared" si="92"/>
        <v>254400</v>
      </c>
      <c r="D198" s="411">
        <f t="shared" si="92"/>
        <v>0</v>
      </c>
      <c r="E198" s="411">
        <f t="shared" si="92"/>
        <v>0</v>
      </c>
      <c r="F198" s="411">
        <f t="shared" si="92"/>
        <v>0</v>
      </c>
      <c r="G198" s="411">
        <f t="shared" si="92"/>
        <v>0</v>
      </c>
      <c r="H198" s="411">
        <f t="shared" si="92"/>
        <v>0</v>
      </c>
      <c r="I198" s="411">
        <f t="shared" si="92"/>
        <v>0</v>
      </c>
      <c r="J198" s="411">
        <f t="shared" si="92"/>
        <v>0</v>
      </c>
      <c r="K198" s="411">
        <f t="shared" si="92"/>
        <v>0</v>
      </c>
      <c r="L198" s="411">
        <f t="shared" si="92"/>
        <v>0</v>
      </c>
      <c r="M198" s="411">
        <f t="shared" si="92"/>
        <v>0</v>
      </c>
      <c r="N198" s="412">
        <f>SUM(B198:M198)</f>
        <v>508800</v>
      </c>
    </row>
    <row r="199" spans="1:16" s="19" customFormat="1" ht="10.199999999999999">
      <c r="A199" s="409"/>
      <c r="B199" s="411"/>
      <c r="C199" s="411"/>
      <c r="D199" s="411"/>
      <c r="E199" s="411"/>
      <c r="F199" s="411"/>
      <c r="G199" s="411"/>
      <c r="H199" s="411"/>
      <c r="I199" s="411"/>
      <c r="J199" s="411"/>
      <c r="K199" s="411"/>
      <c r="L199" s="411"/>
      <c r="M199" s="411"/>
      <c r="N199" s="412"/>
    </row>
    <row r="200" spans="1:16" s="19" customFormat="1" ht="10.199999999999999">
      <c r="A200" s="422"/>
      <c r="B200" s="411"/>
      <c r="C200" s="411">
        <v>0</v>
      </c>
      <c r="D200" s="411">
        <v>0</v>
      </c>
      <c r="E200" s="411">
        <v>0</v>
      </c>
      <c r="F200" s="411">
        <v>0</v>
      </c>
      <c r="G200" s="411">
        <v>0</v>
      </c>
      <c r="H200" s="411">
        <v>0</v>
      </c>
      <c r="I200" s="411">
        <v>0</v>
      </c>
      <c r="J200" s="411">
        <v>0</v>
      </c>
      <c r="K200" s="411">
        <v>0</v>
      </c>
      <c r="L200" s="411">
        <v>0</v>
      </c>
      <c r="M200" s="411">
        <v>0</v>
      </c>
      <c r="N200" s="408">
        <f>SUM(B200:M200)</f>
        <v>0</v>
      </c>
      <c r="O200" s="19" t="s">
        <v>288</v>
      </c>
    </row>
    <row r="201" spans="1:16" s="19" customFormat="1" ht="10.199999999999999">
      <c r="A201" s="409" t="s">
        <v>20</v>
      </c>
      <c r="B201" s="414">
        <f>B197</f>
        <v>1.59</v>
      </c>
      <c r="C201" s="414">
        <f t="shared" ref="C201:M201" si="93">C197</f>
        <v>1.59</v>
      </c>
      <c r="D201" s="414">
        <f t="shared" si="93"/>
        <v>1.59</v>
      </c>
      <c r="E201" s="414">
        <f t="shared" si="93"/>
        <v>1.59</v>
      </c>
      <c r="F201" s="414">
        <f t="shared" si="93"/>
        <v>1.59</v>
      </c>
      <c r="G201" s="414">
        <f t="shared" si="93"/>
        <v>1.59</v>
      </c>
      <c r="H201" s="414">
        <f t="shared" si="93"/>
        <v>1.59</v>
      </c>
      <c r="I201" s="414">
        <f t="shared" si="93"/>
        <v>1.59</v>
      </c>
      <c r="J201" s="414">
        <f t="shared" si="93"/>
        <v>1.59</v>
      </c>
      <c r="K201" s="414">
        <f t="shared" si="93"/>
        <v>1.59</v>
      </c>
      <c r="L201" s="414">
        <f t="shared" si="93"/>
        <v>1.59</v>
      </c>
      <c r="M201" s="414">
        <f t="shared" si="93"/>
        <v>1.59</v>
      </c>
      <c r="N201" s="250"/>
    </row>
    <row r="202" spans="1:16" s="19" customFormat="1" ht="10.199999999999999">
      <c r="A202" s="409" t="s">
        <v>17</v>
      </c>
      <c r="B202" s="411">
        <f t="shared" ref="B202:M202" si="94">B200*B201</f>
        <v>0</v>
      </c>
      <c r="C202" s="411">
        <f t="shared" si="94"/>
        <v>0</v>
      </c>
      <c r="D202" s="411">
        <f t="shared" si="94"/>
        <v>0</v>
      </c>
      <c r="E202" s="411">
        <f t="shared" si="94"/>
        <v>0</v>
      </c>
      <c r="F202" s="411">
        <f t="shared" si="94"/>
        <v>0</v>
      </c>
      <c r="G202" s="411">
        <f t="shared" si="94"/>
        <v>0</v>
      </c>
      <c r="H202" s="411">
        <f t="shared" si="94"/>
        <v>0</v>
      </c>
      <c r="I202" s="411">
        <f t="shared" si="94"/>
        <v>0</v>
      </c>
      <c r="J202" s="411">
        <f t="shared" si="94"/>
        <v>0</v>
      </c>
      <c r="K202" s="411">
        <f t="shared" si="94"/>
        <v>0</v>
      </c>
      <c r="L202" s="411">
        <f t="shared" si="94"/>
        <v>0</v>
      </c>
      <c r="M202" s="411">
        <f t="shared" si="94"/>
        <v>0</v>
      </c>
      <c r="N202" s="412">
        <f>SUM(B202:M202)</f>
        <v>0</v>
      </c>
    </row>
    <row r="203" spans="1:16" s="19" customFormat="1" ht="10.199999999999999">
      <c r="A203" s="409"/>
      <c r="B203" s="411"/>
      <c r="C203" s="411"/>
      <c r="D203" s="411"/>
      <c r="E203" s="411"/>
      <c r="F203" s="411"/>
      <c r="G203" s="411"/>
      <c r="H203" s="411"/>
      <c r="I203" s="411"/>
      <c r="J203" s="411"/>
      <c r="K203" s="411"/>
      <c r="L203" s="411"/>
      <c r="M203" s="411"/>
      <c r="N203" s="412"/>
    </row>
    <row r="204" spans="1:16" s="19" customFormat="1" ht="10.199999999999999">
      <c r="A204" s="415" t="s">
        <v>25</v>
      </c>
      <c r="B204" s="416">
        <f>B143+B148+B153+B158+B163+B168+B183+B178+B193+B173+B188+B198+B202</f>
        <v>728309.04</v>
      </c>
      <c r="C204" s="416">
        <f t="shared" ref="C204:M204" si="95">C143+C148+C153+C158+C163+C168+C183+C178+C193+C173+C188+C198+C202</f>
        <v>728309.04</v>
      </c>
      <c r="D204" s="416">
        <f t="shared" si="95"/>
        <v>473909.04000000004</v>
      </c>
      <c r="E204" s="416">
        <f t="shared" si="95"/>
        <v>473909.04000000004</v>
      </c>
      <c r="F204" s="416">
        <f t="shared" si="95"/>
        <v>473909.04000000004</v>
      </c>
      <c r="G204" s="416">
        <f t="shared" si="95"/>
        <v>473909.04000000004</v>
      </c>
      <c r="H204" s="416">
        <f t="shared" si="95"/>
        <v>473909.04000000004</v>
      </c>
      <c r="I204" s="416">
        <f t="shared" si="95"/>
        <v>473909.04000000004</v>
      </c>
      <c r="J204" s="416">
        <f t="shared" si="95"/>
        <v>473909.04000000004</v>
      </c>
      <c r="K204" s="416">
        <f t="shared" si="95"/>
        <v>473909.04000000004</v>
      </c>
      <c r="L204" s="416">
        <f t="shared" si="95"/>
        <v>472319.04000000004</v>
      </c>
      <c r="M204" s="416">
        <f t="shared" si="95"/>
        <v>472319.04000000004</v>
      </c>
      <c r="N204" s="417">
        <f>SUM(B204:M204)</f>
        <v>6192528.4800000004</v>
      </c>
    </row>
    <row r="205" spans="1:16">
      <c r="A205" s="418" t="s">
        <v>59</v>
      </c>
      <c r="B205" s="419">
        <f>B141+B146+B151+B156+B161+B181+B166+B176+B191+B171+B186+B196+B200</f>
        <v>458056</v>
      </c>
      <c r="C205" s="419">
        <f t="shared" ref="C205:M205" si="96">C141+C146+C151+C156+C161+C181+C166+C176+C191+C171+C186+C196+C200</f>
        <v>458056</v>
      </c>
      <c r="D205" s="419">
        <f t="shared" si="96"/>
        <v>298056</v>
      </c>
      <c r="E205" s="419">
        <f t="shared" si="96"/>
        <v>298056</v>
      </c>
      <c r="F205" s="419">
        <f t="shared" si="96"/>
        <v>298056</v>
      </c>
      <c r="G205" s="419">
        <f t="shared" si="96"/>
        <v>298056</v>
      </c>
      <c r="H205" s="419">
        <f t="shared" si="96"/>
        <v>298056</v>
      </c>
      <c r="I205" s="419">
        <f t="shared" si="96"/>
        <v>298056</v>
      </c>
      <c r="J205" s="419">
        <f t="shared" si="96"/>
        <v>298056</v>
      </c>
      <c r="K205" s="419">
        <f t="shared" si="96"/>
        <v>298056</v>
      </c>
      <c r="L205" s="419">
        <f t="shared" si="96"/>
        <v>297056</v>
      </c>
      <c r="M205" s="419">
        <f t="shared" si="96"/>
        <v>297056</v>
      </c>
      <c r="N205" s="420">
        <f>SUM(B205:M205)</f>
        <v>3894672</v>
      </c>
      <c r="O205" s="27">
        <f>'TSAS Scheduling Revenue (1)'!N207</f>
        <v>3894672</v>
      </c>
      <c r="P205" s="27">
        <f>'TSAS Reactive Revenues (2)'!N206</f>
        <v>3894672</v>
      </c>
    </row>
    <row r="206" spans="1:16">
      <c r="A206" s="397">
        <f>+A137+1</f>
        <v>2017</v>
      </c>
      <c r="B206" s="398"/>
      <c r="C206" s="398"/>
      <c r="D206" s="398"/>
      <c r="E206" s="398"/>
      <c r="F206" s="398"/>
      <c r="G206" s="398"/>
      <c r="H206" s="398"/>
      <c r="I206" s="398"/>
      <c r="J206" s="398"/>
      <c r="K206" s="398"/>
      <c r="L206" s="398"/>
      <c r="M206" s="398"/>
      <c r="N206" s="399"/>
    </row>
    <row r="207" spans="1:16" ht="13.2">
      <c r="A207" s="400" t="s">
        <v>19</v>
      </c>
      <c r="B207" s="403"/>
      <c r="C207" s="403"/>
      <c r="D207" s="403"/>
      <c r="E207" s="403"/>
      <c r="F207" s="403"/>
      <c r="G207" s="403"/>
      <c r="H207" s="403"/>
      <c r="I207" s="403"/>
      <c r="J207" s="403"/>
      <c r="K207" s="403"/>
      <c r="L207" s="403"/>
      <c r="M207" s="403"/>
      <c r="N207" s="404"/>
    </row>
    <row r="208" spans="1:16" ht="5.25" customHeight="1">
      <c r="A208" s="400"/>
      <c r="B208" s="401"/>
      <c r="C208" s="401"/>
      <c r="D208" s="401"/>
      <c r="E208" s="401"/>
      <c r="F208" s="401"/>
      <c r="G208" s="401"/>
      <c r="H208" s="401"/>
      <c r="I208" s="401"/>
      <c r="J208" s="401"/>
      <c r="K208" s="401"/>
      <c r="L208" s="401"/>
      <c r="M208" s="401"/>
      <c r="N208" s="402"/>
    </row>
    <row r="209" spans="1:15">
      <c r="A209" s="405" t="s">
        <v>344</v>
      </c>
      <c r="B209" s="295"/>
      <c r="C209" s="295"/>
      <c r="D209" s="295"/>
      <c r="E209" s="295"/>
      <c r="F209" s="295"/>
      <c r="G209" s="295"/>
      <c r="H209" s="295"/>
      <c r="I209" s="295"/>
      <c r="J209" s="295"/>
      <c r="K209" s="295"/>
      <c r="L209" s="295"/>
      <c r="M209" s="295"/>
      <c r="N209" s="250"/>
      <c r="O209" s="450"/>
    </row>
    <row r="210" spans="1:15">
      <c r="A210" s="406" t="s">
        <v>16</v>
      </c>
      <c r="B210" s="407">
        <f>B141</f>
        <v>5000</v>
      </c>
      <c r="C210" s="407">
        <f>$B210</f>
        <v>5000</v>
      </c>
      <c r="D210" s="407">
        <f t="shared" ref="D210:M210" si="97">$B210</f>
        <v>5000</v>
      </c>
      <c r="E210" s="407">
        <f t="shared" si="97"/>
        <v>5000</v>
      </c>
      <c r="F210" s="407">
        <f t="shared" si="97"/>
        <v>5000</v>
      </c>
      <c r="G210" s="407">
        <f t="shared" si="97"/>
        <v>5000</v>
      </c>
      <c r="H210" s="407">
        <f t="shared" si="97"/>
        <v>5000</v>
      </c>
      <c r="I210" s="407">
        <f t="shared" si="97"/>
        <v>5000</v>
      </c>
      <c r="J210" s="407">
        <f t="shared" si="97"/>
        <v>5000</v>
      </c>
      <c r="K210" s="407">
        <f t="shared" si="97"/>
        <v>5000</v>
      </c>
      <c r="L210" s="407">
        <f t="shared" si="97"/>
        <v>5000</v>
      </c>
      <c r="M210" s="407">
        <f t="shared" si="97"/>
        <v>5000</v>
      </c>
      <c r="N210" s="408">
        <f>SUM(B210:M210)</f>
        <v>60000</v>
      </c>
    </row>
    <row r="211" spans="1:15">
      <c r="A211" s="409" t="s">
        <v>20</v>
      </c>
      <c r="B211" s="410">
        <f>'Transmission Formula Rate (7)'!B14</f>
        <v>1.59</v>
      </c>
      <c r="C211" s="410">
        <f>'Transmission Formula Rate (7)'!C14</f>
        <v>1.59</v>
      </c>
      <c r="D211" s="410">
        <f>'Transmission Formula Rate (7)'!D14</f>
        <v>1.59</v>
      </c>
      <c r="E211" s="410">
        <f>'Transmission Formula Rate (7)'!E14</f>
        <v>1.59</v>
      </c>
      <c r="F211" s="410">
        <f>'Transmission Formula Rate (7)'!F14</f>
        <v>1.59</v>
      </c>
      <c r="G211" s="410">
        <f>'Transmission Formula Rate (7)'!G14</f>
        <v>1.59</v>
      </c>
      <c r="H211" s="410">
        <f>'Transmission Formula Rate (7)'!H14</f>
        <v>1.59</v>
      </c>
      <c r="I211" s="410">
        <f>'Transmission Formula Rate (7)'!I14</f>
        <v>1.59</v>
      </c>
      <c r="J211" s="410">
        <f>'Transmission Formula Rate (7)'!J14</f>
        <v>1.59</v>
      </c>
      <c r="K211" s="410">
        <f>'Transmission Formula Rate (7)'!K14</f>
        <v>1.59</v>
      </c>
      <c r="L211" s="410">
        <f>'Transmission Formula Rate (7)'!L14</f>
        <v>1.59</v>
      </c>
      <c r="M211" s="410">
        <f>'Transmission Formula Rate (7)'!M14</f>
        <v>1.59</v>
      </c>
      <c r="N211" s="250"/>
    </row>
    <row r="212" spans="1:15">
      <c r="A212" s="409" t="s">
        <v>17</v>
      </c>
      <c r="B212" s="411">
        <f t="shared" ref="B212:M212" si="98">B210*B211</f>
        <v>7950</v>
      </c>
      <c r="C212" s="411">
        <f t="shared" si="98"/>
        <v>7950</v>
      </c>
      <c r="D212" s="411">
        <f t="shared" si="98"/>
        <v>7950</v>
      </c>
      <c r="E212" s="411">
        <f t="shared" si="98"/>
        <v>7950</v>
      </c>
      <c r="F212" s="411">
        <f t="shared" si="98"/>
        <v>7950</v>
      </c>
      <c r="G212" s="411">
        <f t="shared" si="98"/>
        <v>7950</v>
      </c>
      <c r="H212" s="411">
        <f t="shared" si="98"/>
        <v>7950</v>
      </c>
      <c r="I212" s="411">
        <f t="shared" si="98"/>
        <v>7950</v>
      </c>
      <c r="J212" s="411">
        <f t="shared" si="98"/>
        <v>7950</v>
      </c>
      <c r="K212" s="411">
        <f t="shared" si="98"/>
        <v>7950</v>
      </c>
      <c r="L212" s="411">
        <f t="shared" si="98"/>
        <v>7950</v>
      </c>
      <c r="M212" s="411">
        <f t="shared" si="98"/>
        <v>7950</v>
      </c>
      <c r="N212" s="412">
        <f>SUM(B212:M212)</f>
        <v>95400</v>
      </c>
    </row>
    <row r="213" spans="1:15" ht="7.5" customHeight="1">
      <c r="A213" s="413"/>
      <c r="B213" s="295"/>
      <c r="C213" s="295"/>
      <c r="D213" s="295"/>
      <c r="E213" s="295"/>
      <c r="F213" s="295"/>
      <c r="G213" s="295"/>
      <c r="H213" s="295"/>
      <c r="I213" s="295"/>
      <c r="J213" s="295"/>
      <c r="K213" s="295"/>
      <c r="L213" s="295"/>
      <c r="M213" s="295"/>
      <c r="N213" s="250"/>
    </row>
    <row r="214" spans="1:15">
      <c r="A214" s="422"/>
      <c r="B214" s="295"/>
      <c r="C214" s="295"/>
      <c r="D214" s="295"/>
      <c r="E214" s="295"/>
      <c r="F214" s="295"/>
      <c r="G214" s="295"/>
      <c r="H214" s="295"/>
      <c r="I214" s="295"/>
      <c r="J214" s="295"/>
      <c r="K214" s="295"/>
      <c r="L214" s="295"/>
      <c r="M214" s="295"/>
      <c r="N214" s="250"/>
    </row>
    <row r="215" spans="1:15">
      <c r="A215" s="406" t="s">
        <v>16</v>
      </c>
      <c r="B215" s="407">
        <v>0</v>
      </c>
      <c r="C215" s="407">
        <v>0</v>
      </c>
      <c r="D215" s="407">
        <v>0</v>
      </c>
      <c r="E215" s="407">
        <v>0</v>
      </c>
      <c r="F215" s="407">
        <v>0</v>
      </c>
      <c r="G215" s="407">
        <v>0</v>
      </c>
      <c r="H215" s="407">
        <v>0</v>
      </c>
      <c r="I215" s="407">
        <v>0</v>
      </c>
      <c r="J215" s="407">
        <v>0</v>
      </c>
      <c r="K215" s="407">
        <v>0</v>
      </c>
      <c r="L215" s="407">
        <v>0</v>
      </c>
      <c r="M215" s="407">
        <v>0</v>
      </c>
      <c r="N215" s="408">
        <f>SUM(B215:M215)</f>
        <v>0</v>
      </c>
    </row>
    <row r="216" spans="1:15">
      <c r="A216" s="409" t="s">
        <v>20</v>
      </c>
      <c r="B216" s="410">
        <f>B211</f>
        <v>1.59</v>
      </c>
      <c r="C216" s="410">
        <f t="shared" ref="C216:M216" si="99">C211</f>
        <v>1.59</v>
      </c>
      <c r="D216" s="410">
        <f t="shared" si="99"/>
        <v>1.59</v>
      </c>
      <c r="E216" s="410">
        <f t="shared" si="99"/>
        <v>1.59</v>
      </c>
      <c r="F216" s="410">
        <f t="shared" si="99"/>
        <v>1.59</v>
      </c>
      <c r="G216" s="410">
        <f t="shared" si="99"/>
        <v>1.59</v>
      </c>
      <c r="H216" s="410">
        <f t="shared" si="99"/>
        <v>1.59</v>
      </c>
      <c r="I216" s="410">
        <f t="shared" si="99"/>
        <v>1.59</v>
      </c>
      <c r="J216" s="410">
        <f t="shared" si="99"/>
        <v>1.59</v>
      </c>
      <c r="K216" s="410">
        <f t="shared" si="99"/>
        <v>1.59</v>
      </c>
      <c r="L216" s="410">
        <f t="shared" si="99"/>
        <v>1.59</v>
      </c>
      <c r="M216" s="410">
        <f t="shared" si="99"/>
        <v>1.59</v>
      </c>
      <c r="N216" s="250"/>
    </row>
    <row r="217" spans="1:15">
      <c r="A217" s="409" t="s">
        <v>17</v>
      </c>
      <c r="B217" s="411">
        <f t="shared" ref="B217:M217" si="100">B215*B216</f>
        <v>0</v>
      </c>
      <c r="C217" s="411">
        <f t="shared" si="100"/>
        <v>0</v>
      </c>
      <c r="D217" s="411">
        <f t="shared" si="100"/>
        <v>0</v>
      </c>
      <c r="E217" s="411">
        <f t="shared" si="100"/>
        <v>0</v>
      </c>
      <c r="F217" s="411">
        <f t="shared" si="100"/>
        <v>0</v>
      </c>
      <c r="G217" s="411">
        <f t="shared" si="100"/>
        <v>0</v>
      </c>
      <c r="H217" s="411">
        <f t="shared" si="100"/>
        <v>0</v>
      </c>
      <c r="I217" s="411">
        <f t="shared" si="100"/>
        <v>0</v>
      </c>
      <c r="J217" s="411">
        <f t="shared" si="100"/>
        <v>0</v>
      </c>
      <c r="K217" s="411">
        <f t="shared" si="100"/>
        <v>0</v>
      </c>
      <c r="L217" s="411">
        <f t="shared" si="100"/>
        <v>0</v>
      </c>
      <c r="M217" s="411">
        <f t="shared" si="100"/>
        <v>0</v>
      </c>
      <c r="N217" s="412">
        <f>SUM(B217:M217)</f>
        <v>0</v>
      </c>
    </row>
    <row r="218" spans="1:15" ht="7.5" customHeight="1">
      <c r="A218" s="413"/>
      <c r="B218" s="411"/>
      <c r="C218" s="295"/>
      <c r="D218" s="295"/>
      <c r="E218" s="295"/>
      <c r="F218" s="295"/>
      <c r="G218" s="295"/>
      <c r="H218" s="295"/>
      <c r="I218" s="295"/>
      <c r="J218" s="295"/>
      <c r="K218" s="295"/>
      <c r="L218" s="295"/>
      <c r="M218" s="295"/>
      <c r="N218" s="250"/>
    </row>
    <row r="219" spans="1:15">
      <c r="A219" s="422"/>
      <c r="B219" s="295"/>
      <c r="C219" s="295"/>
      <c r="D219" s="295"/>
      <c r="E219" s="295"/>
      <c r="F219" s="295"/>
      <c r="G219" s="295"/>
      <c r="H219" s="295"/>
      <c r="I219" s="295"/>
      <c r="J219" s="295"/>
      <c r="K219" s="295"/>
      <c r="L219" s="295"/>
      <c r="M219" s="295"/>
      <c r="N219" s="250"/>
    </row>
    <row r="220" spans="1:15">
      <c r="A220" s="406" t="s">
        <v>16</v>
      </c>
      <c r="B220" s="407">
        <v>0</v>
      </c>
      <c r="C220" s="407">
        <v>0</v>
      </c>
      <c r="D220" s="407">
        <v>0</v>
      </c>
      <c r="E220" s="407">
        <v>0</v>
      </c>
      <c r="F220" s="407">
        <v>0</v>
      </c>
      <c r="G220" s="407">
        <v>0</v>
      </c>
      <c r="H220" s="407">
        <v>0</v>
      </c>
      <c r="I220" s="407">
        <v>0</v>
      </c>
      <c r="J220" s="407">
        <v>0</v>
      </c>
      <c r="K220" s="407">
        <v>0</v>
      </c>
      <c r="L220" s="407">
        <v>0</v>
      </c>
      <c r="M220" s="407">
        <v>0</v>
      </c>
      <c r="N220" s="408">
        <f>SUM(B220:M220)</f>
        <v>0</v>
      </c>
    </row>
    <row r="221" spans="1:15">
      <c r="A221" s="409" t="s">
        <v>20</v>
      </c>
      <c r="B221" s="414">
        <f>B216</f>
        <v>1.59</v>
      </c>
      <c r="C221" s="414">
        <f t="shared" ref="C221:M221" si="101">C216</f>
        <v>1.59</v>
      </c>
      <c r="D221" s="414">
        <f t="shared" si="101"/>
        <v>1.59</v>
      </c>
      <c r="E221" s="414">
        <f t="shared" si="101"/>
        <v>1.59</v>
      </c>
      <c r="F221" s="414">
        <f t="shared" si="101"/>
        <v>1.59</v>
      </c>
      <c r="G221" s="414">
        <f t="shared" si="101"/>
        <v>1.59</v>
      </c>
      <c r="H221" s="414">
        <f t="shared" si="101"/>
        <v>1.59</v>
      </c>
      <c r="I221" s="414">
        <f t="shared" si="101"/>
        <v>1.59</v>
      </c>
      <c r="J221" s="414">
        <f t="shared" si="101"/>
        <v>1.59</v>
      </c>
      <c r="K221" s="414">
        <f t="shared" si="101"/>
        <v>1.59</v>
      </c>
      <c r="L221" s="414">
        <f t="shared" si="101"/>
        <v>1.59</v>
      </c>
      <c r="M221" s="414">
        <f t="shared" si="101"/>
        <v>1.59</v>
      </c>
      <c r="N221" s="250"/>
    </row>
    <row r="222" spans="1:15">
      <c r="A222" s="409" t="s">
        <v>17</v>
      </c>
      <c r="B222" s="411">
        <f t="shared" ref="B222:M222" si="102">B220*B221</f>
        <v>0</v>
      </c>
      <c r="C222" s="411">
        <f t="shared" si="102"/>
        <v>0</v>
      </c>
      <c r="D222" s="411">
        <f t="shared" si="102"/>
        <v>0</v>
      </c>
      <c r="E222" s="411">
        <f t="shared" si="102"/>
        <v>0</v>
      </c>
      <c r="F222" s="411">
        <f t="shared" si="102"/>
        <v>0</v>
      </c>
      <c r="G222" s="411">
        <f t="shared" si="102"/>
        <v>0</v>
      </c>
      <c r="H222" s="411">
        <f t="shared" si="102"/>
        <v>0</v>
      </c>
      <c r="I222" s="411">
        <f t="shared" si="102"/>
        <v>0</v>
      </c>
      <c r="J222" s="411">
        <f t="shared" si="102"/>
        <v>0</v>
      </c>
      <c r="K222" s="411">
        <f t="shared" si="102"/>
        <v>0</v>
      </c>
      <c r="L222" s="411">
        <f t="shared" si="102"/>
        <v>0</v>
      </c>
      <c r="M222" s="411">
        <f t="shared" si="102"/>
        <v>0</v>
      </c>
      <c r="N222" s="412">
        <f>SUM(B222:M222)</f>
        <v>0</v>
      </c>
    </row>
    <row r="223" spans="1:15" ht="7.5" customHeight="1">
      <c r="A223" s="413"/>
      <c r="B223" s="411"/>
      <c r="C223" s="295"/>
      <c r="D223" s="295"/>
      <c r="E223" s="295"/>
      <c r="F223" s="295"/>
      <c r="G223" s="295"/>
      <c r="H223" s="295"/>
      <c r="I223" s="295"/>
      <c r="J223" s="295"/>
      <c r="K223" s="295"/>
      <c r="L223" s="295"/>
      <c r="M223" s="295"/>
      <c r="N223" s="250"/>
    </row>
    <row r="224" spans="1:15">
      <c r="A224" s="405" t="s">
        <v>23</v>
      </c>
      <c r="B224" s="295"/>
      <c r="C224" s="295"/>
      <c r="D224" s="295"/>
      <c r="E224" s="295"/>
      <c r="F224" s="295"/>
      <c r="G224" s="295"/>
      <c r="H224" s="295"/>
      <c r="I224" s="295"/>
      <c r="J224" s="295"/>
      <c r="K224" s="295"/>
      <c r="L224" s="295"/>
      <c r="M224" s="295"/>
      <c r="N224" s="250"/>
      <c r="O224" s="450"/>
    </row>
    <row r="225" spans="1:15">
      <c r="A225" s="406" t="s">
        <v>16</v>
      </c>
      <c r="B225" s="407">
        <f>B87</f>
        <v>37056</v>
      </c>
      <c r="C225" s="407">
        <f t="shared" ref="C225:M225" si="103">C87</f>
        <v>37056</v>
      </c>
      <c r="D225" s="407">
        <f t="shared" si="103"/>
        <v>37056</v>
      </c>
      <c r="E225" s="407">
        <f t="shared" si="103"/>
        <v>37056</v>
      </c>
      <c r="F225" s="407">
        <f t="shared" si="103"/>
        <v>37056</v>
      </c>
      <c r="G225" s="407">
        <f t="shared" si="103"/>
        <v>37056</v>
      </c>
      <c r="H225" s="407">
        <f t="shared" si="103"/>
        <v>37056</v>
      </c>
      <c r="I225" s="407">
        <f t="shared" si="103"/>
        <v>37056</v>
      </c>
      <c r="J225" s="407">
        <f t="shared" si="103"/>
        <v>37056</v>
      </c>
      <c r="K225" s="407">
        <f t="shared" si="103"/>
        <v>37056</v>
      </c>
      <c r="L225" s="407">
        <f t="shared" si="103"/>
        <v>37056</v>
      </c>
      <c r="M225" s="407">
        <f t="shared" si="103"/>
        <v>37056</v>
      </c>
      <c r="N225" s="408">
        <f>SUM(B225:M225)</f>
        <v>444672</v>
      </c>
    </row>
    <row r="226" spans="1:15">
      <c r="A226" s="409" t="s">
        <v>20</v>
      </c>
      <c r="B226" s="414">
        <f>B221</f>
        <v>1.59</v>
      </c>
      <c r="C226" s="414">
        <f t="shared" ref="C226:M226" si="104">C221</f>
        <v>1.59</v>
      </c>
      <c r="D226" s="414">
        <f t="shared" si="104"/>
        <v>1.59</v>
      </c>
      <c r="E226" s="414">
        <f t="shared" si="104"/>
        <v>1.59</v>
      </c>
      <c r="F226" s="414">
        <f t="shared" si="104"/>
        <v>1.59</v>
      </c>
      <c r="G226" s="414">
        <f t="shared" si="104"/>
        <v>1.59</v>
      </c>
      <c r="H226" s="414">
        <f t="shared" si="104"/>
        <v>1.59</v>
      </c>
      <c r="I226" s="414">
        <f t="shared" si="104"/>
        <v>1.59</v>
      </c>
      <c r="J226" s="414">
        <f t="shared" si="104"/>
        <v>1.59</v>
      </c>
      <c r="K226" s="414">
        <f t="shared" si="104"/>
        <v>1.59</v>
      </c>
      <c r="L226" s="414">
        <f t="shared" si="104"/>
        <v>1.59</v>
      </c>
      <c r="M226" s="414">
        <f t="shared" si="104"/>
        <v>1.59</v>
      </c>
      <c r="N226" s="250"/>
    </row>
    <row r="227" spans="1:15">
      <c r="A227" s="409" t="s">
        <v>17</v>
      </c>
      <c r="B227" s="411">
        <f t="shared" ref="B227:M227" si="105">B225*B226</f>
        <v>58919.040000000001</v>
      </c>
      <c r="C227" s="411">
        <f t="shared" si="105"/>
        <v>58919.040000000001</v>
      </c>
      <c r="D227" s="411">
        <f t="shared" si="105"/>
        <v>58919.040000000001</v>
      </c>
      <c r="E227" s="411">
        <f t="shared" si="105"/>
        <v>58919.040000000001</v>
      </c>
      <c r="F227" s="411">
        <f t="shared" si="105"/>
        <v>58919.040000000001</v>
      </c>
      <c r="G227" s="411">
        <f t="shared" si="105"/>
        <v>58919.040000000001</v>
      </c>
      <c r="H227" s="411">
        <f t="shared" si="105"/>
        <v>58919.040000000001</v>
      </c>
      <c r="I227" s="411">
        <f t="shared" si="105"/>
        <v>58919.040000000001</v>
      </c>
      <c r="J227" s="411">
        <f t="shared" si="105"/>
        <v>58919.040000000001</v>
      </c>
      <c r="K227" s="411">
        <f t="shared" si="105"/>
        <v>58919.040000000001</v>
      </c>
      <c r="L227" s="411">
        <f t="shared" si="105"/>
        <v>58919.040000000001</v>
      </c>
      <c r="M227" s="411">
        <f t="shared" si="105"/>
        <v>58919.040000000001</v>
      </c>
      <c r="N227" s="412">
        <f>SUM(B227:M227)</f>
        <v>707028.4800000001</v>
      </c>
    </row>
    <row r="228" spans="1:15" ht="6.75" customHeight="1">
      <c r="A228" s="413"/>
      <c r="B228" s="411"/>
      <c r="C228" s="295"/>
      <c r="D228" s="295"/>
      <c r="E228" s="295"/>
      <c r="F228" s="295"/>
      <c r="G228" s="295"/>
      <c r="H228" s="295"/>
      <c r="I228" s="295"/>
      <c r="J228" s="295"/>
      <c r="K228" s="295"/>
      <c r="L228" s="295"/>
      <c r="M228" s="295"/>
      <c r="N228" s="250"/>
    </row>
    <row r="229" spans="1:15">
      <c r="A229" s="405" t="s">
        <v>24</v>
      </c>
      <c r="B229" s="295"/>
      <c r="C229" s="295"/>
      <c r="D229" s="295"/>
      <c r="E229" s="295"/>
      <c r="F229" s="295"/>
      <c r="G229" s="295"/>
      <c r="H229" s="295"/>
      <c r="I229" s="295"/>
      <c r="J229" s="295"/>
      <c r="K229" s="295"/>
      <c r="L229" s="295"/>
      <c r="M229" s="295"/>
      <c r="N229" s="250"/>
      <c r="O229" s="450"/>
    </row>
    <row r="230" spans="1:15">
      <c r="A230" s="406" t="s">
        <v>16</v>
      </c>
      <c r="B230" s="407">
        <v>62000</v>
      </c>
      <c r="C230" s="407">
        <v>62000</v>
      </c>
      <c r="D230" s="407">
        <v>62000</v>
      </c>
      <c r="E230" s="407">
        <v>62000</v>
      </c>
      <c r="F230" s="407">
        <v>62000</v>
      </c>
      <c r="G230" s="407">
        <v>62000</v>
      </c>
      <c r="H230" s="407">
        <v>62000</v>
      </c>
      <c r="I230" s="407">
        <v>62000</v>
      </c>
      <c r="J230" s="407">
        <v>62000</v>
      </c>
      <c r="K230" s="407">
        <v>62000</v>
      </c>
      <c r="L230" s="407">
        <v>62000</v>
      </c>
      <c r="M230" s="407">
        <v>62000</v>
      </c>
      <c r="N230" s="408">
        <f>SUM(B230:M230)</f>
        <v>744000</v>
      </c>
    </row>
    <row r="231" spans="1:15">
      <c r="A231" s="409" t="s">
        <v>20</v>
      </c>
      <c r="B231" s="414">
        <f>B226</f>
        <v>1.59</v>
      </c>
      <c r="C231" s="414">
        <f t="shared" ref="C231:M231" si="106">C226</f>
        <v>1.59</v>
      </c>
      <c r="D231" s="414">
        <f t="shared" si="106"/>
        <v>1.59</v>
      </c>
      <c r="E231" s="414">
        <f t="shared" si="106"/>
        <v>1.59</v>
      </c>
      <c r="F231" s="414">
        <f t="shared" si="106"/>
        <v>1.59</v>
      </c>
      <c r="G231" s="414">
        <f t="shared" si="106"/>
        <v>1.59</v>
      </c>
      <c r="H231" s="414">
        <f t="shared" si="106"/>
        <v>1.59</v>
      </c>
      <c r="I231" s="414">
        <f t="shared" si="106"/>
        <v>1.59</v>
      </c>
      <c r="J231" s="414">
        <f t="shared" si="106"/>
        <v>1.59</v>
      </c>
      <c r="K231" s="414">
        <f t="shared" si="106"/>
        <v>1.59</v>
      </c>
      <c r="L231" s="414">
        <f t="shared" si="106"/>
        <v>1.59</v>
      </c>
      <c r="M231" s="414">
        <f t="shared" si="106"/>
        <v>1.59</v>
      </c>
      <c r="N231" s="250"/>
    </row>
    <row r="232" spans="1:15">
      <c r="A232" s="409" t="s">
        <v>17</v>
      </c>
      <c r="B232" s="411">
        <f t="shared" ref="B232:M232" si="107">B230*B231</f>
        <v>98580</v>
      </c>
      <c r="C232" s="411">
        <f t="shared" si="107"/>
        <v>98580</v>
      </c>
      <c r="D232" s="411">
        <f t="shared" si="107"/>
        <v>98580</v>
      </c>
      <c r="E232" s="411">
        <f t="shared" si="107"/>
        <v>98580</v>
      </c>
      <c r="F232" s="411">
        <f t="shared" si="107"/>
        <v>98580</v>
      </c>
      <c r="G232" s="411">
        <f t="shared" si="107"/>
        <v>98580</v>
      </c>
      <c r="H232" s="411">
        <f t="shared" si="107"/>
        <v>98580</v>
      </c>
      <c r="I232" s="411">
        <f t="shared" si="107"/>
        <v>98580</v>
      </c>
      <c r="J232" s="411">
        <f t="shared" si="107"/>
        <v>98580</v>
      </c>
      <c r="K232" s="411">
        <f t="shared" si="107"/>
        <v>98580</v>
      </c>
      <c r="L232" s="411">
        <f t="shared" si="107"/>
        <v>98580</v>
      </c>
      <c r="M232" s="411">
        <f t="shared" si="107"/>
        <v>98580</v>
      </c>
      <c r="N232" s="412">
        <f>SUM(B232:M232)</f>
        <v>1182960</v>
      </c>
    </row>
    <row r="233" spans="1:15" ht="6.75" customHeight="1">
      <c r="A233" s="409"/>
      <c r="B233" s="411"/>
      <c r="C233" s="411"/>
      <c r="D233" s="411"/>
      <c r="E233" s="411"/>
      <c r="F233" s="411"/>
      <c r="G233" s="411"/>
      <c r="H233" s="411"/>
      <c r="I233" s="411"/>
      <c r="J233" s="411"/>
      <c r="K233" s="411"/>
      <c r="L233" s="411"/>
      <c r="M233" s="411"/>
      <c r="N233" s="412"/>
    </row>
    <row r="234" spans="1:15">
      <c r="A234" s="405" t="s">
        <v>111</v>
      </c>
      <c r="B234" s="295"/>
      <c r="C234" s="295"/>
      <c r="D234" s="295"/>
      <c r="E234" s="295"/>
      <c r="F234" s="295"/>
      <c r="G234" s="295"/>
      <c r="H234" s="295"/>
      <c r="I234" s="295"/>
      <c r="J234" s="295"/>
      <c r="K234" s="295"/>
      <c r="L234" s="295"/>
      <c r="M234" s="295"/>
      <c r="N234" s="250"/>
      <c r="O234" s="450"/>
    </row>
    <row r="235" spans="1:15">
      <c r="A235" s="406" t="s">
        <v>16</v>
      </c>
      <c r="B235" s="407">
        <v>40000</v>
      </c>
      <c r="C235" s="407">
        <f>B235</f>
        <v>40000</v>
      </c>
      <c r="D235" s="407">
        <f>C235</f>
        <v>40000</v>
      </c>
      <c r="E235" s="407">
        <f>D235</f>
        <v>40000</v>
      </c>
      <c r="F235" s="407">
        <f>E235</f>
        <v>40000</v>
      </c>
      <c r="G235" s="407">
        <f>F235</f>
        <v>40000</v>
      </c>
      <c r="H235" s="407">
        <f t="shared" ref="H235:M235" si="108">G235</f>
        <v>40000</v>
      </c>
      <c r="I235" s="407">
        <f t="shared" si="108"/>
        <v>40000</v>
      </c>
      <c r="J235" s="407">
        <f t="shared" si="108"/>
        <v>40000</v>
      </c>
      <c r="K235" s="407">
        <f t="shared" si="108"/>
        <v>40000</v>
      </c>
      <c r="L235" s="407">
        <f t="shared" si="108"/>
        <v>40000</v>
      </c>
      <c r="M235" s="407">
        <f t="shared" si="108"/>
        <v>40000</v>
      </c>
      <c r="N235" s="408">
        <f>SUM(B235:M235)</f>
        <v>480000</v>
      </c>
    </row>
    <row r="236" spans="1:15">
      <c r="A236" s="409" t="s">
        <v>20</v>
      </c>
      <c r="B236" s="414">
        <f>B231</f>
        <v>1.59</v>
      </c>
      <c r="C236" s="414">
        <f t="shared" ref="C236:M236" si="109">C231</f>
        <v>1.59</v>
      </c>
      <c r="D236" s="414">
        <f t="shared" si="109"/>
        <v>1.59</v>
      </c>
      <c r="E236" s="414">
        <f t="shared" si="109"/>
        <v>1.59</v>
      </c>
      <c r="F236" s="414">
        <f t="shared" si="109"/>
        <v>1.59</v>
      </c>
      <c r="G236" s="414">
        <f t="shared" si="109"/>
        <v>1.59</v>
      </c>
      <c r="H236" s="414">
        <f t="shared" si="109"/>
        <v>1.59</v>
      </c>
      <c r="I236" s="414">
        <f t="shared" si="109"/>
        <v>1.59</v>
      </c>
      <c r="J236" s="414">
        <f t="shared" si="109"/>
        <v>1.59</v>
      </c>
      <c r="K236" s="414">
        <f t="shared" si="109"/>
        <v>1.59</v>
      </c>
      <c r="L236" s="414">
        <f t="shared" si="109"/>
        <v>1.59</v>
      </c>
      <c r="M236" s="414">
        <f t="shared" si="109"/>
        <v>1.59</v>
      </c>
      <c r="N236" s="250"/>
    </row>
    <row r="237" spans="1:15">
      <c r="A237" s="409" t="s">
        <v>17</v>
      </c>
      <c r="B237" s="411">
        <f t="shared" ref="B237:M237" si="110">B235*B236</f>
        <v>63600</v>
      </c>
      <c r="C237" s="411">
        <f t="shared" si="110"/>
        <v>63600</v>
      </c>
      <c r="D237" s="411">
        <f t="shared" si="110"/>
        <v>63600</v>
      </c>
      <c r="E237" s="411">
        <f t="shared" si="110"/>
        <v>63600</v>
      </c>
      <c r="F237" s="411">
        <f t="shared" si="110"/>
        <v>63600</v>
      </c>
      <c r="G237" s="411">
        <f t="shared" si="110"/>
        <v>63600</v>
      </c>
      <c r="H237" s="411">
        <f t="shared" si="110"/>
        <v>63600</v>
      </c>
      <c r="I237" s="411">
        <f t="shared" si="110"/>
        <v>63600</v>
      </c>
      <c r="J237" s="411">
        <f t="shared" si="110"/>
        <v>63600</v>
      </c>
      <c r="K237" s="411">
        <f t="shared" si="110"/>
        <v>63600</v>
      </c>
      <c r="L237" s="411">
        <f t="shared" si="110"/>
        <v>63600</v>
      </c>
      <c r="M237" s="411">
        <f t="shared" si="110"/>
        <v>63600</v>
      </c>
      <c r="N237" s="412">
        <f>SUM(B237:M237)</f>
        <v>763200</v>
      </c>
    </row>
    <row r="238" spans="1:15" ht="7.5" customHeight="1">
      <c r="A238" s="409"/>
      <c r="B238" s="411"/>
      <c r="C238" s="411"/>
      <c r="D238" s="411"/>
      <c r="E238" s="411"/>
      <c r="F238" s="411"/>
      <c r="G238" s="411"/>
      <c r="H238" s="411"/>
      <c r="I238" s="411"/>
      <c r="J238" s="411"/>
      <c r="K238" s="411"/>
      <c r="L238" s="411"/>
      <c r="M238" s="411"/>
      <c r="N238" s="412"/>
    </row>
    <row r="239" spans="1:15" s="19" customFormat="1" ht="10.199999999999999">
      <c r="A239" s="405" t="s">
        <v>222</v>
      </c>
      <c r="B239" s="295"/>
      <c r="C239" s="295"/>
      <c r="D239" s="295"/>
      <c r="E239" s="295"/>
      <c r="F239" s="295"/>
      <c r="G239" s="295"/>
      <c r="H239" s="295"/>
      <c r="I239" s="295"/>
      <c r="J239" s="295"/>
      <c r="K239" s="295"/>
      <c r="L239" s="295"/>
      <c r="M239" s="295"/>
      <c r="N239" s="250"/>
      <c r="O239" s="448"/>
    </row>
    <row r="240" spans="1:15" s="19" customFormat="1" ht="10.199999999999999">
      <c r="A240" s="406" t="s">
        <v>16</v>
      </c>
      <c r="B240" s="407">
        <v>3000</v>
      </c>
      <c r="C240" s="407">
        <f>B240</f>
        <v>3000</v>
      </c>
      <c r="D240" s="407">
        <f t="shared" ref="D240:M240" si="111">C240</f>
        <v>3000</v>
      </c>
      <c r="E240" s="407">
        <f t="shared" si="111"/>
        <v>3000</v>
      </c>
      <c r="F240" s="407">
        <f t="shared" si="111"/>
        <v>3000</v>
      </c>
      <c r="G240" s="407">
        <f t="shared" si="111"/>
        <v>3000</v>
      </c>
      <c r="H240" s="407">
        <f t="shared" si="111"/>
        <v>3000</v>
      </c>
      <c r="I240" s="407">
        <f t="shared" si="111"/>
        <v>3000</v>
      </c>
      <c r="J240" s="407">
        <f t="shared" si="111"/>
        <v>3000</v>
      </c>
      <c r="K240" s="407">
        <f t="shared" si="111"/>
        <v>3000</v>
      </c>
      <c r="L240" s="407">
        <f t="shared" si="111"/>
        <v>3000</v>
      </c>
      <c r="M240" s="407">
        <f t="shared" si="111"/>
        <v>3000</v>
      </c>
      <c r="N240" s="408">
        <f>SUM(B240:M240)</f>
        <v>36000</v>
      </c>
      <c r="O240" s="327" t="s">
        <v>223</v>
      </c>
    </row>
    <row r="241" spans="1:15" s="19" customFormat="1" ht="10.199999999999999">
      <c r="A241" s="409" t="s">
        <v>20</v>
      </c>
      <c r="B241" s="414">
        <f>B236</f>
        <v>1.59</v>
      </c>
      <c r="C241" s="414">
        <f t="shared" ref="C241:M241" si="112">C236</f>
        <v>1.59</v>
      </c>
      <c r="D241" s="414">
        <f t="shared" si="112"/>
        <v>1.59</v>
      </c>
      <c r="E241" s="414">
        <f t="shared" si="112"/>
        <v>1.59</v>
      </c>
      <c r="F241" s="414">
        <f t="shared" si="112"/>
        <v>1.59</v>
      </c>
      <c r="G241" s="414">
        <f t="shared" si="112"/>
        <v>1.59</v>
      </c>
      <c r="H241" s="414">
        <f t="shared" si="112"/>
        <v>1.59</v>
      </c>
      <c r="I241" s="414">
        <f t="shared" si="112"/>
        <v>1.59</v>
      </c>
      <c r="J241" s="414">
        <f t="shared" si="112"/>
        <v>1.59</v>
      </c>
      <c r="K241" s="414">
        <f t="shared" si="112"/>
        <v>1.59</v>
      </c>
      <c r="L241" s="414">
        <f t="shared" si="112"/>
        <v>1.59</v>
      </c>
      <c r="M241" s="414">
        <f t="shared" si="112"/>
        <v>1.59</v>
      </c>
      <c r="N241" s="250"/>
    </row>
    <row r="242" spans="1:15" s="19" customFormat="1" ht="10.199999999999999">
      <c r="A242" s="409" t="s">
        <v>17</v>
      </c>
      <c r="B242" s="411">
        <f>B240*B241</f>
        <v>4770</v>
      </c>
      <c r="C242" s="411">
        <f t="shared" ref="C242:M242" si="113">C240*C241</f>
        <v>4770</v>
      </c>
      <c r="D242" s="411">
        <f t="shared" si="113"/>
        <v>4770</v>
      </c>
      <c r="E242" s="411">
        <f t="shared" si="113"/>
        <v>4770</v>
      </c>
      <c r="F242" s="411">
        <f t="shared" si="113"/>
        <v>4770</v>
      </c>
      <c r="G242" s="411">
        <f t="shared" si="113"/>
        <v>4770</v>
      </c>
      <c r="H242" s="411">
        <f t="shared" si="113"/>
        <v>4770</v>
      </c>
      <c r="I242" s="411">
        <f t="shared" si="113"/>
        <v>4770</v>
      </c>
      <c r="J242" s="411">
        <f t="shared" si="113"/>
        <v>4770</v>
      </c>
      <c r="K242" s="411">
        <f t="shared" si="113"/>
        <v>4770</v>
      </c>
      <c r="L242" s="411">
        <f t="shared" si="113"/>
        <v>4770</v>
      </c>
      <c r="M242" s="411">
        <f t="shared" si="113"/>
        <v>4770</v>
      </c>
      <c r="N242" s="412">
        <f>SUM(B242:M242)</f>
        <v>57240</v>
      </c>
    </row>
    <row r="243" spans="1:15" ht="6.75" customHeight="1">
      <c r="A243" s="409"/>
      <c r="B243" s="411"/>
      <c r="C243" s="411"/>
      <c r="D243" s="411"/>
      <c r="E243" s="411"/>
      <c r="F243" s="411"/>
      <c r="G243" s="411"/>
      <c r="H243" s="411"/>
      <c r="I243" s="411"/>
      <c r="J243" s="411"/>
      <c r="K243" s="411"/>
      <c r="L243" s="411"/>
      <c r="M243" s="411"/>
      <c r="N243" s="412"/>
    </row>
    <row r="244" spans="1:15">
      <c r="A244" s="405" t="s">
        <v>173</v>
      </c>
      <c r="B244" s="295"/>
      <c r="C244" s="295"/>
      <c r="D244" s="295"/>
      <c r="E244" s="295"/>
      <c r="F244" s="295"/>
      <c r="G244" s="295"/>
      <c r="H244" s="295"/>
      <c r="I244" s="295"/>
      <c r="J244" s="295"/>
      <c r="K244" s="295"/>
      <c r="L244" s="295"/>
      <c r="M244" s="295"/>
      <c r="N244" s="250"/>
      <c r="O244" s="450"/>
    </row>
    <row r="245" spans="1:15">
      <c r="A245" s="406" t="s">
        <v>16</v>
      </c>
      <c r="B245" s="407"/>
      <c r="C245" s="407"/>
      <c r="D245" s="407"/>
      <c r="E245" s="407"/>
      <c r="F245" s="407"/>
      <c r="G245" s="407"/>
      <c r="H245" s="407"/>
      <c r="I245" s="407"/>
      <c r="J245" s="407"/>
      <c r="K245" s="407"/>
      <c r="L245" s="407"/>
      <c r="M245" s="407"/>
      <c r="N245" s="408">
        <f>SUM(B245:M245)</f>
        <v>0</v>
      </c>
    </row>
    <row r="246" spans="1:15">
      <c r="A246" s="409" t="s">
        <v>20</v>
      </c>
      <c r="B246" s="414">
        <f>B236</f>
        <v>1.59</v>
      </c>
      <c r="C246" s="414">
        <f t="shared" ref="C246:M246" si="114">C236</f>
        <v>1.59</v>
      </c>
      <c r="D246" s="414">
        <f t="shared" si="114"/>
        <v>1.59</v>
      </c>
      <c r="E246" s="414">
        <f t="shared" si="114"/>
        <v>1.59</v>
      </c>
      <c r="F246" s="414">
        <f t="shared" si="114"/>
        <v>1.59</v>
      </c>
      <c r="G246" s="414">
        <f t="shared" si="114"/>
        <v>1.59</v>
      </c>
      <c r="H246" s="414">
        <f t="shared" si="114"/>
        <v>1.59</v>
      </c>
      <c r="I246" s="414">
        <f t="shared" si="114"/>
        <v>1.59</v>
      </c>
      <c r="J246" s="414">
        <f t="shared" si="114"/>
        <v>1.59</v>
      </c>
      <c r="K246" s="414">
        <f t="shared" si="114"/>
        <v>1.59</v>
      </c>
      <c r="L246" s="414">
        <f t="shared" si="114"/>
        <v>1.59</v>
      </c>
      <c r="M246" s="414">
        <f t="shared" si="114"/>
        <v>1.59</v>
      </c>
      <c r="N246" s="250"/>
    </row>
    <row r="247" spans="1:15">
      <c r="A247" s="409" t="s">
        <v>17</v>
      </c>
      <c r="B247" s="411">
        <f t="shared" ref="B247:M247" si="115">B245*B246</f>
        <v>0</v>
      </c>
      <c r="C247" s="411">
        <f t="shared" si="115"/>
        <v>0</v>
      </c>
      <c r="D247" s="411">
        <f t="shared" si="115"/>
        <v>0</v>
      </c>
      <c r="E247" s="411">
        <f t="shared" si="115"/>
        <v>0</v>
      </c>
      <c r="F247" s="411">
        <f t="shared" si="115"/>
        <v>0</v>
      </c>
      <c r="G247" s="411">
        <f t="shared" si="115"/>
        <v>0</v>
      </c>
      <c r="H247" s="411">
        <f t="shared" si="115"/>
        <v>0</v>
      </c>
      <c r="I247" s="411">
        <f t="shared" si="115"/>
        <v>0</v>
      </c>
      <c r="J247" s="411">
        <f t="shared" si="115"/>
        <v>0</v>
      </c>
      <c r="K247" s="411">
        <f t="shared" si="115"/>
        <v>0</v>
      </c>
      <c r="L247" s="411">
        <f t="shared" si="115"/>
        <v>0</v>
      </c>
      <c r="M247" s="411">
        <f t="shared" si="115"/>
        <v>0</v>
      </c>
      <c r="N247" s="412">
        <f>SUM(B247:M247)</f>
        <v>0</v>
      </c>
    </row>
    <row r="248" spans="1:15">
      <c r="A248" s="409"/>
      <c r="B248" s="411"/>
      <c r="C248" s="411"/>
      <c r="D248" s="411"/>
      <c r="E248" s="411"/>
      <c r="F248" s="411"/>
      <c r="G248" s="411"/>
      <c r="H248" s="411"/>
      <c r="I248" s="411"/>
      <c r="J248" s="411"/>
      <c r="K248" s="411"/>
      <c r="L248" s="411"/>
      <c r="M248" s="411"/>
      <c r="N248" s="412"/>
    </row>
    <row r="249" spans="1:15">
      <c r="A249" s="405" t="s">
        <v>44</v>
      </c>
      <c r="B249" s="295"/>
      <c r="C249" s="295"/>
      <c r="D249" s="295"/>
      <c r="E249" s="295"/>
      <c r="F249" s="295"/>
      <c r="G249" s="295"/>
      <c r="H249" s="295"/>
      <c r="I249" s="295"/>
      <c r="J249" s="295"/>
      <c r="K249" s="295"/>
      <c r="L249" s="295"/>
      <c r="M249" s="295"/>
      <c r="N249" s="250"/>
      <c r="O249" s="450"/>
    </row>
    <row r="250" spans="1:15">
      <c r="A250" s="406" t="s">
        <v>16</v>
      </c>
      <c r="B250" s="407"/>
      <c r="C250" s="407"/>
      <c r="D250" s="407"/>
      <c r="E250" s="407"/>
      <c r="F250" s="407"/>
      <c r="G250" s="407"/>
      <c r="H250" s="407"/>
      <c r="I250" s="407"/>
      <c r="J250" s="407"/>
      <c r="K250" s="407"/>
      <c r="L250" s="407"/>
      <c r="M250" s="407"/>
      <c r="N250" s="408">
        <f>SUM(B250:M250)</f>
        <v>0</v>
      </c>
    </row>
    <row r="251" spans="1:15">
      <c r="A251" s="409" t="s">
        <v>20</v>
      </c>
      <c r="B251" s="414">
        <f>B246</f>
        <v>1.59</v>
      </c>
      <c r="C251" s="414">
        <f t="shared" ref="C251:M251" si="116">C246</f>
        <v>1.59</v>
      </c>
      <c r="D251" s="414">
        <f t="shared" si="116"/>
        <v>1.59</v>
      </c>
      <c r="E251" s="414">
        <f t="shared" si="116"/>
        <v>1.59</v>
      </c>
      <c r="F251" s="414">
        <f t="shared" si="116"/>
        <v>1.59</v>
      </c>
      <c r="G251" s="414">
        <f t="shared" si="116"/>
        <v>1.59</v>
      </c>
      <c r="H251" s="414">
        <f t="shared" si="116"/>
        <v>1.59</v>
      </c>
      <c r="I251" s="414">
        <f t="shared" si="116"/>
        <v>1.59</v>
      </c>
      <c r="J251" s="414">
        <f t="shared" si="116"/>
        <v>1.59</v>
      </c>
      <c r="K251" s="414">
        <f t="shared" si="116"/>
        <v>1.59</v>
      </c>
      <c r="L251" s="414">
        <f t="shared" si="116"/>
        <v>1.59</v>
      </c>
      <c r="M251" s="414">
        <f t="shared" si="116"/>
        <v>1.59</v>
      </c>
      <c r="N251" s="250"/>
    </row>
    <row r="252" spans="1:15">
      <c r="A252" s="409" t="s">
        <v>17</v>
      </c>
      <c r="B252" s="411">
        <f t="shared" ref="B252:M252" si="117">B250*B251</f>
        <v>0</v>
      </c>
      <c r="C252" s="411">
        <f t="shared" si="117"/>
        <v>0</v>
      </c>
      <c r="D252" s="411">
        <f t="shared" si="117"/>
        <v>0</v>
      </c>
      <c r="E252" s="411">
        <f t="shared" si="117"/>
        <v>0</v>
      </c>
      <c r="F252" s="411">
        <f t="shared" si="117"/>
        <v>0</v>
      </c>
      <c r="G252" s="411">
        <f t="shared" si="117"/>
        <v>0</v>
      </c>
      <c r="H252" s="411">
        <f t="shared" si="117"/>
        <v>0</v>
      </c>
      <c r="I252" s="411">
        <f t="shared" si="117"/>
        <v>0</v>
      </c>
      <c r="J252" s="411">
        <f t="shared" si="117"/>
        <v>0</v>
      </c>
      <c r="K252" s="411">
        <f t="shared" si="117"/>
        <v>0</v>
      </c>
      <c r="L252" s="411">
        <f t="shared" si="117"/>
        <v>0</v>
      </c>
      <c r="M252" s="411">
        <f t="shared" si="117"/>
        <v>0</v>
      </c>
      <c r="N252" s="412">
        <f>SUM(B252:M252)</f>
        <v>0</v>
      </c>
    </row>
    <row r="253" spans="1:15" ht="6.75" customHeight="1">
      <c r="A253" s="409"/>
      <c r="B253" s="411"/>
      <c r="C253" s="411"/>
      <c r="D253" s="411"/>
      <c r="E253" s="411"/>
      <c r="F253" s="411"/>
      <c r="G253" s="411"/>
      <c r="H253" s="411"/>
      <c r="I253" s="411"/>
      <c r="J253" s="411"/>
      <c r="K253" s="411"/>
      <c r="L253" s="411"/>
      <c r="M253" s="411"/>
      <c r="N253" s="412"/>
    </row>
    <row r="254" spans="1:15">
      <c r="A254" s="405" t="s">
        <v>112</v>
      </c>
      <c r="B254" s="295"/>
      <c r="C254" s="295"/>
      <c r="D254" s="295"/>
      <c r="E254" s="295"/>
      <c r="F254" s="295"/>
      <c r="G254" s="295"/>
      <c r="H254" s="295"/>
      <c r="I254" s="295"/>
      <c r="J254" s="295"/>
      <c r="K254" s="295"/>
      <c r="L254" s="295"/>
      <c r="M254" s="295"/>
      <c r="N254" s="250"/>
    </row>
    <row r="255" spans="1:15">
      <c r="A255" s="406" t="s">
        <v>16</v>
      </c>
      <c r="B255" s="407">
        <v>150000</v>
      </c>
      <c r="C255" s="407">
        <f>B255</f>
        <v>150000</v>
      </c>
      <c r="D255" s="407">
        <f>C255</f>
        <v>150000</v>
      </c>
      <c r="E255" s="407">
        <f>D255</f>
        <v>150000</v>
      </c>
      <c r="F255" s="407">
        <f>E255</f>
        <v>150000</v>
      </c>
      <c r="G255" s="407">
        <v>150000</v>
      </c>
      <c r="H255" s="407">
        <f t="shared" ref="H255:M255" si="118">G255</f>
        <v>150000</v>
      </c>
      <c r="I255" s="407">
        <f t="shared" si="118"/>
        <v>150000</v>
      </c>
      <c r="J255" s="407">
        <f t="shared" si="118"/>
        <v>150000</v>
      </c>
      <c r="K255" s="407">
        <f t="shared" si="118"/>
        <v>150000</v>
      </c>
      <c r="L255" s="407">
        <f t="shared" si="118"/>
        <v>150000</v>
      </c>
      <c r="M255" s="407">
        <f t="shared" si="118"/>
        <v>150000</v>
      </c>
      <c r="N255" s="408">
        <f>SUM(B255:M255)</f>
        <v>1800000</v>
      </c>
    </row>
    <row r="256" spans="1:15">
      <c r="A256" s="409" t="s">
        <v>20</v>
      </c>
      <c r="B256" s="414">
        <f>B251</f>
        <v>1.59</v>
      </c>
      <c r="C256" s="414">
        <f t="shared" ref="C256:M256" si="119">C251</f>
        <v>1.59</v>
      </c>
      <c r="D256" s="414">
        <f t="shared" si="119"/>
        <v>1.59</v>
      </c>
      <c r="E256" s="414">
        <f t="shared" si="119"/>
        <v>1.59</v>
      </c>
      <c r="F256" s="414">
        <f t="shared" si="119"/>
        <v>1.59</v>
      </c>
      <c r="G256" s="414">
        <f t="shared" si="119"/>
        <v>1.59</v>
      </c>
      <c r="H256" s="414">
        <f t="shared" si="119"/>
        <v>1.59</v>
      </c>
      <c r="I256" s="414">
        <f t="shared" si="119"/>
        <v>1.59</v>
      </c>
      <c r="J256" s="414">
        <f t="shared" si="119"/>
        <v>1.59</v>
      </c>
      <c r="K256" s="414">
        <f t="shared" si="119"/>
        <v>1.59</v>
      </c>
      <c r="L256" s="414">
        <f t="shared" si="119"/>
        <v>1.59</v>
      </c>
      <c r="M256" s="414">
        <f t="shared" si="119"/>
        <v>1.59</v>
      </c>
      <c r="N256" s="250"/>
    </row>
    <row r="257" spans="1:16">
      <c r="A257" s="409" t="s">
        <v>17</v>
      </c>
      <c r="B257" s="411">
        <f t="shared" ref="B257:M257" si="120">B255*B256</f>
        <v>238500</v>
      </c>
      <c r="C257" s="411">
        <f t="shared" si="120"/>
        <v>238500</v>
      </c>
      <c r="D257" s="411">
        <f t="shared" si="120"/>
        <v>238500</v>
      </c>
      <c r="E257" s="411">
        <f t="shared" si="120"/>
        <v>238500</v>
      </c>
      <c r="F257" s="411">
        <f t="shared" si="120"/>
        <v>238500</v>
      </c>
      <c r="G257" s="411">
        <f t="shared" si="120"/>
        <v>238500</v>
      </c>
      <c r="H257" s="411">
        <f t="shared" si="120"/>
        <v>238500</v>
      </c>
      <c r="I257" s="411">
        <f t="shared" si="120"/>
        <v>238500</v>
      </c>
      <c r="J257" s="411">
        <f t="shared" si="120"/>
        <v>238500</v>
      </c>
      <c r="K257" s="411">
        <f t="shared" si="120"/>
        <v>238500</v>
      </c>
      <c r="L257" s="411">
        <f t="shared" si="120"/>
        <v>238500</v>
      </c>
      <c r="M257" s="411">
        <f t="shared" si="120"/>
        <v>238500</v>
      </c>
      <c r="N257" s="412">
        <f>SUM(B257:M257)</f>
        <v>2862000</v>
      </c>
    </row>
    <row r="258" spans="1:16">
      <c r="A258" s="409"/>
      <c r="B258" s="411"/>
      <c r="C258" s="411"/>
      <c r="D258" s="411"/>
      <c r="E258" s="411"/>
      <c r="F258" s="411"/>
      <c r="G258" s="411"/>
      <c r="H258" s="411"/>
      <c r="I258" s="411"/>
      <c r="J258" s="411"/>
      <c r="K258" s="411"/>
      <c r="L258" s="411"/>
      <c r="M258" s="411"/>
      <c r="N258" s="412"/>
    </row>
    <row r="259" spans="1:16">
      <c r="A259" s="422" t="s">
        <v>165</v>
      </c>
      <c r="B259" s="411"/>
      <c r="C259" s="411"/>
      <c r="D259" s="411"/>
      <c r="E259" s="411"/>
      <c r="F259" s="411"/>
      <c r="G259" s="411"/>
      <c r="H259" s="411"/>
      <c r="I259" s="411"/>
      <c r="J259" s="411"/>
      <c r="K259" s="411"/>
      <c r="L259" s="411"/>
      <c r="M259" s="411"/>
      <c r="N259" s="408"/>
    </row>
    <row r="260" spans="1:16">
      <c r="A260" s="406" t="s">
        <v>16</v>
      </c>
      <c r="B260" s="411"/>
      <c r="C260" s="411">
        <v>0</v>
      </c>
      <c r="D260" s="411">
        <v>0</v>
      </c>
      <c r="E260" s="411">
        <v>0</v>
      </c>
      <c r="F260" s="411">
        <v>0</v>
      </c>
      <c r="G260" s="411">
        <v>0</v>
      </c>
      <c r="H260" s="411">
        <v>0</v>
      </c>
      <c r="I260" s="411">
        <v>0</v>
      </c>
      <c r="J260" s="411">
        <v>0</v>
      </c>
      <c r="K260" s="411">
        <v>0</v>
      </c>
      <c r="L260" s="411">
        <v>0</v>
      </c>
      <c r="M260" s="411">
        <v>0</v>
      </c>
      <c r="N260" s="408">
        <f>SUM(B260:M260)</f>
        <v>0</v>
      </c>
    </row>
    <row r="261" spans="1:16">
      <c r="A261" s="409" t="s">
        <v>20</v>
      </c>
      <c r="B261" s="414">
        <f>B256</f>
        <v>1.59</v>
      </c>
      <c r="C261" s="414">
        <f t="shared" ref="C261:M261" si="121">C256</f>
        <v>1.59</v>
      </c>
      <c r="D261" s="414">
        <f t="shared" si="121"/>
        <v>1.59</v>
      </c>
      <c r="E261" s="414">
        <f t="shared" si="121"/>
        <v>1.59</v>
      </c>
      <c r="F261" s="414">
        <f t="shared" si="121"/>
        <v>1.59</v>
      </c>
      <c r="G261" s="414">
        <f t="shared" si="121"/>
        <v>1.59</v>
      </c>
      <c r="H261" s="414">
        <f t="shared" si="121"/>
        <v>1.59</v>
      </c>
      <c r="I261" s="414">
        <f t="shared" si="121"/>
        <v>1.59</v>
      </c>
      <c r="J261" s="414">
        <f t="shared" si="121"/>
        <v>1.59</v>
      </c>
      <c r="K261" s="414">
        <f t="shared" si="121"/>
        <v>1.59</v>
      </c>
      <c r="L261" s="414">
        <f t="shared" si="121"/>
        <v>1.59</v>
      </c>
      <c r="M261" s="414">
        <f t="shared" si="121"/>
        <v>1.59</v>
      </c>
      <c r="N261" s="250"/>
    </row>
    <row r="262" spans="1:16">
      <c r="A262" s="409" t="s">
        <v>17</v>
      </c>
      <c r="B262" s="411">
        <f t="shared" ref="B262:M262" si="122">B260*B261</f>
        <v>0</v>
      </c>
      <c r="C262" s="411">
        <f t="shared" si="122"/>
        <v>0</v>
      </c>
      <c r="D262" s="411">
        <f t="shared" si="122"/>
        <v>0</v>
      </c>
      <c r="E262" s="411">
        <f t="shared" si="122"/>
        <v>0</v>
      </c>
      <c r="F262" s="411">
        <f t="shared" si="122"/>
        <v>0</v>
      </c>
      <c r="G262" s="411">
        <f t="shared" si="122"/>
        <v>0</v>
      </c>
      <c r="H262" s="411">
        <f t="shared" si="122"/>
        <v>0</v>
      </c>
      <c r="I262" s="411">
        <f t="shared" si="122"/>
        <v>0</v>
      </c>
      <c r="J262" s="411">
        <f t="shared" si="122"/>
        <v>0</v>
      </c>
      <c r="K262" s="411">
        <f t="shared" si="122"/>
        <v>0</v>
      </c>
      <c r="L262" s="411">
        <f t="shared" si="122"/>
        <v>0</v>
      </c>
      <c r="M262" s="411">
        <f t="shared" si="122"/>
        <v>0</v>
      </c>
      <c r="N262" s="412">
        <f>SUM(B262:M262)</f>
        <v>0</v>
      </c>
    </row>
    <row r="263" spans="1:16">
      <c r="A263" s="409"/>
      <c r="B263" s="411"/>
      <c r="C263" s="411"/>
      <c r="D263" s="411"/>
      <c r="E263" s="411"/>
      <c r="F263" s="411"/>
      <c r="G263" s="411"/>
      <c r="H263" s="411"/>
      <c r="I263" s="411"/>
      <c r="J263" s="411"/>
      <c r="K263" s="411"/>
      <c r="L263" s="411"/>
      <c r="M263" s="411"/>
      <c r="N263" s="412"/>
    </row>
    <row r="264" spans="1:16">
      <c r="A264" s="415" t="s">
        <v>25</v>
      </c>
      <c r="B264" s="416">
        <f>B212+B217+B222+B227+B232+B237+B257+B242+B252+B262+B247</f>
        <v>472319.04000000004</v>
      </c>
      <c r="C264" s="416">
        <f t="shared" ref="C264:M264" si="123">C212+C217+C222+C227+C232+C237+C257+C242+C252+C262+C247</f>
        <v>472319.04000000004</v>
      </c>
      <c r="D264" s="416">
        <f t="shared" si="123"/>
        <v>472319.04000000004</v>
      </c>
      <c r="E264" s="416">
        <f t="shared" si="123"/>
        <v>472319.04000000004</v>
      </c>
      <c r="F264" s="416">
        <f t="shared" si="123"/>
        <v>472319.04000000004</v>
      </c>
      <c r="G264" s="416">
        <f t="shared" si="123"/>
        <v>472319.04000000004</v>
      </c>
      <c r="H264" s="416">
        <f t="shared" si="123"/>
        <v>472319.04000000004</v>
      </c>
      <c r="I264" s="416">
        <f t="shared" si="123"/>
        <v>472319.04000000004</v>
      </c>
      <c r="J264" s="416">
        <f t="shared" si="123"/>
        <v>472319.04000000004</v>
      </c>
      <c r="K264" s="416">
        <f t="shared" si="123"/>
        <v>472319.04000000004</v>
      </c>
      <c r="L264" s="416">
        <f t="shared" si="123"/>
        <v>472319.04000000004</v>
      </c>
      <c r="M264" s="416">
        <f t="shared" si="123"/>
        <v>472319.04000000004</v>
      </c>
      <c r="N264" s="417">
        <f>SUM(B264:M264)</f>
        <v>5667828.4800000004</v>
      </c>
    </row>
    <row r="265" spans="1:16">
      <c r="A265" s="418" t="s">
        <v>59</v>
      </c>
      <c r="B265" s="423">
        <f>B210+B215+B220+B225+B230+B235+B240+B255+B250+B260+B245</f>
        <v>297056</v>
      </c>
      <c r="C265" s="423">
        <f t="shared" ref="C265:G265" si="124">C210+C215+C220+C225+C230+C235+C240+C255+C250+C260+C245</f>
        <v>297056</v>
      </c>
      <c r="D265" s="423">
        <f t="shared" si="124"/>
        <v>297056</v>
      </c>
      <c r="E265" s="423">
        <f t="shared" si="124"/>
        <v>297056</v>
      </c>
      <c r="F265" s="423">
        <f t="shared" si="124"/>
        <v>297056</v>
      </c>
      <c r="G265" s="423">
        <f t="shared" si="124"/>
        <v>297056</v>
      </c>
      <c r="H265" s="423">
        <f t="shared" ref="H265:M265" si="125">H210+H215+H220+H225+H230+H235+H240+H255+H250+H260+H245</f>
        <v>297056</v>
      </c>
      <c r="I265" s="423">
        <f t="shared" si="125"/>
        <v>297056</v>
      </c>
      <c r="J265" s="423">
        <f t="shared" si="125"/>
        <v>297056</v>
      </c>
      <c r="K265" s="423">
        <f t="shared" si="125"/>
        <v>297056</v>
      </c>
      <c r="L265" s="423">
        <f t="shared" si="125"/>
        <v>297056</v>
      </c>
      <c r="M265" s="423">
        <f t="shared" si="125"/>
        <v>297056</v>
      </c>
      <c r="N265" s="420">
        <f>SUM(B265:M265)</f>
        <v>3564672</v>
      </c>
      <c r="O265" s="27">
        <f>'TSAS Scheduling Revenue (1)'!N267</f>
        <v>3564672</v>
      </c>
      <c r="P265" s="27">
        <f>'TSAS Reactive Revenues (2)'!N266</f>
        <v>3564672</v>
      </c>
    </row>
    <row r="266" spans="1:16">
      <c r="A266" s="397">
        <f>+A206+1</f>
        <v>2018</v>
      </c>
      <c r="B266" s="398"/>
      <c r="C266" s="398"/>
      <c r="D266" s="398"/>
      <c r="E266" s="398"/>
      <c r="F266" s="398"/>
      <c r="G266" s="398"/>
      <c r="H266" s="398"/>
      <c r="I266" s="398"/>
      <c r="J266" s="398"/>
      <c r="K266" s="398"/>
      <c r="L266" s="398"/>
      <c r="M266" s="398"/>
      <c r="N266" s="399"/>
    </row>
    <row r="267" spans="1:16" ht="13.2">
      <c r="A267" s="400" t="s">
        <v>19</v>
      </c>
      <c r="B267" s="403"/>
      <c r="C267" s="403"/>
      <c r="D267" s="403"/>
      <c r="E267" s="403"/>
      <c r="F267" s="403"/>
      <c r="G267" s="403"/>
      <c r="H267" s="403"/>
      <c r="I267" s="403"/>
      <c r="J267" s="403"/>
      <c r="K267" s="403"/>
      <c r="L267" s="403"/>
      <c r="M267" s="403"/>
      <c r="N267" s="404"/>
    </row>
    <row r="268" spans="1:16" ht="5.25" customHeight="1">
      <c r="A268" s="400"/>
      <c r="B268" s="401"/>
      <c r="C268" s="401"/>
      <c r="D268" s="401"/>
      <c r="E268" s="401"/>
      <c r="F268" s="401"/>
      <c r="G268" s="401"/>
      <c r="H268" s="401"/>
      <c r="I268" s="401"/>
      <c r="J268" s="401"/>
      <c r="K268" s="401"/>
      <c r="L268" s="401"/>
      <c r="M268" s="401"/>
      <c r="N268" s="402"/>
    </row>
    <row r="269" spans="1:16">
      <c r="A269" s="405" t="s">
        <v>344</v>
      </c>
      <c r="B269" s="295"/>
      <c r="C269" s="295"/>
      <c r="D269" s="295"/>
      <c r="E269" s="295"/>
      <c r="F269" s="295"/>
      <c r="G269" s="295"/>
      <c r="H269" s="295"/>
      <c r="I269" s="295"/>
      <c r="J269" s="295"/>
      <c r="K269" s="295"/>
      <c r="L269" s="295"/>
      <c r="M269" s="295"/>
      <c r="N269" s="250"/>
      <c r="O269" s="450"/>
    </row>
    <row r="270" spans="1:16">
      <c r="A270" s="406" t="s">
        <v>16</v>
      </c>
      <c r="B270" s="407">
        <f>B210</f>
        <v>5000</v>
      </c>
      <c r="C270" s="407">
        <f>$B270</f>
        <v>5000</v>
      </c>
      <c r="D270" s="407">
        <f>$B270</f>
        <v>5000</v>
      </c>
      <c r="E270" s="407">
        <f>$B270</f>
        <v>5000</v>
      </c>
      <c r="F270" s="407">
        <f>$B270</f>
        <v>5000</v>
      </c>
      <c r="G270" s="407">
        <f t="shared" ref="G270:M270" si="126">F270</f>
        <v>5000</v>
      </c>
      <c r="H270" s="407">
        <f t="shared" si="126"/>
        <v>5000</v>
      </c>
      <c r="I270" s="407">
        <f t="shared" si="126"/>
        <v>5000</v>
      </c>
      <c r="J270" s="407">
        <f t="shared" si="126"/>
        <v>5000</v>
      </c>
      <c r="K270" s="407">
        <f t="shared" si="126"/>
        <v>5000</v>
      </c>
      <c r="L270" s="407">
        <f t="shared" si="126"/>
        <v>5000</v>
      </c>
      <c r="M270" s="407">
        <f t="shared" si="126"/>
        <v>5000</v>
      </c>
      <c r="N270" s="408">
        <f>SUM(B270:M270)</f>
        <v>60000</v>
      </c>
    </row>
    <row r="271" spans="1:16" ht="15" customHeight="1">
      <c r="A271" s="409" t="s">
        <v>20</v>
      </c>
      <c r="B271" s="410">
        <f>'Transmission Formula Rate (7)'!B16</f>
        <v>1.59</v>
      </c>
      <c r="C271" s="410">
        <f>'Transmission Formula Rate (7)'!C16</f>
        <v>1.59</v>
      </c>
      <c r="D271" s="410">
        <f>'Transmission Formula Rate (7)'!D16</f>
        <v>1.59</v>
      </c>
      <c r="E271" s="410">
        <f>'Transmission Formula Rate (7)'!E16</f>
        <v>1.59</v>
      </c>
      <c r="F271" s="410">
        <f>'Transmission Formula Rate (7)'!F16</f>
        <v>1.59</v>
      </c>
      <c r="G271" s="410">
        <f>'Transmission Formula Rate (7)'!G16</f>
        <v>1.59</v>
      </c>
      <c r="H271" s="410">
        <f>'Transmission Formula Rate (7)'!H16</f>
        <v>1.59</v>
      </c>
      <c r="I271" s="410">
        <f>'Transmission Formula Rate (7)'!I16</f>
        <v>1.59</v>
      </c>
      <c r="J271" s="410">
        <f>'Transmission Formula Rate (7)'!J16</f>
        <v>1.59</v>
      </c>
      <c r="K271" s="410">
        <f>'Transmission Formula Rate (7)'!K16</f>
        <v>1.59</v>
      </c>
      <c r="L271" s="410">
        <f>'Transmission Formula Rate (7)'!L16</f>
        <v>1.59</v>
      </c>
      <c r="M271" s="410">
        <f>'Transmission Formula Rate (7)'!M16</f>
        <v>1.59</v>
      </c>
      <c r="N271" s="250"/>
    </row>
    <row r="272" spans="1:16">
      <c r="A272" s="409" t="s">
        <v>17</v>
      </c>
      <c r="B272" s="411">
        <f t="shared" ref="B272:M272" si="127">B270*B271</f>
        <v>7950</v>
      </c>
      <c r="C272" s="411">
        <f t="shared" si="127"/>
        <v>7950</v>
      </c>
      <c r="D272" s="411">
        <f t="shared" si="127"/>
        <v>7950</v>
      </c>
      <c r="E272" s="411">
        <f t="shared" si="127"/>
        <v>7950</v>
      </c>
      <c r="F272" s="411">
        <f t="shared" si="127"/>
        <v>7950</v>
      </c>
      <c r="G272" s="411">
        <f t="shared" si="127"/>
        <v>7950</v>
      </c>
      <c r="H272" s="411">
        <f t="shared" si="127"/>
        <v>7950</v>
      </c>
      <c r="I272" s="411">
        <f t="shared" si="127"/>
        <v>7950</v>
      </c>
      <c r="J272" s="411">
        <f t="shared" si="127"/>
        <v>7950</v>
      </c>
      <c r="K272" s="411">
        <f t="shared" si="127"/>
        <v>7950</v>
      </c>
      <c r="L272" s="411">
        <f t="shared" si="127"/>
        <v>7950</v>
      </c>
      <c r="M272" s="411">
        <f t="shared" si="127"/>
        <v>7950</v>
      </c>
      <c r="N272" s="412">
        <f>SUM(B272:M272)</f>
        <v>95400</v>
      </c>
    </row>
    <row r="273" spans="1:15" ht="6.75" customHeight="1">
      <c r="A273" s="413"/>
      <c r="B273" s="295"/>
      <c r="C273" s="295"/>
      <c r="D273" s="295"/>
      <c r="E273" s="295"/>
      <c r="F273" s="295"/>
      <c r="G273" s="295"/>
      <c r="H273" s="295"/>
      <c r="I273" s="295"/>
      <c r="J273" s="295"/>
      <c r="K273" s="295"/>
      <c r="L273" s="295"/>
      <c r="M273" s="295"/>
      <c r="N273" s="250"/>
    </row>
    <row r="274" spans="1:15">
      <c r="A274" s="422"/>
      <c r="B274" s="295"/>
      <c r="C274" s="295"/>
      <c r="D274" s="295"/>
      <c r="E274" s="295"/>
      <c r="F274" s="295"/>
      <c r="G274" s="295"/>
      <c r="H274" s="295"/>
      <c r="I274" s="295"/>
      <c r="J274" s="295"/>
      <c r="K274" s="295"/>
      <c r="L274" s="295"/>
      <c r="M274" s="295"/>
      <c r="N274" s="250"/>
    </row>
    <row r="275" spans="1:15">
      <c r="A275" s="406" t="s">
        <v>16</v>
      </c>
      <c r="B275" s="407">
        <v>0</v>
      </c>
      <c r="C275" s="407">
        <v>0</v>
      </c>
      <c r="D275" s="407">
        <v>0</v>
      </c>
      <c r="E275" s="407">
        <v>0</v>
      </c>
      <c r="F275" s="407">
        <v>0</v>
      </c>
      <c r="G275" s="407">
        <v>0</v>
      </c>
      <c r="H275" s="407">
        <v>0</v>
      </c>
      <c r="I275" s="407">
        <v>0</v>
      </c>
      <c r="J275" s="407">
        <v>0</v>
      </c>
      <c r="K275" s="407">
        <v>0</v>
      </c>
      <c r="L275" s="407">
        <v>0</v>
      </c>
      <c r="M275" s="407">
        <v>0</v>
      </c>
      <c r="N275" s="408">
        <f>SUM(B275:M275)</f>
        <v>0</v>
      </c>
    </row>
    <row r="276" spans="1:15">
      <c r="A276" s="409" t="s">
        <v>20</v>
      </c>
      <c r="B276" s="410">
        <f>B271</f>
        <v>1.59</v>
      </c>
      <c r="C276" s="410">
        <f t="shared" ref="C276:M276" si="128">C271</f>
        <v>1.59</v>
      </c>
      <c r="D276" s="410">
        <f t="shared" si="128"/>
        <v>1.59</v>
      </c>
      <c r="E276" s="410">
        <f t="shared" si="128"/>
        <v>1.59</v>
      </c>
      <c r="F276" s="410">
        <f t="shared" si="128"/>
        <v>1.59</v>
      </c>
      <c r="G276" s="410">
        <f t="shared" si="128"/>
        <v>1.59</v>
      </c>
      <c r="H276" s="410">
        <f t="shared" si="128"/>
        <v>1.59</v>
      </c>
      <c r="I276" s="410">
        <f t="shared" si="128"/>
        <v>1.59</v>
      </c>
      <c r="J276" s="410">
        <f t="shared" si="128"/>
        <v>1.59</v>
      </c>
      <c r="K276" s="410">
        <f t="shared" si="128"/>
        <v>1.59</v>
      </c>
      <c r="L276" s="410">
        <f t="shared" si="128"/>
        <v>1.59</v>
      </c>
      <c r="M276" s="410">
        <f t="shared" si="128"/>
        <v>1.59</v>
      </c>
      <c r="N276" s="250"/>
    </row>
    <row r="277" spans="1:15">
      <c r="A277" s="409" t="s">
        <v>17</v>
      </c>
      <c r="B277" s="411">
        <f t="shared" ref="B277:M277" si="129">B275*B276</f>
        <v>0</v>
      </c>
      <c r="C277" s="411">
        <f t="shared" si="129"/>
        <v>0</v>
      </c>
      <c r="D277" s="411">
        <f t="shared" si="129"/>
        <v>0</v>
      </c>
      <c r="E277" s="411">
        <f t="shared" si="129"/>
        <v>0</v>
      </c>
      <c r="F277" s="411">
        <f t="shared" si="129"/>
        <v>0</v>
      </c>
      <c r="G277" s="411">
        <f t="shared" si="129"/>
        <v>0</v>
      </c>
      <c r="H277" s="411">
        <f t="shared" si="129"/>
        <v>0</v>
      </c>
      <c r="I277" s="411">
        <f t="shared" si="129"/>
        <v>0</v>
      </c>
      <c r="J277" s="411">
        <f t="shared" si="129"/>
        <v>0</v>
      </c>
      <c r="K277" s="411">
        <f t="shared" si="129"/>
        <v>0</v>
      </c>
      <c r="L277" s="411">
        <f t="shared" si="129"/>
        <v>0</v>
      </c>
      <c r="M277" s="411">
        <f t="shared" si="129"/>
        <v>0</v>
      </c>
      <c r="N277" s="412">
        <f>SUM(B277:M277)</f>
        <v>0</v>
      </c>
    </row>
    <row r="278" spans="1:15" ht="5.25" customHeight="1">
      <c r="A278" s="413"/>
      <c r="B278" s="411"/>
      <c r="C278" s="295"/>
      <c r="D278" s="295"/>
      <c r="E278" s="295"/>
      <c r="F278" s="295"/>
      <c r="G278" s="295"/>
      <c r="H278" s="295"/>
      <c r="I278" s="295"/>
      <c r="J278" s="295"/>
      <c r="K278" s="295"/>
      <c r="L278" s="295"/>
      <c r="M278" s="295"/>
      <c r="N278" s="250"/>
    </row>
    <row r="279" spans="1:15">
      <c r="A279" s="422"/>
      <c r="B279" s="295"/>
      <c r="C279" s="295"/>
      <c r="D279" s="295"/>
      <c r="E279" s="295"/>
      <c r="F279" s="295"/>
      <c r="G279" s="295"/>
      <c r="H279" s="295"/>
      <c r="I279" s="295"/>
      <c r="J279" s="295"/>
      <c r="K279" s="295"/>
      <c r="L279" s="295"/>
      <c r="M279" s="295"/>
      <c r="N279" s="250"/>
    </row>
    <row r="280" spans="1:15">
      <c r="A280" s="406" t="s">
        <v>16</v>
      </c>
      <c r="B280" s="407">
        <v>0</v>
      </c>
      <c r="C280" s="407">
        <v>0</v>
      </c>
      <c r="D280" s="407">
        <v>0</v>
      </c>
      <c r="E280" s="407">
        <v>0</v>
      </c>
      <c r="F280" s="407">
        <v>0</v>
      </c>
      <c r="G280" s="407">
        <v>0</v>
      </c>
      <c r="H280" s="407">
        <v>0</v>
      </c>
      <c r="I280" s="407">
        <v>0</v>
      </c>
      <c r="J280" s="407">
        <v>0</v>
      </c>
      <c r="K280" s="407">
        <v>0</v>
      </c>
      <c r="L280" s="407">
        <v>0</v>
      </c>
      <c r="M280" s="407">
        <v>0</v>
      </c>
      <c r="N280" s="408">
        <f>SUM(B280:M280)</f>
        <v>0</v>
      </c>
    </row>
    <row r="281" spans="1:15">
      <c r="A281" s="409" t="s">
        <v>20</v>
      </c>
      <c r="B281" s="414">
        <f>B276</f>
        <v>1.59</v>
      </c>
      <c r="C281" s="414">
        <f t="shared" ref="C281:M281" si="130">C276</f>
        <v>1.59</v>
      </c>
      <c r="D281" s="414">
        <f t="shared" si="130"/>
        <v>1.59</v>
      </c>
      <c r="E281" s="414">
        <f t="shared" si="130"/>
        <v>1.59</v>
      </c>
      <c r="F281" s="414">
        <f t="shared" si="130"/>
        <v>1.59</v>
      </c>
      <c r="G281" s="414">
        <f t="shared" si="130"/>
        <v>1.59</v>
      </c>
      <c r="H281" s="414">
        <f t="shared" si="130"/>
        <v>1.59</v>
      </c>
      <c r="I281" s="414">
        <f t="shared" si="130"/>
        <v>1.59</v>
      </c>
      <c r="J281" s="414">
        <f t="shared" si="130"/>
        <v>1.59</v>
      </c>
      <c r="K281" s="414">
        <f t="shared" si="130"/>
        <v>1.59</v>
      </c>
      <c r="L281" s="414">
        <f t="shared" si="130"/>
        <v>1.59</v>
      </c>
      <c r="M281" s="414">
        <f t="shared" si="130"/>
        <v>1.59</v>
      </c>
      <c r="N281" s="250"/>
    </row>
    <row r="282" spans="1:15">
      <c r="A282" s="409" t="s">
        <v>17</v>
      </c>
      <c r="B282" s="411">
        <f t="shared" ref="B282:M282" si="131">B280*B281</f>
        <v>0</v>
      </c>
      <c r="C282" s="411">
        <f t="shared" si="131"/>
        <v>0</v>
      </c>
      <c r="D282" s="411">
        <f t="shared" si="131"/>
        <v>0</v>
      </c>
      <c r="E282" s="411">
        <f t="shared" si="131"/>
        <v>0</v>
      </c>
      <c r="F282" s="411">
        <f t="shared" si="131"/>
        <v>0</v>
      </c>
      <c r="G282" s="411">
        <f t="shared" si="131"/>
        <v>0</v>
      </c>
      <c r="H282" s="411">
        <f t="shared" si="131"/>
        <v>0</v>
      </c>
      <c r="I282" s="411">
        <f t="shared" si="131"/>
        <v>0</v>
      </c>
      <c r="J282" s="411">
        <f t="shared" si="131"/>
        <v>0</v>
      </c>
      <c r="K282" s="411">
        <f t="shared" si="131"/>
        <v>0</v>
      </c>
      <c r="L282" s="411">
        <f t="shared" si="131"/>
        <v>0</v>
      </c>
      <c r="M282" s="411">
        <f t="shared" si="131"/>
        <v>0</v>
      </c>
      <c r="N282" s="412">
        <f>SUM(B282:M282)</f>
        <v>0</v>
      </c>
    </row>
    <row r="283" spans="1:15" ht="5.25" customHeight="1">
      <c r="A283" s="413"/>
      <c r="B283" s="411"/>
      <c r="C283" s="295"/>
      <c r="D283" s="295"/>
      <c r="E283" s="295"/>
      <c r="F283" s="295"/>
      <c r="G283" s="295"/>
      <c r="H283" s="295"/>
      <c r="I283" s="295"/>
      <c r="J283" s="295"/>
      <c r="K283" s="295"/>
      <c r="L283" s="295"/>
      <c r="M283" s="295"/>
      <c r="N283" s="250"/>
    </row>
    <row r="284" spans="1:15">
      <c r="A284" s="405" t="s">
        <v>23</v>
      </c>
      <c r="B284" s="295"/>
      <c r="C284" s="295"/>
      <c r="D284" s="295"/>
      <c r="E284" s="295"/>
      <c r="F284" s="295"/>
      <c r="G284" s="295"/>
      <c r="H284" s="295"/>
      <c r="I284" s="295"/>
      <c r="J284" s="295"/>
      <c r="K284" s="295"/>
      <c r="L284" s="295"/>
      <c r="M284" s="295"/>
      <c r="N284" s="250"/>
      <c r="O284" s="450"/>
    </row>
    <row r="285" spans="1:15">
      <c r="A285" s="406" t="s">
        <v>16</v>
      </c>
      <c r="B285" s="407">
        <f>B225</f>
        <v>37056</v>
      </c>
      <c r="C285" s="407">
        <f t="shared" ref="C285:M285" si="132">C225</f>
        <v>37056</v>
      </c>
      <c r="D285" s="407">
        <f t="shared" si="132"/>
        <v>37056</v>
      </c>
      <c r="E285" s="407">
        <f t="shared" si="132"/>
        <v>37056</v>
      </c>
      <c r="F285" s="407">
        <f t="shared" si="132"/>
        <v>37056</v>
      </c>
      <c r="G285" s="407">
        <f t="shared" si="132"/>
        <v>37056</v>
      </c>
      <c r="H285" s="407">
        <f t="shared" si="132"/>
        <v>37056</v>
      </c>
      <c r="I285" s="407">
        <f t="shared" si="132"/>
        <v>37056</v>
      </c>
      <c r="J285" s="407">
        <f t="shared" si="132"/>
        <v>37056</v>
      </c>
      <c r="K285" s="407">
        <f t="shared" si="132"/>
        <v>37056</v>
      </c>
      <c r="L285" s="407">
        <f t="shared" si="132"/>
        <v>37056</v>
      </c>
      <c r="M285" s="407">
        <f t="shared" si="132"/>
        <v>37056</v>
      </c>
      <c r="N285" s="408">
        <f>SUM(B285:M285)</f>
        <v>444672</v>
      </c>
    </row>
    <row r="286" spans="1:15">
      <c r="A286" s="409" t="s">
        <v>20</v>
      </c>
      <c r="B286" s="414">
        <f>B281</f>
        <v>1.59</v>
      </c>
      <c r="C286" s="414">
        <f t="shared" ref="C286:M286" si="133">C281</f>
        <v>1.59</v>
      </c>
      <c r="D286" s="414">
        <f t="shared" si="133"/>
        <v>1.59</v>
      </c>
      <c r="E286" s="414">
        <f t="shared" si="133"/>
        <v>1.59</v>
      </c>
      <c r="F286" s="414">
        <f t="shared" si="133"/>
        <v>1.59</v>
      </c>
      <c r="G286" s="414">
        <f t="shared" si="133"/>
        <v>1.59</v>
      </c>
      <c r="H286" s="414">
        <f t="shared" si="133"/>
        <v>1.59</v>
      </c>
      <c r="I286" s="414">
        <f t="shared" si="133"/>
        <v>1.59</v>
      </c>
      <c r="J286" s="414">
        <f t="shared" si="133"/>
        <v>1.59</v>
      </c>
      <c r="K286" s="414">
        <f t="shared" si="133"/>
        <v>1.59</v>
      </c>
      <c r="L286" s="414">
        <f t="shared" si="133"/>
        <v>1.59</v>
      </c>
      <c r="M286" s="414">
        <f t="shared" si="133"/>
        <v>1.59</v>
      </c>
      <c r="N286" s="250"/>
    </row>
    <row r="287" spans="1:15" ht="12" customHeight="1">
      <c r="A287" s="409" t="s">
        <v>17</v>
      </c>
      <c r="B287" s="411">
        <f t="shared" ref="B287:M287" si="134">B285*B286</f>
        <v>58919.040000000001</v>
      </c>
      <c r="C287" s="411">
        <f t="shared" si="134"/>
        <v>58919.040000000001</v>
      </c>
      <c r="D287" s="411">
        <f t="shared" si="134"/>
        <v>58919.040000000001</v>
      </c>
      <c r="E287" s="411">
        <f t="shared" si="134"/>
        <v>58919.040000000001</v>
      </c>
      <c r="F287" s="411">
        <f t="shared" si="134"/>
        <v>58919.040000000001</v>
      </c>
      <c r="G287" s="411">
        <f t="shared" si="134"/>
        <v>58919.040000000001</v>
      </c>
      <c r="H287" s="411">
        <f t="shared" si="134"/>
        <v>58919.040000000001</v>
      </c>
      <c r="I287" s="411">
        <f t="shared" si="134"/>
        <v>58919.040000000001</v>
      </c>
      <c r="J287" s="411">
        <f t="shared" si="134"/>
        <v>58919.040000000001</v>
      </c>
      <c r="K287" s="411">
        <f t="shared" si="134"/>
        <v>58919.040000000001</v>
      </c>
      <c r="L287" s="411">
        <f t="shared" si="134"/>
        <v>58919.040000000001</v>
      </c>
      <c r="M287" s="411">
        <f t="shared" si="134"/>
        <v>58919.040000000001</v>
      </c>
      <c r="N287" s="412">
        <f>SUM(B287:M287)</f>
        <v>707028.4800000001</v>
      </c>
    </row>
    <row r="288" spans="1:15" ht="15.75" customHeight="1">
      <c r="A288" s="413"/>
      <c r="B288" s="411"/>
      <c r="C288" s="295"/>
      <c r="D288" s="295"/>
      <c r="E288" s="295"/>
      <c r="F288" s="295"/>
      <c r="G288" s="295"/>
      <c r="H288" s="295"/>
      <c r="I288" s="295"/>
      <c r="J288" s="295"/>
      <c r="K288" s="295"/>
      <c r="L288" s="295"/>
      <c r="M288" s="295"/>
      <c r="N288" s="250"/>
    </row>
    <row r="289" spans="1:15">
      <c r="A289" s="405" t="s">
        <v>24</v>
      </c>
      <c r="B289" s="295"/>
      <c r="C289" s="295"/>
      <c r="D289" s="295"/>
      <c r="E289" s="295"/>
      <c r="F289" s="295"/>
      <c r="G289" s="295"/>
      <c r="H289" s="295"/>
      <c r="I289" s="295"/>
      <c r="J289" s="295"/>
      <c r="K289" s="295"/>
      <c r="L289" s="295"/>
      <c r="M289" s="295"/>
      <c r="N289" s="250"/>
      <c r="O289" s="450"/>
    </row>
    <row r="290" spans="1:15">
      <c r="A290" s="406" t="s">
        <v>16</v>
      </c>
      <c r="B290" s="407">
        <v>62000</v>
      </c>
      <c r="C290" s="407">
        <v>62000</v>
      </c>
      <c r="D290" s="407">
        <v>62000</v>
      </c>
      <c r="E290" s="407">
        <v>62000</v>
      </c>
      <c r="F290" s="407">
        <v>62000</v>
      </c>
      <c r="G290" s="407">
        <v>62000</v>
      </c>
      <c r="H290" s="407">
        <v>62000</v>
      </c>
      <c r="I290" s="407">
        <v>62000</v>
      </c>
      <c r="J290" s="407">
        <v>62000</v>
      </c>
      <c r="K290" s="407">
        <v>62000</v>
      </c>
      <c r="L290" s="407">
        <v>62000</v>
      </c>
      <c r="M290" s="407">
        <v>62000</v>
      </c>
      <c r="N290" s="408">
        <f>SUM(B290:M290)</f>
        <v>744000</v>
      </c>
    </row>
    <row r="291" spans="1:15">
      <c r="A291" s="409" t="s">
        <v>20</v>
      </c>
      <c r="B291" s="414">
        <f>B286</f>
        <v>1.59</v>
      </c>
      <c r="C291" s="414">
        <f t="shared" ref="C291:M291" si="135">C286</f>
        <v>1.59</v>
      </c>
      <c r="D291" s="414">
        <f t="shared" si="135"/>
        <v>1.59</v>
      </c>
      <c r="E291" s="414">
        <f t="shared" si="135"/>
        <v>1.59</v>
      </c>
      <c r="F291" s="414">
        <f t="shared" si="135"/>
        <v>1.59</v>
      </c>
      <c r="G291" s="414">
        <f t="shared" si="135"/>
        <v>1.59</v>
      </c>
      <c r="H291" s="414">
        <f t="shared" si="135"/>
        <v>1.59</v>
      </c>
      <c r="I291" s="414">
        <f t="shared" si="135"/>
        <v>1.59</v>
      </c>
      <c r="J291" s="414">
        <f t="shared" si="135"/>
        <v>1.59</v>
      </c>
      <c r="K291" s="414">
        <f t="shared" si="135"/>
        <v>1.59</v>
      </c>
      <c r="L291" s="414">
        <f t="shared" si="135"/>
        <v>1.59</v>
      </c>
      <c r="M291" s="414">
        <f t="shared" si="135"/>
        <v>1.59</v>
      </c>
      <c r="N291" s="250"/>
    </row>
    <row r="292" spans="1:15">
      <c r="A292" s="409" t="s">
        <v>17</v>
      </c>
      <c r="B292" s="411">
        <f t="shared" ref="B292:M292" si="136">B290*B291</f>
        <v>98580</v>
      </c>
      <c r="C292" s="411">
        <f t="shared" si="136"/>
        <v>98580</v>
      </c>
      <c r="D292" s="411">
        <f t="shared" si="136"/>
        <v>98580</v>
      </c>
      <c r="E292" s="411">
        <f t="shared" si="136"/>
        <v>98580</v>
      </c>
      <c r="F292" s="411">
        <f t="shared" si="136"/>
        <v>98580</v>
      </c>
      <c r="G292" s="411">
        <f t="shared" si="136"/>
        <v>98580</v>
      </c>
      <c r="H292" s="411">
        <f t="shared" si="136"/>
        <v>98580</v>
      </c>
      <c r="I292" s="411">
        <f t="shared" si="136"/>
        <v>98580</v>
      </c>
      <c r="J292" s="411">
        <f t="shared" si="136"/>
        <v>98580</v>
      </c>
      <c r="K292" s="411">
        <f t="shared" si="136"/>
        <v>98580</v>
      </c>
      <c r="L292" s="411">
        <f t="shared" si="136"/>
        <v>98580</v>
      </c>
      <c r="M292" s="411">
        <f t="shared" si="136"/>
        <v>98580</v>
      </c>
      <c r="N292" s="412">
        <f>SUM(B292:M292)</f>
        <v>1182960</v>
      </c>
    </row>
    <row r="293" spans="1:15" ht="7.5" customHeight="1">
      <c r="A293" s="409"/>
      <c r="B293" s="411"/>
      <c r="C293" s="411"/>
      <c r="D293" s="411"/>
      <c r="E293" s="411"/>
      <c r="F293" s="411"/>
      <c r="G293" s="411"/>
      <c r="H293" s="411"/>
      <c r="I293" s="411"/>
      <c r="J293" s="411"/>
      <c r="K293" s="411"/>
      <c r="L293" s="411"/>
      <c r="M293" s="411"/>
      <c r="N293" s="412"/>
    </row>
    <row r="294" spans="1:15">
      <c r="A294" s="405" t="s">
        <v>111</v>
      </c>
      <c r="B294" s="295"/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50"/>
      <c r="O294" s="450"/>
    </row>
    <row r="295" spans="1:15">
      <c r="A295" s="406" t="s">
        <v>16</v>
      </c>
      <c r="B295" s="407">
        <v>40000</v>
      </c>
      <c r="C295" s="407">
        <f>B295</f>
        <v>40000</v>
      </c>
      <c r="D295" s="407">
        <f t="shared" ref="D295:M295" si="137">C295</f>
        <v>40000</v>
      </c>
      <c r="E295" s="407">
        <f t="shared" si="137"/>
        <v>40000</v>
      </c>
      <c r="F295" s="407">
        <f t="shared" si="137"/>
        <v>40000</v>
      </c>
      <c r="G295" s="407">
        <f t="shared" si="137"/>
        <v>40000</v>
      </c>
      <c r="H295" s="407">
        <f t="shared" si="137"/>
        <v>40000</v>
      </c>
      <c r="I295" s="407">
        <f t="shared" si="137"/>
        <v>40000</v>
      </c>
      <c r="J295" s="407">
        <f t="shared" si="137"/>
        <v>40000</v>
      </c>
      <c r="K295" s="407">
        <f t="shared" si="137"/>
        <v>40000</v>
      </c>
      <c r="L295" s="407">
        <f t="shared" si="137"/>
        <v>40000</v>
      </c>
      <c r="M295" s="407">
        <f t="shared" si="137"/>
        <v>40000</v>
      </c>
      <c r="N295" s="408">
        <f>SUM(B295:M295)</f>
        <v>480000</v>
      </c>
    </row>
    <row r="296" spans="1:15">
      <c r="A296" s="409" t="s">
        <v>20</v>
      </c>
      <c r="B296" s="414">
        <f>B291</f>
        <v>1.59</v>
      </c>
      <c r="C296" s="414">
        <f t="shared" ref="C296:M296" si="138">C291</f>
        <v>1.59</v>
      </c>
      <c r="D296" s="414">
        <f t="shared" si="138"/>
        <v>1.59</v>
      </c>
      <c r="E296" s="414">
        <f t="shared" si="138"/>
        <v>1.59</v>
      </c>
      <c r="F296" s="414">
        <f t="shared" si="138"/>
        <v>1.59</v>
      </c>
      <c r="G296" s="414">
        <f t="shared" si="138"/>
        <v>1.59</v>
      </c>
      <c r="H296" s="414">
        <f t="shared" si="138"/>
        <v>1.59</v>
      </c>
      <c r="I296" s="414">
        <f t="shared" si="138"/>
        <v>1.59</v>
      </c>
      <c r="J296" s="414">
        <f t="shared" si="138"/>
        <v>1.59</v>
      </c>
      <c r="K296" s="414">
        <f t="shared" si="138"/>
        <v>1.59</v>
      </c>
      <c r="L296" s="414">
        <f t="shared" si="138"/>
        <v>1.59</v>
      </c>
      <c r="M296" s="414">
        <f t="shared" si="138"/>
        <v>1.59</v>
      </c>
      <c r="N296" s="250"/>
    </row>
    <row r="297" spans="1:15">
      <c r="A297" s="409" t="s">
        <v>17</v>
      </c>
      <c r="B297" s="411">
        <f t="shared" ref="B297:M297" si="139">B295*B296</f>
        <v>63600</v>
      </c>
      <c r="C297" s="411">
        <f t="shared" si="139"/>
        <v>63600</v>
      </c>
      <c r="D297" s="411">
        <f t="shared" si="139"/>
        <v>63600</v>
      </c>
      <c r="E297" s="411">
        <f t="shared" si="139"/>
        <v>63600</v>
      </c>
      <c r="F297" s="411">
        <f t="shared" si="139"/>
        <v>63600</v>
      </c>
      <c r="G297" s="411">
        <f t="shared" si="139"/>
        <v>63600</v>
      </c>
      <c r="H297" s="411">
        <f t="shared" si="139"/>
        <v>63600</v>
      </c>
      <c r="I297" s="411">
        <f t="shared" si="139"/>
        <v>63600</v>
      </c>
      <c r="J297" s="411">
        <f t="shared" si="139"/>
        <v>63600</v>
      </c>
      <c r="K297" s="411">
        <f t="shared" si="139"/>
        <v>63600</v>
      </c>
      <c r="L297" s="411">
        <f t="shared" si="139"/>
        <v>63600</v>
      </c>
      <c r="M297" s="411">
        <f t="shared" si="139"/>
        <v>63600</v>
      </c>
      <c r="N297" s="412">
        <f>SUM(B297:M297)</f>
        <v>763200</v>
      </c>
    </row>
    <row r="298" spans="1:15" ht="6" customHeight="1">
      <c r="A298" s="409"/>
      <c r="B298" s="411"/>
      <c r="C298" s="411"/>
      <c r="D298" s="411"/>
      <c r="E298" s="411"/>
      <c r="F298" s="411"/>
      <c r="G298" s="411"/>
      <c r="H298" s="411"/>
      <c r="I298" s="411"/>
      <c r="J298" s="411"/>
      <c r="K298" s="411"/>
      <c r="L298" s="411"/>
      <c r="M298" s="411"/>
      <c r="N298" s="412"/>
    </row>
    <row r="299" spans="1:15" s="19" customFormat="1" ht="10.199999999999999">
      <c r="A299" s="405" t="s">
        <v>222</v>
      </c>
      <c r="B299" s="295"/>
      <c r="C299" s="295"/>
      <c r="D299" s="295"/>
      <c r="E299" s="295"/>
      <c r="F299" s="295"/>
      <c r="G299" s="295"/>
      <c r="H299" s="295"/>
      <c r="I299" s="295"/>
      <c r="J299" s="295"/>
      <c r="K299" s="295"/>
      <c r="L299" s="295"/>
      <c r="M299" s="295"/>
      <c r="N299" s="250"/>
    </row>
    <row r="300" spans="1:15" s="19" customFormat="1" ht="10.199999999999999">
      <c r="A300" s="406" t="s">
        <v>16</v>
      </c>
      <c r="B300" s="407">
        <v>3000</v>
      </c>
      <c r="C300" s="407">
        <f t="shared" ref="C300:M300" si="140">B300</f>
        <v>3000</v>
      </c>
      <c r="D300" s="407">
        <f t="shared" si="140"/>
        <v>3000</v>
      </c>
      <c r="E300" s="407">
        <f t="shared" si="140"/>
        <v>3000</v>
      </c>
      <c r="F300" s="407">
        <f t="shared" si="140"/>
        <v>3000</v>
      </c>
      <c r="G300" s="407">
        <f t="shared" si="140"/>
        <v>3000</v>
      </c>
      <c r="H300" s="407">
        <f t="shared" si="140"/>
        <v>3000</v>
      </c>
      <c r="I300" s="407">
        <f t="shared" si="140"/>
        <v>3000</v>
      </c>
      <c r="J300" s="407">
        <f t="shared" si="140"/>
        <v>3000</v>
      </c>
      <c r="K300" s="407">
        <f t="shared" si="140"/>
        <v>3000</v>
      </c>
      <c r="L300" s="407">
        <f t="shared" si="140"/>
        <v>3000</v>
      </c>
      <c r="M300" s="407">
        <f t="shared" si="140"/>
        <v>3000</v>
      </c>
      <c r="N300" s="408">
        <f>SUM(B300:M300)</f>
        <v>36000</v>
      </c>
    </row>
    <row r="301" spans="1:15" s="19" customFormat="1" ht="10.199999999999999">
      <c r="A301" s="409" t="s">
        <v>20</v>
      </c>
      <c r="B301" s="414">
        <f>B296</f>
        <v>1.59</v>
      </c>
      <c r="C301" s="414">
        <f t="shared" ref="C301:M301" si="141">C296</f>
        <v>1.59</v>
      </c>
      <c r="D301" s="414">
        <f t="shared" si="141"/>
        <v>1.59</v>
      </c>
      <c r="E301" s="414">
        <f t="shared" si="141"/>
        <v>1.59</v>
      </c>
      <c r="F301" s="414">
        <f t="shared" si="141"/>
        <v>1.59</v>
      </c>
      <c r="G301" s="414">
        <f t="shared" si="141"/>
        <v>1.59</v>
      </c>
      <c r="H301" s="414">
        <f t="shared" si="141"/>
        <v>1.59</v>
      </c>
      <c r="I301" s="414">
        <f t="shared" si="141"/>
        <v>1.59</v>
      </c>
      <c r="J301" s="414">
        <f t="shared" si="141"/>
        <v>1.59</v>
      </c>
      <c r="K301" s="414">
        <f t="shared" si="141"/>
        <v>1.59</v>
      </c>
      <c r="L301" s="414">
        <f t="shared" si="141"/>
        <v>1.59</v>
      </c>
      <c r="M301" s="414">
        <f t="shared" si="141"/>
        <v>1.59</v>
      </c>
      <c r="N301" s="250"/>
    </row>
    <row r="302" spans="1:15" s="19" customFormat="1" ht="10.199999999999999">
      <c r="A302" s="409" t="s">
        <v>17</v>
      </c>
      <c r="B302" s="411">
        <f t="shared" ref="B302:M302" si="142">B300*B301</f>
        <v>4770</v>
      </c>
      <c r="C302" s="411">
        <f t="shared" si="142"/>
        <v>4770</v>
      </c>
      <c r="D302" s="411">
        <f t="shared" si="142"/>
        <v>4770</v>
      </c>
      <c r="E302" s="411">
        <f t="shared" si="142"/>
        <v>4770</v>
      </c>
      <c r="F302" s="411">
        <f t="shared" si="142"/>
        <v>4770</v>
      </c>
      <c r="G302" s="411">
        <f t="shared" si="142"/>
        <v>4770</v>
      </c>
      <c r="H302" s="411">
        <f t="shared" si="142"/>
        <v>4770</v>
      </c>
      <c r="I302" s="411">
        <f t="shared" si="142"/>
        <v>4770</v>
      </c>
      <c r="J302" s="411">
        <f t="shared" si="142"/>
        <v>4770</v>
      </c>
      <c r="K302" s="411">
        <f t="shared" si="142"/>
        <v>4770</v>
      </c>
      <c r="L302" s="411">
        <f t="shared" si="142"/>
        <v>4770</v>
      </c>
      <c r="M302" s="411">
        <f t="shared" si="142"/>
        <v>4770</v>
      </c>
      <c r="N302" s="412">
        <f>SUM(B302:M302)</f>
        <v>57240</v>
      </c>
    </row>
    <row r="303" spans="1:15" s="19" customFormat="1" ht="10.199999999999999">
      <c r="A303" s="409"/>
      <c r="B303" s="411"/>
      <c r="C303" s="411"/>
      <c r="D303" s="411"/>
      <c r="E303" s="411"/>
      <c r="F303" s="411"/>
      <c r="G303" s="411"/>
      <c r="H303" s="411"/>
      <c r="I303" s="411"/>
      <c r="J303" s="411"/>
      <c r="K303" s="411"/>
      <c r="L303" s="411"/>
      <c r="M303" s="411"/>
      <c r="N303" s="412"/>
    </row>
    <row r="304" spans="1:15">
      <c r="A304" s="405" t="s">
        <v>173</v>
      </c>
      <c r="B304" s="295"/>
      <c r="C304" s="295"/>
      <c r="D304" s="295"/>
      <c r="E304" s="295"/>
      <c r="F304" s="295"/>
      <c r="G304" s="295"/>
      <c r="H304" s="295"/>
      <c r="I304" s="295"/>
      <c r="J304" s="295"/>
      <c r="K304" s="295"/>
      <c r="L304" s="295"/>
      <c r="M304" s="295"/>
      <c r="N304" s="250"/>
      <c r="O304" s="450"/>
    </row>
    <row r="305" spans="1:16">
      <c r="A305" s="406" t="s">
        <v>16</v>
      </c>
      <c r="B305" s="407"/>
      <c r="C305" s="407"/>
      <c r="D305" s="407"/>
      <c r="E305" s="407"/>
      <c r="F305" s="407"/>
      <c r="G305" s="407"/>
      <c r="H305" s="407"/>
      <c r="I305" s="407"/>
      <c r="J305" s="407"/>
      <c r="K305" s="407"/>
      <c r="L305" s="407"/>
      <c r="M305" s="407"/>
      <c r="N305" s="408">
        <f>SUM(B305:M305)</f>
        <v>0</v>
      </c>
    </row>
    <row r="306" spans="1:16">
      <c r="A306" s="409" t="s">
        <v>20</v>
      </c>
      <c r="B306" s="414">
        <f>B296</f>
        <v>1.59</v>
      </c>
      <c r="C306" s="414">
        <f t="shared" ref="C306:M306" si="143">C296</f>
        <v>1.59</v>
      </c>
      <c r="D306" s="414">
        <f t="shared" si="143"/>
        <v>1.59</v>
      </c>
      <c r="E306" s="414">
        <f t="shared" si="143"/>
        <v>1.59</v>
      </c>
      <c r="F306" s="414">
        <f t="shared" si="143"/>
        <v>1.59</v>
      </c>
      <c r="G306" s="414">
        <f t="shared" si="143"/>
        <v>1.59</v>
      </c>
      <c r="H306" s="414">
        <f t="shared" si="143"/>
        <v>1.59</v>
      </c>
      <c r="I306" s="414">
        <f t="shared" si="143"/>
        <v>1.59</v>
      </c>
      <c r="J306" s="414">
        <f t="shared" si="143"/>
        <v>1.59</v>
      </c>
      <c r="K306" s="414">
        <f t="shared" si="143"/>
        <v>1.59</v>
      </c>
      <c r="L306" s="414">
        <f t="shared" si="143"/>
        <v>1.59</v>
      </c>
      <c r="M306" s="414">
        <f t="shared" si="143"/>
        <v>1.59</v>
      </c>
      <c r="N306" s="250"/>
    </row>
    <row r="307" spans="1:16">
      <c r="A307" s="409" t="s">
        <v>17</v>
      </c>
      <c r="B307" s="411">
        <f t="shared" ref="B307:M307" si="144">B305*B306</f>
        <v>0</v>
      </c>
      <c r="C307" s="411">
        <f t="shared" si="144"/>
        <v>0</v>
      </c>
      <c r="D307" s="411">
        <f t="shared" si="144"/>
        <v>0</v>
      </c>
      <c r="E307" s="411">
        <f t="shared" si="144"/>
        <v>0</v>
      </c>
      <c r="F307" s="411">
        <f t="shared" si="144"/>
        <v>0</v>
      </c>
      <c r="G307" s="411">
        <f t="shared" si="144"/>
        <v>0</v>
      </c>
      <c r="H307" s="411">
        <f t="shared" si="144"/>
        <v>0</v>
      </c>
      <c r="I307" s="411">
        <f t="shared" si="144"/>
        <v>0</v>
      </c>
      <c r="J307" s="411">
        <f t="shared" si="144"/>
        <v>0</v>
      </c>
      <c r="K307" s="411">
        <f t="shared" si="144"/>
        <v>0</v>
      </c>
      <c r="L307" s="411">
        <f t="shared" si="144"/>
        <v>0</v>
      </c>
      <c r="M307" s="411">
        <f t="shared" si="144"/>
        <v>0</v>
      </c>
      <c r="N307" s="412">
        <f>SUM(B307:M307)</f>
        <v>0</v>
      </c>
    </row>
    <row r="308" spans="1:16" ht="6" customHeight="1">
      <c r="A308" s="409"/>
      <c r="B308" s="411"/>
      <c r="C308" s="411"/>
      <c r="D308" s="411"/>
      <c r="E308" s="411"/>
      <c r="F308" s="411"/>
      <c r="G308" s="411"/>
      <c r="H308" s="411"/>
      <c r="I308" s="411"/>
      <c r="J308" s="411"/>
      <c r="K308" s="411"/>
      <c r="L308" s="411"/>
      <c r="M308" s="411"/>
      <c r="N308" s="412"/>
    </row>
    <row r="309" spans="1:16">
      <c r="A309" s="405" t="s">
        <v>44</v>
      </c>
      <c r="B309" s="295"/>
      <c r="C309" s="295"/>
      <c r="D309" s="295"/>
      <c r="E309" s="295"/>
      <c r="F309" s="295"/>
      <c r="G309" s="295"/>
      <c r="H309" s="295"/>
      <c r="I309" s="295"/>
      <c r="J309" s="295"/>
      <c r="K309" s="295"/>
      <c r="L309" s="295"/>
      <c r="M309" s="295"/>
      <c r="N309" s="250"/>
      <c r="O309" s="450"/>
    </row>
    <row r="310" spans="1:16">
      <c r="A310" s="406" t="s">
        <v>16</v>
      </c>
      <c r="B310" s="407"/>
      <c r="C310" s="407"/>
      <c r="D310" s="407"/>
      <c r="E310" s="407"/>
      <c r="F310" s="407"/>
      <c r="G310" s="407"/>
      <c r="H310" s="407"/>
      <c r="I310" s="407"/>
      <c r="J310" s="407"/>
      <c r="K310" s="407"/>
      <c r="L310" s="407"/>
      <c r="M310" s="407"/>
      <c r="N310" s="408">
        <f>SUM(B310:M310)</f>
        <v>0</v>
      </c>
    </row>
    <row r="311" spans="1:16">
      <c r="A311" s="409" t="s">
        <v>20</v>
      </c>
      <c r="B311" s="414">
        <f>B306</f>
        <v>1.59</v>
      </c>
      <c r="C311" s="414">
        <f t="shared" ref="C311:M311" si="145">C306</f>
        <v>1.59</v>
      </c>
      <c r="D311" s="414">
        <f t="shared" si="145"/>
        <v>1.59</v>
      </c>
      <c r="E311" s="414">
        <f t="shared" si="145"/>
        <v>1.59</v>
      </c>
      <c r="F311" s="414">
        <f t="shared" si="145"/>
        <v>1.59</v>
      </c>
      <c r="G311" s="414">
        <f t="shared" si="145"/>
        <v>1.59</v>
      </c>
      <c r="H311" s="414">
        <f t="shared" si="145"/>
        <v>1.59</v>
      </c>
      <c r="I311" s="414">
        <f t="shared" si="145"/>
        <v>1.59</v>
      </c>
      <c r="J311" s="414">
        <f t="shared" si="145"/>
        <v>1.59</v>
      </c>
      <c r="K311" s="414">
        <f t="shared" si="145"/>
        <v>1.59</v>
      </c>
      <c r="L311" s="414">
        <f t="shared" si="145"/>
        <v>1.59</v>
      </c>
      <c r="M311" s="414">
        <f t="shared" si="145"/>
        <v>1.59</v>
      </c>
      <c r="N311" s="250"/>
    </row>
    <row r="312" spans="1:16">
      <c r="A312" s="409" t="s">
        <v>17</v>
      </c>
      <c r="B312" s="411">
        <f t="shared" ref="B312:M312" si="146">B310*B311</f>
        <v>0</v>
      </c>
      <c r="C312" s="411">
        <f t="shared" si="146"/>
        <v>0</v>
      </c>
      <c r="D312" s="411">
        <f t="shared" si="146"/>
        <v>0</v>
      </c>
      <c r="E312" s="411">
        <f t="shared" si="146"/>
        <v>0</v>
      </c>
      <c r="F312" s="411">
        <f t="shared" si="146"/>
        <v>0</v>
      </c>
      <c r="G312" s="411">
        <f t="shared" si="146"/>
        <v>0</v>
      </c>
      <c r="H312" s="411">
        <f t="shared" si="146"/>
        <v>0</v>
      </c>
      <c r="I312" s="411">
        <f t="shared" si="146"/>
        <v>0</v>
      </c>
      <c r="J312" s="411">
        <f t="shared" si="146"/>
        <v>0</v>
      </c>
      <c r="K312" s="411">
        <f t="shared" si="146"/>
        <v>0</v>
      </c>
      <c r="L312" s="411">
        <f t="shared" si="146"/>
        <v>0</v>
      </c>
      <c r="M312" s="411">
        <f t="shared" si="146"/>
        <v>0</v>
      </c>
      <c r="N312" s="412">
        <f>SUM(B312:M312)</f>
        <v>0</v>
      </c>
    </row>
    <row r="313" spans="1:16" ht="6" customHeight="1">
      <c r="A313" s="409"/>
      <c r="B313" s="411"/>
      <c r="C313" s="411"/>
      <c r="D313" s="411"/>
      <c r="E313" s="411"/>
      <c r="F313" s="411"/>
      <c r="G313" s="411"/>
      <c r="H313" s="411"/>
      <c r="I313" s="411"/>
      <c r="J313" s="411"/>
      <c r="K313" s="411"/>
      <c r="L313" s="411"/>
      <c r="M313" s="411"/>
      <c r="N313" s="412"/>
    </row>
    <row r="314" spans="1:16">
      <c r="A314" s="405" t="s">
        <v>112</v>
      </c>
      <c r="B314" s="295"/>
      <c r="C314" s="295"/>
      <c r="D314" s="295"/>
      <c r="E314" s="295"/>
      <c r="F314" s="295"/>
      <c r="G314" s="295"/>
      <c r="H314" s="295"/>
      <c r="I314" s="295"/>
      <c r="J314" s="295"/>
      <c r="K314" s="295"/>
      <c r="L314" s="295"/>
      <c r="M314" s="295"/>
      <c r="N314" s="250"/>
    </row>
    <row r="315" spans="1:16">
      <c r="A315" s="406" t="s">
        <v>16</v>
      </c>
      <c r="B315" s="407">
        <v>150000</v>
      </c>
      <c r="C315" s="407">
        <f>100000</f>
        <v>100000</v>
      </c>
      <c r="D315" s="407">
        <f t="shared" ref="D315:M315" si="147">C315</f>
        <v>100000</v>
      </c>
      <c r="E315" s="407">
        <f t="shared" si="147"/>
        <v>100000</v>
      </c>
      <c r="F315" s="407">
        <f t="shared" si="147"/>
        <v>100000</v>
      </c>
      <c r="G315" s="407">
        <f t="shared" si="147"/>
        <v>100000</v>
      </c>
      <c r="H315" s="407">
        <f t="shared" si="147"/>
        <v>100000</v>
      </c>
      <c r="I315" s="407">
        <f t="shared" si="147"/>
        <v>100000</v>
      </c>
      <c r="J315" s="407">
        <f t="shared" si="147"/>
        <v>100000</v>
      </c>
      <c r="K315" s="407">
        <f t="shared" si="147"/>
        <v>100000</v>
      </c>
      <c r="L315" s="407">
        <f t="shared" si="147"/>
        <v>100000</v>
      </c>
      <c r="M315" s="407">
        <f t="shared" si="147"/>
        <v>100000</v>
      </c>
      <c r="N315" s="408">
        <f>SUM(B315:M315)</f>
        <v>1250000</v>
      </c>
    </row>
    <row r="316" spans="1:16">
      <c r="A316" s="409" t="s">
        <v>20</v>
      </c>
      <c r="B316" s="414">
        <f>B311</f>
        <v>1.59</v>
      </c>
      <c r="C316" s="414">
        <f t="shared" ref="C316:M316" si="148">C311</f>
        <v>1.59</v>
      </c>
      <c r="D316" s="414">
        <f t="shared" si="148"/>
        <v>1.59</v>
      </c>
      <c r="E316" s="414">
        <f t="shared" si="148"/>
        <v>1.59</v>
      </c>
      <c r="F316" s="414">
        <f t="shared" si="148"/>
        <v>1.59</v>
      </c>
      <c r="G316" s="414">
        <f t="shared" si="148"/>
        <v>1.59</v>
      </c>
      <c r="H316" s="414">
        <f t="shared" si="148"/>
        <v>1.59</v>
      </c>
      <c r="I316" s="414">
        <f t="shared" si="148"/>
        <v>1.59</v>
      </c>
      <c r="J316" s="414">
        <f t="shared" si="148"/>
        <v>1.59</v>
      </c>
      <c r="K316" s="414">
        <f t="shared" si="148"/>
        <v>1.59</v>
      </c>
      <c r="L316" s="414">
        <f t="shared" si="148"/>
        <v>1.59</v>
      </c>
      <c r="M316" s="414">
        <f t="shared" si="148"/>
        <v>1.59</v>
      </c>
      <c r="N316" s="250"/>
    </row>
    <row r="317" spans="1:16">
      <c r="A317" s="409" t="s">
        <v>17</v>
      </c>
      <c r="B317" s="411">
        <f t="shared" ref="B317:M317" si="149">B315*B316</f>
        <v>238500</v>
      </c>
      <c r="C317" s="411">
        <f t="shared" si="149"/>
        <v>159000</v>
      </c>
      <c r="D317" s="411">
        <f t="shared" si="149"/>
        <v>159000</v>
      </c>
      <c r="E317" s="411">
        <f t="shared" si="149"/>
        <v>159000</v>
      </c>
      <c r="F317" s="411">
        <f t="shared" si="149"/>
        <v>159000</v>
      </c>
      <c r="G317" s="411">
        <f t="shared" si="149"/>
        <v>159000</v>
      </c>
      <c r="H317" s="411">
        <f t="shared" si="149"/>
        <v>159000</v>
      </c>
      <c r="I317" s="411">
        <f t="shared" si="149"/>
        <v>159000</v>
      </c>
      <c r="J317" s="411">
        <f t="shared" si="149"/>
        <v>159000</v>
      </c>
      <c r="K317" s="411">
        <f t="shared" si="149"/>
        <v>159000</v>
      </c>
      <c r="L317" s="411">
        <f t="shared" si="149"/>
        <v>159000</v>
      </c>
      <c r="M317" s="411">
        <f t="shared" si="149"/>
        <v>159000</v>
      </c>
      <c r="N317" s="412">
        <f>SUM(B317:M317)</f>
        <v>1987500</v>
      </c>
    </row>
    <row r="318" spans="1:16" ht="6" customHeight="1">
      <c r="A318" s="409"/>
      <c r="B318" s="411"/>
      <c r="C318" s="411"/>
      <c r="D318" s="411"/>
      <c r="E318" s="411"/>
      <c r="F318" s="411"/>
      <c r="G318" s="411"/>
      <c r="H318" s="411"/>
      <c r="I318" s="411"/>
      <c r="J318" s="411"/>
      <c r="K318" s="411"/>
      <c r="L318" s="411"/>
      <c r="M318" s="411"/>
      <c r="N318" s="412"/>
    </row>
    <row r="319" spans="1:16">
      <c r="A319" s="415" t="s">
        <v>25</v>
      </c>
      <c r="B319" s="416">
        <f t="shared" ref="B319:M319" si="150">B272+B277+B282+B287+B292+B297+B312+B307+B317+B302</f>
        <v>472319.04000000004</v>
      </c>
      <c r="C319" s="416">
        <f t="shared" si="150"/>
        <v>392819.04000000004</v>
      </c>
      <c r="D319" s="416">
        <f t="shared" si="150"/>
        <v>392819.04000000004</v>
      </c>
      <c r="E319" s="416">
        <f t="shared" si="150"/>
        <v>392819.04000000004</v>
      </c>
      <c r="F319" s="416">
        <f t="shared" si="150"/>
        <v>392819.04000000004</v>
      </c>
      <c r="G319" s="416">
        <f t="shared" si="150"/>
        <v>392819.04000000004</v>
      </c>
      <c r="H319" s="416">
        <f t="shared" si="150"/>
        <v>392819.04000000004</v>
      </c>
      <c r="I319" s="416">
        <f t="shared" si="150"/>
        <v>392819.04000000004</v>
      </c>
      <c r="J319" s="416">
        <f t="shared" si="150"/>
        <v>392819.04000000004</v>
      </c>
      <c r="K319" s="416">
        <f t="shared" si="150"/>
        <v>392819.04000000004</v>
      </c>
      <c r="L319" s="416">
        <f t="shared" si="150"/>
        <v>392819.04000000004</v>
      </c>
      <c r="M319" s="416">
        <f t="shared" si="150"/>
        <v>392819.04000000004</v>
      </c>
      <c r="N319" s="417">
        <f>SUM(B319:M319)</f>
        <v>4793328.4800000004</v>
      </c>
    </row>
    <row r="320" spans="1:16">
      <c r="A320" s="418" t="s">
        <v>59</v>
      </c>
      <c r="B320" s="423">
        <f t="shared" ref="B320:M320" si="151">B270+B275+B280+B285+B290+B295+B305+B310+B315+B300</f>
        <v>297056</v>
      </c>
      <c r="C320" s="423">
        <f t="shared" si="151"/>
        <v>247056</v>
      </c>
      <c r="D320" s="423">
        <f t="shared" si="151"/>
        <v>247056</v>
      </c>
      <c r="E320" s="423">
        <f t="shared" si="151"/>
        <v>247056</v>
      </c>
      <c r="F320" s="423">
        <f t="shared" si="151"/>
        <v>247056</v>
      </c>
      <c r="G320" s="423">
        <f t="shared" si="151"/>
        <v>247056</v>
      </c>
      <c r="H320" s="423">
        <f t="shared" si="151"/>
        <v>247056</v>
      </c>
      <c r="I320" s="423">
        <f t="shared" si="151"/>
        <v>247056</v>
      </c>
      <c r="J320" s="423">
        <f t="shared" si="151"/>
        <v>247056</v>
      </c>
      <c r="K320" s="423">
        <f t="shared" si="151"/>
        <v>247056</v>
      </c>
      <c r="L320" s="423">
        <f t="shared" si="151"/>
        <v>247056</v>
      </c>
      <c r="M320" s="423">
        <f t="shared" si="151"/>
        <v>247056</v>
      </c>
      <c r="N320" s="420">
        <f>SUM(B320:M320)</f>
        <v>3014672</v>
      </c>
      <c r="O320" s="27">
        <f>'TSAS Scheduling Revenue (1)'!N327</f>
        <v>3014672</v>
      </c>
      <c r="P320" s="27">
        <f>'TSAS Reactive Revenues (2)'!N321</f>
        <v>3014672</v>
      </c>
    </row>
    <row r="321" spans="1:15">
      <c r="A321" s="397">
        <f>+A266+1</f>
        <v>2019</v>
      </c>
      <c r="B321" s="398"/>
      <c r="C321" s="398"/>
      <c r="D321" s="398"/>
      <c r="E321" s="398"/>
      <c r="F321" s="398"/>
      <c r="G321" s="398"/>
      <c r="H321" s="398"/>
      <c r="I321" s="398"/>
      <c r="J321" s="398"/>
      <c r="K321" s="398"/>
      <c r="L321" s="398"/>
      <c r="M321" s="398"/>
      <c r="N321" s="399"/>
    </row>
    <row r="322" spans="1:15" ht="13.2">
      <c r="A322" s="400" t="s">
        <v>19</v>
      </c>
      <c r="B322" s="403"/>
      <c r="C322" s="403"/>
      <c r="D322" s="403"/>
      <c r="E322" s="403"/>
      <c r="F322" s="403"/>
      <c r="G322" s="403"/>
      <c r="H322" s="403"/>
      <c r="I322" s="403"/>
      <c r="J322" s="403"/>
      <c r="K322" s="403"/>
      <c r="L322" s="403"/>
      <c r="M322" s="403"/>
      <c r="N322" s="404"/>
    </row>
    <row r="323" spans="1:15">
      <c r="A323" s="400"/>
      <c r="B323" s="401"/>
      <c r="C323" s="401"/>
      <c r="D323" s="401"/>
      <c r="E323" s="401"/>
      <c r="F323" s="401"/>
      <c r="G323" s="401"/>
      <c r="H323" s="401"/>
      <c r="I323" s="401"/>
      <c r="J323" s="401"/>
      <c r="K323" s="401"/>
      <c r="L323" s="401"/>
      <c r="M323" s="401"/>
      <c r="N323" s="402"/>
    </row>
    <row r="324" spans="1:15">
      <c r="A324" s="405" t="s">
        <v>344</v>
      </c>
      <c r="B324" s="295"/>
      <c r="C324" s="295"/>
      <c r="D324" s="295"/>
      <c r="E324" s="295"/>
      <c r="F324" s="295"/>
      <c r="G324" s="295"/>
      <c r="H324" s="295"/>
      <c r="I324" s="295"/>
      <c r="J324" s="295"/>
      <c r="K324" s="295"/>
      <c r="L324" s="295"/>
      <c r="M324" s="295"/>
      <c r="N324" s="250"/>
      <c r="O324" s="450"/>
    </row>
    <row r="325" spans="1:15">
      <c r="A325" s="406" t="s">
        <v>16</v>
      </c>
      <c r="B325" s="407">
        <f>B270</f>
        <v>5000</v>
      </c>
      <c r="C325" s="407">
        <f>$B325</f>
        <v>5000</v>
      </c>
      <c r="D325" s="407">
        <f>$B325</f>
        <v>5000</v>
      </c>
      <c r="E325" s="407">
        <f>$B325</f>
        <v>5000</v>
      </c>
      <c r="F325" s="407">
        <f>$B325</f>
        <v>5000</v>
      </c>
      <c r="G325" s="407">
        <f t="shared" ref="G325" si="152">F325</f>
        <v>5000</v>
      </c>
      <c r="H325" s="407">
        <f t="shared" ref="H325" si="153">G325</f>
        <v>5000</v>
      </c>
      <c r="I325" s="407">
        <f t="shared" ref="I325" si="154">H325</f>
        <v>5000</v>
      </c>
      <c r="J325" s="407">
        <f t="shared" ref="J325" si="155">I325</f>
        <v>5000</v>
      </c>
      <c r="K325" s="407">
        <f t="shared" ref="K325" si="156">J325</f>
        <v>5000</v>
      </c>
      <c r="L325" s="407">
        <f t="shared" ref="L325" si="157">K325</f>
        <v>5000</v>
      </c>
      <c r="M325" s="407">
        <f t="shared" ref="M325" si="158">L325</f>
        <v>5000</v>
      </c>
      <c r="N325" s="408">
        <f>SUM(B325:M325)</f>
        <v>60000</v>
      </c>
    </row>
    <row r="326" spans="1:15">
      <c r="A326" s="409" t="s">
        <v>20</v>
      </c>
      <c r="B326" s="410">
        <f>'Transmission Formula Rate (7)'!B20</f>
        <v>1.59</v>
      </c>
      <c r="C326" s="410">
        <f>'Transmission Formula Rate (7)'!C20</f>
        <v>1.59</v>
      </c>
      <c r="D326" s="410">
        <f>'Transmission Formula Rate (7)'!D20</f>
        <v>1.59</v>
      </c>
      <c r="E326" s="410">
        <f>'Transmission Formula Rate (7)'!E20</f>
        <v>1.59</v>
      </c>
      <c r="F326" s="410">
        <f>'Transmission Formula Rate (7)'!F20</f>
        <v>1.59</v>
      </c>
      <c r="G326" s="410">
        <f>'Transmission Formula Rate (7)'!G20</f>
        <v>1.59</v>
      </c>
      <c r="H326" s="410">
        <f>'Transmission Formula Rate (7)'!H20</f>
        <v>1.59</v>
      </c>
      <c r="I326" s="410">
        <f>'Transmission Formula Rate (7)'!I20</f>
        <v>1.59</v>
      </c>
      <c r="J326" s="410">
        <f>'Transmission Formula Rate (7)'!J20</f>
        <v>1.59</v>
      </c>
      <c r="K326" s="410">
        <f>'Transmission Formula Rate (7)'!K20</f>
        <v>1.59</v>
      </c>
      <c r="L326" s="410">
        <f>'Transmission Formula Rate (7)'!L20</f>
        <v>1.59</v>
      </c>
      <c r="M326" s="410">
        <f>'Transmission Formula Rate (7)'!M20</f>
        <v>1.59</v>
      </c>
      <c r="N326" s="250"/>
    </row>
    <row r="327" spans="1:15">
      <c r="A327" s="409" t="s">
        <v>17</v>
      </c>
      <c r="B327" s="411">
        <f t="shared" ref="B327:M327" si="159">B325*B326</f>
        <v>7950</v>
      </c>
      <c r="C327" s="411">
        <f t="shared" si="159"/>
        <v>7950</v>
      </c>
      <c r="D327" s="411">
        <f t="shared" si="159"/>
        <v>7950</v>
      </c>
      <c r="E327" s="411">
        <f t="shared" si="159"/>
        <v>7950</v>
      </c>
      <c r="F327" s="411">
        <f t="shared" si="159"/>
        <v>7950</v>
      </c>
      <c r="G327" s="411">
        <f t="shared" si="159"/>
        <v>7950</v>
      </c>
      <c r="H327" s="411">
        <f t="shared" si="159"/>
        <v>7950</v>
      </c>
      <c r="I327" s="411">
        <f t="shared" si="159"/>
        <v>7950</v>
      </c>
      <c r="J327" s="411">
        <f t="shared" si="159"/>
        <v>7950</v>
      </c>
      <c r="K327" s="411">
        <f t="shared" si="159"/>
        <v>7950</v>
      </c>
      <c r="L327" s="411">
        <f t="shared" si="159"/>
        <v>7950</v>
      </c>
      <c r="M327" s="411">
        <f t="shared" si="159"/>
        <v>7950</v>
      </c>
      <c r="N327" s="412">
        <f>SUM(B327:M327)</f>
        <v>95400</v>
      </c>
    </row>
    <row r="328" spans="1:15">
      <c r="A328" s="413"/>
      <c r="B328" s="295"/>
      <c r="C328" s="295"/>
      <c r="D328" s="295"/>
      <c r="E328" s="295"/>
      <c r="F328" s="295"/>
      <c r="G328" s="295"/>
      <c r="H328" s="295"/>
      <c r="I328" s="295"/>
      <c r="J328" s="295"/>
      <c r="K328" s="295"/>
      <c r="L328" s="295"/>
      <c r="M328" s="295"/>
      <c r="N328" s="250"/>
    </row>
    <row r="329" spans="1:15">
      <c r="A329" s="422"/>
      <c r="B329" s="295"/>
      <c r="C329" s="295"/>
      <c r="D329" s="295"/>
      <c r="E329" s="295"/>
      <c r="F329" s="295"/>
      <c r="G329" s="295"/>
      <c r="H329" s="295"/>
      <c r="I329" s="295"/>
      <c r="J329" s="295"/>
      <c r="K329" s="295"/>
      <c r="L329" s="295"/>
      <c r="M329" s="295"/>
      <c r="N329" s="250"/>
    </row>
    <row r="330" spans="1:15">
      <c r="A330" s="406" t="s">
        <v>16</v>
      </c>
      <c r="B330" s="407">
        <v>0</v>
      </c>
      <c r="C330" s="407">
        <v>0</v>
      </c>
      <c r="D330" s="407">
        <v>0</v>
      </c>
      <c r="E330" s="407">
        <v>0</v>
      </c>
      <c r="F330" s="407">
        <v>0</v>
      </c>
      <c r="G330" s="407">
        <v>0</v>
      </c>
      <c r="H330" s="407">
        <v>0</v>
      </c>
      <c r="I330" s="407">
        <v>0</v>
      </c>
      <c r="J330" s="407">
        <v>0</v>
      </c>
      <c r="K330" s="407">
        <v>0</v>
      </c>
      <c r="L330" s="407">
        <v>0</v>
      </c>
      <c r="M330" s="407">
        <v>0</v>
      </c>
      <c r="N330" s="408">
        <f>SUM(B330:M330)</f>
        <v>0</v>
      </c>
    </row>
    <row r="331" spans="1:15">
      <c r="A331" s="409" t="s">
        <v>20</v>
      </c>
      <c r="B331" s="410">
        <f>B326</f>
        <v>1.59</v>
      </c>
      <c r="C331" s="410">
        <f t="shared" ref="C331:M331" si="160">C326</f>
        <v>1.59</v>
      </c>
      <c r="D331" s="410">
        <f t="shared" si="160"/>
        <v>1.59</v>
      </c>
      <c r="E331" s="410">
        <f t="shared" si="160"/>
        <v>1.59</v>
      </c>
      <c r="F331" s="410">
        <f t="shared" si="160"/>
        <v>1.59</v>
      </c>
      <c r="G331" s="410">
        <f t="shared" si="160"/>
        <v>1.59</v>
      </c>
      <c r="H331" s="410">
        <f t="shared" si="160"/>
        <v>1.59</v>
      </c>
      <c r="I331" s="410">
        <f t="shared" si="160"/>
        <v>1.59</v>
      </c>
      <c r="J331" s="410">
        <f t="shared" si="160"/>
        <v>1.59</v>
      </c>
      <c r="K331" s="410">
        <f t="shared" si="160"/>
        <v>1.59</v>
      </c>
      <c r="L331" s="410">
        <f t="shared" si="160"/>
        <v>1.59</v>
      </c>
      <c r="M331" s="410">
        <f t="shared" si="160"/>
        <v>1.59</v>
      </c>
      <c r="N331" s="250"/>
    </row>
    <row r="332" spans="1:15">
      <c r="A332" s="409" t="s">
        <v>17</v>
      </c>
      <c r="B332" s="411">
        <f t="shared" ref="B332:M332" si="161">B330*B331</f>
        <v>0</v>
      </c>
      <c r="C332" s="411">
        <f t="shared" si="161"/>
        <v>0</v>
      </c>
      <c r="D332" s="411">
        <f t="shared" si="161"/>
        <v>0</v>
      </c>
      <c r="E332" s="411">
        <f t="shared" si="161"/>
        <v>0</v>
      </c>
      <c r="F332" s="411">
        <f t="shared" si="161"/>
        <v>0</v>
      </c>
      <c r="G332" s="411">
        <f t="shared" si="161"/>
        <v>0</v>
      </c>
      <c r="H332" s="411">
        <f t="shared" si="161"/>
        <v>0</v>
      </c>
      <c r="I332" s="411">
        <f t="shared" si="161"/>
        <v>0</v>
      </c>
      <c r="J332" s="411">
        <f t="shared" si="161"/>
        <v>0</v>
      </c>
      <c r="K332" s="411">
        <f t="shared" si="161"/>
        <v>0</v>
      </c>
      <c r="L332" s="411">
        <f t="shared" si="161"/>
        <v>0</v>
      </c>
      <c r="M332" s="411">
        <f t="shared" si="161"/>
        <v>0</v>
      </c>
      <c r="N332" s="412">
        <f>SUM(B332:M332)</f>
        <v>0</v>
      </c>
    </row>
    <row r="333" spans="1:15">
      <c r="A333" s="413"/>
      <c r="B333" s="411"/>
      <c r="C333" s="295"/>
      <c r="D333" s="295"/>
      <c r="E333" s="295"/>
      <c r="F333" s="295"/>
      <c r="G333" s="295"/>
      <c r="H333" s="295"/>
      <c r="I333" s="295"/>
      <c r="J333" s="295"/>
      <c r="K333" s="295"/>
      <c r="L333" s="295"/>
      <c r="M333" s="295"/>
      <c r="N333" s="250"/>
    </row>
    <row r="334" spans="1:15">
      <c r="A334" s="422"/>
      <c r="B334" s="295"/>
      <c r="C334" s="295"/>
      <c r="D334" s="295"/>
      <c r="E334" s="295"/>
      <c r="F334" s="295"/>
      <c r="G334" s="295"/>
      <c r="H334" s="295"/>
      <c r="I334" s="295"/>
      <c r="J334" s="295"/>
      <c r="K334" s="295"/>
      <c r="L334" s="295"/>
      <c r="M334" s="295"/>
      <c r="N334" s="250"/>
    </row>
    <row r="335" spans="1:15">
      <c r="A335" s="406" t="s">
        <v>16</v>
      </c>
      <c r="B335" s="407">
        <v>0</v>
      </c>
      <c r="C335" s="407">
        <v>0</v>
      </c>
      <c r="D335" s="407">
        <v>0</v>
      </c>
      <c r="E335" s="407">
        <v>0</v>
      </c>
      <c r="F335" s="407">
        <v>0</v>
      </c>
      <c r="G335" s="407">
        <v>0</v>
      </c>
      <c r="H335" s="407">
        <v>0</v>
      </c>
      <c r="I335" s="407">
        <v>0</v>
      </c>
      <c r="J335" s="407">
        <v>0</v>
      </c>
      <c r="K335" s="407">
        <v>0</v>
      </c>
      <c r="L335" s="407">
        <v>0</v>
      </c>
      <c r="M335" s="407">
        <v>0</v>
      </c>
      <c r="N335" s="408">
        <f>SUM(B335:M335)</f>
        <v>0</v>
      </c>
    </row>
    <row r="336" spans="1:15">
      <c r="A336" s="409" t="s">
        <v>20</v>
      </c>
      <c r="B336" s="414">
        <f>B331</f>
        <v>1.59</v>
      </c>
      <c r="C336" s="414">
        <f t="shared" ref="C336:M336" si="162">C331</f>
        <v>1.59</v>
      </c>
      <c r="D336" s="414">
        <f t="shared" si="162"/>
        <v>1.59</v>
      </c>
      <c r="E336" s="414">
        <f t="shared" si="162"/>
        <v>1.59</v>
      </c>
      <c r="F336" s="414">
        <f t="shared" si="162"/>
        <v>1.59</v>
      </c>
      <c r="G336" s="414">
        <f t="shared" si="162"/>
        <v>1.59</v>
      </c>
      <c r="H336" s="414">
        <f t="shared" si="162"/>
        <v>1.59</v>
      </c>
      <c r="I336" s="414">
        <f t="shared" si="162"/>
        <v>1.59</v>
      </c>
      <c r="J336" s="414">
        <f t="shared" si="162"/>
        <v>1.59</v>
      </c>
      <c r="K336" s="414">
        <f t="shared" si="162"/>
        <v>1.59</v>
      </c>
      <c r="L336" s="414">
        <f t="shared" si="162"/>
        <v>1.59</v>
      </c>
      <c r="M336" s="414">
        <f t="shared" si="162"/>
        <v>1.59</v>
      </c>
      <c r="N336" s="250"/>
    </row>
    <row r="337" spans="1:15">
      <c r="A337" s="409" t="s">
        <v>17</v>
      </c>
      <c r="B337" s="411">
        <f t="shared" ref="B337:M337" si="163">B335*B336</f>
        <v>0</v>
      </c>
      <c r="C337" s="411">
        <f t="shared" si="163"/>
        <v>0</v>
      </c>
      <c r="D337" s="411">
        <f t="shared" si="163"/>
        <v>0</v>
      </c>
      <c r="E337" s="411">
        <f t="shared" si="163"/>
        <v>0</v>
      </c>
      <c r="F337" s="411">
        <f t="shared" si="163"/>
        <v>0</v>
      </c>
      <c r="G337" s="411">
        <f t="shared" si="163"/>
        <v>0</v>
      </c>
      <c r="H337" s="411">
        <f t="shared" si="163"/>
        <v>0</v>
      </c>
      <c r="I337" s="411">
        <f t="shared" si="163"/>
        <v>0</v>
      </c>
      <c r="J337" s="411">
        <f t="shared" si="163"/>
        <v>0</v>
      </c>
      <c r="K337" s="411">
        <f t="shared" si="163"/>
        <v>0</v>
      </c>
      <c r="L337" s="411">
        <f t="shared" si="163"/>
        <v>0</v>
      </c>
      <c r="M337" s="411">
        <f t="shared" si="163"/>
        <v>0</v>
      </c>
      <c r="N337" s="412">
        <f>SUM(B337:M337)</f>
        <v>0</v>
      </c>
    </row>
    <row r="338" spans="1:15">
      <c r="A338" s="413"/>
      <c r="B338" s="411"/>
      <c r="C338" s="295"/>
      <c r="D338" s="295"/>
      <c r="E338" s="295"/>
      <c r="F338" s="295"/>
      <c r="G338" s="295"/>
      <c r="H338" s="295"/>
      <c r="I338" s="295"/>
      <c r="J338" s="295"/>
      <c r="K338" s="295"/>
      <c r="L338" s="295"/>
      <c r="M338" s="295"/>
      <c r="N338" s="250"/>
    </row>
    <row r="339" spans="1:15">
      <c r="A339" s="405" t="s">
        <v>23</v>
      </c>
      <c r="B339" s="295"/>
      <c r="C339" s="295"/>
      <c r="D339" s="295"/>
      <c r="E339" s="295"/>
      <c r="F339" s="295"/>
      <c r="G339" s="295"/>
      <c r="H339" s="295"/>
      <c r="I339" s="295"/>
      <c r="J339" s="295"/>
      <c r="K339" s="295"/>
      <c r="L339" s="295"/>
      <c r="M339" s="295"/>
      <c r="N339" s="250"/>
      <c r="O339" s="450"/>
    </row>
    <row r="340" spans="1:15">
      <c r="A340" s="406" t="s">
        <v>16</v>
      </c>
      <c r="B340" s="407">
        <f>B285</f>
        <v>37056</v>
      </c>
      <c r="C340" s="407">
        <f t="shared" ref="C340:M340" si="164">C285</f>
        <v>37056</v>
      </c>
      <c r="D340" s="407">
        <f t="shared" si="164"/>
        <v>37056</v>
      </c>
      <c r="E340" s="407">
        <f t="shared" si="164"/>
        <v>37056</v>
      </c>
      <c r="F340" s="407">
        <f t="shared" si="164"/>
        <v>37056</v>
      </c>
      <c r="G340" s="407">
        <f t="shared" si="164"/>
        <v>37056</v>
      </c>
      <c r="H340" s="407">
        <f t="shared" si="164"/>
        <v>37056</v>
      </c>
      <c r="I340" s="407">
        <f t="shared" si="164"/>
        <v>37056</v>
      </c>
      <c r="J340" s="407">
        <f t="shared" si="164"/>
        <v>37056</v>
      </c>
      <c r="K340" s="407">
        <f t="shared" si="164"/>
        <v>37056</v>
      </c>
      <c r="L340" s="407">
        <f t="shared" si="164"/>
        <v>37056</v>
      </c>
      <c r="M340" s="407">
        <f t="shared" si="164"/>
        <v>37056</v>
      </c>
      <c r="N340" s="408">
        <f>SUM(B340:M340)</f>
        <v>444672</v>
      </c>
    </row>
    <row r="341" spans="1:15">
      <c r="A341" s="409" t="s">
        <v>20</v>
      </c>
      <c r="B341" s="414">
        <f>B336</f>
        <v>1.59</v>
      </c>
      <c r="C341" s="414">
        <f t="shared" ref="C341:M341" si="165">C336</f>
        <v>1.59</v>
      </c>
      <c r="D341" s="414">
        <f t="shared" si="165"/>
        <v>1.59</v>
      </c>
      <c r="E341" s="414">
        <f t="shared" si="165"/>
        <v>1.59</v>
      </c>
      <c r="F341" s="414">
        <f t="shared" si="165"/>
        <v>1.59</v>
      </c>
      <c r="G341" s="414">
        <f t="shared" si="165"/>
        <v>1.59</v>
      </c>
      <c r="H341" s="414">
        <f t="shared" si="165"/>
        <v>1.59</v>
      </c>
      <c r="I341" s="414">
        <f t="shared" si="165"/>
        <v>1.59</v>
      </c>
      <c r="J341" s="414">
        <f t="shared" si="165"/>
        <v>1.59</v>
      </c>
      <c r="K341" s="414">
        <f t="shared" si="165"/>
        <v>1.59</v>
      </c>
      <c r="L341" s="414">
        <f t="shared" si="165"/>
        <v>1.59</v>
      </c>
      <c r="M341" s="414">
        <f t="shared" si="165"/>
        <v>1.59</v>
      </c>
      <c r="N341" s="250"/>
    </row>
    <row r="342" spans="1:15">
      <c r="A342" s="409" t="s">
        <v>17</v>
      </c>
      <c r="B342" s="411">
        <f t="shared" ref="B342:M342" si="166">B340*B341</f>
        <v>58919.040000000001</v>
      </c>
      <c r="C342" s="411">
        <f t="shared" si="166"/>
        <v>58919.040000000001</v>
      </c>
      <c r="D342" s="411">
        <f t="shared" si="166"/>
        <v>58919.040000000001</v>
      </c>
      <c r="E342" s="411">
        <f t="shared" si="166"/>
        <v>58919.040000000001</v>
      </c>
      <c r="F342" s="411">
        <f t="shared" si="166"/>
        <v>58919.040000000001</v>
      </c>
      <c r="G342" s="411">
        <f t="shared" si="166"/>
        <v>58919.040000000001</v>
      </c>
      <c r="H342" s="411">
        <f t="shared" si="166"/>
        <v>58919.040000000001</v>
      </c>
      <c r="I342" s="411">
        <f t="shared" si="166"/>
        <v>58919.040000000001</v>
      </c>
      <c r="J342" s="411">
        <f t="shared" si="166"/>
        <v>58919.040000000001</v>
      </c>
      <c r="K342" s="411">
        <f t="shared" si="166"/>
        <v>58919.040000000001</v>
      </c>
      <c r="L342" s="411">
        <f t="shared" si="166"/>
        <v>58919.040000000001</v>
      </c>
      <c r="M342" s="411">
        <f t="shared" si="166"/>
        <v>58919.040000000001</v>
      </c>
      <c r="N342" s="412">
        <f>SUM(B342:M342)</f>
        <v>707028.4800000001</v>
      </c>
    </row>
    <row r="343" spans="1:15">
      <c r="A343" s="413"/>
      <c r="B343" s="411"/>
      <c r="C343" s="295"/>
      <c r="D343" s="295"/>
      <c r="E343" s="295"/>
      <c r="F343" s="295"/>
      <c r="G343" s="295"/>
      <c r="H343" s="295"/>
      <c r="I343" s="295"/>
      <c r="J343" s="295"/>
      <c r="K343" s="295"/>
      <c r="L343" s="295"/>
      <c r="M343" s="295"/>
      <c r="N343" s="250"/>
    </row>
    <row r="344" spans="1:15">
      <c r="A344" s="405" t="s">
        <v>24</v>
      </c>
      <c r="B344" s="295"/>
      <c r="C344" s="295"/>
      <c r="D344" s="295"/>
      <c r="E344" s="295"/>
      <c r="F344" s="295"/>
      <c r="G344" s="295"/>
      <c r="H344" s="295"/>
      <c r="I344" s="295"/>
      <c r="J344" s="295"/>
      <c r="K344" s="295"/>
      <c r="L344" s="295"/>
      <c r="M344" s="295"/>
      <c r="N344" s="250"/>
      <c r="O344" s="450"/>
    </row>
    <row r="345" spans="1:15">
      <c r="A345" s="406" t="s">
        <v>16</v>
      </c>
      <c r="B345" s="407">
        <v>62000</v>
      </c>
      <c r="C345" s="407">
        <v>62000</v>
      </c>
      <c r="D345" s="407">
        <v>62000</v>
      </c>
      <c r="E345" s="407">
        <v>62000</v>
      </c>
      <c r="F345" s="407">
        <v>62000</v>
      </c>
      <c r="G345" s="407">
        <v>62000</v>
      </c>
      <c r="H345" s="407">
        <v>62000</v>
      </c>
      <c r="I345" s="407">
        <v>62000</v>
      </c>
      <c r="J345" s="407">
        <v>62000</v>
      </c>
      <c r="K345" s="407">
        <v>62000</v>
      </c>
      <c r="L345" s="407">
        <v>62000</v>
      </c>
      <c r="M345" s="407">
        <v>62000</v>
      </c>
      <c r="N345" s="408">
        <f>SUM(B345:M345)</f>
        <v>744000</v>
      </c>
    </row>
    <row r="346" spans="1:15">
      <c r="A346" s="409" t="s">
        <v>20</v>
      </c>
      <c r="B346" s="414">
        <f>B341</f>
        <v>1.59</v>
      </c>
      <c r="C346" s="414">
        <f t="shared" ref="C346:M346" si="167">C341</f>
        <v>1.59</v>
      </c>
      <c r="D346" s="414">
        <f t="shared" si="167"/>
        <v>1.59</v>
      </c>
      <c r="E346" s="414">
        <f t="shared" si="167"/>
        <v>1.59</v>
      </c>
      <c r="F346" s="414">
        <f t="shared" si="167"/>
        <v>1.59</v>
      </c>
      <c r="G346" s="414">
        <f t="shared" si="167"/>
        <v>1.59</v>
      </c>
      <c r="H346" s="414">
        <f t="shared" si="167"/>
        <v>1.59</v>
      </c>
      <c r="I346" s="414">
        <f t="shared" si="167"/>
        <v>1.59</v>
      </c>
      <c r="J346" s="414">
        <f t="shared" si="167"/>
        <v>1.59</v>
      </c>
      <c r="K346" s="414">
        <f t="shared" si="167"/>
        <v>1.59</v>
      </c>
      <c r="L346" s="414">
        <f t="shared" si="167"/>
        <v>1.59</v>
      </c>
      <c r="M346" s="414">
        <f t="shared" si="167"/>
        <v>1.59</v>
      </c>
      <c r="N346" s="250"/>
    </row>
    <row r="347" spans="1:15">
      <c r="A347" s="409" t="s">
        <v>17</v>
      </c>
      <c r="B347" s="411">
        <f t="shared" ref="B347:M347" si="168">B345*B346</f>
        <v>98580</v>
      </c>
      <c r="C347" s="411">
        <f t="shared" si="168"/>
        <v>98580</v>
      </c>
      <c r="D347" s="411">
        <f t="shared" si="168"/>
        <v>98580</v>
      </c>
      <c r="E347" s="411">
        <f t="shared" si="168"/>
        <v>98580</v>
      </c>
      <c r="F347" s="411">
        <f t="shared" si="168"/>
        <v>98580</v>
      </c>
      <c r="G347" s="411">
        <f t="shared" si="168"/>
        <v>98580</v>
      </c>
      <c r="H347" s="411">
        <f t="shared" si="168"/>
        <v>98580</v>
      </c>
      <c r="I347" s="411">
        <f t="shared" si="168"/>
        <v>98580</v>
      </c>
      <c r="J347" s="411">
        <f t="shared" si="168"/>
        <v>98580</v>
      </c>
      <c r="K347" s="411">
        <f t="shared" si="168"/>
        <v>98580</v>
      </c>
      <c r="L347" s="411">
        <f t="shared" si="168"/>
        <v>98580</v>
      </c>
      <c r="M347" s="411">
        <f t="shared" si="168"/>
        <v>98580</v>
      </c>
      <c r="N347" s="412">
        <f>SUM(B347:M347)</f>
        <v>1182960</v>
      </c>
    </row>
    <row r="348" spans="1:15">
      <c r="A348" s="409"/>
      <c r="B348" s="411"/>
      <c r="C348" s="411"/>
      <c r="D348" s="411"/>
      <c r="E348" s="411"/>
      <c r="F348" s="411"/>
      <c r="G348" s="411"/>
      <c r="H348" s="411"/>
      <c r="I348" s="411"/>
      <c r="J348" s="411"/>
      <c r="K348" s="411"/>
      <c r="L348" s="411"/>
      <c r="M348" s="411"/>
      <c r="N348" s="412"/>
    </row>
    <row r="349" spans="1:15">
      <c r="A349" s="405" t="s">
        <v>111</v>
      </c>
      <c r="B349" s="295"/>
      <c r="C349" s="295"/>
      <c r="D349" s="295"/>
      <c r="E349" s="295"/>
      <c r="F349" s="295"/>
      <c r="G349" s="295"/>
      <c r="H349" s="295"/>
      <c r="I349" s="295"/>
      <c r="J349" s="295"/>
      <c r="K349" s="295"/>
      <c r="L349" s="295"/>
      <c r="M349" s="295"/>
      <c r="N349" s="250"/>
      <c r="O349" s="450"/>
    </row>
    <row r="350" spans="1:15">
      <c r="A350" s="406" t="s">
        <v>16</v>
      </c>
      <c r="B350" s="407">
        <v>40000</v>
      </c>
      <c r="C350" s="407">
        <f>B350</f>
        <v>40000</v>
      </c>
      <c r="D350" s="407">
        <f t="shared" ref="D350" si="169">C350</f>
        <v>40000</v>
      </c>
      <c r="E350" s="407">
        <f t="shared" ref="E350" si="170">D350</f>
        <v>40000</v>
      </c>
      <c r="F350" s="407">
        <f t="shared" ref="F350" si="171">E350</f>
        <v>40000</v>
      </c>
      <c r="G350" s="407">
        <f t="shared" ref="G350" si="172">F350</f>
        <v>40000</v>
      </c>
      <c r="H350" s="407">
        <f t="shared" ref="H350" si="173">G350</f>
        <v>40000</v>
      </c>
      <c r="I350" s="407">
        <f t="shared" ref="I350" si="174">H350</f>
        <v>40000</v>
      </c>
      <c r="J350" s="407">
        <f t="shared" ref="J350" si="175">I350</f>
        <v>40000</v>
      </c>
      <c r="K350" s="407">
        <f t="shared" ref="K350" si="176">J350</f>
        <v>40000</v>
      </c>
      <c r="L350" s="407">
        <f t="shared" ref="L350" si="177">K350</f>
        <v>40000</v>
      </c>
      <c r="M350" s="407">
        <f t="shared" ref="M350" si="178">L350</f>
        <v>40000</v>
      </c>
      <c r="N350" s="408">
        <f>SUM(B350:M350)</f>
        <v>480000</v>
      </c>
    </row>
    <row r="351" spans="1:15">
      <c r="A351" s="409" t="s">
        <v>20</v>
      </c>
      <c r="B351" s="414">
        <f>B346</f>
        <v>1.59</v>
      </c>
      <c r="C351" s="414">
        <f t="shared" ref="C351:M351" si="179">C346</f>
        <v>1.59</v>
      </c>
      <c r="D351" s="414">
        <f t="shared" si="179"/>
        <v>1.59</v>
      </c>
      <c r="E351" s="414">
        <f t="shared" si="179"/>
        <v>1.59</v>
      </c>
      <c r="F351" s="414">
        <f t="shared" si="179"/>
        <v>1.59</v>
      </c>
      <c r="G351" s="414">
        <f t="shared" si="179"/>
        <v>1.59</v>
      </c>
      <c r="H351" s="414">
        <f t="shared" si="179"/>
        <v>1.59</v>
      </c>
      <c r="I351" s="414">
        <f t="shared" si="179"/>
        <v>1.59</v>
      </c>
      <c r="J351" s="414">
        <f t="shared" si="179"/>
        <v>1.59</v>
      </c>
      <c r="K351" s="414">
        <f t="shared" si="179"/>
        <v>1.59</v>
      </c>
      <c r="L351" s="414">
        <f t="shared" si="179"/>
        <v>1.59</v>
      </c>
      <c r="M351" s="414">
        <f t="shared" si="179"/>
        <v>1.59</v>
      </c>
      <c r="N351" s="250"/>
    </row>
    <row r="352" spans="1:15">
      <c r="A352" s="409" t="s">
        <v>17</v>
      </c>
      <c r="B352" s="411">
        <f t="shared" ref="B352:M352" si="180">B350*B351</f>
        <v>63600</v>
      </c>
      <c r="C352" s="411">
        <f t="shared" si="180"/>
        <v>63600</v>
      </c>
      <c r="D352" s="411">
        <f t="shared" si="180"/>
        <v>63600</v>
      </c>
      <c r="E352" s="411">
        <f t="shared" si="180"/>
        <v>63600</v>
      </c>
      <c r="F352" s="411">
        <f t="shared" si="180"/>
        <v>63600</v>
      </c>
      <c r="G352" s="411">
        <f t="shared" si="180"/>
        <v>63600</v>
      </c>
      <c r="H352" s="411">
        <f t="shared" si="180"/>
        <v>63600</v>
      </c>
      <c r="I352" s="411">
        <f t="shared" si="180"/>
        <v>63600</v>
      </c>
      <c r="J352" s="411">
        <f t="shared" si="180"/>
        <v>63600</v>
      </c>
      <c r="K352" s="411">
        <f t="shared" si="180"/>
        <v>63600</v>
      </c>
      <c r="L352" s="411">
        <f t="shared" si="180"/>
        <v>63600</v>
      </c>
      <c r="M352" s="411">
        <f t="shared" si="180"/>
        <v>63600</v>
      </c>
      <c r="N352" s="412">
        <f>SUM(B352:M352)</f>
        <v>763200</v>
      </c>
    </row>
    <row r="353" spans="1:15">
      <c r="A353" s="409"/>
      <c r="B353" s="411"/>
      <c r="C353" s="411"/>
      <c r="D353" s="411"/>
      <c r="E353" s="411"/>
      <c r="F353" s="411"/>
      <c r="G353" s="411"/>
      <c r="H353" s="411"/>
      <c r="I353" s="411"/>
      <c r="J353" s="411"/>
      <c r="K353" s="411"/>
      <c r="L353" s="411"/>
      <c r="M353" s="411"/>
      <c r="N353" s="412"/>
    </row>
    <row r="354" spans="1:15">
      <c r="A354" s="405" t="s">
        <v>222</v>
      </c>
      <c r="B354" s="295"/>
      <c r="C354" s="295"/>
      <c r="D354" s="295"/>
      <c r="E354" s="295"/>
      <c r="F354" s="295"/>
      <c r="G354" s="295"/>
      <c r="H354" s="295"/>
      <c r="I354" s="295"/>
      <c r="J354" s="295"/>
      <c r="K354" s="295"/>
      <c r="L354" s="295"/>
      <c r="M354" s="295"/>
      <c r="N354" s="250"/>
    </row>
    <row r="355" spans="1:15">
      <c r="A355" s="406" t="s">
        <v>16</v>
      </c>
      <c r="B355" s="407">
        <v>3000</v>
      </c>
      <c r="C355" s="407">
        <f t="shared" ref="C355" si="181">B355</f>
        <v>3000</v>
      </c>
      <c r="D355" s="407">
        <f t="shared" ref="D355" si="182">C355</f>
        <v>3000</v>
      </c>
      <c r="E355" s="407">
        <f t="shared" ref="E355" si="183">D355</f>
        <v>3000</v>
      </c>
      <c r="F355" s="407">
        <f t="shared" ref="F355" si="184">E355</f>
        <v>3000</v>
      </c>
      <c r="G355" s="407">
        <f t="shared" ref="G355" si="185">F355</f>
        <v>3000</v>
      </c>
      <c r="H355" s="407">
        <f t="shared" ref="H355" si="186">G355</f>
        <v>3000</v>
      </c>
      <c r="I355" s="407">
        <f t="shared" ref="I355" si="187">H355</f>
        <v>3000</v>
      </c>
      <c r="J355" s="407">
        <f t="shared" ref="J355" si="188">I355</f>
        <v>3000</v>
      </c>
      <c r="K355" s="407">
        <f t="shared" ref="K355" si="189">J355</f>
        <v>3000</v>
      </c>
      <c r="L355" s="407">
        <f t="shared" ref="L355" si="190">K355</f>
        <v>3000</v>
      </c>
      <c r="M355" s="407">
        <f t="shared" ref="M355" si="191">L355</f>
        <v>3000</v>
      </c>
      <c r="N355" s="408">
        <f>SUM(B355:M355)</f>
        <v>36000</v>
      </c>
    </row>
    <row r="356" spans="1:15">
      <c r="A356" s="409" t="s">
        <v>20</v>
      </c>
      <c r="B356" s="414">
        <f>B351</f>
        <v>1.59</v>
      </c>
      <c r="C356" s="414">
        <f t="shared" ref="C356:M356" si="192">C351</f>
        <v>1.59</v>
      </c>
      <c r="D356" s="414">
        <f t="shared" si="192"/>
        <v>1.59</v>
      </c>
      <c r="E356" s="414">
        <f t="shared" si="192"/>
        <v>1.59</v>
      </c>
      <c r="F356" s="414">
        <f t="shared" si="192"/>
        <v>1.59</v>
      </c>
      <c r="G356" s="414">
        <f t="shared" si="192"/>
        <v>1.59</v>
      </c>
      <c r="H356" s="414">
        <f t="shared" si="192"/>
        <v>1.59</v>
      </c>
      <c r="I356" s="414">
        <f t="shared" si="192"/>
        <v>1.59</v>
      </c>
      <c r="J356" s="414">
        <f t="shared" si="192"/>
        <v>1.59</v>
      </c>
      <c r="K356" s="414">
        <f t="shared" si="192"/>
        <v>1.59</v>
      </c>
      <c r="L356" s="414">
        <f t="shared" si="192"/>
        <v>1.59</v>
      </c>
      <c r="M356" s="414">
        <f t="shared" si="192"/>
        <v>1.59</v>
      </c>
      <c r="N356" s="250"/>
    </row>
    <row r="357" spans="1:15">
      <c r="A357" s="409" t="s">
        <v>17</v>
      </c>
      <c r="B357" s="411">
        <f t="shared" ref="B357:M357" si="193">B355*B356</f>
        <v>4770</v>
      </c>
      <c r="C357" s="411">
        <f t="shared" si="193"/>
        <v>4770</v>
      </c>
      <c r="D357" s="411">
        <f t="shared" si="193"/>
        <v>4770</v>
      </c>
      <c r="E357" s="411">
        <f t="shared" si="193"/>
        <v>4770</v>
      </c>
      <c r="F357" s="411">
        <f t="shared" si="193"/>
        <v>4770</v>
      </c>
      <c r="G357" s="411">
        <f t="shared" si="193"/>
        <v>4770</v>
      </c>
      <c r="H357" s="411">
        <f t="shared" si="193"/>
        <v>4770</v>
      </c>
      <c r="I357" s="411">
        <f t="shared" si="193"/>
        <v>4770</v>
      </c>
      <c r="J357" s="411">
        <f t="shared" si="193"/>
        <v>4770</v>
      </c>
      <c r="K357" s="411">
        <f t="shared" si="193"/>
        <v>4770</v>
      </c>
      <c r="L357" s="411">
        <f t="shared" si="193"/>
        <v>4770</v>
      </c>
      <c r="M357" s="411">
        <f t="shared" si="193"/>
        <v>4770</v>
      </c>
      <c r="N357" s="412">
        <f>SUM(B357:M357)</f>
        <v>57240</v>
      </c>
    </row>
    <row r="358" spans="1:15">
      <c r="A358" s="409"/>
      <c r="B358" s="411"/>
      <c r="C358" s="411"/>
      <c r="D358" s="411"/>
      <c r="E358" s="411"/>
      <c r="F358" s="411"/>
      <c r="G358" s="411"/>
      <c r="H358" s="411"/>
      <c r="I358" s="411"/>
      <c r="J358" s="411"/>
      <c r="K358" s="411"/>
      <c r="L358" s="411"/>
      <c r="M358" s="411"/>
      <c r="N358" s="412"/>
    </row>
    <row r="359" spans="1:15">
      <c r="A359" s="405" t="s">
        <v>173</v>
      </c>
      <c r="B359" s="295"/>
      <c r="C359" s="295"/>
      <c r="D359" s="295"/>
      <c r="E359" s="295"/>
      <c r="F359" s="295"/>
      <c r="G359" s="295"/>
      <c r="H359" s="295"/>
      <c r="I359" s="295"/>
      <c r="J359" s="295"/>
      <c r="K359" s="295"/>
      <c r="L359" s="295"/>
      <c r="M359" s="295"/>
      <c r="N359" s="250"/>
      <c r="O359" s="450"/>
    </row>
    <row r="360" spans="1:15">
      <c r="A360" s="406" t="s">
        <v>16</v>
      </c>
      <c r="B360" s="407"/>
      <c r="C360" s="407"/>
      <c r="D360" s="407"/>
      <c r="E360" s="407"/>
      <c r="F360" s="407"/>
      <c r="G360" s="407"/>
      <c r="H360" s="407"/>
      <c r="I360" s="407"/>
      <c r="J360" s="407"/>
      <c r="K360" s="407"/>
      <c r="L360" s="407"/>
      <c r="M360" s="407"/>
      <c r="N360" s="408">
        <f>SUM(B360:M360)</f>
        <v>0</v>
      </c>
    </row>
    <row r="361" spans="1:15">
      <c r="A361" s="409" t="s">
        <v>20</v>
      </c>
      <c r="B361" s="414">
        <f>B351</f>
        <v>1.59</v>
      </c>
      <c r="C361" s="414">
        <f t="shared" ref="C361:M361" si="194">C351</f>
        <v>1.59</v>
      </c>
      <c r="D361" s="414">
        <f t="shared" si="194"/>
        <v>1.59</v>
      </c>
      <c r="E361" s="414">
        <f t="shared" si="194"/>
        <v>1.59</v>
      </c>
      <c r="F361" s="414">
        <f t="shared" si="194"/>
        <v>1.59</v>
      </c>
      <c r="G361" s="414">
        <f t="shared" si="194"/>
        <v>1.59</v>
      </c>
      <c r="H361" s="414">
        <f t="shared" si="194"/>
        <v>1.59</v>
      </c>
      <c r="I361" s="414">
        <f t="shared" si="194"/>
        <v>1.59</v>
      </c>
      <c r="J361" s="414">
        <f t="shared" si="194"/>
        <v>1.59</v>
      </c>
      <c r="K361" s="414">
        <f t="shared" si="194"/>
        <v>1.59</v>
      </c>
      <c r="L361" s="414">
        <f t="shared" si="194"/>
        <v>1.59</v>
      </c>
      <c r="M361" s="414">
        <f t="shared" si="194"/>
        <v>1.59</v>
      </c>
      <c r="N361" s="250"/>
    </row>
    <row r="362" spans="1:15">
      <c r="A362" s="409" t="s">
        <v>17</v>
      </c>
      <c r="B362" s="411">
        <f t="shared" ref="B362:M362" si="195">B360*B361</f>
        <v>0</v>
      </c>
      <c r="C362" s="411">
        <f t="shared" si="195"/>
        <v>0</v>
      </c>
      <c r="D362" s="411">
        <f t="shared" si="195"/>
        <v>0</v>
      </c>
      <c r="E362" s="411">
        <f t="shared" si="195"/>
        <v>0</v>
      </c>
      <c r="F362" s="411">
        <f t="shared" si="195"/>
        <v>0</v>
      </c>
      <c r="G362" s="411">
        <f t="shared" si="195"/>
        <v>0</v>
      </c>
      <c r="H362" s="411">
        <f t="shared" si="195"/>
        <v>0</v>
      </c>
      <c r="I362" s="411">
        <f t="shared" si="195"/>
        <v>0</v>
      </c>
      <c r="J362" s="411">
        <f t="shared" si="195"/>
        <v>0</v>
      </c>
      <c r="K362" s="411">
        <f t="shared" si="195"/>
        <v>0</v>
      </c>
      <c r="L362" s="411">
        <f t="shared" si="195"/>
        <v>0</v>
      </c>
      <c r="M362" s="411">
        <f t="shared" si="195"/>
        <v>0</v>
      </c>
      <c r="N362" s="412">
        <f>SUM(B362:M362)</f>
        <v>0</v>
      </c>
    </row>
    <row r="363" spans="1:15">
      <c r="A363" s="409"/>
      <c r="B363" s="411"/>
      <c r="C363" s="411"/>
      <c r="D363" s="411"/>
      <c r="E363" s="411"/>
      <c r="F363" s="411"/>
      <c r="G363" s="411"/>
      <c r="H363" s="411"/>
      <c r="I363" s="411"/>
      <c r="J363" s="411"/>
      <c r="K363" s="411"/>
      <c r="L363" s="411"/>
      <c r="M363" s="411"/>
      <c r="N363" s="412"/>
    </row>
    <row r="364" spans="1:15">
      <c r="A364" s="405" t="s">
        <v>44</v>
      </c>
      <c r="B364" s="295"/>
      <c r="C364" s="295"/>
      <c r="D364" s="295"/>
      <c r="E364" s="295"/>
      <c r="F364" s="295"/>
      <c r="G364" s="295"/>
      <c r="H364" s="295"/>
      <c r="I364" s="295"/>
      <c r="J364" s="295"/>
      <c r="K364" s="295"/>
      <c r="L364" s="295"/>
      <c r="M364" s="295"/>
      <c r="N364" s="250"/>
      <c r="O364" s="450"/>
    </row>
    <row r="365" spans="1:15">
      <c r="A365" s="406" t="s">
        <v>16</v>
      </c>
      <c r="B365" s="407"/>
      <c r="C365" s="407"/>
      <c r="D365" s="407"/>
      <c r="E365" s="407"/>
      <c r="F365" s="407"/>
      <c r="G365" s="407"/>
      <c r="H365" s="407"/>
      <c r="I365" s="407"/>
      <c r="J365" s="407"/>
      <c r="K365" s="407"/>
      <c r="L365" s="407"/>
      <c r="M365" s="407"/>
      <c r="N365" s="408">
        <f>SUM(B365:M365)</f>
        <v>0</v>
      </c>
    </row>
    <row r="366" spans="1:15">
      <c r="A366" s="409" t="s">
        <v>20</v>
      </c>
      <c r="B366" s="414">
        <f>B361</f>
        <v>1.59</v>
      </c>
      <c r="C366" s="414">
        <f t="shared" ref="C366:M366" si="196">C361</f>
        <v>1.59</v>
      </c>
      <c r="D366" s="414">
        <f t="shared" si="196"/>
        <v>1.59</v>
      </c>
      <c r="E366" s="414">
        <f t="shared" si="196"/>
        <v>1.59</v>
      </c>
      <c r="F366" s="414">
        <f t="shared" si="196"/>
        <v>1.59</v>
      </c>
      <c r="G366" s="414">
        <f t="shared" si="196"/>
        <v>1.59</v>
      </c>
      <c r="H366" s="414">
        <f t="shared" si="196"/>
        <v>1.59</v>
      </c>
      <c r="I366" s="414">
        <f t="shared" si="196"/>
        <v>1.59</v>
      </c>
      <c r="J366" s="414">
        <f t="shared" si="196"/>
        <v>1.59</v>
      </c>
      <c r="K366" s="414">
        <f t="shared" si="196"/>
        <v>1.59</v>
      </c>
      <c r="L366" s="414">
        <f t="shared" si="196"/>
        <v>1.59</v>
      </c>
      <c r="M366" s="414">
        <f t="shared" si="196"/>
        <v>1.59</v>
      </c>
      <c r="N366" s="250"/>
    </row>
    <row r="367" spans="1:15">
      <c r="A367" s="409" t="s">
        <v>17</v>
      </c>
      <c r="B367" s="411">
        <f t="shared" ref="B367:M367" si="197">B365*B366</f>
        <v>0</v>
      </c>
      <c r="C367" s="411">
        <f t="shared" si="197"/>
        <v>0</v>
      </c>
      <c r="D367" s="411">
        <f t="shared" si="197"/>
        <v>0</v>
      </c>
      <c r="E367" s="411">
        <f t="shared" si="197"/>
        <v>0</v>
      </c>
      <c r="F367" s="411">
        <f t="shared" si="197"/>
        <v>0</v>
      </c>
      <c r="G367" s="411">
        <f t="shared" si="197"/>
        <v>0</v>
      </c>
      <c r="H367" s="411">
        <f t="shared" si="197"/>
        <v>0</v>
      </c>
      <c r="I367" s="411">
        <f t="shared" si="197"/>
        <v>0</v>
      </c>
      <c r="J367" s="411">
        <f t="shared" si="197"/>
        <v>0</v>
      </c>
      <c r="K367" s="411">
        <f t="shared" si="197"/>
        <v>0</v>
      </c>
      <c r="L367" s="411">
        <f t="shared" si="197"/>
        <v>0</v>
      </c>
      <c r="M367" s="411">
        <f t="shared" si="197"/>
        <v>0</v>
      </c>
      <c r="N367" s="412">
        <f>SUM(B367:M367)</f>
        <v>0</v>
      </c>
    </row>
    <row r="368" spans="1:15">
      <c r="A368" s="409"/>
      <c r="B368" s="411"/>
      <c r="C368" s="411"/>
      <c r="D368" s="411"/>
      <c r="E368" s="411"/>
      <c r="F368" s="411"/>
      <c r="G368" s="411"/>
      <c r="H368" s="411"/>
      <c r="I368" s="411"/>
      <c r="J368" s="411"/>
      <c r="K368" s="411"/>
      <c r="L368" s="411"/>
      <c r="M368" s="411"/>
      <c r="N368" s="412"/>
    </row>
    <row r="369" spans="1:16">
      <c r="A369" s="405" t="s">
        <v>112</v>
      </c>
      <c r="B369" s="295"/>
      <c r="C369" s="295"/>
      <c r="D369" s="295"/>
      <c r="E369" s="295"/>
      <c r="F369" s="295"/>
      <c r="G369" s="295"/>
      <c r="H369" s="295"/>
      <c r="I369" s="295"/>
      <c r="J369" s="295"/>
      <c r="K369" s="295"/>
      <c r="L369" s="295"/>
      <c r="M369" s="295"/>
      <c r="N369" s="250"/>
    </row>
    <row r="370" spans="1:16">
      <c r="A370" s="406" t="s">
        <v>16</v>
      </c>
      <c r="B370" s="407">
        <v>100000</v>
      </c>
      <c r="C370" s="407">
        <f>B370</f>
        <v>100000</v>
      </c>
      <c r="D370" s="407">
        <f t="shared" ref="D370" si="198">C370</f>
        <v>100000</v>
      </c>
      <c r="E370" s="407">
        <f t="shared" ref="E370" si="199">D370</f>
        <v>100000</v>
      </c>
      <c r="F370" s="407">
        <f t="shared" ref="F370" si="200">E370</f>
        <v>100000</v>
      </c>
      <c r="G370" s="407">
        <f t="shared" ref="G370" si="201">F370</f>
        <v>100000</v>
      </c>
      <c r="H370" s="407">
        <f t="shared" ref="H370" si="202">G370</f>
        <v>100000</v>
      </c>
      <c r="I370" s="407">
        <f t="shared" ref="I370" si="203">H370</f>
        <v>100000</v>
      </c>
      <c r="J370" s="407">
        <f t="shared" ref="J370" si="204">I370</f>
        <v>100000</v>
      </c>
      <c r="K370" s="407">
        <f t="shared" ref="K370" si="205">J370</f>
        <v>100000</v>
      </c>
      <c r="L370" s="407">
        <f t="shared" ref="L370" si="206">K370</f>
        <v>100000</v>
      </c>
      <c r="M370" s="407">
        <f t="shared" ref="M370" si="207">L370</f>
        <v>100000</v>
      </c>
      <c r="N370" s="408">
        <f>SUM(B370:M370)</f>
        <v>1200000</v>
      </c>
    </row>
    <row r="371" spans="1:16">
      <c r="A371" s="409" t="s">
        <v>20</v>
      </c>
      <c r="B371" s="414">
        <f>B366</f>
        <v>1.59</v>
      </c>
      <c r="C371" s="414">
        <f t="shared" ref="C371:M371" si="208">C366</f>
        <v>1.59</v>
      </c>
      <c r="D371" s="414">
        <f t="shared" si="208"/>
        <v>1.59</v>
      </c>
      <c r="E371" s="414">
        <f t="shared" si="208"/>
        <v>1.59</v>
      </c>
      <c r="F371" s="414">
        <f t="shared" si="208"/>
        <v>1.59</v>
      </c>
      <c r="G371" s="414">
        <f t="shared" si="208"/>
        <v>1.59</v>
      </c>
      <c r="H371" s="414">
        <f t="shared" si="208"/>
        <v>1.59</v>
      </c>
      <c r="I371" s="414">
        <f t="shared" si="208"/>
        <v>1.59</v>
      </c>
      <c r="J371" s="414">
        <f t="shared" si="208"/>
        <v>1.59</v>
      </c>
      <c r="K371" s="414">
        <f t="shared" si="208"/>
        <v>1.59</v>
      </c>
      <c r="L371" s="414">
        <f t="shared" si="208"/>
        <v>1.59</v>
      </c>
      <c r="M371" s="414">
        <f t="shared" si="208"/>
        <v>1.59</v>
      </c>
      <c r="N371" s="250"/>
    </row>
    <row r="372" spans="1:16">
      <c r="A372" s="409" t="s">
        <v>17</v>
      </c>
      <c r="B372" s="411">
        <f t="shared" ref="B372:M372" si="209">B370*B371</f>
        <v>159000</v>
      </c>
      <c r="C372" s="411">
        <f t="shared" si="209"/>
        <v>159000</v>
      </c>
      <c r="D372" s="411">
        <f t="shared" si="209"/>
        <v>159000</v>
      </c>
      <c r="E372" s="411">
        <f t="shared" si="209"/>
        <v>159000</v>
      </c>
      <c r="F372" s="411">
        <f t="shared" si="209"/>
        <v>159000</v>
      </c>
      <c r="G372" s="411">
        <f t="shared" si="209"/>
        <v>159000</v>
      </c>
      <c r="H372" s="411">
        <f t="shared" si="209"/>
        <v>159000</v>
      </c>
      <c r="I372" s="411">
        <f t="shared" si="209"/>
        <v>159000</v>
      </c>
      <c r="J372" s="411">
        <f t="shared" si="209"/>
        <v>159000</v>
      </c>
      <c r="K372" s="411">
        <f t="shared" si="209"/>
        <v>159000</v>
      </c>
      <c r="L372" s="411">
        <f t="shared" si="209"/>
        <v>159000</v>
      </c>
      <c r="M372" s="411">
        <f t="shared" si="209"/>
        <v>159000</v>
      </c>
      <c r="N372" s="412">
        <f>SUM(B372:M372)</f>
        <v>1908000</v>
      </c>
    </row>
    <row r="373" spans="1:16">
      <c r="A373" s="409"/>
      <c r="B373" s="411"/>
      <c r="C373" s="411"/>
      <c r="D373" s="411"/>
      <c r="E373" s="411"/>
      <c r="F373" s="411"/>
      <c r="G373" s="411"/>
      <c r="H373" s="411"/>
      <c r="I373" s="411"/>
      <c r="J373" s="411"/>
      <c r="K373" s="411"/>
      <c r="L373" s="411"/>
      <c r="M373" s="411"/>
      <c r="N373" s="412"/>
    </row>
    <row r="374" spans="1:16">
      <c r="A374" s="415" t="s">
        <v>25</v>
      </c>
      <c r="B374" s="416">
        <f t="shared" ref="B374:M374" si="210">B327+B332+B337+B342+B347+B352+B367+B362+B372+B357</f>
        <v>392819.04000000004</v>
      </c>
      <c r="C374" s="416">
        <f t="shared" si="210"/>
        <v>392819.04000000004</v>
      </c>
      <c r="D374" s="416">
        <f t="shared" si="210"/>
        <v>392819.04000000004</v>
      </c>
      <c r="E374" s="416">
        <f t="shared" si="210"/>
        <v>392819.04000000004</v>
      </c>
      <c r="F374" s="416">
        <f t="shared" si="210"/>
        <v>392819.04000000004</v>
      </c>
      <c r="G374" s="416">
        <f t="shared" si="210"/>
        <v>392819.04000000004</v>
      </c>
      <c r="H374" s="416">
        <f t="shared" si="210"/>
        <v>392819.04000000004</v>
      </c>
      <c r="I374" s="416">
        <f t="shared" si="210"/>
        <v>392819.04000000004</v>
      </c>
      <c r="J374" s="416">
        <f t="shared" si="210"/>
        <v>392819.04000000004</v>
      </c>
      <c r="K374" s="416">
        <f t="shared" si="210"/>
        <v>392819.04000000004</v>
      </c>
      <c r="L374" s="416">
        <f t="shared" si="210"/>
        <v>392819.04000000004</v>
      </c>
      <c r="M374" s="416">
        <f t="shared" si="210"/>
        <v>392819.04000000004</v>
      </c>
      <c r="N374" s="417">
        <f>SUM(B374:M374)</f>
        <v>4713828.4800000004</v>
      </c>
    </row>
    <row r="375" spans="1:16">
      <c r="A375" s="418" t="s">
        <v>59</v>
      </c>
      <c r="B375" s="423">
        <f>B325+B330+B335+B340+B345+B350+B360+B365+B370+B355</f>
        <v>247056</v>
      </c>
      <c r="C375" s="423">
        <f t="shared" ref="C375:M375" si="211">C325+C330+C335+C340+C345+C350+C360+C365+C370+C355</f>
        <v>247056</v>
      </c>
      <c r="D375" s="423">
        <f t="shared" si="211"/>
        <v>247056</v>
      </c>
      <c r="E375" s="423">
        <f t="shared" si="211"/>
        <v>247056</v>
      </c>
      <c r="F375" s="423">
        <f t="shared" si="211"/>
        <v>247056</v>
      </c>
      <c r="G375" s="423">
        <f t="shared" si="211"/>
        <v>247056</v>
      </c>
      <c r="H375" s="423">
        <f t="shared" si="211"/>
        <v>247056</v>
      </c>
      <c r="I375" s="423">
        <f t="shared" si="211"/>
        <v>247056</v>
      </c>
      <c r="J375" s="423">
        <f t="shared" si="211"/>
        <v>247056</v>
      </c>
      <c r="K375" s="423">
        <f t="shared" si="211"/>
        <v>247056</v>
      </c>
      <c r="L375" s="423">
        <f t="shared" si="211"/>
        <v>247056</v>
      </c>
      <c r="M375" s="423">
        <f t="shared" si="211"/>
        <v>247056</v>
      </c>
      <c r="N375" s="420">
        <f>SUM(B375:M375)</f>
        <v>2964672</v>
      </c>
      <c r="O375" s="27">
        <f>'TSAS Scheduling Revenue (1)'!N387</f>
        <v>2964672</v>
      </c>
      <c r="P375" s="27">
        <f>'TSAS Reactive Revenues (2)'!N376</f>
        <v>2964672</v>
      </c>
    </row>
    <row r="376" spans="1:16">
      <c r="A376" s="397">
        <f>+A321+1</f>
        <v>2020</v>
      </c>
      <c r="B376" s="398"/>
      <c r="C376" s="398"/>
      <c r="D376" s="398"/>
      <c r="E376" s="398"/>
      <c r="F376" s="398"/>
      <c r="G376" s="398"/>
      <c r="H376" s="398"/>
      <c r="I376" s="398"/>
      <c r="J376" s="398"/>
      <c r="K376" s="398"/>
      <c r="L376" s="398"/>
      <c r="M376" s="398"/>
      <c r="N376" s="399"/>
    </row>
    <row r="377" spans="1:16" ht="13.2">
      <c r="A377" s="400" t="s">
        <v>19</v>
      </c>
      <c r="B377" s="403"/>
      <c r="C377" s="403"/>
      <c r="D377" s="403"/>
      <c r="E377" s="403"/>
      <c r="F377" s="403"/>
      <c r="G377" s="403"/>
      <c r="H377" s="403"/>
      <c r="I377" s="403"/>
      <c r="J377" s="403"/>
      <c r="K377" s="403"/>
      <c r="L377" s="403"/>
      <c r="M377" s="403"/>
      <c r="N377" s="404"/>
    </row>
    <row r="378" spans="1:16">
      <c r="A378" s="400"/>
      <c r="B378" s="401"/>
      <c r="C378" s="401"/>
      <c r="D378" s="401"/>
      <c r="E378" s="401"/>
      <c r="F378" s="401"/>
      <c r="G378" s="401"/>
      <c r="H378" s="401"/>
      <c r="I378" s="401"/>
      <c r="J378" s="401"/>
      <c r="K378" s="401"/>
      <c r="L378" s="401"/>
      <c r="M378" s="401"/>
      <c r="N378" s="402"/>
    </row>
    <row r="379" spans="1:16">
      <c r="A379" s="405" t="s">
        <v>344</v>
      </c>
      <c r="B379" s="295"/>
      <c r="C379" s="295"/>
      <c r="D379" s="295"/>
      <c r="E379" s="295"/>
      <c r="F379" s="295"/>
      <c r="G379" s="295"/>
      <c r="H379" s="295"/>
      <c r="I379" s="295"/>
      <c r="J379" s="295"/>
      <c r="K379" s="295"/>
      <c r="L379" s="295"/>
      <c r="M379" s="295"/>
      <c r="N379" s="250"/>
      <c r="O379" s="450"/>
    </row>
    <row r="380" spans="1:16">
      <c r="A380" s="406" t="s">
        <v>16</v>
      </c>
      <c r="B380" s="407">
        <f>B325</f>
        <v>5000</v>
      </c>
      <c r="C380" s="407">
        <f>$B380</f>
        <v>5000</v>
      </c>
      <c r="D380" s="407">
        <f>$B380</f>
        <v>5000</v>
      </c>
      <c r="E380" s="407">
        <f>$B380</f>
        <v>5000</v>
      </c>
      <c r="F380" s="407">
        <f>$B380</f>
        <v>5000</v>
      </c>
      <c r="G380" s="407">
        <f t="shared" ref="G380" si="212">F380</f>
        <v>5000</v>
      </c>
      <c r="H380" s="407">
        <f t="shared" ref="H380" si="213">G380</f>
        <v>5000</v>
      </c>
      <c r="I380" s="407">
        <f t="shared" ref="I380" si="214">H380</f>
        <v>5000</v>
      </c>
      <c r="J380" s="407">
        <f t="shared" ref="J380" si="215">I380</f>
        <v>5000</v>
      </c>
      <c r="K380" s="407">
        <f t="shared" ref="K380" si="216">J380</f>
        <v>5000</v>
      </c>
      <c r="L380" s="407">
        <f t="shared" ref="L380" si="217">K380</f>
        <v>5000</v>
      </c>
      <c r="M380" s="407">
        <f t="shared" ref="M380" si="218">L380</f>
        <v>5000</v>
      </c>
      <c r="N380" s="408">
        <f>SUM(B380:M380)</f>
        <v>60000</v>
      </c>
      <c r="O380" s="19" t="s">
        <v>366</v>
      </c>
    </row>
    <row r="381" spans="1:16">
      <c r="A381" s="409" t="s">
        <v>20</v>
      </c>
      <c r="B381" s="410">
        <f>'Transmission Formula Rate (7)'!B22</f>
        <v>1.59</v>
      </c>
      <c r="C381" s="410">
        <f>'Transmission Formula Rate (7)'!C22</f>
        <v>1.59</v>
      </c>
      <c r="D381" s="410">
        <f>'Transmission Formula Rate (7)'!D22</f>
        <v>1.59</v>
      </c>
      <c r="E381" s="410">
        <f>'Transmission Formula Rate (7)'!E22</f>
        <v>1.59</v>
      </c>
      <c r="F381" s="410">
        <f>'Transmission Formula Rate (7)'!F22</f>
        <v>1.59</v>
      </c>
      <c r="G381" s="410">
        <f>'Transmission Formula Rate (7)'!G22</f>
        <v>1.59</v>
      </c>
      <c r="H381" s="410">
        <f>'Transmission Formula Rate (7)'!H22</f>
        <v>1.59</v>
      </c>
      <c r="I381" s="410">
        <f>'Transmission Formula Rate (7)'!I22</f>
        <v>1.59</v>
      </c>
      <c r="J381" s="410">
        <f>'Transmission Formula Rate (7)'!J22</f>
        <v>1.59</v>
      </c>
      <c r="K381" s="410">
        <f>'Transmission Formula Rate (7)'!K22</f>
        <v>1.59</v>
      </c>
      <c r="L381" s="410">
        <f>'Transmission Formula Rate (7)'!L22</f>
        <v>1.59</v>
      </c>
      <c r="M381" s="410">
        <f>'Transmission Formula Rate (7)'!M22</f>
        <v>1.59</v>
      </c>
      <c r="N381" s="250"/>
    </row>
    <row r="382" spans="1:16">
      <c r="A382" s="409" t="s">
        <v>17</v>
      </c>
      <c r="B382" s="411">
        <f t="shared" ref="B382:M382" si="219">B380*B381</f>
        <v>7950</v>
      </c>
      <c r="C382" s="411">
        <f t="shared" si="219"/>
        <v>7950</v>
      </c>
      <c r="D382" s="411">
        <f t="shared" si="219"/>
        <v>7950</v>
      </c>
      <c r="E382" s="411">
        <f t="shared" si="219"/>
        <v>7950</v>
      </c>
      <c r="F382" s="411">
        <f t="shared" si="219"/>
        <v>7950</v>
      </c>
      <c r="G382" s="411">
        <f t="shared" si="219"/>
        <v>7950</v>
      </c>
      <c r="H382" s="411">
        <f t="shared" si="219"/>
        <v>7950</v>
      </c>
      <c r="I382" s="411">
        <f t="shared" si="219"/>
        <v>7950</v>
      </c>
      <c r="J382" s="411">
        <f t="shared" si="219"/>
        <v>7950</v>
      </c>
      <c r="K382" s="411">
        <f t="shared" si="219"/>
        <v>7950</v>
      </c>
      <c r="L382" s="411">
        <f t="shared" si="219"/>
        <v>7950</v>
      </c>
      <c r="M382" s="411">
        <f t="shared" si="219"/>
        <v>7950</v>
      </c>
      <c r="N382" s="412">
        <f>SUM(B382:M382)</f>
        <v>95400</v>
      </c>
    </row>
    <row r="383" spans="1:16">
      <c r="A383" s="413"/>
      <c r="B383" s="295"/>
      <c r="C383" s="295"/>
      <c r="D383" s="295"/>
      <c r="E383" s="295"/>
      <c r="F383" s="295"/>
      <c r="G383" s="295"/>
      <c r="H383" s="295"/>
      <c r="I383" s="295"/>
      <c r="J383" s="295"/>
      <c r="K383" s="295"/>
      <c r="L383" s="295"/>
      <c r="M383" s="295"/>
      <c r="N383" s="250"/>
    </row>
    <row r="384" spans="1:16">
      <c r="A384" s="422"/>
      <c r="B384" s="295"/>
      <c r="C384" s="295"/>
      <c r="D384" s="295"/>
      <c r="E384" s="295"/>
      <c r="F384" s="295"/>
      <c r="G384" s="295"/>
      <c r="H384" s="295"/>
      <c r="I384" s="295"/>
      <c r="J384" s="295"/>
      <c r="K384" s="295"/>
      <c r="L384" s="295"/>
      <c r="M384" s="295"/>
      <c r="N384" s="250"/>
    </row>
    <row r="385" spans="1:15">
      <c r="A385" s="406" t="s">
        <v>16</v>
      </c>
      <c r="B385" s="407">
        <v>0</v>
      </c>
      <c r="C385" s="407">
        <v>0</v>
      </c>
      <c r="D385" s="407">
        <v>0</v>
      </c>
      <c r="E385" s="407">
        <v>0</v>
      </c>
      <c r="F385" s="407">
        <v>0</v>
      </c>
      <c r="G385" s="407">
        <v>0</v>
      </c>
      <c r="H385" s="407">
        <v>0</v>
      </c>
      <c r="I385" s="407">
        <v>0</v>
      </c>
      <c r="J385" s="407">
        <v>0</v>
      </c>
      <c r="K385" s="407">
        <v>0</v>
      </c>
      <c r="L385" s="407">
        <v>0</v>
      </c>
      <c r="M385" s="407">
        <v>0</v>
      </c>
      <c r="N385" s="408">
        <f>SUM(B385:M385)</f>
        <v>0</v>
      </c>
    </row>
    <row r="386" spans="1:15">
      <c r="A386" s="409" t="s">
        <v>20</v>
      </c>
      <c r="B386" s="410">
        <f>B381</f>
        <v>1.59</v>
      </c>
      <c r="C386" s="410">
        <f t="shared" ref="C386:M386" si="220">C381</f>
        <v>1.59</v>
      </c>
      <c r="D386" s="410">
        <f t="shared" si="220"/>
        <v>1.59</v>
      </c>
      <c r="E386" s="410">
        <f t="shared" si="220"/>
        <v>1.59</v>
      </c>
      <c r="F386" s="410">
        <f t="shared" si="220"/>
        <v>1.59</v>
      </c>
      <c r="G386" s="410">
        <f t="shared" si="220"/>
        <v>1.59</v>
      </c>
      <c r="H386" s="410">
        <f t="shared" si="220"/>
        <v>1.59</v>
      </c>
      <c r="I386" s="410">
        <f t="shared" si="220"/>
        <v>1.59</v>
      </c>
      <c r="J386" s="410">
        <f t="shared" si="220"/>
        <v>1.59</v>
      </c>
      <c r="K386" s="410">
        <f t="shared" si="220"/>
        <v>1.59</v>
      </c>
      <c r="L386" s="410">
        <f t="shared" si="220"/>
        <v>1.59</v>
      </c>
      <c r="M386" s="410">
        <f t="shared" si="220"/>
        <v>1.59</v>
      </c>
      <c r="N386" s="250"/>
    </row>
    <row r="387" spans="1:15">
      <c r="A387" s="409" t="s">
        <v>17</v>
      </c>
      <c r="B387" s="411">
        <f t="shared" ref="B387:M387" si="221">B385*B386</f>
        <v>0</v>
      </c>
      <c r="C387" s="411">
        <f t="shared" si="221"/>
        <v>0</v>
      </c>
      <c r="D387" s="411">
        <f t="shared" si="221"/>
        <v>0</v>
      </c>
      <c r="E387" s="411">
        <f t="shared" si="221"/>
        <v>0</v>
      </c>
      <c r="F387" s="411">
        <f t="shared" si="221"/>
        <v>0</v>
      </c>
      <c r="G387" s="411">
        <f t="shared" si="221"/>
        <v>0</v>
      </c>
      <c r="H387" s="411">
        <f t="shared" si="221"/>
        <v>0</v>
      </c>
      <c r="I387" s="411">
        <f t="shared" si="221"/>
        <v>0</v>
      </c>
      <c r="J387" s="411">
        <f t="shared" si="221"/>
        <v>0</v>
      </c>
      <c r="K387" s="411">
        <f t="shared" si="221"/>
        <v>0</v>
      </c>
      <c r="L387" s="411">
        <f t="shared" si="221"/>
        <v>0</v>
      </c>
      <c r="M387" s="411">
        <f t="shared" si="221"/>
        <v>0</v>
      </c>
      <c r="N387" s="412">
        <f>SUM(B387:M387)</f>
        <v>0</v>
      </c>
    </row>
    <row r="388" spans="1:15">
      <c r="A388" s="413"/>
      <c r="B388" s="411"/>
      <c r="C388" s="295"/>
      <c r="D388" s="295"/>
      <c r="E388" s="295"/>
      <c r="F388" s="295"/>
      <c r="G388" s="295"/>
      <c r="H388" s="295"/>
      <c r="I388" s="295"/>
      <c r="J388" s="295"/>
      <c r="K388" s="295"/>
      <c r="L388" s="295"/>
      <c r="M388" s="295"/>
      <c r="N388" s="250"/>
    </row>
    <row r="389" spans="1:15">
      <c r="A389" s="422"/>
      <c r="B389" s="295"/>
      <c r="C389" s="295"/>
      <c r="D389" s="295"/>
      <c r="E389" s="295"/>
      <c r="F389" s="295"/>
      <c r="G389" s="295"/>
      <c r="H389" s="295"/>
      <c r="I389" s="295"/>
      <c r="J389" s="295"/>
      <c r="K389" s="295"/>
      <c r="L389" s="295"/>
      <c r="M389" s="295"/>
      <c r="N389" s="250"/>
    </row>
    <row r="390" spans="1:15">
      <c r="A390" s="406" t="s">
        <v>16</v>
      </c>
      <c r="B390" s="407">
        <v>0</v>
      </c>
      <c r="C390" s="407">
        <v>0</v>
      </c>
      <c r="D390" s="407">
        <v>0</v>
      </c>
      <c r="E390" s="407">
        <v>0</v>
      </c>
      <c r="F390" s="407">
        <v>0</v>
      </c>
      <c r="G390" s="407">
        <v>0</v>
      </c>
      <c r="H390" s="407">
        <v>0</v>
      </c>
      <c r="I390" s="407">
        <v>0</v>
      </c>
      <c r="J390" s="407">
        <v>0</v>
      </c>
      <c r="K390" s="407">
        <v>0</v>
      </c>
      <c r="L390" s="407">
        <v>0</v>
      </c>
      <c r="M390" s="407">
        <v>0</v>
      </c>
      <c r="N390" s="408">
        <f>SUM(B390:M390)</f>
        <v>0</v>
      </c>
    </row>
    <row r="391" spans="1:15">
      <c r="A391" s="409" t="s">
        <v>20</v>
      </c>
      <c r="B391" s="414">
        <f>B386</f>
        <v>1.59</v>
      </c>
      <c r="C391" s="414">
        <f t="shared" ref="C391:M391" si="222">C386</f>
        <v>1.59</v>
      </c>
      <c r="D391" s="414">
        <f t="shared" si="222"/>
        <v>1.59</v>
      </c>
      <c r="E391" s="414">
        <f t="shared" si="222"/>
        <v>1.59</v>
      </c>
      <c r="F391" s="414">
        <f t="shared" si="222"/>
        <v>1.59</v>
      </c>
      <c r="G391" s="414">
        <f t="shared" si="222"/>
        <v>1.59</v>
      </c>
      <c r="H391" s="414">
        <f t="shared" si="222"/>
        <v>1.59</v>
      </c>
      <c r="I391" s="414">
        <f t="shared" si="222"/>
        <v>1.59</v>
      </c>
      <c r="J391" s="414">
        <f t="shared" si="222"/>
        <v>1.59</v>
      </c>
      <c r="K391" s="414">
        <f t="shared" si="222"/>
        <v>1.59</v>
      </c>
      <c r="L391" s="414">
        <f t="shared" si="222"/>
        <v>1.59</v>
      </c>
      <c r="M391" s="414">
        <f t="shared" si="222"/>
        <v>1.59</v>
      </c>
      <c r="N391" s="250"/>
    </row>
    <row r="392" spans="1:15">
      <c r="A392" s="409" t="s">
        <v>17</v>
      </c>
      <c r="B392" s="411">
        <f t="shared" ref="B392:M392" si="223">B390*B391</f>
        <v>0</v>
      </c>
      <c r="C392" s="411">
        <f t="shared" si="223"/>
        <v>0</v>
      </c>
      <c r="D392" s="411">
        <f t="shared" si="223"/>
        <v>0</v>
      </c>
      <c r="E392" s="411">
        <f t="shared" si="223"/>
        <v>0</v>
      </c>
      <c r="F392" s="411">
        <f t="shared" si="223"/>
        <v>0</v>
      </c>
      <c r="G392" s="411">
        <f t="shared" si="223"/>
        <v>0</v>
      </c>
      <c r="H392" s="411">
        <f t="shared" si="223"/>
        <v>0</v>
      </c>
      <c r="I392" s="411">
        <f t="shared" si="223"/>
        <v>0</v>
      </c>
      <c r="J392" s="411">
        <f t="shared" si="223"/>
        <v>0</v>
      </c>
      <c r="K392" s="411">
        <f t="shared" si="223"/>
        <v>0</v>
      </c>
      <c r="L392" s="411">
        <f t="shared" si="223"/>
        <v>0</v>
      </c>
      <c r="M392" s="411">
        <f t="shared" si="223"/>
        <v>0</v>
      </c>
      <c r="N392" s="412">
        <f>SUM(B392:M392)</f>
        <v>0</v>
      </c>
    </row>
    <row r="393" spans="1:15">
      <c r="A393" s="413"/>
      <c r="B393" s="411"/>
      <c r="C393" s="295"/>
      <c r="D393" s="295"/>
      <c r="E393" s="295"/>
      <c r="F393" s="295"/>
      <c r="G393" s="295"/>
      <c r="H393" s="295"/>
      <c r="I393" s="295"/>
      <c r="J393" s="295"/>
      <c r="K393" s="295"/>
      <c r="L393" s="295"/>
      <c r="M393" s="295"/>
      <c r="N393" s="250"/>
    </row>
    <row r="394" spans="1:15">
      <c r="A394" s="405" t="s">
        <v>23</v>
      </c>
      <c r="B394" s="295"/>
      <c r="C394" s="295"/>
      <c r="D394" s="295"/>
      <c r="E394" s="295"/>
      <c r="F394" s="295"/>
      <c r="G394" s="295"/>
      <c r="H394" s="295"/>
      <c r="I394" s="295"/>
      <c r="J394" s="295"/>
      <c r="K394" s="295"/>
      <c r="L394" s="295"/>
      <c r="M394" s="295"/>
      <c r="N394" s="250"/>
      <c r="O394" s="450"/>
    </row>
    <row r="395" spans="1:15">
      <c r="A395" s="406" t="s">
        <v>16</v>
      </c>
      <c r="B395" s="407">
        <f>B340</f>
        <v>37056</v>
      </c>
      <c r="C395" s="407">
        <f t="shared" ref="C395:M395" si="224">C340</f>
        <v>37056</v>
      </c>
      <c r="D395" s="407">
        <f t="shared" si="224"/>
        <v>37056</v>
      </c>
      <c r="E395" s="407">
        <f t="shared" si="224"/>
        <v>37056</v>
      </c>
      <c r="F395" s="407">
        <f t="shared" si="224"/>
        <v>37056</v>
      </c>
      <c r="G395" s="407">
        <f t="shared" si="224"/>
        <v>37056</v>
      </c>
      <c r="H395" s="407">
        <f t="shared" si="224"/>
        <v>37056</v>
      </c>
      <c r="I395" s="407">
        <f t="shared" si="224"/>
        <v>37056</v>
      </c>
      <c r="J395" s="407">
        <f t="shared" si="224"/>
        <v>37056</v>
      </c>
      <c r="K395" s="407">
        <f t="shared" si="224"/>
        <v>37056</v>
      </c>
      <c r="L395" s="407">
        <f t="shared" si="224"/>
        <v>37056</v>
      </c>
      <c r="M395" s="407">
        <f t="shared" si="224"/>
        <v>37056</v>
      </c>
      <c r="N395" s="408">
        <f>SUM(B395:M395)</f>
        <v>444672</v>
      </c>
    </row>
    <row r="396" spans="1:15">
      <c r="A396" s="409" t="s">
        <v>20</v>
      </c>
      <c r="B396" s="414">
        <f>B391</f>
        <v>1.59</v>
      </c>
      <c r="C396" s="414">
        <f t="shared" ref="C396:M396" si="225">C391</f>
        <v>1.59</v>
      </c>
      <c r="D396" s="414">
        <f t="shared" si="225"/>
        <v>1.59</v>
      </c>
      <c r="E396" s="414">
        <f t="shared" si="225"/>
        <v>1.59</v>
      </c>
      <c r="F396" s="414">
        <f t="shared" si="225"/>
        <v>1.59</v>
      </c>
      <c r="G396" s="414">
        <f t="shared" si="225"/>
        <v>1.59</v>
      </c>
      <c r="H396" s="414">
        <f t="shared" si="225"/>
        <v>1.59</v>
      </c>
      <c r="I396" s="414">
        <f t="shared" si="225"/>
        <v>1.59</v>
      </c>
      <c r="J396" s="414">
        <f t="shared" si="225"/>
        <v>1.59</v>
      </c>
      <c r="K396" s="414">
        <f t="shared" si="225"/>
        <v>1.59</v>
      </c>
      <c r="L396" s="414">
        <f t="shared" si="225"/>
        <v>1.59</v>
      </c>
      <c r="M396" s="414">
        <f t="shared" si="225"/>
        <v>1.59</v>
      </c>
      <c r="N396" s="250"/>
    </row>
    <row r="397" spans="1:15">
      <c r="A397" s="409" t="s">
        <v>17</v>
      </c>
      <c r="B397" s="411">
        <f t="shared" ref="B397:M397" si="226">B395*B396</f>
        <v>58919.040000000001</v>
      </c>
      <c r="C397" s="411">
        <f t="shared" si="226"/>
        <v>58919.040000000001</v>
      </c>
      <c r="D397" s="411">
        <f t="shared" si="226"/>
        <v>58919.040000000001</v>
      </c>
      <c r="E397" s="411">
        <f t="shared" si="226"/>
        <v>58919.040000000001</v>
      </c>
      <c r="F397" s="411">
        <f t="shared" si="226"/>
        <v>58919.040000000001</v>
      </c>
      <c r="G397" s="411">
        <f t="shared" si="226"/>
        <v>58919.040000000001</v>
      </c>
      <c r="H397" s="411">
        <f t="shared" si="226"/>
        <v>58919.040000000001</v>
      </c>
      <c r="I397" s="411">
        <f t="shared" si="226"/>
        <v>58919.040000000001</v>
      </c>
      <c r="J397" s="411">
        <f t="shared" si="226"/>
        <v>58919.040000000001</v>
      </c>
      <c r="K397" s="411">
        <f t="shared" si="226"/>
        <v>58919.040000000001</v>
      </c>
      <c r="L397" s="411">
        <f t="shared" si="226"/>
        <v>58919.040000000001</v>
      </c>
      <c r="M397" s="411">
        <f t="shared" si="226"/>
        <v>58919.040000000001</v>
      </c>
      <c r="N397" s="412">
        <f>SUM(B397:M397)</f>
        <v>707028.4800000001</v>
      </c>
    </row>
    <row r="398" spans="1:15">
      <c r="A398" s="413"/>
      <c r="B398" s="411"/>
      <c r="C398" s="295"/>
      <c r="D398" s="295"/>
      <c r="E398" s="295"/>
      <c r="F398" s="295"/>
      <c r="G398" s="295"/>
      <c r="H398" s="295"/>
      <c r="I398" s="295"/>
      <c r="J398" s="295"/>
      <c r="K398" s="295"/>
      <c r="L398" s="295"/>
      <c r="M398" s="295"/>
      <c r="N398" s="250"/>
    </row>
    <row r="399" spans="1:15">
      <c r="A399" s="405" t="s">
        <v>24</v>
      </c>
      <c r="B399" s="295"/>
      <c r="C399" s="295"/>
      <c r="D399" s="295"/>
      <c r="E399" s="295"/>
      <c r="F399" s="295"/>
      <c r="G399" s="295"/>
      <c r="H399" s="295"/>
      <c r="I399" s="295"/>
      <c r="J399" s="295"/>
      <c r="K399" s="295"/>
      <c r="L399" s="295"/>
      <c r="M399" s="295"/>
      <c r="N399" s="250"/>
      <c r="O399" s="450"/>
    </row>
    <row r="400" spans="1:15">
      <c r="A400" s="406" t="s">
        <v>16</v>
      </c>
      <c r="B400" s="407">
        <v>62000</v>
      </c>
      <c r="C400" s="407">
        <v>62000</v>
      </c>
      <c r="D400" s="407">
        <v>62000</v>
      </c>
      <c r="E400" s="407">
        <v>62000</v>
      </c>
      <c r="F400" s="407">
        <v>62000</v>
      </c>
      <c r="G400" s="407">
        <v>62000</v>
      </c>
      <c r="H400" s="407">
        <v>62000</v>
      </c>
      <c r="I400" s="407">
        <v>62000</v>
      </c>
      <c r="J400" s="407">
        <v>62000</v>
      </c>
      <c r="K400" s="407">
        <v>62000</v>
      </c>
      <c r="L400" s="407">
        <v>62000</v>
      </c>
      <c r="M400" s="407">
        <v>62000</v>
      </c>
      <c r="N400" s="408">
        <f>SUM(B400:M400)</f>
        <v>744000</v>
      </c>
    </row>
    <row r="401" spans="1:15">
      <c r="A401" s="409" t="s">
        <v>20</v>
      </c>
      <c r="B401" s="414">
        <f>B396</f>
        <v>1.59</v>
      </c>
      <c r="C401" s="414">
        <f t="shared" ref="C401:M401" si="227">C396</f>
        <v>1.59</v>
      </c>
      <c r="D401" s="414">
        <f t="shared" si="227"/>
        <v>1.59</v>
      </c>
      <c r="E401" s="414">
        <f t="shared" si="227"/>
        <v>1.59</v>
      </c>
      <c r="F401" s="414">
        <f t="shared" si="227"/>
        <v>1.59</v>
      </c>
      <c r="G401" s="414">
        <f t="shared" si="227"/>
        <v>1.59</v>
      </c>
      <c r="H401" s="414">
        <f t="shared" si="227"/>
        <v>1.59</v>
      </c>
      <c r="I401" s="414">
        <f t="shared" si="227"/>
        <v>1.59</v>
      </c>
      <c r="J401" s="414">
        <f t="shared" si="227"/>
        <v>1.59</v>
      </c>
      <c r="K401" s="414">
        <f t="shared" si="227"/>
        <v>1.59</v>
      </c>
      <c r="L401" s="414">
        <f t="shared" si="227"/>
        <v>1.59</v>
      </c>
      <c r="M401" s="414">
        <f t="shared" si="227"/>
        <v>1.59</v>
      </c>
      <c r="N401" s="250"/>
    </row>
    <row r="402" spans="1:15">
      <c r="A402" s="409" t="s">
        <v>17</v>
      </c>
      <c r="B402" s="411">
        <f t="shared" ref="B402:M402" si="228">B400*B401</f>
        <v>98580</v>
      </c>
      <c r="C402" s="411">
        <f t="shared" si="228"/>
        <v>98580</v>
      </c>
      <c r="D402" s="411">
        <f t="shared" si="228"/>
        <v>98580</v>
      </c>
      <c r="E402" s="411">
        <f t="shared" si="228"/>
        <v>98580</v>
      </c>
      <c r="F402" s="411">
        <f t="shared" si="228"/>
        <v>98580</v>
      </c>
      <c r="G402" s="411">
        <f t="shared" si="228"/>
        <v>98580</v>
      </c>
      <c r="H402" s="411">
        <f t="shared" si="228"/>
        <v>98580</v>
      </c>
      <c r="I402" s="411">
        <f t="shared" si="228"/>
        <v>98580</v>
      </c>
      <c r="J402" s="411">
        <f t="shared" si="228"/>
        <v>98580</v>
      </c>
      <c r="K402" s="411">
        <f t="shared" si="228"/>
        <v>98580</v>
      </c>
      <c r="L402" s="411">
        <f t="shared" si="228"/>
        <v>98580</v>
      </c>
      <c r="M402" s="411">
        <f t="shared" si="228"/>
        <v>98580</v>
      </c>
      <c r="N402" s="412">
        <f>SUM(B402:M402)</f>
        <v>1182960</v>
      </c>
    </row>
    <row r="403" spans="1:15">
      <c r="A403" s="409"/>
      <c r="B403" s="411"/>
      <c r="C403" s="411"/>
      <c r="D403" s="411"/>
      <c r="E403" s="411"/>
      <c r="F403" s="411"/>
      <c r="G403" s="411"/>
      <c r="H403" s="411"/>
      <c r="I403" s="411"/>
      <c r="J403" s="411"/>
      <c r="K403" s="411"/>
      <c r="L403" s="411"/>
      <c r="M403" s="411"/>
      <c r="N403" s="412"/>
    </row>
    <row r="404" spans="1:15">
      <c r="A404" s="405" t="s">
        <v>111</v>
      </c>
      <c r="B404" s="295"/>
      <c r="C404" s="295"/>
      <c r="D404" s="295"/>
      <c r="E404" s="295"/>
      <c r="F404" s="295"/>
      <c r="G404" s="295"/>
      <c r="H404" s="295"/>
      <c r="I404" s="295"/>
      <c r="J404" s="295"/>
      <c r="K404" s="295"/>
      <c r="L404" s="295"/>
      <c r="M404" s="295"/>
      <c r="N404" s="250"/>
    </row>
    <row r="405" spans="1:15">
      <c r="A405" s="406" t="s">
        <v>16</v>
      </c>
      <c r="B405" s="407">
        <v>40000</v>
      </c>
      <c r="C405" s="407"/>
      <c r="D405" s="407"/>
      <c r="E405" s="407"/>
      <c r="F405" s="407"/>
      <c r="G405" s="407"/>
      <c r="H405" s="407"/>
      <c r="I405" s="407"/>
      <c r="J405" s="407"/>
      <c r="K405" s="407"/>
      <c r="L405" s="407"/>
      <c r="M405" s="407"/>
      <c r="N405" s="408">
        <f>SUM(B405:M405)</f>
        <v>40000</v>
      </c>
      <c r="O405" s="450"/>
    </row>
    <row r="406" spans="1:15">
      <c r="A406" s="409" t="s">
        <v>20</v>
      </c>
      <c r="B406" s="414">
        <f>B401</f>
        <v>1.59</v>
      </c>
      <c r="C406" s="414">
        <f t="shared" ref="C406:M406" si="229">C401</f>
        <v>1.59</v>
      </c>
      <c r="D406" s="414">
        <f t="shared" si="229"/>
        <v>1.59</v>
      </c>
      <c r="E406" s="414">
        <f t="shared" si="229"/>
        <v>1.59</v>
      </c>
      <c r="F406" s="414">
        <f t="shared" si="229"/>
        <v>1.59</v>
      </c>
      <c r="G406" s="414">
        <f t="shared" si="229"/>
        <v>1.59</v>
      </c>
      <c r="H406" s="414">
        <f t="shared" si="229"/>
        <v>1.59</v>
      </c>
      <c r="I406" s="414">
        <f t="shared" si="229"/>
        <v>1.59</v>
      </c>
      <c r="J406" s="414">
        <f t="shared" si="229"/>
        <v>1.59</v>
      </c>
      <c r="K406" s="414">
        <f t="shared" si="229"/>
        <v>1.59</v>
      </c>
      <c r="L406" s="414">
        <f t="shared" si="229"/>
        <v>1.59</v>
      </c>
      <c r="M406" s="414">
        <f t="shared" si="229"/>
        <v>1.59</v>
      </c>
      <c r="N406" s="250"/>
      <c r="O406" s="19" t="s">
        <v>367</v>
      </c>
    </row>
    <row r="407" spans="1:15">
      <c r="A407" s="409" t="s">
        <v>17</v>
      </c>
      <c r="B407" s="411">
        <f t="shared" ref="B407:M407" si="230">B405*B406</f>
        <v>63600</v>
      </c>
      <c r="C407" s="411">
        <f t="shared" si="230"/>
        <v>0</v>
      </c>
      <c r="D407" s="411">
        <f t="shared" si="230"/>
        <v>0</v>
      </c>
      <c r="E407" s="411">
        <f t="shared" si="230"/>
        <v>0</v>
      </c>
      <c r="F407" s="411">
        <f t="shared" si="230"/>
        <v>0</v>
      </c>
      <c r="G407" s="411">
        <f t="shared" si="230"/>
        <v>0</v>
      </c>
      <c r="H407" s="411">
        <f t="shared" si="230"/>
        <v>0</v>
      </c>
      <c r="I407" s="411">
        <f t="shared" si="230"/>
        <v>0</v>
      </c>
      <c r="J407" s="411">
        <f t="shared" si="230"/>
        <v>0</v>
      </c>
      <c r="K407" s="411">
        <f t="shared" si="230"/>
        <v>0</v>
      </c>
      <c r="L407" s="411">
        <f t="shared" si="230"/>
        <v>0</v>
      </c>
      <c r="M407" s="411">
        <f t="shared" si="230"/>
        <v>0</v>
      </c>
      <c r="N407" s="412">
        <f>SUM(B407:M407)</f>
        <v>63600</v>
      </c>
    </row>
    <row r="408" spans="1:15">
      <c r="A408" s="409"/>
      <c r="B408" s="411"/>
      <c r="C408" s="411"/>
      <c r="D408" s="411"/>
      <c r="E408" s="411"/>
      <c r="F408" s="411"/>
      <c r="G408" s="411"/>
      <c r="H408" s="411"/>
      <c r="I408" s="411"/>
      <c r="J408" s="411"/>
      <c r="K408" s="411"/>
      <c r="L408" s="411"/>
      <c r="M408" s="411"/>
      <c r="N408" s="412"/>
    </row>
    <row r="409" spans="1:15">
      <c r="A409" s="405" t="s">
        <v>222</v>
      </c>
      <c r="B409" s="295"/>
      <c r="C409" s="295"/>
      <c r="D409" s="295"/>
      <c r="E409" s="295"/>
      <c r="F409" s="295"/>
      <c r="G409" s="295"/>
      <c r="H409" s="295"/>
      <c r="I409" s="295"/>
      <c r="J409" s="295"/>
      <c r="K409" s="295"/>
      <c r="L409" s="295"/>
      <c r="M409" s="295"/>
      <c r="N409" s="250"/>
    </row>
    <row r="410" spans="1:15">
      <c r="A410" s="406" t="s">
        <v>16</v>
      </c>
      <c r="B410" s="407">
        <v>3000</v>
      </c>
      <c r="C410" s="407">
        <f t="shared" ref="C410" si="231">B410</f>
        <v>3000</v>
      </c>
      <c r="D410" s="407">
        <f t="shared" ref="D410" si="232">C410</f>
        <v>3000</v>
      </c>
      <c r="E410" s="407">
        <f t="shared" ref="E410" si="233">D410</f>
        <v>3000</v>
      </c>
      <c r="F410" s="407">
        <f t="shared" ref="F410" si="234">E410</f>
        <v>3000</v>
      </c>
      <c r="G410" s="407">
        <f t="shared" ref="G410" si="235">F410</f>
        <v>3000</v>
      </c>
      <c r="H410" s="407">
        <f t="shared" ref="H410" si="236">G410</f>
        <v>3000</v>
      </c>
      <c r="I410" s="407">
        <f t="shared" ref="I410" si="237">H410</f>
        <v>3000</v>
      </c>
      <c r="J410" s="407">
        <f t="shared" ref="J410" si="238">I410</f>
        <v>3000</v>
      </c>
      <c r="K410" s="407">
        <f t="shared" ref="K410" si="239">J410</f>
        <v>3000</v>
      </c>
      <c r="L410" s="407">
        <f t="shared" ref="L410" si="240">K410</f>
        <v>3000</v>
      </c>
      <c r="M410" s="407">
        <f t="shared" ref="M410" si="241">L410</f>
        <v>3000</v>
      </c>
      <c r="N410" s="408">
        <f>SUM(B410:M410)</f>
        <v>36000</v>
      </c>
    </row>
    <row r="411" spans="1:15">
      <c r="A411" s="409" t="s">
        <v>20</v>
      </c>
      <c r="B411" s="414">
        <f>B406</f>
        <v>1.59</v>
      </c>
      <c r="C411" s="414">
        <f t="shared" ref="C411:M411" si="242">C406</f>
        <v>1.59</v>
      </c>
      <c r="D411" s="414">
        <f t="shared" si="242"/>
        <v>1.59</v>
      </c>
      <c r="E411" s="414">
        <f t="shared" si="242"/>
        <v>1.59</v>
      </c>
      <c r="F411" s="414">
        <f t="shared" si="242"/>
        <v>1.59</v>
      </c>
      <c r="G411" s="414">
        <f t="shared" si="242"/>
        <v>1.59</v>
      </c>
      <c r="H411" s="414">
        <f t="shared" si="242"/>
        <v>1.59</v>
      </c>
      <c r="I411" s="414">
        <f t="shared" si="242"/>
        <v>1.59</v>
      </c>
      <c r="J411" s="414">
        <f t="shared" si="242"/>
        <v>1.59</v>
      </c>
      <c r="K411" s="414">
        <f t="shared" si="242"/>
        <v>1.59</v>
      </c>
      <c r="L411" s="414">
        <f t="shared" si="242"/>
        <v>1.59</v>
      </c>
      <c r="M411" s="414">
        <f t="shared" si="242"/>
        <v>1.59</v>
      </c>
      <c r="N411" s="250"/>
    </row>
    <row r="412" spans="1:15">
      <c r="A412" s="409" t="s">
        <v>17</v>
      </c>
      <c r="B412" s="411">
        <f t="shared" ref="B412:M412" si="243">B410*B411</f>
        <v>4770</v>
      </c>
      <c r="C412" s="411">
        <f t="shared" si="243"/>
        <v>4770</v>
      </c>
      <c r="D412" s="411">
        <f t="shared" si="243"/>
        <v>4770</v>
      </c>
      <c r="E412" s="411">
        <f t="shared" si="243"/>
        <v>4770</v>
      </c>
      <c r="F412" s="411">
        <f t="shared" si="243"/>
        <v>4770</v>
      </c>
      <c r="G412" s="411">
        <f t="shared" si="243"/>
        <v>4770</v>
      </c>
      <c r="H412" s="411">
        <f t="shared" si="243"/>
        <v>4770</v>
      </c>
      <c r="I412" s="411">
        <f t="shared" si="243"/>
        <v>4770</v>
      </c>
      <c r="J412" s="411">
        <f t="shared" si="243"/>
        <v>4770</v>
      </c>
      <c r="K412" s="411">
        <f t="shared" si="243"/>
        <v>4770</v>
      </c>
      <c r="L412" s="411">
        <f t="shared" si="243"/>
        <v>4770</v>
      </c>
      <c r="M412" s="411">
        <f t="shared" si="243"/>
        <v>4770</v>
      </c>
      <c r="N412" s="412">
        <f>SUM(B412:M412)</f>
        <v>57240</v>
      </c>
    </row>
    <row r="413" spans="1:15">
      <c r="A413" s="409"/>
      <c r="B413" s="411"/>
      <c r="C413" s="411"/>
      <c r="D413" s="411"/>
      <c r="E413" s="411"/>
      <c r="F413" s="411"/>
      <c r="G413" s="411"/>
      <c r="H413" s="411"/>
      <c r="I413" s="411"/>
      <c r="J413" s="411"/>
      <c r="K413" s="411"/>
      <c r="L413" s="411"/>
      <c r="M413" s="411"/>
      <c r="N413" s="412"/>
    </row>
    <row r="414" spans="1:15">
      <c r="A414" s="405" t="s">
        <v>173</v>
      </c>
      <c r="B414" s="295"/>
      <c r="C414" s="295"/>
      <c r="D414" s="295"/>
      <c r="E414" s="295"/>
      <c r="F414" s="295"/>
      <c r="G414" s="295"/>
      <c r="H414" s="295"/>
      <c r="I414" s="295"/>
      <c r="J414" s="295"/>
      <c r="K414" s="295"/>
      <c r="L414" s="295"/>
      <c r="M414" s="295"/>
      <c r="N414" s="250"/>
      <c r="O414" s="450"/>
    </row>
    <row r="415" spans="1:15">
      <c r="A415" s="406" t="s">
        <v>16</v>
      </c>
      <c r="B415" s="407"/>
      <c r="C415" s="407"/>
      <c r="D415" s="407"/>
      <c r="E415" s="407"/>
      <c r="F415" s="407"/>
      <c r="G415" s="407"/>
      <c r="H415" s="407"/>
      <c r="I415" s="407"/>
      <c r="J415" s="407"/>
      <c r="K415" s="407"/>
      <c r="L415" s="407"/>
      <c r="M415" s="407"/>
      <c r="N415" s="408">
        <f>SUM(B415:M415)</f>
        <v>0</v>
      </c>
    </row>
    <row r="416" spans="1:15">
      <c r="A416" s="409" t="s">
        <v>20</v>
      </c>
      <c r="B416" s="414">
        <f>B406</f>
        <v>1.59</v>
      </c>
      <c r="C416" s="414">
        <f t="shared" ref="C416:M416" si="244">C406</f>
        <v>1.59</v>
      </c>
      <c r="D416" s="414">
        <f t="shared" si="244"/>
        <v>1.59</v>
      </c>
      <c r="E416" s="414">
        <f t="shared" si="244"/>
        <v>1.59</v>
      </c>
      <c r="F416" s="414">
        <f t="shared" si="244"/>
        <v>1.59</v>
      </c>
      <c r="G416" s="414">
        <f t="shared" si="244"/>
        <v>1.59</v>
      </c>
      <c r="H416" s="414">
        <f t="shared" si="244"/>
        <v>1.59</v>
      </c>
      <c r="I416" s="414">
        <f t="shared" si="244"/>
        <v>1.59</v>
      </c>
      <c r="J416" s="414">
        <f t="shared" si="244"/>
        <v>1.59</v>
      </c>
      <c r="K416" s="414">
        <f t="shared" si="244"/>
        <v>1.59</v>
      </c>
      <c r="L416" s="414">
        <f t="shared" si="244"/>
        <v>1.59</v>
      </c>
      <c r="M416" s="414">
        <f t="shared" si="244"/>
        <v>1.59</v>
      </c>
      <c r="N416" s="250"/>
    </row>
    <row r="417" spans="1:15">
      <c r="A417" s="409" t="s">
        <v>17</v>
      </c>
      <c r="B417" s="411">
        <f t="shared" ref="B417:M417" si="245">B415*B416</f>
        <v>0</v>
      </c>
      <c r="C417" s="411">
        <f t="shared" si="245"/>
        <v>0</v>
      </c>
      <c r="D417" s="411">
        <f t="shared" si="245"/>
        <v>0</v>
      </c>
      <c r="E417" s="411">
        <f t="shared" si="245"/>
        <v>0</v>
      </c>
      <c r="F417" s="411">
        <f t="shared" si="245"/>
        <v>0</v>
      </c>
      <c r="G417" s="411">
        <f t="shared" si="245"/>
        <v>0</v>
      </c>
      <c r="H417" s="411">
        <f t="shared" si="245"/>
        <v>0</v>
      </c>
      <c r="I417" s="411">
        <f t="shared" si="245"/>
        <v>0</v>
      </c>
      <c r="J417" s="411">
        <f t="shared" si="245"/>
        <v>0</v>
      </c>
      <c r="K417" s="411">
        <f t="shared" si="245"/>
        <v>0</v>
      </c>
      <c r="L417" s="411">
        <f t="shared" si="245"/>
        <v>0</v>
      </c>
      <c r="M417" s="411">
        <f t="shared" si="245"/>
        <v>0</v>
      </c>
      <c r="N417" s="412">
        <f>SUM(B417:M417)</f>
        <v>0</v>
      </c>
    </row>
    <row r="418" spans="1:15">
      <c r="A418" s="409"/>
      <c r="B418" s="411"/>
      <c r="C418" s="411"/>
      <c r="D418" s="411"/>
      <c r="E418" s="411"/>
      <c r="F418" s="411"/>
      <c r="G418" s="411"/>
      <c r="H418" s="411"/>
      <c r="I418" s="411"/>
      <c r="J418" s="411"/>
      <c r="K418" s="411"/>
      <c r="L418" s="411"/>
      <c r="M418" s="411"/>
      <c r="N418" s="412"/>
    </row>
    <row r="419" spans="1:15">
      <c r="A419" s="405" t="s">
        <v>44</v>
      </c>
      <c r="B419" s="295"/>
      <c r="C419" s="295"/>
      <c r="D419" s="295"/>
      <c r="E419" s="295"/>
      <c r="F419" s="295"/>
      <c r="G419" s="295"/>
      <c r="H419" s="295"/>
      <c r="I419" s="295"/>
      <c r="J419" s="295"/>
      <c r="K419" s="295"/>
      <c r="L419" s="295"/>
      <c r="M419" s="295"/>
      <c r="N419" s="250"/>
      <c r="O419" s="450"/>
    </row>
    <row r="420" spans="1:15">
      <c r="A420" s="406" t="s">
        <v>16</v>
      </c>
      <c r="B420" s="407"/>
      <c r="C420" s="407"/>
      <c r="D420" s="407"/>
      <c r="E420" s="407"/>
      <c r="F420" s="407"/>
      <c r="G420" s="407"/>
      <c r="H420" s="407"/>
      <c r="I420" s="407"/>
      <c r="J420" s="407"/>
      <c r="K420" s="407"/>
      <c r="L420" s="407"/>
      <c r="M420" s="407"/>
      <c r="N420" s="408">
        <f>SUM(B420:M420)</f>
        <v>0</v>
      </c>
    </row>
    <row r="421" spans="1:15">
      <c r="A421" s="409" t="s">
        <v>20</v>
      </c>
      <c r="B421" s="414">
        <f>B416</f>
        <v>1.59</v>
      </c>
      <c r="C421" s="414">
        <f t="shared" ref="C421:M421" si="246">C416</f>
        <v>1.59</v>
      </c>
      <c r="D421" s="414">
        <f t="shared" si="246"/>
        <v>1.59</v>
      </c>
      <c r="E421" s="414">
        <f t="shared" si="246"/>
        <v>1.59</v>
      </c>
      <c r="F421" s="414">
        <f t="shared" si="246"/>
        <v>1.59</v>
      </c>
      <c r="G421" s="414">
        <f t="shared" si="246"/>
        <v>1.59</v>
      </c>
      <c r="H421" s="414">
        <f t="shared" si="246"/>
        <v>1.59</v>
      </c>
      <c r="I421" s="414">
        <f t="shared" si="246"/>
        <v>1.59</v>
      </c>
      <c r="J421" s="414">
        <f t="shared" si="246"/>
        <v>1.59</v>
      </c>
      <c r="K421" s="414">
        <f t="shared" si="246"/>
        <v>1.59</v>
      </c>
      <c r="L421" s="414">
        <f t="shared" si="246"/>
        <v>1.59</v>
      </c>
      <c r="M421" s="414">
        <f t="shared" si="246"/>
        <v>1.59</v>
      </c>
      <c r="N421" s="250"/>
    </row>
    <row r="422" spans="1:15">
      <c r="A422" s="409" t="s">
        <v>17</v>
      </c>
      <c r="B422" s="411">
        <f t="shared" ref="B422:M422" si="247">B420*B421</f>
        <v>0</v>
      </c>
      <c r="C422" s="411">
        <f t="shared" si="247"/>
        <v>0</v>
      </c>
      <c r="D422" s="411">
        <f t="shared" si="247"/>
        <v>0</v>
      </c>
      <c r="E422" s="411">
        <f t="shared" si="247"/>
        <v>0</v>
      </c>
      <c r="F422" s="411">
        <f t="shared" si="247"/>
        <v>0</v>
      </c>
      <c r="G422" s="411">
        <f t="shared" si="247"/>
        <v>0</v>
      </c>
      <c r="H422" s="411">
        <f t="shared" si="247"/>
        <v>0</v>
      </c>
      <c r="I422" s="411">
        <f t="shared" si="247"/>
        <v>0</v>
      </c>
      <c r="J422" s="411">
        <f t="shared" si="247"/>
        <v>0</v>
      </c>
      <c r="K422" s="411">
        <f t="shared" si="247"/>
        <v>0</v>
      </c>
      <c r="L422" s="411">
        <f t="shared" si="247"/>
        <v>0</v>
      </c>
      <c r="M422" s="411">
        <f t="shared" si="247"/>
        <v>0</v>
      </c>
      <c r="N422" s="412">
        <f>SUM(B422:M422)</f>
        <v>0</v>
      </c>
    </row>
    <row r="423" spans="1:15">
      <c r="A423" s="409"/>
      <c r="B423" s="411"/>
      <c r="C423" s="411"/>
      <c r="D423" s="411"/>
      <c r="E423" s="411"/>
      <c r="F423" s="411"/>
      <c r="G423" s="411"/>
      <c r="H423" s="411"/>
      <c r="I423" s="411"/>
      <c r="J423" s="411"/>
      <c r="K423" s="411"/>
      <c r="L423" s="411"/>
      <c r="M423" s="411"/>
      <c r="N423" s="412"/>
    </row>
    <row r="424" spans="1:15">
      <c r="A424" s="405" t="s">
        <v>112</v>
      </c>
      <c r="B424" s="295"/>
      <c r="C424" s="295"/>
      <c r="D424" s="295"/>
      <c r="E424" s="295"/>
      <c r="F424" s="295"/>
      <c r="G424" s="295"/>
      <c r="H424" s="295"/>
      <c r="I424" s="295"/>
      <c r="J424" s="295"/>
      <c r="K424" s="295"/>
      <c r="L424" s="295"/>
      <c r="M424" s="295"/>
      <c r="N424" s="250"/>
    </row>
    <row r="425" spans="1:15">
      <c r="A425" s="406" t="s">
        <v>16</v>
      </c>
      <c r="B425" s="407">
        <v>100000</v>
      </c>
      <c r="C425" s="407">
        <f>B425</f>
        <v>100000</v>
      </c>
      <c r="D425" s="407">
        <f t="shared" ref="D425" si="248">C425</f>
        <v>100000</v>
      </c>
      <c r="E425" s="407">
        <f t="shared" ref="E425" si="249">D425</f>
        <v>100000</v>
      </c>
      <c r="F425" s="407">
        <f t="shared" ref="F425" si="250">E425</f>
        <v>100000</v>
      </c>
      <c r="G425" s="407">
        <f t="shared" ref="G425" si="251">F425</f>
        <v>100000</v>
      </c>
      <c r="H425" s="407">
        <f t="shared" ref="H425" si="252">G425</f>
        <v>100000</v>
      </c>
      <c r="I425" s="407">
        <f t="shared" ref="I425" si="253">H425</f>
        <v>100000</v>
      </c>
      <c r="J425" s="407">
        <f t="shared" ref="J425" si="254">I425</f>
        <v>100000</v>
      </c>
      <c r="K425" s="407">
        <f t="shared" ref="K425" si="255">J425</f>
        <v>100000</v>
      </c>
      <c r="L425" s="407">
        <f t="shared" ref="L425" si="256">K425</f>
        <v>100000</v>
      </c>
      <c r="M425" s="407">
        <f t="shared" ref="M425" si="257">L425</f>
        <v>100000</v>
      </c>
      <c r="N425" s="408">
        <f>SUM(B425:M425)</f>
        <v>1200000</v>
      </c>
    </row>
    <row r="426" spans="1:15">
      <c r="A426" s="409" t="s">
        <v>20</v>
      </c>
      <c r="B426" s="414">
        <f>B421</f>
        <v>1.59</v>
      </c>
      <c r="C426" s="414">
        <f t="shared" ref="C426:M426" si="258">C421</f>
        <v>1.59</v>
      </c>
      <c r="D426" s="414">
        <f t="shared" si="258"/>
        <v>1.59</v>
      </c>
      <c r="E426" s="414">
        <f t="shared" si="258"/>
        <v>1.59</v>
      </c>
      <c r="F426" s="414">
        <f t="shared" si="258"/>
        <v>1.59</v>
      </c>
      <c r="G426" s="414">
        <f t="shared" si="258"/>
        <v>1.59</v>
      </c>
      <c r="H426" s="414">
        <f t="shared" si="258"/>
        <v>1.59</v>
      </c>
      <c r="I426" s="414">
        <f t="shared" si="258"/>
        <v>1.59</v>
      </c>
      <c r="J426" s="414">
        <f t="shared" si="258"/>
        <v>1.59</v>
      </c>
      <c r="K426" s="414">
        <f t="shared" si="258"/>
        <v>1.59</v>
      </c>
      <c r="L426" s="414">
        <f t="shared" si="258"/>
        <v>1.59</v>
      </c>
      <c r="M426" s="414">
        <f t="shared" si="258"/>
        <v>1.59</v>
      </c>
      <c r="N426" s="250"/>
    </row>
    <row r="427" spans="1:15">
      <c r="A427" s="409" t="s">
        <v>17</v>
      </c>
      <c r="B427" s="411">
        <f t="shared" ref="B427:M427" si="259">B425*B426</f>
        <v>159000</v>
      </c>
      <c r="C427" s="411">
        <f t="shared" si="259"/>
        <v>159000</v>
      </c>
      <c r="D427" s="411">
        <f t="shared" si="259"/>
        <v>159000</v>
      </c>
      <c r="E427" s="411">
        <f t="shared" si="259"/>
        <v>159000</v>
      </c>
      <c r="F427" s="411">
        <f t="shared" si="259"/>
        <v>159000</v>
      </c>
      <c r="G427" s="411">
        <f t="shared" si="259"/>
        <v>159000</v>
      </c>
      <c r="H427" s="411">
        <f t="shared" si="259"/>
        <v>159000</v>
      </c>
      <c r="I427" s="411">
        <f t="shared" si="259"/>
        <v>159000</v>
      </c>
      <c r="J427" s="411">
        <f t="shared" si="259"/>
        <v>159000</v>
      </c>
      <c r="K427" s="411">
        <f t="shared" si="259"/>
        <v>159000</v>
      </c>
      <c r="L427" s="411">
        <f t="shared" si="259"/>
        <v>159000</v>
      </c>
      <c r="M427" s="411">
        <f t="shared" si="259"/>
        <v>159000</v>
      </c>
      <c r="N427" s="412">
        <f>SUM(B427:M427)</f>
        <v>1908000</v>
      </c>
    </row>
    <row r="428" spans="1:15">
      <c r="A428" s="409"/>
      <c r="B428" s="411"/>
      <c r="C428" s="411"/>
      <c r="D428" s="411"/>
      <c r="E428" s="411"/>
      <c r="F428" s="411"/>
      <c r="G428" s="411"/>
      <c r="H428" s="411"/>
      <c r="I428" s="411"/>
      <c r="J428" s="411"/>
      <c r="K428" s="411"/>
      <c r="L428" s="411"/>
      <c r="M428" s="411"/>
      <c r="N428" s="412"/>
    </row>
    <row r="429" spans="1:15">
      <c r="A429" s="415" t="s">
        <v>25</v>
      </c>
      <c r="B429" s="416">
        <f t="shared" ref="B429:M429" si="260">B382+B387+B392+B397+B402+B407+B422+B417+B427+B412</f>
        <v>392819.04000000004</v>
      </c>
      <c r="C429" s="416">
        <f t="shared" si="260"/>
        <v>329219.04000000004</v>
      </c>
      <c r="D429" s="416">
        <f t="shared" si="260"/>
        <v>329219.04000000004</v>
      </c>
      <c r="E429" s="416">
        <f t="shared" si="260"/>
        <v>329219.04000000004</v>
      </c>
      <c r="F429" s="416">
        <f t="shared" si="260"/>
        <v>329219.04000000004</v>
      </c>
      <c r="G429" s="416">
        <f t="shared" si="260"/>
        <v>329219.04000000004</v>
      </c>
      <c r="H429" s="416">
        <f t="shared" si="260"/>
        <v>329219.04000000004</v>
      </c>
      <c r="I429" s="416">
        <f t="shared" si="260"/>
        <v>329219.04000000004</v>
      </c>
      <c r="J429" s="416">
        <f t="shared" si="260"/>
        <v>329219.04000000004</v>
      </c>
      <c r="K429" s="416">
        <f t="shared" si="260"/>
        <v>329219.04000000004</v>
      </c>
      <c r="L429" s="416">
        <f t="shared" si="260"/>
        <v>329219.04000000004</v>
      </c>
      <c r="M429" s="416">
        <f t="shared" si="260"/>
        <v>329219.04000000004</v>
      </c>
      <c r="N429" s="417">
        <f>SUM(B429:M429)</f>
        <v>4014228.4800000004</v>
      </c>
    </row>
    <row r="430" spans="1:15">
      <c r="A430" s="418" t="s">
        <v>59</v>
      </c>
      <c r="B430" s="423">
        <f>B380+B385+B390+B395+B400+B405+B415+B420+B425+B410</f>
        <v>247056</v>
      </c>
      <c r="C430" s="423">
        <f t="shared" ref="C430:M430" si="261">C380+C385+C390+C395+C400+C405+C415+C420+C425+C410</f>
        <v>207056</v>
      </c>
      <c r="D430" s="423">
        <f t="shared" si="261"/>
        <v>207056</v>
      </c>
      <c r="E430" s="423">
        <f t="shared" si="261"/>
        <v>207056</v>
      </c>
      <c r="F430" s="423">
        <f t="shared" si="261"/>
        <v>207056</v>
      </c>
      <c r="G430" s="423">
        <f t="shared" si="261"/>
        <v>207056</v>
      </c>
      <c r="H430" s="423">
        <f t="shared" si="261"/>
        <v>207056</v>
      </c>
      <c r="I430" s="423">
        <f t="shared" si="261"/>
        <v>207056</v>
      </c>
      <c r="J430" s="423">
        <f t="shared" si="261"/>
        <v>207056</v>
      </c>
      <c r="K430" s="423">
        <f t="shared" si="261"/>
        <v>207056</v>
      </c>
      <c r="L430" s="423">
        <f t="shared" si="261"/>
        <v>207056</v>
      </c>
      <c r="M430" s="423">
        <f t="shared" si="261"/>
        <v>207056</v>
      </c>
      <c r="N430" s="420">
        <f>SUM(B430:M430)</f>
        <v>2524672</v>
      </c>
    </row>
  </sheetData>
  <phoneticPr fontId="23" type="noConversion"/>
  <pageMargins left="0.59" right="0.2" top="0.55000000000000004" bottom="0.46" header="0.38" footer="0.18"/>
  <pageSetup scale="60" pageOrder="overThenDown" orientation="landscape" r:id="rId1"/>
  <headerFooter alignWithMargins="0">
    <oddHeader>&amp;A</oddHeader>
    <oddFooter>&amp;Z&amp;F</oddFooter>
  </headerFooter>
  <rowBreaks count="5" manualBreakCount="5">
    <brk id="67" max="16383" man="1"/>
    <brk id="136" max="13" man="1"/>
    <brk id="205" max="13" man="1"/>
    <brk id="265" max="13" man="1"/>
    <brk id="320" max="1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R447"/>
  <sheetViews>
    <sheetView zoomScaleNormal="100" workbookViewId="0">
      <pane xSplit="1" ySplit="5" topLeftCell="B6" activePane="bottomRight" state="frozen"/>
      <selection sqref="A1:XFD1428"/>
      <selection pane="topRight" sqref="A1:XFD1428"/>
      <selection pane="bottomLeft" sqref="A1:XFD1428"/>
      <selection pane="bottomRight" activeCell="A2" sqref="A2"/>
    </sheetView>
  </sheetViews>
  <sheetFormatPr defaultColWidth="9" defaultRowHeight="12"/>
  <cols>
    <col min="1" max="1" width="19.6640625" style="21" customWidth="1"/>
    <col min="2" max="2" width="10.109375" style="21" customWidth="1"/>
    <col min="3" max="3" width="9.109375" style="21" customWidth="1"/>
    <col min="4" max="12" width="7.33203125" style="21" customWidth="1"/>
    <col min="13" max="13" width="8.44140625" style="21" customWidth="1"/>
    <col min="14" max="14" width="8.109375" style="21" customWidth="1"/>
    <col min="15" max="16384" width="9" style="21"/>
  </cols>
  <sheetData>
    <row r="1" spans="1:18" ht="12.6">
      <c r="A1" s="482" t="s">
        <v>495</v>
      </c>
    </row>
    <row r="2" spans="1:18" s="15" customFormat="1" ht="13.8">
      <c r="A2" s="482" t="s">
        <v>458</v>
      </c>
      <c r="B2" s="13">
        <f ca="1">TRUNC(NOW())</f>
        <v>42476</v>
      </c>
      <c r="C2" s="14"/>
      <c r="D2" s="16" t="s">
        <v>89</v>
      </c>
      <c r="E2" s="14"/>
      <c r="F2" s="14"/>
      <c r="G2" s="14"/>
      <c r="H2" s="14"/>
      <c r="I2" s="14"/>
      <c r="J2" s="386" t="s">
        <v>319</v>
      </c>
      <c r="K2" s="386"/>
      <c r="L2" s="14"/>
      <c r="M2" s="14"/>
      <c r="N2" s="14"/>
      <c r="O2" s="14"/>
      <c r="P2" s="14"/>
      <c r="Q2" s="14"/>
      <c r="R2" s="14"/>
    </row>
    <row r="3" spans="1:18" s="15" customFormat="1" ht="13.8">
      <c r="A3" s="16"/>
      <c r="B3" s="17">
        <f ca="1">NOW()</f>
        <v>42476.370215393516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s="15" customFormat="1" ht="15.6">
      <c r="A4" s="392" t="s">
        <v>342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  <c r="Q4" s="14"/>
      <c r="R4" s="14"/>
    </row>
    <row r="5" spans="1:18" s="15" customFormat="1" ht="13.8">
      <c r="A5" s="22" t="s">
        <v>145</v>
      </c>
      <c r="B5" s="23" t="s">
        <v>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</row>
    <row r="6" spans="1:18" s="19" customFormat="1" ht="10.199999999999999">
      <c r="A6" s="24">
        <v>2014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8" s="19" customFormat="1" ht="10.199999999999999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8" s="19" customFormat="1" ht="13.2">
      <c r="A8" s="22" t="s">
        <v>19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8" s="19" customFormat="1" ht="10.199999999999999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8" s="19" customFormat="1" ht="10.199999999999999">
      <c r="A10" s="393" t="s">
        <v>344</v>
      </c>
    </row>
    <row r="11" spans="1:18" s="28" customFormat="1">
      <c r="A11" s="26" t="s">
        <v>16</v>
      </c>
      <c r="B11" s="27">
        <f>'TSAS Demand Revenues (7)'!B11</f>
        <v>5000</v>
      </c>
      <c r="C11" s="27">
        <f>'TSAS Demand Revenues (7)'!C11</f>
        <v>5000</v>
      </c>
      <c r="D11" s="27">
        <f>'TSAS Demand Revenues (7)'!D11</f>
        <v>5000</v>
      </c>
      <c r="E11" s="27">
        <f>'TSAS Demand Revenues (7)'!E11</f>
        <v>5000</v>
      </c>
      <c r="F11" s="27">
        <f>'TSAS Demand Revenues (7)'!F11</f>
        <v>5000</v>
      </c>
      <c r="G11" s="27">
        <f>'TSAS Demand Revenues (7)'!G11</f>
        <v>5000</v>
      </c>
      <c r="H11" s="27">
        <f>'TSAS Demand Revenues (7)'!H11</f>
        <v>5000</v>
      </c>
      <c r="I11" s="27">
        <f>'TSAS Demand Revenues (7)'!I11</f>
        <v>5000</v>
      </c>
      <c r="J11" s="27">
        <f>'TSAS Demand Revenues (7)'!J11</f>
        <v>5000</v>
      </c>
      <c r="K11" s="27">
        <f>'TSAS Demand Revenues (7)'!K11</f>
        <v>5000</v>
      </c>
      <c r="L11" s="27">
        <f>'TSAS Demand Revenues (7)'!L11</f>
        <v>5000</v>
      </c>
      <c r="M11" s="27">
        <f>'TSAS Demand Revenues (7)'!M11</f>
        <v>5000</v>
      </c>
      <c r="N11" s="27">
        <f>SUM(B11:M11)</f>
        <v>60000</v>
      </c>
      <c r="O11" s="326"/>
      <c r="P11" s="21"/>
    </row>
    <row r="12" spans="1:18" s="19" customFormat="1">
      <c r="A12" s="25" t="s">
        <v>20</v>
      </c>
      <c r="B12" s="31">
        <f>'charges (1 &amp; 2)'!$D$20</f>
        <v>1.274E-2</v>
      </c>
      <c r="C12" s="31">
        <f>'charges (1 &amp; 2)'!$D$20</f>
        <v>1.274E-2</v>
      </c>
      <c r="D12" s="31">
        <f>'charges (1 &amp; 2)'!$D$20</f>
        <v>1.274E-2</v>
      </c>
      <c r="E12" s="31">
        <f>'charges (1 &amp; 2)'!$D$20</f>
        <v>1.274E-2</v>
      </c>
      <c r="F12" s="31">
        <f>'charges (1 &amp; 2)'!$D$20</f>
        <v>1.274E-2</v>
      </c>
      <c r="G12" s="31">
        <f>'charges (1 &amp; 2)'!$D$20</f>
        <v>1.274E-2</v>
      </c>
      <c r="H12" s="31">
        <f>'charges (1 &amp; 2)'!$D$20</f>
        <v>1.274E-2</v>
      </c>
      <c r="I12" s="31">
        <f>'charges (1 &amp; 2)'!$D$20</f>
        <v>1.274E-2</v>
      </c>
      <c r="J12" s="31">
        <f>'charges (1 &amp; 2)'!$D$20</f>
        <v>1.274E-2</v>
      </c>
      <c r="K12" s="31">
        <f>'charges (1 &amp; 2)'!$D$20</f>
        <v>1.274E-2</v>
      </c>
      <c r="L12" s="31">
        <f>'charges (1 &amp; 2)'!$D$20</f>
        <v>1.274E-2</v>
      </c>
      <c r="M12" s="31">
        <f>'charges (1 &amp; 2)'!$D$20</f>
        <v>1.274E-2</v>
      </c>
      <c r="P12" s="21"/>
    </row>
    <row r="13" spans="1:18" s="19" customFormat="1">
      <c r="A13" s="25" t="s">
        <v>17</v>
      </c>
      <c r="B13" s="20">
        <f t="shared" ref="B13:M13" si="0">B11*B12</f>
        <v>63.699999999999996</v>
      </c>
      <c r="C13" s="20">
        <f t="shared" si="0"/>
        <v>63.699999999999996</v>
      </c>
      <c r="D13" s="20">
        <f t="shared" si="0"/>
        <v>63.699999999999996</v>
      </c>
      <c r="E13" s="20">
        <f t="shared" si="0"/>
        <v>63.699999999999996</v>
      </c>
      <c r="F13" s="20">
        <f t="shared" si="0"/>
        <v>63.699999999999996</v>
      </c>
      <c r="G13" s="20">
        <f t="shared" si="0"/>
        <v>63.699999999999996</v>
      </c>
      <c r="H13" s="20">
        <f t="shared" si="0"/>
        <v>63.699999999999996</v>
      </c>
      <c r="I13" s="20">
        <f t="shared" si="0"/>
        <v>63.699999999999996</v>
      </c>
      <c r="J13" s="20">
        <f t="shared" si="0"/>
        <v>63.699999999999996</v>
      </c>
      <c r="K13" s="20">
        <f t="shared" si="0"/>
        <v>63.699999999999996</v>
      </c>
      <c r="L13" s="20">
        <f t="shared" si="0"/>
        <v>63.699999999999996</v>
      </c>
      <c r="M13" s="20">
        <f t="shared" si="0"/>
        <v>63.699999999999996</v>
      </c>
      <c r="N13" s="20">
        <f>SUM(B13:M13)</f>
        <v>764.40000000000009</v>
      </c>
      <c r="P13" s="21"/>
    </row>
    <row r="14" spans="1:18" s="19" customFormat="1">
      <c r="P14" s="21"/>
    </row>
    <row r="15" spans="1:18" s="19" customFormat="1">
      <c r="A15" s="393" t="s">
        <v>287</v>
      </c>
      <c r="P15" s="21"/>
    </row>
    <row r="16" spans="1:18" s="28" customFormat="1">
      <c r="A16" s="26" t="s">
        <v>16</v>
      </c>
      <c r="B16" s="27">
        <f>'TSAS Demand Revenues (7)'!B16</f>
        <v>23000</v>
      </c>
      <c r="C16" s="27">
        <f>'TSAS Demand Revenues (7)'!C16</f>
        <v>23000</v>
      </c>
      <c r="D16" s="27">
        <f>'TSAS Demand Revenues (7)'!D16</f>
        <v>23000</v>
      </c>
      <c r="E16" s="27">
        <f>'TSAS Demand Revenues (7)'!E16</f>
        <v>23000</v>
      </c>
      <c r="F16" s="27">
        <f>'TSAS Demand Revenues (7)'!F16</f>
        <v>23000</v>
      </c>
      <c r="G16" s="27">
        <f>'TSAS Demand Revenues (7)'!G16</f>
        <v>23000</v>
      </c>
      <c r="H16" s="27">
        <f>'TSAS Demand Revenues (7)'!H16</f>
        <v>23000</v>
      </c>
      <c r="I16" s="27">
        <f>'TSAS Demand Revenues (7)'!I16</f>
        <v>23000</v>
      </c>
      <c r="J16" s="27">
        <f>'TSAS Demand Revenues (7)'!J16</f>
        <v>23000</v>
      </c>
      <c r="K16" s="27">
        <f>'TSAS Demand Revenues (7)'!K16</f>
        <v>23000</v>
      </c>
      <c r="L16" s="27">
        <f>'TSAS Demand Revenues (7)'!L16</f>
        <v>23000</v>
      </c>
      <c r="M16" s="27">
        <f>'TSAS Demand Revenues (7)'!M16</f>
        <v>23000</v>
      </c>
      <c r="N16" s="27">
        <f>SUM(B16:M16)</f>
        <v>276000</v>
      </c>
      <c r="P16" s="21"/>
    </row>
    <row r="17" spans="1:16" s="19" customFormat="1">
      <c r="A17" s="25" t="s">
        <v>20</v>
      </c>
      <c r="B17" s="31">
        <f>'charges (1 &amp; 2)'!$D$23</f>
        <v>1.274E-2</v>
      </c>
      <c r="C17" s="31">
        <f>'charges (1 &amp; 2)'!$D$23</f>
        <v>1.274E-2</v>
      </c>
      <c r="D17" s="31">
        <f>'charges (1 &amp; 2)'!$D$23</f>
        <v>1.274E-2</v>
      </c>
      <c r="E17" s="31">
        <f>'charges (1 &amp; 2)'!$D$23</f>
        <v>1.274E-2</v>
      </c>
      <c r="F17" s="31">
        <f>'charges (1 &amp; 2)'!$D$23</f>
        <v>1.274E-2</v>
      </c>
      <c r="G17" s="31">
        <f>'charges (1 &amp; 2)'!$D$23</f>
        <v>1.274E-2</v>
      </c>
      <c r="H17" s="31">
        <f>'charges (1 &amp; 2)'!$D$23</f>
        <v>1.274E-2</v>
      </c>
      <c r="I17" s="31">
        <f>'charges (1 &amp; 2)'!$D$23</f>
        <v>1.274E-2</v>
      </c>
      <c r="J17" s="31">
        <f>'charges (1 &amp; 2)'!$D$23</f>
        <v>1.274E-2</v>
      </c>
      <c r="K17" s="31">
        <f>'charges (1 &amp; 2)'!$D$23</f>
        <v>1.274E-2</v>
      </c>
      <c r="L17" s="31">
        <f>'charges (1 &amp; 2)'!$D$23</f>
        <v>1.274E-2</v>
      </c>
      <c r="M17" s="31">
        <f>'charges (1 &amp; 2)'!$D$23</f>
        <v>1.274E-2</v>
      </c>
      <c r="P17" s="21"/>
    </row>
    <row r="18" spans="1:16" s="19" customFormat="1">
      <c r="A18" s="25" t="s">
        <v>17</v>
      </c>
      <c r="B18" s="20">
        <f t="shared" ref="B18:M18" si="1">B16*B17</f>
        <v>293.02</v>
      </c>
      <c r="C18" s="20">
        <f t="shared" si="1"/>
        <v>293.02</v>
      </c>
      <c r="D18" s="20">
        <f t="shared" si="1"/>
        <v>293.02</v>
      </c>
      <c r="E18" s="20">
        <f t="shared" si="1"/>
        <v>293.02</v>
      </c>
      <c r="F18" s="20">
        <f t="shared" si="1"/>
        <v>293.02</v>
      </c>
      <c r="G18" s="20">
        <f t="shared" si="1"/>
        <v>293.02</v>
      </c>
      <c r="H18" s="20">
        <f t="shared" si="1"/>
        <v>293.02</v>
      </c>
      <c r="I18" s="20">
        <f t="shared" si="1"/>
        <v>293.02</v>
      </c>
      <c r="J18" s="20">
        <f t="shared" si="1"/>
        <v>293.02</v>
      </c>
      <c r="K18" s="20">
        <f t="shared" si="1"/>
        <v>293.02</v>
      </c>
      <c r="L18" s="20">
        <f t="shared" si="1"/>
        <v>293.02</v>
      </c>
      <c r="M18" s="20">
        <f t="shared" si="1"/>
        <v>293.02</v>
      </c>
      <c r="N18" s="20">
        <f>SUM(B18:M18)</f>
        <v>3516.24</v>
      </c>
      <c r="P18" s="21"/>
    </row>
    <row r="19" spans="1:16" s="19" customFormat="1">
      <c r="B19" s="20"/>
      <c r="P19" s="21"/>
    </row>
    <row r="20" spans="1:16" s="19" customFormat="1">
      <c r="A20" s="393" t="s">
        <v>112</v>
      </c>
      <c r="P20" s="21"/>
    </row>
    <row r="21" spans="1:16" s="28" customFormat="1">
      <c r="A21" s="26" t="s">
        <v>16</v>
      </c>
      <c r="B21" s="27">
        <f>'TSAS Demand Revenues (7)'!B21</f>
        <v>150000</v>
      </c>
      <c r="C21" s="27">
        <f>'TSAS Demand Revenues (7)'!C21</f>
        <v>150000</v>
      </c>
      <c r="D21" s="27">
        <f>'TSAS Demand Revenues (7)'!D21</f>
        <v>150000</v>
      </c>
      <c r="E21" s="27">
        <f>'TSAS Demand Revenues (7)'!E21</f>
        <v>150000</v>
      </c>
      <c r="F21" s="27">
        <f>'TSAS Demand Revenues (7)'!F21</f>
        <v>150000</v>
      </c>
      <c r="G21" s="27">
        <f>'TSAS Demand Revenues (7)'!G21</f>
        <v>150000</v>
      </c>
      <c r="H21" s="27">
        <f>'TSAS Demand Revenues (7)'!H21</f>
        <v>150000</v>
      </c>
      <c r="I21" s="27">
        <f>'TSAS Demand Revenues (7)'!I21</f>
        <v>150000</v>
      </c>
      <c r="J21" s="27">
        <f>'TSAS Demand Revenues (7)'!J21</f>
        <v>150000</v>
      </c>
      <c r="K21" s="27">
        <f>'TSAS Demand Revenues (7)'!K21</f>
        <v>150000</v>
      </c>
      <c r="L21" s="27">
        <f>'TSAS Demand Revenues (7)'!L21</f>
        <v>150000</v>
      </c>
      <c r="M21" s="27">
        <f>'TSAS Demand Revenues (7)'!M21</f>
        <v>150000</v>
      </c>
      <c r="N21" s="27">
        <f>SUM(B21:M21)</f>
        <v>1800000</v>
      </c>
      <c r="P21" s="21"/>
    </row>
    <row r="22" spans="1:16" s="19" customFormat="1">
      <c r="A22" s="25" t="s">
        <v>20</v>
      </c>
      <c r="B22" s="32">
        <f>B17</f>
        <v>1.274E-2</v>
      </c>
      <c r="C22" s="32">
        <f t="shared" ref="C22:M22" si="2">C17</f>
        <v>1.274E-2</v>
      </c>
      <c r="D22" s="32">
        <f t="shared" si="2"/>
        <v>1.274E-2</v>
      </c>
      <c r="E22" s="32">
        <f t="shared" si="2"/>
        <v>1.274E-2</v>
      </c>
      <c r="F22" s="32">
        <f t="shared" si="2"/>
        <v>1.274E-2</v>
      </c>
      <c r="G22" s="32">
        <f t="shared" si="2"/>
        <v>1.274E-2</v>
      </c>
      <c r="H22" s="32">
        <f t="shared" si="2"/>
        <v>1.274E-2</v>
      </c>
      <c r="I22" s="32">
        <f t="shared" si="2"/>
        <v>1.274E-2</v>
      </c>
      <c r="J22" s="32">
        <f t="shared" si="2"/>
        <v>1.274E-2</v>
      </c>
      <c r="K22" s="32">
        <f t="shared" si="2"/>
        <v>1.274E-2</v>
      </c>
      <c r="L22" s="32">
        <f t="shared" si="2"/>
        <v>1.274E-2</v>
      </c>
      <c r="M22" s="32">
        <f t="shared" si="2"/>
        <v>1.274E-2</v>
      </c>
      <c r="P22" s="21"/>
    </row>
    <row r="23" spans="1:16" s="19" customFormat="1">
      <c r="A23" s="25" t="s">
        <v>17</v>
      </c>
      <c r="B23" s="20">
        <f t="shared" ref="B23:M23" si="3">B21*B22</f>
        <v>1911</v>
      </c>
      <c r="C23" s="20">
        <f t="shared" si="3"/>
        <v>1911</v>
      </c>
      <c r="D23" s="20">
        <f t="shared" si="3"/>
        <v>1911</v>
      </c>
      <c r="E23" s="20">
        <f t="shared" si="3"/>
        <v>1911</v>
      </c>
      <c r="F23" s="20">
        <f t="shared" si="3"/>
        <v>1911</v>
      </c>
      <c r="G23" s="20">
        <f t="shared" si="3"/>
        <v>1911</v>
      </c>
      <c r="H23" s="20">
        <f t="shared" si="3"/>
        <v>1911</v>
      </c>
      <c r="I23" s="20">
        <f t="shared" si="3"/>
        <v>1911</v>
      </c>
      <c r="J23" s="20">
        <f t="shared" si="3"/>
        <v>1911</v>
      </c>
      <c r="K23" s="20">
        <f t="shared" si="3"/>
        <v>1911</v>
      </c>
      <c r="L23" s="20">
        <f t="shared" si="3"/>
        <v>1911</v>
      </c>
      <c r="M23" s="20">
        <f t="shared" si="3"/>
        <v>1911</v>
      </c>
      <c r="N23" s="20">
        <f>SUM(B23:M23)</f>
        <v>22932</v>
      </c>
      <c r="P23" s="21"/>
    </row>
    <row r="24" spans="1:16" s="19" customFormat="1">
      <c r="B24" s="20"/>
      <c r="P24" s="21"/>
    </row>
    <row r="25" spans="1:16" s="19" customFormat="1" ht="10.199999999999999">
      <c r="A25" s="393" t="s">
        <v>23</v>
      </c>
      <c r="P25" s="28"/>
    </row>
    <row r="26" spans="1:16" s="28" customFormat="1" ht="10.199999999999999">
      <c r="A26" s="26" t="s">
        <v>16</v>
      </c>
      <c r="B26" s="27">
        <f>'TSAS Demand Revenues (7)'!B26</f>
        <v>37056</v>
      </c>
      <c r="C26" s="27">
        <f>'TSAS Demand Revenues (7)'!C26</f>
        <v>37056</v>
      </c>
      <c r="D26" s="27">
        <f>'TSAS Demand Revenues (7)'!D26</f>
        <v>37056</v>
      </c>
      <c r="E26" s="27">
        <f>'TSAS Demand Revenues (7)'!E26</f>
        <v>37056</v>
      </c>
      <c r="F26" s="27">
        <f>'TSAS Demand Revenues (7)'!F26</f>
        <v>37056</v>
      </c>
      <c r="G26" s="27">
        <f>'TSAS Demand Revenues (7)'!G26</f>
        <v>37056</v>
      </c>
      <c r="H26" s="27">
        <f>'TSAS Demand Revenues (7)'!H26</f>
        <v>37056</v>
      </c>
      <c r="I26" s="27">
        <f>'TSAS Demand Revenues (7)'!I26</f>
        <v>37056</v>
      </c>
      <c r="J26" s="27">
        <f>'TSAS Demand Revenues (7)'!J26</f>
        <v>37056</v>
      </c>
      <c r="K26" s="27">
        <f>'TSAS Demand Revenues (7)'!K26</f>
        <v>37056</v>
      </c>
      <c r="L26" s="27">
        <f>'TSAS Demand Revenues (7)'!L26</f>
        <v>37056</v>
      </c>
      <c r="M26" s="27">
        <f>'TSAS Demand Revenues (7)'!M26</f>
        <v>37056</v>
      </c>
      <c r="N26" s="27">
        <f>SUM(B26:M26)</f>
        <v>444672</v>
      </c>
    </row>
    <row r="27" spans="1:16" s="19" customFormat="1" ht="10.199999999999999">
      <c r="A27" s="25" t="s">
        <v>20</v>
      </c>
      <c r="B27" s="32">
        <f>'charges (1 &amp; 2)'!$D$14</f>
        <v>1.274E-2</v>
      </c>
      <c r="C27" s="32">
        <f>'charges (1 &amp; 2)'!$D$14</f>
        <v>1.274E-2</v>
      </c>
      <c r="D27" s="32">
        <f>'charges (1 &amp; 2)'!$D$14</f>
        <v>1.274E-2</v>
      </c>
      <c r="E27" s="32">
        <f>'charges (1 &amp; 2)'!$D$14</f>
        <v>1.274E-2</v>
      </c>
      <c r="F27" s="32">
        <f>'charges (1 &amp; 2)'!$D$14</f>
        <v>1.274E-2</v>
      </c>
      <c r="G27" s="32">
        <f>'charges (1 &amp; 2)'!$D$14</f>
        <v>1.274E-2</v>
      </c>
      <c r="H27" s="32">
        <f>'charges (1 &amp; 2)'!$D$14</f>
        <v>1.274E-2</v>
      </c>
      <c r="I27" s="32">
        <f>'charges (1 &amp; 2)'!$D$14</f>
        <v>1.274E-2</v>
      </c>
      <c r="J27" s="32">
        <f>'charges (1 &amp; 2)'!$D$14</f>
        <v>1.274E-2</v>
      </c>
      <c r="K27" s="32">
        <f>'charges (1 &amp; 2)'!$D$14</f>
        <v>1.274E-2</v>
      </c>
      <c r="L27" s="32">
        <f>'charges (1 &amp; 2)'!$D$14</f>
        <v>1.274E-2</v>
      </c>
      <c r="M27" s="32">
        <f>'charges (1 &amp; 2)'!$D$14</f>
        <v>1.274E-2</v>
      </c>
    </row>
    <row r="28" spans="1:16" s="19" customFormat="1" ht="10.199999999999999">
      <c r="A28" s="25" t="s">
        <v>17</v>
      </c>
      <c r="B28" s="20">
        <f t="shared" ref="B28:M28" si="4">B26*B27</f>
        <v>472.09343999999999</v>
      </c>
      <c r="C28" s="20">
        <f t="shared" si="4"/>
        <v>472.09343999999999</v>
      </c>
      <c r="D28" s="20">
        <f t="shared" si="4"/>
        <v>472.09343999999999</v>
      </c>
      <c r="E28" s="20">
        <f t="shared" si="4"/>
        <v>472.09343999999999</v>
      </c>
      <c r="F28" s="20">
        <f t="shared" si="4"/>
        <v>472.09343999999999</v>
      </c>
      <c r="G28" s="20">
        <f t="shared" si="4"/>
        <v>472.09343999999999</v>
      </c>
      <c r="H28" s="20">
        <f t="shared" si="4"/>
        <v>472.09343999999999</v>
      </c>
      <c r="I28" s="20">
        <f t="shared" si="4"/>
        <v>472.09343999999999</v>
      </c>
      <c r="J28" s="20">
        <f t="shared" si="4"/>
        <v>472.09343999999999</v>
      </c>
      <c r="K28" s="20">
        <f t="shared" si="4"/>
        <v>472.09343999999999</v>
      </c>
      <c r="L28" s="20">
        <f t="shared" si="4"/>
        <v>472.09343999999999</v>
      </c>
      <c r="M28" s="20">
        <f t="shared" si="4"/>
        <v>472.09343999999999</v>
      </c>
      <c r="N28" s="20">
        <f>SUM(B28:M28)</f>
        <v>5665.1212799999994</v>
      </c>
    </row>
    <row r="29" spans="1:16" s="19" customFormat="1" ht="10.199999999999999">
      <c r="B29" s="20"/>
    </row>
    <row r="30" spans="1:16" s="19" customFormat="1" ht="10.199999999999999">
      <c r="A30" s="393" t="s">
        <v>24</v>
      </c>
    </row>
    <row r="31" spans="1:16" s="28" customFormat="1" ht="10.199999999999999">
      <c r="A31" s="26" t="s">
        <v>16</v>
      </c>
      <c r="B31" s="27">
        <f>'TSAS Demand Revenues (7)'!B31</f>
        <v>52000</v>
      </c>
      <c r="C31" s="27">
        <f>'TSAS Demand Revenues (7)'!C31</f>
        <v>52000</v>
      </c>
      <c r="D31" s="27">
        <f>'TSAS Demand Revenues (7)'!D31</f>
        <v>52000</v>
      </c>
      <c r="E31" s="27">
        <f>'TSAS Demand Revenues (7)'!E31</f>
        <v>52000</v>
      </c>
      <c r="F31" s="27">
        <f>'TSAS Demand Revenues (7)'!F31</f>
        <v>52000</v>
      </c>
      <c r="G31" s="27">
        <f>'TSAS Demand Revenues (7)'!G31</f>
        <v>52000</v>
      </c>
      <c r="H31" s="27">
        <f>'TSAS Demand Revenues (7)'!H31</f>
        <v>52000</v>
      </c>
      <c r="I31" s="27">
        <f>'TSAS Demand Revenues (7)'!I31</f>
        <v>52000</v>
      </c>
      <c r="J31" s="27">
        <f>'TSAS Demand Revenues (7)'!J31</f>
        <v>52000</v>
      </c>
      <c r="K31" s="27">
        <f>'TSAS Demand Revenues (7)'!K31</f>
        <v>52000</v>
      </c>
      <c r="L31" s="27">
        <f>'TSAS Demand Revenues (7)'!L31</f>
        <v>52000</v>
      </c>
      <c r="M31" s="27">
        <f>'TSAS Demand Revenues (7)'!M31</f>
        <v>52000</v>
      </c>
      <c r="N31" s="27">
        <f>SUM(B31:M31)</f>
        <v>624000</v>
      </c>
    </row>
    <row r="32" spans="1:16" s="19" customFormat="1" ht="10.199999999999999">
      <c r="A32" s="25" t="s">
        <v>20</v>
      </c>
      <c r="B32" s="32">
        <f>'charges (1 &amp; 2)'!$D$17</f>
        <v>1.274E-2</v>
      </c>
      <c r="C32" s="32">
        <f>'charges (1 &amp; 2)'!$D$17</f>
        <v>1.274E-2</v>
      </c>
      <c r="D32" s="32">
        <f>'charges (1 &amp; 2)'!$D$17</f>
        <v>1.274E-2</v>
      </c>
      <c r="E32" s="32">
        <f>'charges (1 &amp; 2)'!$D$17</f>
        <v>1.274E-2</v>
      </c>
      <c r="F32" s="32">
        <f>'charges (1 &amp; 2)'!$D$17</f>
        <v>1.274E-2</v>
      </c>
      <c r="G32" s="32">
        <f>'charges (1 &amp; 2)'!$D$17</f>
        <v>1.274E-2</v>
      </c>
      <c r="H32" s="32">
        <f>'charges (1 &amp; 2)'!$D$17</f>
        <v>1.274E-2</v>
      </c>
      <c r="I32" s="32">
        <f>'charges (1 &amp; 2)'!$D$17</f>
        <v>1.274E-2</v>
      </c>
      <c r="J32" s="32">
        <f>'charges (1 &amp; 2)'!$D$17</f>
        <v>1.274E-2</v>
      </c>
      <c r="K32" s="32">
        <f>'charges (1 &amp; 2)'!$D$17</f>
        <v>1.274E-2</v>
      </c>
      <c r="L32" s="32">
        <f>'charges (1 &amp; 2)'!$D$17</f>
        <v>1.274E-2</v>
      </c>
      <c r="M32" s="32">
        <f>'charges (1 &amp; 2)'!$D$17</f>
        <v>1.274E-2</v>
      </c>
    </row>
    <row r="33" spans="1:14" s="19" customFormat="1" ht="10.199999999999999">
      <c r="A33" s="25" t="s">
        <v>17</v>
      </c>
      <c r="B33" s="20">
        <f t="shared" ref="B33:M33" si="5">B31*B32</f>
        <v>662.48</v>
      </c>
      <c r="C33" s="20">
        <f t="shared" si="5"/>
        <v>662.48</v>
      </c>
      <c r="D33" s="20">
        <f t="shared" si="5"/>
        <v>662.48</v>
      </c>
      <c r="E33" s="20">
        <f t="shared" si="5"/>
        <v>662.48</v>
      </c>
      <c r="F33" s="20">
        <f t="shared" si="5"/>
        <v>662.48</v>
      </c>
      <c r="G33" s="20">
        <f t="shared" si="5"/>
        <v>662.48</v>
      </c>
      <c r="H33" s="20">
        <f t="shared" si="5"/>
        <v>662.48</v>
      </c>
      <c r="I33" s="20">
        <f t="shared" si="5"/>
        <v>662.48</v>
      </c>
      <c r="J33" s="20">
        <f t="shared" si="5"/>
        <v>662.48</v>
      </c>
      <c r="K33" s="20">
        <f t="shared" si="5"/>
        <v>662.48</v>
      </c>
      <c r="L33" s="20">
        <f t="shared" si="5"/>
        <v>662.48</v>
      </c>
      <c r="M33" s="20">
        <f t="shared" si="5"/>
        <v>662.48</v>
      </c>
      <c r="N33" s="20">
        <f>SUM(B33:M33)</f>
        <v>7949.7599999999984</v>
      </c>
    </row>
    <row r="34" spans="1:14" s="19" customFormat="1" ht="10.199999999999999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s="19" customFormat="1" ht="10.199999999999999">
      <c r="A35" s="393" t="s">
        <v>224</v>
      </c>
    </row>
    <row r="36" spans="1:14" s="19" customFormat="1" ht="10.199999999999999">
      <c r="A36" s="26" t="s">
        <v>16</v>
      </c>
      <c r="B36" s="27">
        <f>'TSAS Reactive Revenues (2)'!B60</f>
        <v>160000</v>
      </c>
      <c r="C36" s="27">
        <f>'TSAS Reactive Revenues (2)'!C60</f>
        <v>160000</v>
      </c>
      <c r="D36" s="27">
        <f>'TSAS Reactive Revenues (2)'!D60</f>
        <v>160000</v>
      </c>
      <c r="E36" s="27">
        <f>'TSAS Reactive Revenues (2)'!E60</f>
        <v>160000</v>
      </c>
      <c r="F36" s="27">
        <f>'TSAS Reactive Revenues (2)'!F60</f>
        <v>160000</v>
      </c>
      <c r="G36" s="27">
        <f>'TSAS Reactive Revenues (2)'!G60</f>
        <v>160000</v>
      </c>
      <c r="H36" s="27">
        <f>'TSAS Reactive Revenues (2)'!H60</f>
        <v>160000</v>
      </c>
      <c r="I36" s="27">
        <f>'TSAS Reactive Revenues (2)'!I60</f>
        <v>160000</v>
      </c>
      <c r="J36" s="27">
        <f>'TSAS Reactive Revenues (2)'!J60</f>
        <v>160000</v>
      </c>
      <c r="K36" s="27">
        <f>'TSAS Reactive Revenues (2)'!K60</f>
        <v>160000</v>
      </c>
      <c r="L36" s="27">
        <f>'TSAS Reactive Revenues (2)'!L60</f>
        <v>160000</v>
      </c>
      <c r="M36" s="27">
        <f>'TSAS Reactive Revenues (2)'!M60</f>
        <v>160000</v>
      </c>
      <c r="N36" s="27">
        <f>SUM(B36:M36)</f>
        <v>1920000</v>
      </c>
    </row>
    <row r="37" spans="1:14" s="19" customFormat="1" ht="10.199999999999999">
      <c r="A37" s="25" t="s">
        <v>20</v>
      </c>
      <c r="B37" s="32">
        <f>B32</f>
        <v>1.274E-2</v>
      </c>
      <c r="C37" s="32">
        <f>B37</f>
        <v>1.274E-2</v>
      </c>
      <c r="D37" s="32">
        <f t="shared" ref="D37:M37" si="6">C37</f>
        <v>1.274E-2</v>
      </c>
      <c r="E37" s="32">
        <f t="shared" si="6"/>
        <v>1.274E-2</v>
      </c>
      <c r="F37" s="32">
        <f t="shared" si="6"/>
        <v>1.274E-2</v>
      </c>
      <c r="G37" s="32">
        <f t="shared" si="6"/>
        <v>1.274E-2</v>
      </c>
      <c r="H37" s="32">
        <f t="shared" si="6"/>
        <v>1.274E-2</v>
      </c>
      <c r="I37" s="32">
        <f t="shared" si="6"/>
        <v>1.274E-2</v>
      </c>
      <c r="J37" s="32">
        <f t="shared" si="6"/>
        <v>1.274E-2</v>
      </c>
      <c r="K37" s="32">
        <f t="shared" si="6"/>
        <v>1.274E-2</v>
      </c>
      <c r="L37" s="32">
        <f t="shared" si="6"/>
        <v>1.274E-2</v>
      </c>
      <c r="M37" s="32">
        <f t="shared" si="6"/>
        <v>1.274E-2</v>
      </c>
    </row>
    <row r="38" spans="1:14" s="19" customFormat="1" ht="10.199999999999999">
      <c r="A38" s="25" t="s">
        <v>17</v>
      </c>
      <c r="B38" s="20">
        <f t="shared" ref="B38:M38" si="7">B36*B37</f>
        <v>2038.3999999999999</v>
      </c>
      <c r="C38" s="20">
        <f t="shared" si="7"/>
        <v>2038.3999999999999</v>
      </c>
      <c r="D38" s="20">
        <f t="shared" si="7"/>
        <v>2038.3999999999999</v>
      </c>
      <c r="E38" s="20">
        <f t="shared" si="7"/>
        <v>2038.3999999999999</v>
      </c>
      <c r="F38" s="20">
        <f t="shared" si="7"/>
        <v>2038.3999999999999</v>
      </c>
      <c r="G38" s="20">
        <f t="shared" si="7"/>
        <v>2038.3999999999999</v>
      </c>
      <c r="H38" s="20">
        <f t="shared" si="7"/>
        <v>2038.3999999999999</v>
      </c>
      <c r="I38" s="20">
        <f t="shared" si="7"/>
        <v>2038.3999999999999</v>
      </c>
      <c r="J38" s="20">
        <f t="shared" si="7"/>
        <v>2038.3999999999999</v>
      </c>
      <c r="K38" s="20">
        <f t="shared" si="7"/>
        <v>2038.3999999999999</v>
      </c>
      <c r="L38" s="20">
        <f t="shared" si="7"/>
        <v>2038.3999999999999</v>
      </c>
      <c r="M38" s="20">
        <f t="shared" si="7"/>
        <v>2038.3999999999999</v>
      </c>
      <c r="N38" s="20">
        <f>SUM(B38:M38)</f>
        <v>24460.800000000003</v>
      </c>
    </row>
    <row r="39" spans="1:14" s="19" customFormat="1" ht="10.199999999999999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s="19" customFormat="1" ht="10.199999999999999">
      <c r="A40" s="393" t="s">
        <v>111</v>
      </c>
    </row>
    <row r="41" spans="1:14" s="19" customFormat="1" ht="10.199999999999999">
      <c r="A41" s="26" t="s">
        <v>16</v>
      </c>
      <c r="B41" s="27">
        <f>'TSAS Demand Revenues (7)'!B36</f>
        <v>40000</v>
      </c>
      <c r="C41" s="27">
        <f>'TSAS Demand Revenues (7)'!C36</f>
        <v>40000</v>
      </c>
      <c r="D41" s="27">
        <f>'TSAS Demand Revenues (7)'!D36</f>
        <v>40000</v>
      </c>
      <c r="E41" s="27">
        <f>'TSAS Demand Revenues (7)'!E36</f>
        <v>40000</v>
      </c>
      <c r="F41" s="27">
        <f>'TSAS Demand Revenues (7)'!F36</f>
        <v>40000</v>
      </c>
      <c r="G41" s="27">
        <f>'TSAS Demand Revenues (7)'!G36</f>
        <v>40000</v>
      </c>
      <c r="H41" s="27">
        <f>'TSAS Demand Revenues (7)'!H36</f>
        <v>40000</v>
      </c>
      <c r="I41" s="27">
        <f>'TSAS Demand Revenues (7)'!I36</f>
        <v>40000</v>
      </c>
      <c r="J41" s="27">
        <f>'TSAS Demand Revenues (7)'!J36</f>
        <v>40000</v>
      </c>
      <c r="K41" s="27">
        <f>'TSAS Demand Revenues (7)'!K36</f>
        <v>40000</v>
      </c>
      <c r="L41" s="27">
        <f>'TSAS Demand Revenues (7)'!L36</f>
        <v>40000</v>
      </c>
      <c r="M41" s="27">
        <f>'TSAS Demand Revenues (7)'!M36</f>
        <v>40000</v>
      </c>
      <c r="N41" s="27">
        <f>SUM(B41:M41)</f>
        <v>480000</v>
      </c>
    </row>
    <row r="42" spans="1:14" s="19" customFormat="1" ht="10.199999999999999">
      <c r="A42" s="25" t="s">
        <v>20</v>
      </c>
      <c r="B42" s="32">
        <f>'TSAS Scheduling Revenue (1)'!B32</f>
        <v>1.274E-2</v>
      </c>
      <c r="C42" s="32">
        <f>'TSAS Scheduling Revenue (1)'!C32</f>
        <v>1.274E-2</v>
      </c>
      <c r="D42" s="32">
        <f>'TSAS Scheduling Revenue (1)'!D32</f>
        <v>1.274E-2</v>
      </c>
      <c r="E42" s="32">
        <f>'TSAS Scheduling Revenue (1)'!E32</f>
        <v>1.274E-2</v>
      </c>
      <c r="F42" s="32">
        <f>'TSAS Scheduling Revenue (1)'!F32</f>
        <v>1.274E-2</v>
      </c>
      <c r="G42" s="32">
        <f>'TSAS Scheduling Revenue (1)'!G32</f>
        <v>1.274E-2</v>
      </c>
      <c r="H42" s="32">
        <f>'TSAS Scheduling Revenue (1)'!H32</f>
        <v>1.274E-2</v>
      </c>
      <c r="I42" s="32">
        <f>'TSAS Scheduling Revenue (1)'!I32</f>
        <v>1.274E-2</v>
      </c>
      <c r="J42" s="32">
        <f>'TSAS Scheduling Revenue (1)'!J32</f>
        <v>1.274E-2</v>
      </c>
      <c r="K42" s="32">
        <f>'TSAS Scheduling Revenue (1)'!K32</f>
        <v>1.274E-2</v>
      </c>
      <c r="L42" s="32">
        <f>'TSAS Scheduling Revenue (1)'!L32</f>
        <v>1.274E-2</v>
      </c>
      <c r="M42" s="32">
        <f>'TSAS Scheduling Revenue (1)'!M32</f>
        <v>1.274E-2</v>
      </c>
    </row>
    <row r="43" spans="1:14" s="19" customFormat="1" ht="10.199999999999999">
      <c r="A43" s="25" t="s">
        <v>17</v>
      </c>
      <c r="B43" s="20">
        <f t="shared" ref="B43:M43" si="8">B41*B42</f>
        <v>509.59999999999997</v>
      </c>
      <c r="C43" s="20">
        <f t="shared" si="8"/>
        <v>509.59999999999997</v>
      </c>
      <c r="D43" s="20">
        <f t="shared" si="8"/>
        <v>509.59999999999997</v>
      </c>
      <c r="E43" s="20">
        <f t="shared" si="8"/>
        <v>509.59999999999997</v>
      </c>
      <c r="F43" s="20">
        <f t="shared" si="8"/>
        <v>509.59999999999997</v>
      </c>
      <c r="G43" s="20">
        <f t="shared" si="8"/>
        <v>509.59999999999997</v>
      </c>
      <c r="H43" s="20">
        <f t="shared" si="8"/>
        <v>509.59999999999997</v>
      </c>
      <c r="I43" s="20">
        <f t="shared" si="8"/>
        <v>509.59999999999997</v>
      </c>
      <c r="J43" s="20">
        <f t="shared" si="8"/>
        <v>509.59999999999997</v>
      </c>
      <c r="K43" s="20">
        <f t="shared" si="8"/>
        <v>509.59999999999997</v>
      </c>
      <c r="L43" s="20">
        <f t="shared" si="8"/>
        <v>509.59999999999997</v>
      </c>
      <c r="M43" s="20">
        <f t="shared" si="8"/>
        <v>509.59999999999997</v>
      </c>
      <c r="N43" s="27">
        <f>SUM(B43:M43)</f>
        <v>6115.2000000000007</v>
      </c>
    </row>
    <row r="44" spans="1:14" s="19" customFormat="1" ht="10.199999999999999">
      <c r="A44" s="25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s="19" customFormat="1" ht="10.199999999999999">
      <c r="A45" s="393" t="s">
        <v>44</v>
      </c>
    </row>
    <row r="46" spans="1:14" s="19" customFormat="1" ht="10.199999999999999">
      <c r="A46" s="26" t="s">
        <v>16</v>
      </c>
      <c r="B46" s="27">
        <f>'TSAS Demand Revenues (7)'!B51</f>
        <v>25000</v>
      </c>
      <c r="C46" s="27">
        <f>'TSAS Demand Revenues (7)'!C51</f>
        <v>25000</v>
      </c>
      <c r="D46" s="27">
        <f>'TSAS Demand Revenues (7)'!D51</f>
        <v>25000</v>
      </c>
      <c r="E46" s="27">
        <f>'TSAS Demand Revenues (7)'!E51</f>
        <v>25000</v>
      </c>
      <c r="F46" s="27">
        <f>'TSAS Demand Revenues (7)'!F51</f>
        <v>25000</v>
      </c>
      <c r="G46" s="27">
        <f>'TSAS Demand Revenues (7)'!G51</f>
        <v>25000</v>
      </c>
      <c r="H46" s="27">
        <f>'TSAS Demand Revenues (7)'!H51</f>
        <v>25000</v>
      </c>
      <c r="I46" s="27">
        <f>'TSAS Demand Revenues (7)'!I51</f>
        <v>25000</v>
      </c>
      <c r="J46" s="27">
        <f>'TSAS Demand Revenues (7)'!J51</f>
        <v>25000</v>
      </c>
      <c r="K46" s="27">
        <f>'TSAS Demand Revenues (7)'!K51</f>
        <v>25000</v>
      </c>
      <c r="L46" s="27">
        <f>'TSAS Demand Revenues (7)'!L51</f>
        <v>25000</v>
      </c>
      <c r="M46" s="27">
        <f>'TSAS Demand Revenues (7)'!M51</f>
        <v>25000</v>
      </c>
      <c r="N46" s="27">
        <f>SUM(B46:M46)</f>
        <v>300000</v>
      </c>
    </row>
    <row r="47" spans="1:14" s="19" customFormat="1" ht="10.199999999999999">
      <c r="A47" s="25" t="s">
        <v>20</v>
      </c>
      <c r="B47" s="32">
        <f>'TSAS Scheduling Revenue (1)'!B42</f>
        <v>1.274E-2</v>
      </c>
      <c r="C47" s="32">
        <f>'TSAS Scheduling Revenue (1)'!C42</f>
        <v>1.274E-2</v>
      </c>
      <c r="D47" s="32">
        <f>'TSAS Scheduling Revenue (1)'!D42</f>
        <v>1.274E-2</v>
      </c>
      <c r="E47" s="32">
        <f>'TSAS Scheduling Revenue (1)'!E42</f>
        <v>1.274E-2</v>
      </c>
      <c r="F47" s="32">
        <f>'TSAS Scheduling Revenue (1)'!F42</f>
        <v>1.274E-2</v>
      </c>
      <c r="G47" s="32">
        <f>'TSAS Scheduling Revenue (1)'!G42</f>
        <v>1.274E-2</v>
      </c>
      <c r="H47" s="32">
        <f>'TSAS Scheduling Revenue (1)'!H42</f>
        <v>1.274E-2</v>
      </c>
      <c r="I47" s="32">
        <f>'TSAS Scheduling Revenue (1)'!I42</f>
        <v>1.274E-2</v>
      </c>
      <c r="J47" s="32">
        <f>'TSAS Scheduling Revenue (1)'!J42</f>
        <v>1.274E-2</v>
      </c>
      <c r="K47" s="32">
        <f>'TSAS Scheduling Revenue (1)'!K42</f>
        <v>1.274E-2</v>
      </c>
      <c r="L47" s="32">
        <f>'TSAS Scheduling Revenue (1)'!L42</f>
        <v>1.274E-2</v>
      </c>
      <c r="M47" s="32">
        <f>'TSAS Scheduling Revenue (1)'!M42</f>
        <v>1.274E-2</v>
      </c>
    </row>
    <row r="48" spans="1:14" s="19" customFormat="1" ht="10.199999999999999">
      <c r="A48" s="25" t="s">
        <v>17</v>
      </c>
      <c r="B48" s="263">
        <f>B46*B47</f>
        <v>318.5</v>
      </c>
      <c r="C48" s="263">
        <f t="shared" ref="C48:M48" si="9">C46*C47</f>
        <v>318.5</v>
      </c>
      <c r="D48" s="263">
        <f t="shared" si="9"/>
        <v>318.5</v>
      </c>
      <c r="E48" s="263">
        <f t="shared" si="9"/>
        <v>318.5</v>
      </c>
      <c r="F48" s="263">
        <f t="shared" si="9"/>
        <v>318.5</v>
      </c>
      <c r="G48" s="263">
        <f t="shared" si="9"/>
        <v>318.5</v>
      </c>
      <c r="H48" s="263">
        <f t="shared" si="9"/>
        <v>318.5</v>
      </c>
      <c r="I48" s="263">
        <f t="shared" si="9"/>
        <v>318.5</v>
      </c>
      <c r="J48" s="263">
        <f t="shared" si="9"/>
        <v>318.5</v>
      </c>
      <c r="K48" s="263">
        <f t="shared" si="9"/>
        <v>318.5</v>
      </c>
      <c r="L48" s="263">
        <f t="shared" si="9"/>
        <v>318.5</v>
      </c>
      <c r="M48" s="263">
        <f t="shared" si="9"/>
        <v>318.5</v>
      </c>
      <c r="N48" s="19">
        <f>SUM(B48:M48)</f>
        <v>3822</v>
      </c>
    </row>
    <row r="49" spans="1:14" s="19" customFormat="1" ht="10.199999999999999">
      <c r="A49" s="25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4" s="19" customFormat="1" ht="10.199999999999999">
      <c r="A50" s="393" t="s">
        <v>165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 s="19" customFormat="1" ht="10.199999999999999">
      <c r="A51" s="26" t="s">
        <v>16</v>
      </c>
      <c r="B51" s="20">
        <f>'TSAS Reactive Revenues (2)'!B50</f>
        <v>4000</v>
      </c>
      <c r="C51" s="20">
        <f>'TSAS Reactive Revenues (2)'!C50</f>
        <v>4000</v>
      </c>
      <c r="D51" s="20">
        <f>'TSAS Reactive Revenues (2)'!D50</f>
        <v>4000</v>
      </c>
      <c r="E51" s="20">
        <f>'TSAS Reactive Revenues (2)'!E50</f>
        <v>4000</v>
      </c>
      <c r="F51" s="20">
        <f>'TSAS Reactive Revenues (2)'!F50</f>
        <v>4000</v>
      </c>
      <c r="G51" s="20">
        <f>'TSAS Reactive Revenues (2)'!G50</f>
        <v>4000</v>
      </c>
      <c r="H51" s="20">
        <f>'TSAS Reactive Revenues (2)'!H50</f>
        <v>4000</v>
      </c>
      <c r="I51" s="20">
        <f>'TSAS Reactive Revenues (2)'!I50</f>
        <v>4000</v>
      </c>
      <c r="J51" s="20">
        <f>'TSAS Reactive Revenues (2)'!J50</f>
        <v>4000</v>
      </c>
      <c r="K51" s="20">
        <f>'TSAS Reactive Revenues (2)'!K50</f>
        <v>4000</v>
      </c>
      <c r="L51" s="20">
        <f>'TSAS Reactive Revenues (2)'!L50</f>
        <v>4000</v>
      </c>
      <c r="M51" s="20">
        <f>'TSAS Reactive Revenues (2)'!M50</f>
        <v>4000</v>
      </c>
      <c r="N51" s="27">
        <f>SUM(B51:M51)</f>
        <v>48000</v>
      </c>
    </row>
    <row r="52" spans="1:14" s="19" customFormat="1" ht="10.199999999999999">
      <c r="A52" s="25" t="s">
        <v>20</v>
      </c>
      <c r="B52" s="32">
        <v>1.274E-2</v>
      </c>
      <c r="C52" s="32">
        <v>1.274E-2</v>
      </c>
      <c r="D52" s="32">
        <v>1.274E-2</v>
      </c>
      <c r="E52" s="32">
        <v>1.274E-2</v>
      </c>
      <c r="F52" s="32">
        <v>1.274E-2</v>
      </c>
      <c r="G52" s="32">
        <v>1.274E-2</v>
      </c>
      <c r="H52" s="32">
        <v>1.274E-2</v>
      </c>
      <c r="I52" s="32">
        <v>1.274E-2</v>
      </c>
      <c r="J52" s="32">
        <v>1.274E-2</v>
      </c>
      <c r="K52" s="32">
        <v>1.274E-2</v>
      </c>
      <c r="L52" s="32">
        <v>1.274E-2</v>
      </c>
      <c r="M52" s="32">
        <v>1.274E-2</v>
      </c>
    </row>
    <row r="53" spans="1:14" s="19" customFormat="1" ht="10.199999999999999">
      <c r="A53" s="25" t="s">
        <v>17</v>
      </c>
      <c r="B53" s="20">
        <f t="shared" ref="B53:M53" si="10">B51*B52</f>
        <v>50.96</v>
      </c>
      <c r="C53" s="20">
        <f t="shared" si="10"/>
        <v>50.96</v>
      </c>
      <c r="D53" s="20">
        <f t="shared" si="10"/>
        <v>50.96</v>
      </c>
      <c r="E53" s="20">
        <f t="shared" si="10"/>
        <v>50.96</v>
      </c>
      <c r="F53" s="20">
        <f t="shared" si="10"/>
        <v>50.96</v>
      </c>
      <c r="G53" s="20">
        <f t="shared" si="10"/>
        <v>50.96</v>
      </c>
      <c r="H53" s="20">
        <f t="shared" si="10"/>
        <v>50.96</v>
      </c>
      <c r="I53" s="20">
        <f t="shared" si="10"/>
        <v>50.96</v>
      </c>
      <c r="J53" s="20">
        <f t="shared" si="10"/>
        <v>50.96</v>
      </c>
      <c r="K53" s="20">
        <f t="shared" si="10"/>
        <v>50.96</v>
      </c>
      <c r="L53" s="20">
        <f t="shared" si="10"/>
        <v>50.96</v>
      </c>
      <c r="M53" s="20">
        <f t="shared" si="10"/>
        <v>50.96</v>
      </c>
      <c r="N53" s="20">
        <f>SUM(B53:M53)</f>
        <v>611.52</v>
      </c>
    </row>
    <row r="54" spans="1:14" s="19" customFormat="1" ht="10.199999999999999">
      <c r="A54" s="25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s="19" customFormat="1" ht="10.199999999999999">
      <c r="A55" s="393" t="s">
        <v>222</v>
      </c>
    </row>
    <row r="56" spans="1:14" s="19" customFormat="1" ht="10.199999999999999">
      <c r="A56" s="26" t="s">
        <v>16</v>
      </c>
      <c r="B56" s="27">
        <f>'TSAS Reactive Revenues (2)'!B35</f>
        <v>4000</v>
      </c>
      <c r="C56" s="27">
        <f>'TSAS Reactive Revenues (2)'!C35</f>
        <v>4000</v>
      </c>
      <c r="D56" s="27">
        <f>'TSAS Reactive Revenues (2)'!D35</f>
        <v>4000</v>
      </c>
      <c r="E56" s="27">
        <f>'TSAS Reactive Revenues (2)'!E35</f>
        <v>4000</v>
      </c>
      <c r="F56" s="27">
        <f>'TSAS Reactive Revenues (2)'!F35</f>
        <v>4000</v>
      </c>
      <c r="G56" s="27">
        <f>'TSAS Reactive Revenues (2)'!G35</f>
        <v>4000</v>
      </c>
      <c r="H56" s="27">
        <f>'TSAS Reactive Revenues (2)'!H35</f>
        <v>4000</v>
      </c>
      <c r="I56" s="27">
        <f>'TSAS Reactive Revenues (2)'!I35</f>
        <v>4000</v>
      </c>
      <c r="J56" s="27">
        <f>'TSAS Reactive Revenues (2)'!J35</f>
        <v>4000</v>
      </c>
      <c r="K56" s="27">
        <f>'TSAS Reactive Revenues (2)'!K35</f>
        <v>4000</v>
      </c>
      <c r="L56" s="27">
        <f>'TSAS Reactive Revenues (2)'!L35</f>
        <v>4000</v>
      </c>
      <c r="M56" s="27">
        <f>'TSAS Reactive Revenues (2)'!M35</f>
        <v>4000</v>
      </c>
      <c r="N56" s="27">
        <f>SUM(B56:M56)</f>
        <v>48000</v>
      </c>
    </row>
    <row r="57" spans="1:14" s="19" customFormat="1" ht="10.199999999999999">
      <c r="A57" s="25" t="s">
        <v>20</v>
      </c>
      <c r="B57" s="32">
        <f>'TSAS Scheduling Revenue (1)'!B47</f>
        <v>1.274E-2</v>
      </c>
      <c r="C57" s="32">
        <f>'TSAS Scheduling Revenue (1)'!C47</f>
        <v>1.274E-2</v>
      </c>
      <c r="D57" s="32">
        <f>'TSAS Scheduling Revenue (1)'!D47</f>
        <v>1.274E-2</v>
      </c>
      <c r="E57" s="32">
        <f>'TSAS Scheduling Revenue (1)'!E47</f>
        <v>1.274E-2</v>
      </c>
      <c r="F57" s="32">
        <f>'TSAS Scheduling Revenue (1)'!F47</f>
        <v>1.274E-2</v>
      </c>
      <c r="G57" s="32">
        <f>'TSAS Scheduling Revenue (1)'!G47</f>
        <v>1.274E-2</v>
      </c>
      <c r="H57" s="32">
        <f>'TSAS Scheduling Revenue (1)'!H47</f>
        <v>1.274E-2</v>
      </c>
      <c r="I57" s="32">
        <f>'TSAS Scheduling Revenue (1)'!I47</f>
        <v>1.274E-2</v>
      </c>
      <c r="J57" s="32">
        <f>'TSAS Scheduling Revenue (1)'!J47</f>
        <v>1.274E-2</v>
      </c>
      <c r="K57" s="32">
        <f>'TSAS Scheduling Revenue (1)'!K47</f>
        <v>1.274E-2</v>
      </c>
      <c r="L57" s="32">
        <f>'TSAS Scheduling Revenue (1)'!L47</f>
        <v>1.274E-2</v>
      </c>
      <c r="M57" s="32">
        <f>'TSAS Scheduling Revenue (1)'!M47</f>
        <v>1.274E-2</v>
      </c>
    </row>
    <row r="58" spans="1:14" s="19" customFormat="1" ht="10.199999999999999">
      <c r="A58" s="25" t="s">
        <v>17</v>
      </c>
      <c r="B58" s="20">
        <f>B56*B57</f>
        <v>50.96</v>
      </c>
      <c r="C58" s="20">
        <f t="shared" ref="C58:M58" si="11">C56*C57</f>
        <v>50.96</v>
      </c>
      <c r="D58" s="20">
        <f t="shared" si="11"/>
        <v>50.96</v>
      </c>
      <c r="E58" s="20">
        <f t="shared" si="11"/>
        <v>50.96</v>
      </c>
      <c r="F58" s="20">
        <f t="shared" si="11"/>
        <v>50.96</v>
      </c>
      <c r="G58" s="20">
        <f t="shared" si="11"/>
        <v>50.96</v>
      </c>
      <c r="H58" s="20">
        <f t="shared" si="11"/>
        <v>50.96</v>
      </c>
      <c r="I58" s="20">
        <f t="shared" si="11"/>
        <v>50.96</v>
      </c>
      <c r="J58" s="20">
        <f t="shared" si="11"/>
        <v>50.96</v>
      </c>
      <c r="K58" s="20">
        <f t="shared" si="11"/>
        <v>50.96</v>
      </c>
      <c r="L58" s="20">
        <f t="shared" si="11"/>
        <v>50.96</v>
      </c>
      <c r="M58" s="20">
        <f t="shared" si="11"/>
        <v>50.96</v>
      </c>
      <c r="N58" s="20">
        <f>SUM(B58:M58)</f>
        <v>611.52</v>
      </c>
    </row>
    <row r="59" spans="1:14" s="19" customFormat="1" ht="10.199999999999999">
      <c r="A59" s="25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>
      <c r="A60" s="393" t="s">
        <v>173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>
      <c r="A61" s="26" t="s">
        <v>16</v>
      </c>
      <c r="B61" s="27">
        <v>3000</v>
      </c>
      <c r="C61" s="27">
        <f>B61</f>
        <v>3000</v>
      </c>
      <c r="D61" s="27">
        <f t="shared" ref="D61:M61" si="12">C61</f>
        <v>3000</v>
      </c>
      <c r="E61" s="27">
        <f t="shared" si="12"/>
        <v>3000</v>
      </c>
      <c r="F61" s="27">
        <f t="shared" si="12"/>
        <v>3000</v>
      </c>
      <c r="G61" s="27">
        <f t="shared" si="12"/>
        <v>3000</v>
      </c>
      <c r="H61" s="27">
        <f t="shared" si="12"/>
        <v>3000</v>
      </c>
      <c r="I61" s="27">
        <f t="shared" si="12"/>
        <v>3000</v>
      </c>
      <c r="J61" s="27">
        <f t="shared" si="12"/>
        <v>3000</v>
      </c>
      <c r="K61" s="27">
        <f t="shared" si="12"/>
        <v>3000</v>
      </c>
      <c r="L61" s="27">
        <f t="shared" si="12"/>
        <v>3000</v>
      </c>
      <c r="M61" s="27">
        <f t="shared" si="12"/>
        <v>3000</v>
      </c>
      <c r="N61" s="27">
        <f>SUM(B61:M61)</f>
        <v>36000</v>
      </c>
    </row>
    <row r="62" spans="1:14">
      <c r="A62" s="25" t="s">
        <v>20</v>
      </c>
      <c r="B62" s="32">
        <f>'TSAS Scheduling Revenue (1)'!B57</f>
        <v>1.274E-2</v>
      </c>
      <c r="C62" s="32">
        <f>'TSAS Scheduling Revenue (1)'!C57</f>
        <v>1.274E-2</v>
      </c>
      <c r="D62" s="32">
        <f>'TSAS Scheduling Revenue (1)'!D57</f>
        <v>1.274E-2</v>
      </c>
      <c r="E62" s="32">
        <f>'TSAS Scheduling Revenue (1)'!E57</f>
        <v>1.274E-2</v>
      </c>
      <c r="F62" s="32">
        <f>'TSAS Scheduling Revenue (1)'!F57</f>
        <v>1.274E-2</v>
      </c>
      <c r="G62" s="32">
        <f>'TSAS Scheduling Revenue (1)'!G57</f>
        <v>1.274E-2</v>
      </c>
      <c r="H62" s="32">
        <f>'TSAS Scheduling Revenue (1)'!H57</f>
        <v>1.274E-2</v>
      </c>
      <c r="I62" s="32">
        <f>'TSAS Scheduling Revenue (1)'!I57</f>
        <v>1.274E-2</v>
      </c>
      <c r="J62" s="32">
        <f>'TSAS Scheduling Revenue (1)'!J57</f>
        <v>1.274E-2</v>
      </c>
      <c r="K62" s="32">
        <f>'TSAS Scheduling Revenue (1)'!K57</f>
        <v>1.274E-2</v>
      </c>
      <c r="L62" s="32">
        <f>'TSAS Scheduling Revenue (1)'!L57</f>
        <v>1.274E-2</v>
      </c>
      <c r="M62" s="32">
        <f>'TSAS Scheduling Revenue (1)'!M57</f>
        <v>1.274E-2</v>
      </c>
      <c r="N62" s="19"/>
    </row>
    <row r="63" spans="1:14">
      <c r="A63" s="25" t="s">
        <v>17</v>
      </c>
      <c r="B63" s="20">
        <f t="shared" ref="B63:M63" si="13">B61*B62</f>
        <v>38.22</v>
      </c>
      <c r="C63" s="20">
        <f t="shared" si="13"/>
        <v>38.22</v>
      </c>
      <c r="D63" s="20">
        <f t="shared" si="13"/>
        <v>38.22</v>
      </c>
      <c r="E63" s="20">
        <f t="shared" si="13"/>
        <v>38.22</v>
      </c>
      <c r="F63" s="20">
        <f t="shared" si="13"/>
        <v>38.22</v>
      </c>
      <c r="G63" s="20">
        <f t="shared" si="13"/>
        <v>38.22</v>
      </c>
      <c r="H63" s="20">
        <f t="shared" si="13"/>
        <v>38.22</v>
      </c>
      <c r="I63" s="20">
        <f t="shared" si="13"/>
        <v>38.22</v>
      </c>
      <c r="J63" s="20">
        <f t="shared" si="13"/>
        <v>38.22</v>
      </c>
      <c r="K63" s="20">
        <f t="shared" si="13"/>
        <v>38.22</v>
      </c>
      <c r="L63" s="20">
        <f t="shared" si="13"/>
        <v>38.22</v>
      </c>
      <c r="M63" s="20">
        <f t="shared" si="13"/>
        <v>38.22</v>
      </c>
      <c r="N63" s="20">
        <f>SUM(B63:M63)</f>
        <v>458.6400000000001</v>
      </c>
    </row>
    <row r="64" spans="1:14" s="19" customFormat="1" ht="10.199999999999999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5" s="19" customFormat="1" ht="10.199999999999999">
      <c r="A65" s="143" t="s">
        <v>25</v>
      </c>
      <c r="B65" s="142">
        <f>B13+B18+B23+B28+B33+B43+B38+B48+B58+B63+B53</f>
        <v>6408.9334399999998</v>
      </c>
      <c r="C65" s="142">
        <f t="shared" ref="C65:M65" si="14">C13+C18+C23+C28+C33+C43+C38+C48+C58+C63+C53</f>
        <v>6408.9334399999998</v>
      </c>
      <c r="D65" s="142">
        <f t="shared" si="14"/>
        <v>6408.9334399999998</v>
      </c>
      <c r="E65" s="142">
        <f t="shared" si="14"/>
        <v>6408.9334399999998</v>
      </c>
      <c r="F65" s="142">
        <f t="shared" si="14"/>
        <v>6408.9334399999998</v>
      </c>
      <c r="G65" s="142">
        <f t="shared" si="14"/>
        <v>6408.9334399999998</v>
      </c>
      <c r="H65" s="142">
        <f t="shared" si="14"/>
        <v>6408.9334399999998</v>
      </c>
      <c r="I65" s="142">
        <f t="shared" si="14"/>
        <v>6408.9334399999998</v>
      </c>
      <c r="J65" s="142">
        <f t="shared" si="14"/>
        <v>6408.9334399999998</v>
      </c>
      <c r="K65" s="142">
        <f t="shared" si="14"/>
        <v>6408.9334399999998</v>
      </c>
      <c r="L65" s="142">
        <f t="shared" si="14"/>
        <v>6408.9334399999998</v>
      </c>
      <c r="M65" s="142">
        <f t="shared" si="14"/>
        <v>6408.9334399999998</v>
      </c>
      <c r="N65" s="142">
        <f>SUM(B65:M65)</f>
        <v>76907.201279999994</v>
      </c>
    </row>
    <row r="66" spans="1:15" s="19" customFormat="1" ht="10.199999999999999">
      <c r="A66" s="143" t="s">
        <v>59</v>
      </c>
      <c r="B66" s="142">
        <f>B11+B16+B21+B26+B31+B46+B41+B36+B56+B61+B51</f>
        <v>503056</v>
      </c>
      <c r="C66" s="142">
        <f t="shared" ref="C66:M66" si="15">C11+C16+C21+C26+C31+C46+C41+C36+C56+C61+C51</f>
        <v>503056</v>
      </c>
      <c r="D66" s="142">
        <f t="shared" si="15"/>
        <v>503056</v>
      </c>
      <c r="E66" s="142">
        <f t="shared" si="15"/>
        <v>503056</v>
      </c>
      <c r="F66" s="142">
        <f t="shared" si="15"/>
        <v>503056</v>
      </c>
      <c r="G66" s="142">
        <f t="shared" si="15"/>
        <v>503056</v>
      </c>
      <c r="H66" s="142">
        <f t="shared" si="15"/>
        <v>503056</v>
      </c>
      <c r="I66" s="142">
        <f t="shared" si="15"/>
        <v>503056</v>
      </c>
      <c r="J66" s="142">
        <f t="shared" si="15"/>
        <v>503056</v>
      </c>
      <c r="K66" s="142">
        <f t="shared" si="15"/>
        <v>503056</v>
      </c>
      <c r="L66" s="142">
        <f t="shared" si="15"/>
        <v>503056</v>
      </c>
      <c r="M66" s="142">
        <f t="shared" si="15"/>
        <v>503056</v>
      </c>
      <c r="N66" s="142">
        <f>SUM(B66:M66)</f>
        <v>6036672</v>
      </c>
    </row>
    <row r="67" spans="1:15" s="19" customFormat="1" ht="10.199999999999999">
      <c r="A67" s="24">
        <f>+A6+1</f>
        <v>2015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5" s="19" customFormat="1" ht="10.199999999999999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5" s="19" customFormat="1" ht="13.2">
      <c r="A69" s="22" t="s">
        <v>19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5" s="19" customFormat="1" ht="10.199999999999999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5" s="19" customFormat="1" ht="10.199999999999999">
      <c r="A71" s="393" t="s">
        <v>344</v>
      </c>
    </row>
    <row r="72" spans="1:15" s="28" customFormat="1">
      <c r="A72" s="26" t="s">
        <v>16</v>
      </c>
      <c r="B72" s="27">
        <f>'TSAS Demand Revenues (7)'!B72</f>
        <v>5000</v>
      </c>
      <c r="C72" s="27">
        <f>'TSAS Demand Revenues (7)'!C72</f>
        <v>5000</v>
      </c>
      <c r="D72" s="27">
        <f>'TSAS Demand Revenues (7)'!D72</f>
        <v>5000</v>
      </c>
      <c r="E72" s="27">
        <f>'TSAS Demand Revenues (7)'!E72</f>
        <v>5000</v>
      </c>
      <c r="F72" s="27">
        <f>'TSAS Demand Revenues (7)'!F72</f>
        <v>5000</v>
      </c>
      <c r="G72" s="27">
        <f>'TSAS Demand Revenues (7)'!G72</f>
        <v>5000</v>
      </c>
      <c r="H72" s="27">
        <f>'TSAS Demand Revenues (7)'!H72</f>
        <v>5000</v>
      </c>
      <c r="I72" s="27">
        <f>'TSAS Demand Revenues (7)'!I72</f>
        <v>5000</v>
      </c>
      <c r="J72" s="27">
        <f>'TSAS Demand Revenues (7)'!J72</f>
        <v>5000</v>
      </c>
      <c r="K72" s="27">
        <f>'TSAS Demand Revenues (7)'!K72</f>
        <v>5000</v>
      </c>
      <c r="L72" s="27">
        <f>'TSAS Demand Revenues (7)'!L72</f>
        <v>5000</v>
      </c>
      <c r="M72" s="27">
        <f>'TSAS Demand Revenues (7)'!M72</f>
        <v>5000</v>
      </c>
      <c r="N72" s="27">
        <f>SUM(B72:M72)</f>
        <v>60000</v>
      </c>
      <c r="O72" s="21"/>
    </row>
    <row r="73" spans="1:15" s="19" customFormat="1">
      <c r="A73" s="25" t="s">
        <v>20</v>
      </c>
      <c r="B73" s="31">
        <f>'charges (1 &amp; 2)'!$E$20</f>
        <v>1.274E-2</v>
      </c>
      <c r="C73" s="31">
        <f>'charges (1 &amp; 2)'!$E$20</f>
        <v>1.274E-2</v>
      </c>
      <c r="D73" s="31">
        <f>'charges (1 &amp; 2)'!$E$20</f>
        <v>1.274E-2</v>
      </c>
      <c r="E73" s="31">
        <f>'charges (1 &amp; 2)'!$E$20</f>
        <v>1.274E-2</v>
      </c>
      <c r="F73" s="31">
        <f>'charges (1 &amp; 2)'!$E$20</f>
        <v>1.274E-2</v>
      </c>
      <c r="G73" s="31">
        <f>'charges (1 &amp; 2)'!$E$20</f>
        <v>1.274E-2</v>
      </c>
      <c r="H73" s="31">
        <f>'charges (1 &amp; 2)'!$E$20</f>
        <v>1.274E-2</v>
      </c>
      <c r="I73" s="31">
        <f>'charges (1 &amp; 2)'!$E$20</f>
        <v>1.274E-2</v>
      </c>
      <c r="J73" s="31">
        <f>'charges (1 &amp; 2)'!$E$20</f>
        <v>1.274E-2</v>
      </c>
      <c r="K73" s="31">
        <f>'charges (1 &amp; 2)'!$E$20</f>
        <v>1.274E-2</v>
      </c>
      <c r="L73" s="31">
        <f>'charges (1 &amp; 2)'!$E$20</f>
        <v>1.274E-2</v>
      </c>
      <c r="M73" s="31">
        <f>'charges (1 &amp; 2)'!$E$20</f>
        <v>1.274E-2</v>
      </c>
      <c r="O73" s="21"/>
    </row>
    <row r="74" spans="1:15" s="19" customFormat="1">
      <c r="A74" s="25" t="s">
        <v>17</v>
      </c>
      <c r="B74" s="20">
        <f t="shared" ref="B74:M74" si="16">B72*B73</f>
        <v>63.699999999999996</v>
      </c>
      <c r="C74" s="20">
        <f t="shared" si="16"/>
        <v>63.699999999999996</v>
      </c>
      <c r="D74" s="20">
        <f t="shared" si="16"/>
        <v>63.699999999999996</v>
      </c>
      <c r="E74" s="20">
        <f t="shared" si="16"/>
        <v>63.699999999999996</v>
      </c>
      <c r="F74" s="20">
        <f t="shared" si="16"/>
        <v>63.699999999999996</v>
      </c>
      <c r="G74" s="20">
        <f t="shared" si="16"/>
        <v>63.699999999999996</v>
      </c>
      <c r="H74" s="20">
        <f t="shared" si="16"/>
        <v>63.699999999999996</v>
      </c>
      <c r="I74" s="20">
        <f t="shared" si="16"/>
        <v>63.699999999999996</v>
      </c>
      <c r="J74" s="20">
        <f t="shared" si="16"/>
        <v>63.699999999999996</v>
      </c>
      <c r="K74" s="20">
        <f t="shared" si="16"/>
        <v>63.699999999999996</v>
      </c>
      <c r="L74" s="20">
        <f t="shared" si="16"/>
        <v>63.699999999999996</v>
      </c>
      <c r="M74" s="20">
        <f t="shared" si="16"/>
        <v>63.699999999999996</v>
      </c>
      <c r="N74" s="20">
        <f>SUM(B74:M74)</f>
        <v>764.40000000000009</v>
      </c>
      <c r="O74" s="21"/>
    </row>
    <row r="75" spans="1:15" s="19" customFormat="1">
      <c r="O75" s="21"/>
    </row>
    <row r="76" spans="1:15" s="19" customFormat="1">
      <c r="A76" s="25" t="s">
        <v>21</v>
      </c>
      <c r="O76" s="21"/>
    </row>
    <row r="77" spans="1:15" s="28" customFormat="1">
      <c r="A77" s="26" t="s">
        <v>16</v>
      </c>
      <c r="B77" s="27">
        <f>'TSAS Demand Revenues (7)'!B77</f>
        <v>0</v>
      </c>
      <c r="C77" s="27">
        <f>'TSAS Demand Revenues (7)'!C77</f>
        <v>0</v>
      </c>
      <c r="D77" s="27">
        <f>'TSAS Demand Revenues (7)'!D77</f>
        <v>0</v>
      </c>
      <c r="E77" s="27">
        <f>'TSAS Demand Revenues (7)'!E77</f>
        <v>0</v>
      </c>
      <c r="F77" s="27">
        <f>'TSAS Demand Revenues (7)'!F77</f>
        <v>0</v>
      </c>
      <c r="G77" s="27">
        <f>'TSAS Demand Revenues (7)'!G77</f>
        <v>0</v>
      </c>
      <c r="H77" s="27">
        <f>'TSAS Demand Revenues (7)'!H77</f>
        <v>0</v>
      </c>
      <c r="I77" s="27">
        <f>'TSAS Demand Revenues (7)'!I77</f>
        <v>0</v>
      </c>
      <c r="J77" s="27">
        <f>'TSAS Demand Revenues (7)'!J77</f>
        <v>0</v>
      </c>
      <c r="K77" s="27">
        <f>'TSAS Demand Revenues (7)'!K77</f>
        <v>0</v>
      </c>
      <c r="L77" s="27">
        <f>'TSAS Demand Revenues (7)'!L77</f>
        <v>0</v>
      </c>
      <c r="M77" s="27">
        <f>'TSAS Demand Revenues (7)'!M77</f>
        <v>0</v>
      </c>
      <c r="N77" s="27">
        <f>SUM(B77:M77)</f>
        <v>0</v>
      </c>
      <c r="O77" s="21"/>
    </row>
    <row r="78" spans="1:15" s="19" customFormat="1">
      <c r="A78" s="25" t="s">
        <v>20</v>
      </c>
      <c r="B78" s="31">
        <f>'charges (1 &amp; 2)'!$D$23</f>
        <v>1.274E-2</v>
      </c>
      <c r="C78" s="31">
        <f>'charges (1 &amp; 2)'!$D$23</f>
        <v>1.274E-2</v>
      </c>
      <c r="D78" s="31">
        <f>'charges (1 &amp; 2)'!$D$23</f>
        <v>1.274E-2</v>
      </c>
      <c r="E78" s="31">
        <f>'charges (1 &amp; 2)'!$D$23</f>
        <v>1.274E-2</v>
      </c>
      <c r="F78" s="31">
        <f>'charges (1 &amp; 2)'!$D$23</f>
        <v>1.274E-2</v>
      </c>
      <c r="G78" s="31">
        <f>'charges (1 &amp; 2)'!$D$23</f>
        <v>1.274E-2</v>
      </c>
      <c r="H78" s="31">
        <f>'charges (1 &amp; 2)'!$D$23</f>
        <v>1.274E-2</v>
      </c>
      <c r="I78" s="31">
        <f>'charges (1 &amp; 2)'!$D$23</f>
        <v>1.274E-2</v>
      </c>
      <c r="J78" s="31">
        <f>'charges (1 &amp; 2)'!$D$23</f>
        <v>1.274E-2</v>
      </c>
      <c r="K78" s="31">
        <f>'charges (1 &amp; 2)'!$D$23</f>
        <v>1.274E-2</v>
      </c>
      <c r="L78" s="31">
        <f>'charges (1 &amp; 2)'!$D$23</f>
        <v>1.274E-2</v>
      </c>
      <c r="M78" s="31">
        <f>'charges (1 &amp; 2)'!$D$23</f>
        <v>1.274E-2</v>
      </c>
      <c r="O78" s="21"/>
    </row>
    <row r="79" spans="1:15" s="19" customFormat="1">
      <c r="A79" s="25" t="s">
        <v>17</v>
      </c>
      <c r="B79" s="20">
        <f t="shared" ref="B79:M79" si="17">B77*B78</f>
        <v>0</v>
      </c>
      <c r="C79" s="20">
        <f t="shared" si="17"/>
        <v>0</v>
      </c>
      <c r="D79" s="20">
        <f t="shared" si="17"/>
        <v>0</v>
      </c>
      <c r="E79" s="20">
        <f t="shared" si="17"/>
        <v>0</v>
      </c>
      <c r="F79" s="20">
        <f t="shared" si="17"/>
        <v>0</v>
      </c>
      <c r="G79" s="20">
        <f t="shared" si="17"/>
        <v>0</v>
      </c>
      <c r="H79" s="20">
        <f t="shared" si="17"/>
        <v>0</v>
      </c>
      <c r="I79" s="20">
        <f t="shared" si="17"/>
        <v>0</v>
      </c>
      <c r="J79" s="20">
        <f t="shared" si="17"/>
        <v>0</v>
      </c>
      <c r="K79" s="20">
        <f t="shared" si="17"/>
        <v>0</v>
      </c>
      <c r="L79" s="20">
        <f t="shared" si="17"/>
        <v>0</v>
      </c>
      <c r="M79" s="20">
        <f t="shared" si="17"/>
        <v>0</v>
      </c>
      <c r="N79" s="20">
        <f>SUM(B79:M79)</f>
        <v>0</v>
      </c>
      <c r="O79" s="21"/>
    </row>
    <row r="80" spans="1:15" s="19" customFormat="1">
      <c r="B80" s="20"/>
      <c r="O80" s="21"/>
    </row>
    <row r="81" spans="1:15" s="19" customFormat="1">
      <c r="A81" s="25" t="s">
        <v>22</v>
      </c>
      <c r="O81" s="21"/>
    </row>
    <row r="82" spans="1:15" s="28" customFormat="1">
      <c r="A82" s="26" t="s">
        <v>16</v>
      </c>
      <c r="B82" s="27">
        <f>'TSAS Demand Revenues (7)'!B82</f>
        <v>0</v>
      </c>
      <c r="C82" s="27">
        <f>'TSAS Demand Revenues (7)'!C82</f>
        <v>0</v>
      </c>
      <c r="D82" s="27">
        <f>'TSAS Demand Revenues (7)'!D82</f>
        <v>0</v>
      </c>
      <c r="E82" s="27">
        <f>'TSAS Demand Revenues (7)'!E82</f>
        <v>0</v>
      </c>
      <c r="F82" s="27">
        <f>'TSAS Demand Revenues (7)'!F82</f>
        <v>0</v>
      </c>
      <c r="G82" s="27">
        <f>'TSAS Demand Revenues (7)'!G82</f>
        <v>0</v>
      </c>
      <c r="H82" s="27">
        <f>'TSAS Demand Revenues (7)'!H82</f>
        <v>0</v>
      </c>
      <c r="I82" s="27">
        <f>'TSAS Demand Revenues (7)'!I82</f>
        <v>0</v>
      </c>
      <c r="J82" s="27">
        <f>'TSAS Demand Revenues (7)'!J82</f>
        <v>0</v>
      </c>
      <c r="K82" s="27">
        <f>'TSAS Demand Revenues (7)'!K82</f>
        <v>0</v>
      </c>
      <c r="L82" s="27">
        <f>'TSAS Demand Revenues (7)'!L82</f>
        <v>0</v>
      </c>
      <c r="M82" s="27">
        <f>'TSAS Demand Revenues (7)'!M82</f>
        <v>0</v>
      </c>
      <c r="N82" s="27">
        <f>SUM(B82:M82)</f>
        <v>0</v>
      </c>
      <c r="O82" s="21"/>
    </row>
    <row r="83" spans="1:15" s="19" customFormat="1">
      <c r="A83" s="25" t="s">
        <v>20</v>
      </c>
      <c r="B83" s="32">
        <f>B78</f>
        <v>1.274E-2</v>
      </c>
      <c r="C83" s="32">
        <f t="shared" ref="C83:M83" si="18">C78</f>
        <v>1.274E-2</v>
      </c>
      <c r="D83" s="32">
        <f t="shared" si="18"/>
        <v>1.274E-2</v>
      </c>
      <c r="E83" s="32">
        <f t="shared" si="18"/>
        <v>1.274E-2</v>
      </c>
      <c r="F83" s="32">
        <f t="shared" si="18"/>
        <v>1.274E-2</v>
      </c>
      <c r="G83" s="32">
        <f t="shared" si="18"/>
        <v>1.274E-2</v>
      </c>
      <c r="H83" s="32">
        <f t="shared" si="18"/>
        <v>1.274E-2</v>
      </c>
      <c r="I83" s="32">
        <f t="shared" si="18"/>
        <v>1.274E-2</v>
      </c>
      <c r="J83" s="32">
        <f t="shared" si="18"/>
        <v>1.274E-2</v>
      </c>
      <c r="K83" s="32">
        <f t="shared" si="18"/>
        <v>1.274E-2</v>
      </c>
      <c r="L83" s="32">
        <f t="shared" si="18"/>
        <v>1.274E-2</v>
      </c>
      <c r="M83" s="32">
        <f t="shared" si="18"/>
        <v>1.274E-2</v>
      </c>
      <c r="O83" s="21"/>
    </row>
    <row r="84" spans="1:15" s="19" customFormat="1">
      <c r="A84" s="25" t="s">
        <v>17</v>
      </c>
      <c r="B84" s="20">
        <f t="shared" ref="B84:M84" si="19">B82*B83</f>
        <v>0</v>
      </c>
      <c r="C84" s="20">
        <f t="shared" si="19"/>
        <v>0</v>
      </c>
      <c r="D84" s="20">
        <f t="shared" si="19"/>
        <v>0</v>
      </c>
      <c r="E84" s="20">
        <f t="shared" si="19"/>
        <v>0</v>
      </c>
      <c r="F84" s="20">
        <f t="shared" si="19"/>
        <v>0</v>
      </c>
      <c r="G84" s="20">
        <f t="shared" si="19"/>
        <v>0</v>
      </c>
      <c r="H84" s="20">
        <f t="shared" si="19"/>
        <v>0</v>
      </c>
      <c r="I84" s="20">
        <f t="shared" si="19"/>
        <v>0</v>
      </c>
      <c r="J84" s="20">
        <f t="shared" si="19"/>
        <v>0</v>
      </c>
      <c r="K84" s="20">
        <f t="shared" si="19"/>
        <v>0</v>
      </c>
      <c r="L84" s="20">
        <f t="shared" si="19"/>
        <v>0</v>
      </c>
      <c r="M84" s="20">
        <f t="shared" si="19"/>
        <v>0</v>
      </c>
      <c r="N84" s="20">
        <f>SUM(B84:M84)</f>
        <v>0</v>
      </c>
      <c r="O84" s="21"/>
    </row>
    <row r="85" spans="1:15" s="19" customFormat="1">
      <c r="B85" s="20"/>
      <c r="O85" s="21"/>
    </row>
    <row r="86" spans="1:15" s="19" customFormat="1" ht="10.199999999999999">
      <c r="A86" s="393" t="s">
        <v>23</v>
      </c>
      <c r="O86" s="28"/>
    </row>
    <row r="87" spans="1:15" s="28" customFormat="1" ht="10.199999999999999">
      <c r="A87" s="26" t="s">
        <v>16</v>
      </c>
      <c r="B87" s="27">
        <f>'TSAS Demand Revenues (7)'!B87</f>
        <v>37056</v>
      </c>
      <c r="C87" s="27">
        <f>'TSAS Demand Revenues (7)'!C87</f>
        <v>37056</v>
      </c>
      <c r="D87" s="27">
        <f>'TSAS Demand Revenues (7)'!D87</f>
        <v>37056</v>
      </c>
      <c r="E87" s="27">
        <f>'TSAS Demand Revenues (7)'!E87</f>
        <v>37056</v>
      </c>
      <c r="F87" s="27">
        <f>'TSAS Demand Revenues (7)'!F87</f>
        <v>37056</v>
      </c>
      <c r="G87" s="27">
        <f>'TSAS Demand Revenues (7)'!G87</f>
        <v>37056</v>
      </c>
      <c r="H87" s="27">
        <f>'TSAS Demand Revenues (7)'!H87</f>
        <v>37056</v>
      </c>
      <c r="I87" s="27">
        <f>'TSAS Demand Revenues (7)'!I87</f>
        <v>37056</v>
      </c>
      <c r="J87" s="27">
        <f>'TSAS Demand Revenues (7)'!J87</f>
        <v>37056</v>
      </c>
      <c r="K87" s="27">
        <f>'TSAS Demand Revenues (7)'!K87</f>
        <v>37056</v>
      </c>
      <c r="L87" s="27">
        <f>'TSAS Demand Revenues (7)'!L87</f>
        <v>37056</v>
      </c>
      <c r="M87" s="27">
        <f>'TSAS Demand Revenues (7)'!M87</f>
        <v>37056</v>
      </c>
      <c r="N87" s="27">
        <f>SUM(B87:M87)</f>
        <v>444672</v>
      </c>
    </row>
    <row r="88" spans="1:15" s="19" customFormat="1" ht="10.199999999999999">
      <c r="A88" s="25" t="s">
        <v>20</v>
      </c>
      <c r="B88" s="32">
        <f>'charges (1 &amp; 2)'!$D$26</f>
        <v>1.274E-2</v>
      </c>
      <c r="C88" s="32">
        <f>'charges (1 &amp; 2)'!$D$26</f>
        <v>1.274E-2</v>
      </c>
      <c r="D88" s="32">
        <f>'charges (1 &amp; 2)'!$D$26</f>
        <v>1.274E-2</v>
      </c>
      <c r="E88" s="32">
        <f>'charges (1 &amp; 2)'!$D$26</f>
        <v>1.274E-2</v>
      </c>
      <c r="F88" s="32">
        <f>'charges (1 &amp; 2)'!$D$26</f>
        <v>1.274E-2</v>
      </c>
      <c r="G88" s="32">
        <f>'charges (1 &amp; 2)'!$D$26</f>
        <v>1.274E-2</v>
      </c>
      <c r="H88" s="32">
        <f>'charges (1 &amp; 2)'!$D$26</f>
        <v>1.274E-2</v>
      </c>
      <c r="I88" s="32">
        <f>'charges (1 &amp; 2)'!$D$26</f>
        <v>1.274E-2</v>
      </c>
      <c r="J88" s="32">
        <f>'charges (1 &amp; 2)'!$D$26</f>
        <v>1.274E-2</v>
      </c>
      <c r="K88" s="32">
        <f>'charges (1 &amp; 2)'!$D$26</f>
        <v>1.274E-2</v>
      </c>
      <c r="L88" s="32">
        <f>'charges (1 &amp; 2)'!$D$26</f>
        <v>1.274E-2</v>
      </c>
      <c r="M88" s="32">
        <f>'charges (1 &amp; 2)'!$D$26</f>
        <v>1.274E-2</v>
      </c>
    </row>
    <row r="89" spans="1:15" s="19" customFormat="1" ht="10.199999999999999">
      <c r="A89" s="25" t="s">
        <v>17</v>
      </c>
      <c r="B89" s="20">
        <f t="shared" ref="B89:M89" si="20">B87*B88</f>
        <v>472.09343999999999</v>
      </c>
      <c r="C89" s="20">
        <f t="shared" si="20"/>
        <v>472.09343999999999</v>
      </c>
      <c r="D89" s="20">
        <f t="shared" si="20"/>
        <v>472.09343999999999</v>
      </c>
      <c r="E89" s="20">
        <f t="shared" si="20"/>
        <v>472.09343999999999</v>
      </c>
      <c r="F89" s="20">
        <f t="shared" si="20"/>
        <v>472.09343999999999</v>
      </c>
      <c r="G89" s="20">
        <f t="shared" si="20"/>
        <v>472.09343999999999</v>
      </c>
      <c r="H89" s="20">
        <f t="shared" si="20"/>
        <v>472.09343999999999</v>
      </c>
      <c r="I89" s="20">
        <f t="shared" si="20"/>
        <v>472.09343999999999</v>
      </c>
      <c r="J89" s="20">
        <f t="shared" si="20"/>
        <v>472.09343999999999</v>
      </c>
      <c r="K89" s="20">
        <f t="shared" si="20"/>
        <v>472.09343999999999</v>
      </c>
      <c r="L89" s="20">
        <f t="shared" si="20"/>
        <v>472.09343999999999</v>
      </c>
      <c r="M89" s="20">
        <f t="shared" si="20"/>
        <v>472.09343999999999</v>
      </c>
      <c r="N89" s="20">
        <f>SUM(B89:M89)</f>
        <v>5665.1212799999994</v>
      </c>
    </row>
    <row r="90" spans="1:15" s="19" customFormat="1" ht="10.199999999999999">
      <c r="B90" s="20"/>
    </row>
    <row r="91" spans="1:15" s="19" customFormat="1" ht="10.199999999999999">
      <c r="A91" s="393" t="s">
        <v>24</v>
      </c>
    </row>
    <row r="92" spans="1:15" s="28" customFormat="1" ht="10.199999999999999">
      <c r="A92" s="26" t="s">
        <v>16</v>
      </c>
      <c r="B92" s="27">
        <f>'TSAS Demand Revenues (7)'!B92</f>
        <v>62000</v>
      </c>
      <c r="C92" s="27">
        <f>'TSAS Demand Revenues (7)'!C92</f>
        <v>62000</v>
      </c>
      <c r="D92" s="27">
        <f>'TSAS Demand Revenues (7)'!D92</f>
        <v>62000</v>
      </c>
      <c r="E92" s="27">
        <f>'TSAS Demand Revenues (7)'!E92</f>
        <v>62000</v>
      </c>
      <c r="F92" s="27">
        <f>'TSAS Demand Revenues (7)'!F92</f>
        <v>62000</v>
      </c>
      <c r="G92" s="27">
        <f>'TSAS Demand Revenues (7)'!G92</f>
        <v>62000</v>
      </c>
      <c r="H92" s="27">
        <f>'TSAS Demand Revenues (7)'!H92</f>
        <v>62000</v>
      </c>
      <c r="I92" s="27">
        <f>'TSAS Demand Revenues (7)'!I92</f>
        <v>62000</v>
      </c>
      <c r="J92" s="27">
        <f>'TSAS Demand Revenues (7)'!J92</f>
        <v>62000</v>
      </c>
      <c r="K92" s="27">
        <f>'TSAS Demand Revenues (7)'!K92</f>
        <v>62000</v>
      </c>
      <c r="L92" s="27">
        <f>'TSAS Demand Revenues (7)'!L92</f>
        <v>62000</v>
      </c>
      <c r="M92" s="27">
        <f>'TSAS Demand Revenues (7)'!M92</f>
        <v>62000</v>
      </c>
      <c r="N92" s="27">
        <f>SUM(B92:M92)</f>
        <v>744000</v>
      </c>
    </row>
    <row r="93" spans="1:15" s="19" customFormat="1" ht="10.199999999999999">
      <c r="A93" s="25" t="s">
        <v>20</v>
      </c>
      <c r="B93" s="32">
        <f>'charges (1 &amp; 2)'!$D$17</f>
        <v>1.274E-2</v>
      </c>
      <c r="C93" s="32">
        <f>'charges (1 &amp; 2)'!$D$17</f>
        <v>1.274E-2</v>
      </c>
      <c r="D93" s="32">
        <f>'charges (1 &amp; 2)'!$D$17</f>
        <v>1.274E-2</v>
      </c>
      <c r="E93" s="32">
        <f>'charges (1 &amp; 2)'!$D$17</f>
        <v>1.274E-2</v>
      </c>
      <c r="F93" s="32">
        <f>'charges (1 &amp; 2)'!$D$17</f>
        <v>1.274E-2</v>
      </c>
      <c r="G93" s="32">
        <f>'charges (1 &amp; 2)'!$D$17</f>
        <v>1.274E-2</v>
      </c>
      <c r="H93" s="32">
        <f>'charges (1 &amp; 2)'!$D$17</f>
        <v>1.274E-2</v>
      </c>
      <c r="I93" s="32">
        <f>'charges (1 &amp; 2)'!$D$17</f>
        <v>1.274E-2</v>
      </c>
      <c r="J93" s="32">
        <f>'charges (1 &amp; 2)'!$D$17</f>
        <v>1.274E-2</v>
      </c>
      <c r="K93" s="32">
        <f>'charges (1 &amp; 2)'!$D$17</f>
        <v>1.274E-2</v>
      </c>
      <c r="L93" s="32">
        <f>'charges (1 &amp; 2)'!$D$17</f>
        <v>1.274E-2</v>
      </c>
      <c r="M93" s="32">
        <f>'charges (1 &amp; 2)'!$D$17</f>
        <v>1.274E-2</v>
      </c>
    </row>
    <row r="94" spans="1:15" s="19" customFormat="1" ht="10.199999999999999">
      <c r="A94" s="25" t="s">
        <v>17</v>
      </c>
      <c r="B94" s="20">
        <f t="shared" ref="B94:M94" si="21">B92*B93</f>
        <v>789.88</v>
      </c>
      <c r="C94" s="20">
        <f t="shared" si="21"/>
        <v>789.88</v>
      </c>
      <c r="D94" s="20">
        <f t="shared" si="21"/>
        <v>789.88</v>
      </c>
      <c r="E94" s="20">
        <f t="shared" si="21"/>
        <v>789.88</v>
      </c>
      <c r="F94" s="20">
        <f t="shared" si="21"/>
        <v>789.88</v>
      </c>
      <c r="G94" s="20">
        <f t="shared" si="21"/>
        <v>789.88</v>
      </c>
      <c r="H94" s="20">
        <f t="shared" si="21"/>
        <v>789.88</v>
      </c>
      <c r="I94" s="20">
        <f t="shared" si="21"/>
        <v>789.88</v>
      </c>
      <c r="J94" s="20">
        <f t="shared" si="21"/>
        <v>789.88</v>
      </c>
      <c r="K94" s="20">
        <f t="shared" si="21"/>
        <v>789.88</v>
      </c>
      <c r="L94" s="20">
        <f t="shared" si="21"/>
        <v>789.88</v>
      </c>
      <c r="M94" s="20">
        <f t="shared" si="21"/>
        <v>789.88</v>
      </c>
      <c r="N94" s="20">
        <f>SUM(B94:M94)</f>
        <v>9478.56</v>
      </c>
    </row>
    <row r="95" spans="1:15" s="19" customFormat="1" ht="10.199999999999999">
      <c r="A95" s="25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5" s="19" customFormat="1" ht="10.199999999999999">
      <c r="A96" s="393" t="s">
        <v>111</v>
      </c>
    </row>
    <row r="97" spans="1:14" s="19" customFormat="1" ht="10.199999999999999">
      <c r="A97" s="26" t="s">
        <v>16</v>
      </c>
      <c r="B97" s="27">
        <f>'TSAS Demand Revenues (7)'!B97</f>
        <v>40000</v>
      </c>
      <c r="C97" s="27">
        <f>'TSAS Demand Revenues (7)'!C97</f>
        <v>40000</v>
      </c>
      <c r="D97" s="27">
        <f>'TSAS Demand Revenues (7)'!D97</f>
        <v>40000</v>
      </c>
      <c r="E97" s="27">
        <f>'TSAS Demand Revenues (7)'!E97</f>
        <v>40000</v>
      </c>
      <c r="F97" s="27">
        <f>'TSAS Demand Revenues (7)'!F97</f>
        <v>40000</v>
      </c>
      <c r="G97" s="27">
        <f>'TSAS Demand Revenues (7)'!G97</f>
        <v>40000</v>
      </c>
      <c r="H97" s="27">
        <f>'TSAS Demand Revenues (7)'!H97</f>
        <v>40000</v>
      </c>
      <c r="I97" s="27">
        <f>'TSAS Demand Revenues (7)'!I97</f>
        <v>40000</v>
      </c>
      <c r="J97" s="27">
        <f>'TSAS Demand Revenues (7)'!J97</f>
        <v>40000</v>
      </c>
      <c r="K97" s="27">
        <f>'TSAS Demand Revenues (7)'!K97</f>
        <v>40000</v>
      </c>
      <c r="L97" s="27">
        <f>'TSAS Demand Revenues (7)'!L97</f>
        <v>40000</v>
      </c>
      <c r="M97" s="27">
        <f>'TSAS Demand Revenues (7)'!M97</f>
        <v>40000</v>
      </c>
      <c r="N97" s="27">
        <f>SUM(B97:M97)</f>
        <v>480000</v>
      </c>
    </row>
    <row r="98" spans="1:14" s="19" customFormat="1" ht="10.199999999999999">
      <c r="A98" s="25" t="s">
        <v>20</v>
      </c>
      <c r="B98" s="32">
        <f>B42</f>
        <v>1.274E-2</v>
      </c>
      <c r="C98" s="32">
        <f t="shared" ref="C98:M98" si="22">C42</f>
        <v>1.274E-2</v>
      </c>
      <c r="D98" s="32">
        <f t="shared" si="22"/>
        <v>1.274E-2</v>
      </c>
      <c r="E98" s="32">
        <f t="shared" si="22"/>
        <v>1.274E-2</v>
      </c>
      <c r="F98" s="32">
        <f t="shared" si="22"/>
        <v>1.274E-2</v>
      </c>
      <c r="G98" s="32">
        <f t="shared" si="22"/>
        <v>1.274E-2</v>
      </c>
      <c r="H98" s="32">
        <f t="shared" si="22"/>
        <v>1.274E-2</v>
      </c>
      <c r="I98" s="32">
        <f t="shared" si="22"/>
        <v>1.274E-2</v>
      </c>
      <c r="J98" s="32">
        <f t="shared" si="22"/>
        <v>1.274E-2</v>
      </c>
      <c r="K98" s="32">
        <f t="shared" si="22"/>
        <v>1.274E-2</v>
      </c>
      <c r="L98" s="32">
        <f t="shared" si="22"/>
        <v>1.274E-2</v>
      </c>
      <c r="M98" s="32">
        <f t="shared" si="22"/>
        <v>1.274E-2</v>
      </c>
    </row>
    <row r="99" spans="1:14" s="19" customFormat="1" ht="10.199999999999999">
      <c r="A99" s="25" t="s">
        <v>17</v>
      </c>
      <c r="B99" s="20">
        <f t="shared" ref="B99:M99" si="23">B97*B98</f>
        <v>509.59999999999997</v>
      </c>
      <c r="C99" s="20">
        <f t="shared" si="23"/>
        <v>509.59999999999997</v>
      </c>
      <c r="D99" s="20">
        <f t="shared" si="23"/>
        <v>509.59999999999997</v>
      </c>
      <c r="E99" s="20">
        <f t="shared" si="23"/>
        <v>509.59999999999997</v>
      </c>
      <c r="F99" s="20">
        <f t="shared" si="23"/>
        <v>509.59999999999997</v>
      </c>
      <c r="G99" s="20">
        <f t="shared" si="23"/>
        <v>509.59999999999997</v>
      </c>
      <c r="H99" s="20">
        <f t="shared" si="23"/>
        <v>509.59999999999997</v>
      </c>
      <c r="I99" s="20">
        <f t="shared" si="23"/>
        <v>509.59999999999997</v>
      </c>
      <c r="J99" s="20">
        <f t="shared" si="23"/>
        <v>509.59999999999997</v>
      </c>
      <c r="K99" s="20">
        <f t="shared" si="23"/>
        <v>509.59999999999997</v>
      </c>
      <c r="L99" s="20">
        <f t="shared" si="23"/>
        <v>509.59999999999997</v>
      </c>
      <c r="M99" s="20">
        <f t="shared" si="23"/>
        <v>509.59999999999997</v>
      </c>
      <c r="N99" s="20">
        <f>SUM(B99:M99)</f>
        <v>6115.2000000000007</v>
      </c>
    </row>
    <row r="100" spans="1:14" s="19" customFormat="1" ht="10.199999999999999">
      <c r="A100" s="25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s="19" customFormat="1" ht="10.199999999999999">
      <c r="A101" s="393" t="s">
        <v>44</v>
      </c>
    </row>
    <row r="102" spans="1:14" s="19" customFormat="1" ht="10.199999999999999">
      <c r="A102" s="26" t="s">
        <v>16</v>
      </c>
      <c r="B102" s="27">
        <f>'TSAS Demand Revenues (7)'!B112</f>
        <v>25000</v>
      </c>
      <c r="C102" s="27">
        <f>'TSAS Demand Revenues (7)'!C112</f>
        <v>0</v>
      </c>
      <c r="D102" s="27">
        <f>'TSAS Demand Revenues (7)'!D112</f>
        <v>0</v>
      </c>
      <c r="E102" s="27">
        <f>'TSAS Demand Revenues (7)'!E112</f>
        <v>0</v>
      </c>
      <c r="F102" s="27">
        <f>'TSAS Demand Revenues (7)'!F112</f>
        <v>0</v>
      </c>
      <c r="G102" s="27">
        <f>'TSAS Demand Revenues (7)'!G112</f>
        <v>0</v>
      </c>
      <c r="H102" s="27">
        <f>'TSAS Demand Revenues (7)'!H112</f>
        <v>0</v>
      </c>
      <c r="I102" s="27">
        <f>'TSAS Demand Revenues (7)'!I112</f>
        <v>0</v>
      </c>
      <c r="J102" s="27">
        <f>'TSAS Demand Revenues (7)'!J112</f>
        <v>0</v>
      </c>
      <c r="K102" s="27">
        <f>'TSAS Demand Revenues (7)'!K112</f>
        <v>0</v>
      </c>
      <c r="L102" s="27">
        <f>'TSAS Demand Revenues (7)'!L112</f>
        <v>0</v>
      </c>
      <c r="M102" s="27">
        <f>'TSAS Demand Revenues (7)'!M112</f>
        <v>0</v>
      </c>
      <c r="N102" s="27">
        <f>SUM(B102:M102)</f>
        <v>25000</v>
      </c>
    </row>
    <row r="103" spans="1:14" s="19" customFormat="1" ht="10.199999999999999">
      <c r="A103" s="25" t="s">
        <v>20</v>
      </c>
      <c r="B103" s="32">
        <f>B47</f>
        <v>1.274E-2</v>
      </c>
      <c r="C103" s="32">
        <f t="shared" ref="C103:M103" si="24">C47</f>
        <v>1.274E-2</v>
      </c>
      <c r="D103" s="32">
        <f t="shared" si="24"/>
        <v>1.274E-2</v>
      </c>
      <c r="E103" s="32">
        <f t="shared" si="24"/>
        <v>1.274E-2</v>
      </c>
      <c r="F103" s="32">
        <f t="shared" si="24"/>
        <v>1.274E-2</v>
      </c>
      <c r="G103" s="32">
        <f t="shared" si="24"/>
        <v>1.274E-2</v>
      </c>
      <c r="H103" s="32">
        <f t="shared" si="24"/>
        <v>1.274E-2</v>
      </c>
      <c r="I103" s="32">
        <f t="shared" si="24"/>
        <v>1.274E-2</v>
      </c>
      <c r="J103" s="32">
        <f t="shared" si="24"/>
        <v>1.274E-2</v>
      </c>
      <c r="K103" s="32">
        <f t="shared" si="24"/>
        <v>1.274E-2</v>
      </c>
      <c r="L103" s="32">
        <f t="shared" si="24"/>
        <v>1.274E-2</v>
      </c>
      <c r="M103" s="32">
        <f t="shared" si="24"/>
        <v>1.274E-2</v>
      </c>
    </row>
    <row r="104" spans="1:14" s="19" customFormat="1" ht="10.199999999999999">
      <c r="A104" s="25" t="s">
        <v>17</v>
      </c>
      <c r="B104" s="20">
        <f t="shared" ref="B104:M104" si="25">B102*B103</f>
        <v>318.5</v>
      </c>
      <c r="C104" s="20">
        <f t="shared" si="25"/>
        <v>0</v>
      </c>
      <c r="D104" s="20">
        <f t="shared" si="25"/>
        <v>0</v>
      </c>
      <c r="E104" s="20">
        <f t="shared" si="25"/>
        <v>0</v>
      </c>
      <c r="F104" s="20">
        <f t="shared" si="25"/>
        <v>0</v>
      </c>
      <c r="G104" s="20">
        <f t="shared" si="25"/>
        <v>0</v>
      </c>
      <c r="H104" s="20">
        <f t="shared" si="25"/>
        <v>0</v>
      </c>
      <c r="I104" s="20">
        <f t="shared" si="25"/>
        <v>0</v>
      </c>
      <c r="J104" s="20">
        <f t="shared" si="25"/>
        <v>0</v>
      </c>
      <c r="K104" s="20">
        <f t="shared" si="25"/>
        <v>0</v>
      </c>
      <c r="L104" s="20">
        <f t="shared" si="25"/>
        <v>0</v>
      </c>
      <c r="M104" s="20">
        <f t="shared" si="25"/>
        <v>0</v>
      </c>
      <c r="N104" s="20">
        <f>SUM(B104:M104)</f>
        <v>318.5</v>
      </c>
    </row>
    <row r="105" spans="1:14" s="19" customFormat="1" ht="10.199999999999999">
      <c r="A105" s="25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s="19" customFormat="1" ht="10.199999999999999">
      <c r="A106" s="25" t="s">
        <v>165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s="19" customFormat="1" ht="10.199999999999999">
      <c r="A107" s="26" t="s">
        <v>16</v>
      </c>
      <c r="B107" s="20">
        <f>'TSAS Demand Revenues (7)'!B122</f>
        <v>4000</v>
      </c>
      <c r="C107" s="20">
        <f>'TSAS Demand Revenues (7)'!C122</f>
        <v>0</v>
      </c>
      <c r="D107" s="20">
        <f>'TSAS Demand Revenues (7)'!D122</f>
        <v>0</v>
      </c>
      <c r="E107" s="20">
        <f>'TSAS Demand Revenues (7)'!E122</f>
        <v>0</v>
      </c>
      <c r="F107" s="20">
        <f>'TSAS Demand Revenues (7)'!F122</f>
        <v>0</v>
      </c>
      <c r="G107" s="20">
        <f>'TSAS Demand Revenues (7)'!G122</f>
        <v>0</v>
      </c>
      <c r="H107" s="20">
        <f>'TSAS Demand Revenues (7)'!H122</f>
        <v>0</v>
      </c>
      <c r="I107" s="20">
        <f>'TSAS Demand Revenues (7)'!I122</f>
        <v>0</v>
      </c>
      <c r="J107" s="20">
        <f>'TSAS Demand Revenues (7)'!J122</f>
        <v>0</v>
      </c>
      <c r="K107" s="20">
        <f>'TSAS Demand Revenues (7)'!K122</f>
        <v>0</v>
      </c>
      <c r="L107" s="20">
        <f>'TSAS Demand Revenues (7)'!L122</f>
        <v>0</v>
      </c>
      <c r="M107" s="20">
        <f>'TSAS Demand Revenues (7)'!M122</f>
        <v>0</v>
      </c>
      <c r="N107" s="27">
        <f>SUM(B107:M107)</f>
        <v>4000</v>
      </c>
    </row>
    <row r="108" spans="1:14" s="19" customFormat="1" ht="10.199999999999999">
      <c r="A108" s="25" t="s">
        <v>20</v>
      </c>
      <c r="B108" s="32">
        <f>'TSAS Scheduling Revenue (1)'!B103</f>
        <v>1.274E-2</v>
      </c>
      <c r="C108" s="32">
        <f>'TSAS Scheduling Revenue (1)'!C103</f>
        <v>1.274E-2</v>
      </c>
      <c r="D108" s="32">
        <f>'TSAS Scheduling Revenue (1)'!D103</f>
        <v>1.274E-2</v>
      </c>
      <c r="E108" s="32">
        <f>'TSAS Scheduling Revenue (1)'!E103</f>
        <v>1.274E-2</v>
      </c>
      <c r="F108" s="32">
        <f>'TSAS Scheduling Revenue (1)'!F103</f>
        <v>1.274E-2</v>
      </c>
      <c r="G108" s="32">
        <f>'TSAS Scheduling Revenue (1)'!G103</f>
        <v>1.274E-2</v>
      </c>
      <c r="H108" s="32">
        <f>'TSAS Scheduling Revenue (1)'!H103</f>
        <v>1.274E-2</v>
      </c>
      <c r="I108" s="32">
        <f>'TSAS Scheduling Revenue (1)'!I103</f>
        <v>1.274E-2</v>
      </c>
      <c r="J108" s="32">
        <f>'TSAS Scheduling Revenue (1)'!J103</f>
        <v>1.274E-2</v>
      </c>
      <c r="K108" s="32">
        <f>'TSAS Scheduling Revenue (1)'!K103</f>
        <v>1.274E-2</v>
      </c>
      <c r="L108" s="32">
        <f>'TSAS Scheduling Revenue (1)'!L103</f>
        <v>1.274E-2</v>
      </c>
      <c r="M108" s="32">
        <f>'TSAS Scheduling Revenue (1)'!M103</f>
        <v>1.274E-2</v>
      </c>
    </row>
    <row r="109" spans="1:14" s="19" customFormat="1" ht="10.199999999999999">
      <c r="A109" s="25" t="s">
        <v>17</v>
      </c>
      <c r="B109" s="20">
        <f t="shared" ref="B109:M109" si="26">B107*B108</f>
        <v>50.96</v>
      </c>
      <c r="C109" s="20">
        <f t="shared" si="26"/>
        <v>0</v>
      </c>
      <c r="D109" s="20">
        <f t="shared" si="26"/>
        <v>0</v>
      </c>
      <c r="E109" s="20">
        <f t="shared" si="26"/>
        <v>0</v>
      </c>
      <c r="F109" s="20">
        <f t="shared" si="26"/>
        <v>0</v>
      </c>
      <c r="G109" s="20">
        <f t="shared" si="26"/>
        <v>0</v>
      </c>
      <c r="H109" s="20">
        <f t="shared" si="26"/>
        <v>0</v>
      </c>
      <c r="I109" s="20">
        <f t="shared" si="26"/>
        <v>0</v>
      </c>
      <c r="J109" s="20">
        <f t="shared" si="26"/>
        <v>0</v>
      </c>
      <c r="K109" s="20">
        <f t="shared" si="26"/>
        <v>0</v>
      </c>
      <c r="L109" s="20">
        <f t="shared" si="26"/>
        <v>0</v>
      </c>
      <c r="M109" s="20">
        <f t="shared" si="26"/>
        <v>0</v>
      </c>
      <c r="N109" s="20">
        <f>SUM(B109:M109)</f>
        <v>50.96</v>
      </c>
    </row>
    <row r="110" spans="1:14" s="19" customFormat="1" ht="10.199999999999999">
      <c r="A110" s="25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s="19" customFormat="1" ht="10.199999999999999">
      <c r="A111" s="25" t="s">
        <v>172</v>
      </c>
    </row>
    <row r="112" spans="1:14" s="19" customFormat="1" ht="10.199999999999999">
      <c r="A112" s="26" t="s">
        <v>16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f>SUM(B112:M112)</f>
        <v>0</v>
      </c>
    </row>
    <row r="113" spans="1:14" s="19" customFormat="1" ht="10.199999999999999">
      <c r="A113" s="25" t="s">
        <v>20</v>
      </c>
      <c r="B113" s="32">
        <f>B108</f>
        <v>1.274E-2</v>
      </c>
      <c r="C113" s="32">
        <f t="shared" ref="C113:M113" si="27">C108</f>
        <v>1.274E-2</v>
      </c>
      <c r="D113" s="32">
        <f t="shared" si="27"/>
        <v>1.274E-2</v>
      </c>
      <c r="E113" s="32">
        <f t="shared" si="27"/>
        <v>1.274E-2</v>
      </c>
      <c r="F113" s="32">
        <f t="shared" si="27"/>
        <v>1.274E-2</v>
      </c>
      <c r="G113" s="32">
        <f t="shared" si="27"/>
        <v>1.274E-2</v>
      </c>
      <c r="H113" s="32">
        <f t="shared" si="27"/>
        <v>1.274E-2</v>
      </c>
      <c r="I113" s="32">
        <f t="shared" si="27"/>
        <v>1.274E-2</v>
      </c>
      <c r="J113" s="32">
        <f t="shared" si="27"/>
        <v>1.274E-2</v>
      </c>
      <c r="K113" s="32">
        <f t="shared" si="27"/>
        <v>1.274E-2</v>
      </c>
      <c r="L113" s="32">
        <f t="shared" si="27"/>
        <v>1.274E-2</v>
      </c>
      <c r="M113" s="32">
        <f t="shared" si="27"/>
        <v>1.274E-2</v>
      </c>
    </row>
    <row r="114" spans="1:14" s="19" customFormat="1" ht="10.199999999999999">
      <c r="A114" s="25" t="s">
        <v>17</v>
      </c>
      <c r="B114" s="20">
        <f t="shared" ref="B114:M114" si="28">B112*B113</f>
        <v>0</v>
      </c>
      <c r="C114" s="20">
        <f t="shared" si="28"/>
        <v>0</v>
      </c>
      <c r="D114" s="20">
        <f t="shared" si="28"/>
        <v>0</v>
      </c>
      <c r="E114" s="20">
        <f t="shared" si="28"/>
        <v>0</v>
      </c>
      <c r="F114" s="20">
        <f t="shared" si="28"/>
        <v>0</v>
      </c>
      <c r="G114" s="20">
        <f t="shared" si="28"/>
        <v>0</v>
      </c>
      <c r="H114" s="20">
        <f t="shared" si="28"/>
        <v>0</v>
      </c>
      <c r="I114" s="20">
        <f t="shared" si="28"/>
        <v>0</v>
      </c>
      <c r="J114" s="20">
        <f t="shared" si="28"/>
        <v>0</v>
      </c>
      <c r="K114" s="20">
        <f t="shared" si="28"/>
        <v>0</v>
      </c>
      <c r="L114" s="20">
        <f t="shared" si="28"/>
        <v>0</v>
      </c>
      <c r="M114" s="20">
        <f t="shared" si="28"/>
        <v>0</v>
      </c>
      <c r="N114" s="20">
        <f>SUM(B114:M114)</f>
        <v>0</v>
      </c>
    </row>
    <row r="115" spans="1:14" s="19" customFormat="1" ht="10.199999999999999">
      <c r="A115" s="25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>
      <c r="A116" s="393" t="s">
        <v>173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>
      <c r="A117" s="26" t="s">
        <v>16</v>
      </c>
      <c r="B117" s="27">
        <f>'TSAS Demand Revenues (7)'!B107</f>
        <v>0</v>
      </c>
      <c r="C117" s="27">
        <f>'TSAS Demand Revenues (7)'!C107</f>
        <v>0</v>
      </c>
      <c r="D117" s="27">
        <f>'TSAS Demand Revenues (7)'!D107</f>
        <v>0</v>
      </c>
      <c r="E117" s="27">
        <f>'TSAS Demand Revenues (7)'!E107</f>
        <v>0</v>
      </c>
      <c r="F117" s="27">
        <f>'TSAS Demand Revenues (7)'!F107</f>
        <v>0</v>
      </c>
      <c r="G117" s="27">
        <f>'TSAS Demand Revenues (7)'!G107</f>
        <v>0</v>
      </c>
      <c r="H117" s="27">
        <f>'TSAS Demand Revenues (7)'!H107</f>
        <v>0</v>
      </c>
      <c r="I117" s="27">
        <f>'TSAS Demand Revenues (7)'!I107</f>
        <v>0</v>
      </c>
      <c r="J117" s="27">
        <f>'TSAS Demand Revenues (7)'!J107</f>
        <v>0</v>
      </c>
      <c r="K117" s="27">
        <f>'TSAS Demand Revenues (7)'!K107</f>
        <v>0</v>
      </c>
      <c r="L117" s="27">
        <f>'TSAS Demand Revenues (7)'!L107</f>
        <v>0</v>
      </c>
      <c r="M117" s="27">
        <f>'TSAS Demand Revenues (7)'!M107</f>
        <v>0</v>
      </c>
      <c r="N117" s="27">
        <f>SUM(B117:M117)</f>
        <v>0</v>
      </c>
    </row>
    <row r="118" spans="1:14">
      <c r="A118" s="25" t="s">
        <v>20</v>
      </c>
      <c r="B118" s="32">
        <f>B62</f>
        <v>1.274E-2</v>
      </c>
      <c r="C118" s="32">
        <f t="shared" ref="C118:M118" si="29">C62</f>
        <v>1.274E-2</v>
      </c>
      <c r="D118" s="32">
        <f t="shared" si="29"/>
        <v>1.274E-2</v>
      </c>
      <c r="E118" s="32">
        <f t="shared" si="29"/>
        <v>1.274E-2</v>
      </c>
      <c r="F118" s="32">
        <f t="shared" si="29"/>
        <v>1.274E-2</v>
      </c>
      <c r="G118" s="32">
        <f t="shared" si="29"/>
        <v>1.274E-2</v>
      </c>
      <c r="H118" s="32">
        <f t="shared" si="29"/>
        <v>1.274E-2</v>
      </c>
      <c r="I118" s="32">
        <f t="shared" si="29"/>
        <v>1.274E-2</v>
      </c>
      <c r="J118" s="32">
        <f t="shared" si="29"/>
        <v>1.274E-2</v>
      </c>
      <c r="K118" s="32">
        <f t="shared" si="29"/>
        <v>1.274E-2</v>
      </c>
      <c r="L118" s="32">
        <f t="shared" si="29"/>
        <v>1.274E-2</v>
      </c>
      <c r="M118" s="32">
        <f t="shared" si="29"/>
        <v>1.274E-2</v>
      </c>
      <c r="N118" s="19"/>
    </row>
    <row r="119" spans="1:14">
      <c r="A119" s="25" t="s">
        <v>17</v>
      </c>
      <c r="B119" s="20">
        <f t="shared" ref="B119:M119" si="30">B117*B118</f>
        <v>0</v>
      </c>
      <c r="C119" s="20">
        <f t="shared" si="30"/>
        <v>0</v>
      </c>
      <c r="D119" s="20">
        <f t="shared" si="30"/>
        <v>0</v>
      </c>
      <c r="E119" s="20">
        <f t="shared" si="30"/>
        <v>0</v>
      </c>
      <c r="F119" s="20">
        <f t="shared" si="30"/>
        <v>0</v>
      </c>
      <c r="G119" s="20">
        <f t="shared" si="30"/>
        <v>0</v>
      </c>
      <c r="H119" s="20">
        <f t="shared" si="30"/>
        <v>0</v>
      </c>
      <c r="I119" s="20">
        <f t="shared" si="30"/>
        <v>0</v>
      </c>
      <c r="J119" s="20">
        <f t="shared" si="30"/>
        <v>0</v>
      </c>
      <c r="K119" s="20">
        <f t="shared" si="30"/>
        <v>0</v>
      </c>
      <c r="L119" s="20">
        <f t="shared" si="30"/>
        <v>0</v>
      </c>
      <c r="M119" s="20">
        <f t="shared" si="30"/>
        <v>0</v>
      </c>
      <c r="N119" s="20">
        <f>SUM(B119:M119)</f>
        <v>0</v>
      </c>
    </row>
    <row r="120" spans="1:14" s="19" customFormat="1" ht="10.199999999999999">
      <c r="A120" s="25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>
      <c r="A121" s="393" t="s">
        <v>112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26" t="s">
        <v>16</v>
      </c>
      <c r="B122" s="27">
        <f>'TSAS Demand Revenues (7)'!B117</f>
        <v>150000</v>
      </c>
      <c r="C122" s="27">
        <f>'TSAS Demand Revenues (7)'!C117</f>
        <v>150000</v>
      </c>
      <c r="D122" s="27">
        <f>'TSAS Demand Revenues (7)'!D117</f>
        <v>150000</v>
      </c>
      <c r="E122" s="27">
        <f>'TSAS Demand Revenues (7)'!E117</f>
        <v>150000</v>
      </c>
      <c r="F122" s="27">
        <f>'TSAS Demand Revenues (7)'!F117</f>
        <v>150000</v>
      </c>
      <c r="G122" s="27">
        <f>'TSAS Demand Revenues (7)'!G117</f>
        <v>150000</v>
      </c>
      <c r="H122" s="27">
        <f>'TSAS Demand Revenues (7)'!H117</f>
        <v>150000</v>
      </c>
      <c r="I122" s="27">
        <f>'TSAS Demand Revenues (7)'!I117</f>
        <v>150000</v>
      </c>
      <c r="J122" s="27">
        <f>'TSAS Demand Revenues (7)'!J117</f>
        <v>150000</v>
      </c>
      <c r="K122" s="27">
        <f>'TSAS Demand Revenues (7)'!K117</f>
        <v>150000</v>
      </c>
      <c r="L122" s="27">
        <f>'TSAS Demand Revenues (7)'!L117</f>
        <v>150000</v>
      </c>
      <c r="M122" s="27">
        <f>'TSAS Demand Revenues (7)'!M117</f>
        <v>150000</v>
      </c>
      <c r="N122" s="27">
        <f>SUM(B122:M122)</f>
        <v>1800000</v>
      </c>
    </row>
    <row r="123" spans="1:14">
      <c r="A123" s="25" t="s">
        <v>20</v>
      </c>
      <c r="B123" s="32">
        <f>B118</f>
        <v>1.274E-2</v>
      </c>
      <c r="C123" s="32">
        <f t="shared" ref="C123:M123" si="31">C118</f>
        <v>1.274E-2</v>
      </c>
      <c r="D123" s="32">
        <f t="shared" si="31"/>
        <v>1.274E-2</v>
      </c>
      <c r="E123" s="32">
        <f t="shared" si="31"/>
        <v>1.274E-2</v>
      </c>
      <c r="F123" s="32">
        <f t="shared" si="31"/>
        <v>1.274E-2</v>
      </c>
      <c r="G123" s="32">
        <f t="shared" si="31"/>
        <v>1.274E-2</v>
      </c>
      <c r="H123" s="32">
        <f t="shared" si="31"/>
        <v>1.274E-2</v>
      </c>
      <c r="I123" s="32">
        <f t="shared" si="31"/>
        <v>1.274E-2</v>
      </c>
      <c r="J123" s="32">
        <f t="shared" si="31"/>
        <v>1.274E-2</v>
      </c>
      <c r="K123" s="32">
        <f t="shared" si="31"/>
        <v>1.274E-2</v>
      </c>
      <c r="L123" s="32">
        <f t="shared" si="31"/>
        <v>1.274E-2</v>
      </c>
      <c r="M123" s="32">
        <f t="shared" si="31"/>
        <v>1.274E-2</v>
      </c>
      <c r="N123" s="19"/>
    </row>
    <row r="124" spans="1:14">
      <c r="A124" s="25" t="s">
        <v>17</v>
      </c>
      <c r="B124" s="20">
        <f t="shared" ref="B124:M124" si="32">B122*B123</f>
        <v>1911</v>
      </c>
      <c r="C124" s="20">
        <f t="shared" si="32"/>
        <v>1911</v>
      </c>
      <c r="D124" s="20">
        <f t="shared" si="32"/>
        <v>1911</v>
      </c>
      <c r="E124" s="20">
        <f t="shared" si="32"/>
        <v>1911</v>
      </c>
      <c r="F124" s="20">
        <f t="shared" si="32"/>
        <v>1911</v>
      </c>
      <c r="G124" s="20">
        <f t="shared" si="32"/>
        <v>1911</v>
      </c>
      <c r="H124" s="20">
        <f t="shared" si="32"/>
        <v>1911</v>
      </c>
      <c r="I124" s="20">
        <f t="shared" si="32"/>
        <v>1911</v>
      </c>
      <c r="J124" s="20">
        <f t="shared" si="32"/>
        <v>1911</v>
      </c>
      <c r="K124" s="20">
        <f t="shared" si="32"/>
        <v>1911</v>
      </c>
      <c r="L124" s="20">
        <f t="shared" si="32"/>
        <v>1911</v>
      </c>
      <c r="M124" s="20">
        <f t="shared" si="32"/>
        <v>1911</v>
      </c>
      <c r="N124" s="20">
        <f>SUM(B124:M124)</f>
        <v>22932</v>
      </c>
    </row>
    <row r="125" spans="1:14">
      <c r="A125" s="25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s="19" customFormat="1" ht="10.199999999999999">
      <c r="A126" s="393" t="s">
        <v>222</v>
      </c>
    </row>
    <row r="127" spans="1:14" s="19" customFormat="1" ht="10.199999999999999">
      <c r="A127" s="26" t="s">
        <v>16</v>
      </c>
      <c r="B127" s="27">
        <f>'TSAS Reactive Revenues (2)'!B112</f>
        <v>4000</v>
      </c>
      <c r="C127" s="27">
        <f>'TSAS Reactive Revenues (2)'!C112</f>
        <v>4000</v>
      </c>
      <c r="D127" s="27">
        <f>'TSAS Reactive Revenues (2)'!D112</f>
        <v>4000</v>
      </c>
      <c r="E127" s="27">
        <f>'TSAS Reactive Revenues (2)'!E112</f>
        <v>4000</v>
      </c>
      <c r="F127" s="27">
        <f>'TSAS Reactive Revenues (2)'!F112</f>
        <v>4000</v>
      </c>
      <c r="G127" s="27">
        <f>'TSAS Reactive Revenues (2)'!G112</f>
        <v>4000</v>
      </c>
      <c r="H127" s="27">
        <f>'TSAS Reactive Revenues (2)'!H112</f>
        <v>4000</v>
      </c>
      <c r="I127" s="27">
        <f>'TSAS Reactive Revenues (2)'!I112</f>
        <v>4000</v>
      </c>
      <c r="J127" s="27">
        <f>'TSAS Reactive Revenues (2)'!J112</f>
        <v>4000</v>
      </c>
      <c r="K127" s="27">
        <f>'TSAS Reactive Revenues (2)'!K112</f>
        <v>4000</v>
      </c>
      <c r="L127" s="27">
        <f>'TSAS Reactive Revenues (2)'!L112</f>
        <v>4000</v>
      </c>
      <c r="M127" s="27">
        <f>'TSAS Reactive Revenues (2)'!M112</f>
        <v>4000</v>
      </c>
      <c r="N127" s="27">
        <f>SUM(B127:M127)</f>
        <v>48000</v>
      </c>
    </row>
    <row r="128" spans="1:14" s="19" customFormat="1" ht="10.199999999999999">
      <c r="A128" s="25" t="s">
        <v>20</v>
      </c>
      <c r="B128" s="32">
        <f>'TSAS Scheduling Revenue (1)'!B118</f>
        <v>1.274E-2</v>
      </c>
      <c r="C128" s="32">
        <f>'TSAS Scheduling Revenue (1)'!C118</f>
        <v>1.274E-2</v>
      </c>
      <c r="D128" s="32">
        <f>'TSAS Scheduling Revenue (1)'!D118</f>
        <v>1.274E-2</v>
      </c>
      <c r="E128" s="32">
        <f>'TSAS Scheduling Revenue (1)'!E118</f>
        <v>1.274E-2</v>
      </c>
      <c r="F128" s="32">
        <f>'TSAS Scheduling Revenue (1)'!F118</f>
        <v>1.274E-2</v>
      </c>
      <c r="G128" s="32">
        <f>'TSAS Scheduling Revenue (1)'!G118</f>
        <v>1.274E-2</v>
      </c>
      <c r="H128" s="32">
        <f>'TSAS Scheduling Revenue (1)'!H118</f>
        <v>1.274E-2</v>
      </c>
      <c r="I128" s="32">
        <f>'TSAS Scheduling Revenue (1)'!I118</f>
        <v>1.274E-2</v>
      </c>
      <c r="J128" s="32">
        <f>'TSAS Scheduling Revenue (1)'!J118</f>
        <v>1.274E-2</v>
      </c>
      <c r="K128" s="32">
        <f>'TSAS Scheduling Revenue (1)'!K118</f>
        <v>1.274E-2</v>
      </c>
      <c r="L128" s="32">
        <f>'TSAS Scheduling Revenue (1)'!L118</f>
        <v>1.274E-2</v>
      </c>
      <c r="M128" s="32">
        <f>'TSAS Scheduling Revenue (1)'!M118</f>
        <v>1.274E-2</v>
      </c>
    </row>
    <row r="129" spans="1:16" s="19" customFormat="1" ht="10.199999999999999">
      <c r="A129" s="25" t="s">
        <v>17</v>
      </c>
      <c r="B129" s="20">
        <f>B127*B128</f>
        <v>50.96</v>
      </c>
      <c r="C129" s="20">
        <f t="shared" ref="C129:M129" si="33">C127*C128</f>
        <v>50.96</v>
      </c>
      <c r="D129" s="20">
        <f t="shared" si="33"/>
        <v>50.96</v>
      </c>
      <c r="E129" s="20">
        <f t="shared" si="33"/>
        <v>50.96</v>
      </c>
      <c r="F129" s="20">
        <f t="shared" si="33"/>
        <v>50.96</v>
      </c>
      <c r="G129" s="20">
        <f t="shared" si="33"/>
        <v>50.96</v>
      </c>
      <c r="H129" s="20">
        <f t="shared" si="33"/>
        <v>50.96</v>
      </c>
      <c r="I129" s="20">
        <f t="shared" si="33"/>
        <v>50.96</v>
      </c>
      <c r="J129" s="20">
        <f t="shared" si="33"/>
        <v>50.96</v>
      </c>
      <c r="K129" s="20">
        <f t="shared" si="33"/>
        <v>50.96</v>
      </c>
      <c r="L129" s="20">
        <f t="shared" si="33"/>
        <v>50.96</v>
      </c>
      <c r="M129" s="20">
        <f t="shared" si="33"/>
        <v>50.96</v>
      </c>
      <c r="N129" s="20">
        <f>SUM(B129:M129)</f>
        <v>611.52</v>
      </c>
    </row>
    <row r="130" spans="1:16" s="19" customFormat="1" ht="10.199999999999999">
      <c r="A130" s="25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6" s="19" customFormat="1" ht="10.199999999999999">
      <c r="A131" s="393" t="s">
        <v>224</v>
      </c>
    </row>
    <row r="132" spans="1:16" s="19" customFormat="1" ht="10.199999999999999">
      <c r="A132" s="26" t="s">
        <v>16</v>
      </c>
      <c r="B132" s="27">
        <f>'TSAS Reactive Revenues (2)'!B127</f>
        <v>160000</v>
      </c>
      <c r="C132" s="27">
        <f>'TSAS Reactive Revenues (2)'!C127</f>
        <v>160000</v>
      </c>
      <c r="D132" s="27">
        <f>'TSAS Reactive Revenues (2)'!D127</f>
        <v>160000</v>
      </c>
      <c r="E132" s="27">
        <f>'TSAS Reactive Revenues (2)'!E127</f>
        <v>160000</v>
      </c>
      <c r="F132" s="27">
        <f>'TSAS Reactive Revenues (2)'!F127</f>
        <v>160000</v>
      </c>
      <c r="G132" s="27">
        <f>'TSAS Reactive Revenues (2)'!G127</f>
        <v>160000</v>
      </c>
      <c r="H132" s="27">
        <f>'TSAS Reactive Revenues (2)'!H127</f>
        <v>160000</v>
      </c>
      <c r="I132" s="27">
        <f>'TSAS Reactive Revenues (2)'!I127</f>
        <v>160000</v>
      </c>
      <c r="J132" s="27">
        <f>'TSAS Reactive Revenues (2)'!J127</f>
        <v>160000</v>
      </c>
      <c r="K132" s="27">
        <f>'TSAS Reactive Revenues (2)'!K127</f>
        <v>160000</v>
      </c>
      <c r="L132" s="27">
        <f>'TSAS Reactive Revenues (2)'!L127</f>
        <v>160000</v>
      </c>
      <c r="M132" s="27">
        <f>'TSAS Reactive Revenues (2)'!M127</f>
        <v>160000</v>
      </c>
      <c r="N132" s="27">
        <f>SUM(B132:M132)</f>
        <v>1920000</v>
      </c>
      <c r="O132" s="394" t="s">
        <v>343</v>
      </c>
      <c r="P132" s="394"/>
    </row>
    <row r="133" spans="1:16" s="19" customFormat="1" ht="10.199999999999999">
      <c r="A133" s="25" t="s">
        <v>20</v>
      </c>
      <c r="B133" s="32">
        <f>B128</f>
        <v>1.274E-2</v>
      </c>
      <c r="C133" s="32">
        <f>B133</f>
        <v>1.274E-2</v>
      </c>
      <c r="D133" s="32">
        <f t="shared" ref="D133" si="34">C133</f>
        <v>1.274E-2</v>
      </c>
      <c r="E133" s="32">
        <f t="shared" ref="E133" si="35">D133</f>
        <v>1.274E-2</v>
      </c>
      <c r="F133" s="32">
        <f t="shared" ref="F133" si="36">E133</f>
        <v>1.274E-2</v>
      </c>
      <c r="G133" s="32">
        <f t="shared" ref="G133" si="37">F133</f>
        <v>1.274E-2</v>
      </c>
      <c r="H133" s="32">
        <f t="shared" ref="H133" si="38">G133</f>
        <v>1.274E-2</v>
      </c>
      <c r="I133" s="32">
        <f t="shared" ref="I133" si="39">H133</f>
        <v>1.274E-2</v>
      </c>
      <c r="J133" s="32">
        <f t="shared" ref="J133" si="40">I133</f>
        <v>1.274E-2</v>
      </c>
      <c r="K133" s="32">
        <f t="shared" ref="K133" si="41">J133</f>
        <v>1.274E-2</v>
      </c>
      <c r="L133" s="32">
        <f t="shared" ref="L133" si="42">K133</f>
        <v>1.274E-2</v>
      </c>
      <c r="M133" s="32">
        <f t="shared" ref="M133" si="43">L133</f>
        <v>1.274E-2</v>
      </c>
    </row>
    <row r="134" spans="1:16" s="19" customFormat="1" ht="10.199999999999999">
      <c r="A134" s="25" t="s">
        <v>17</v>
      </c>
      <c r="B134" s="20">
        <f t="shared" ref="B134:M134" si="44">B132*B133</f>
        <v>2038.3999999999999</v>
      </c>
      <c r="C134" s="20">
        <f t="shared" si="44"/>
        <v>2038.3999999999999</v>
      </c>
      <c r="D134" s="20">
        <f t="shared" si="44"/>
        <v>2038.3999999999999</v>
      </c>
      <c r="E134" s="20">
        <f t="shared" si="44"/>
        <v>2038.3999999999999</v>
      </c>
      <c r="F134" s="20">
        <f t="shared" si="44"/>
        <v>2038.3999999999999</v>
      </c>
      <c r="G134" s="20">
        <f t="shared" si="44"/>
        <v>2038.3999999999999</v>
      </c>
      <c r="H134" s="20">
        <f t="shared" si="44"/>
        <v>2038.3999999999999</v>
      </c>
      <c r="I134" s="20">
        <f t="shared" si="44"/>
        <v>2038.3999999999999</v>
      </c>
      <c r="J134" s="20">
        <f t="shared" si="44"/>
        <v>2038.3999999999999</v>
      </c>
      <c r="K134" s="20">
        <f t="shared" si="44"/>
        <v>2038.3999999999999</v>
      </c>
      <c r="L134" s="20">
        <f t="shared" si="44"/>
        <v>2038.3999999999999</v>
      </c>
      <c r="M134" s="20">
        <f t="shared" si="44"/>
        <v>2038.3999999999999</v>
      </c>
      <c r="N134" s="20">
        <f>SUM(B134:M134)</f>
        <v>24460.800000000003</v>
      </c>
    </row>
    <row r="135" spans="1:16" s="19" customFormat="1" ht="10.199999999999999">
      <c r="A135" s="25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6" s="19" customFormat="1" ht="10.199999999999999">
      <c r="A136" s="393" t="s">
        <v>287</v>
      </c>
      <c r="B136" s="20">
        <f>'TSAS Demand Revenues (7)'!B131</f>
        <v>20000</v>
      </c>
      <c r="C136" s="20">
        <f>'TSAS Demand Revenues (7)'!C131</f>
        <v>0</v>
      </c>
      <c r="D136" s="20">
        <f>'TSAS Demand Revenues (7)'!D131</f>
        <v>0</v>
      </c>
      <c r="E136" s="20">
        <f>'TSAS Demand Revenues (7)'!E131</f>
        <v>0</v>
      </c>
      <c r="F136" s="20">
        <f>'TSAS Demand Revenues (7)'!F131</f>
        <v>0</v>
      </c>
      <c r="G136" s="20">
        <f>'TSAS Demand Revenues (7)'!G131</f>
        <v>0</v>
      </c>
      <c r="H136" s="20">
        <f>'TSAS Demand Revenues (7)'!H131</f>
        <v>0</v>
      </c>
      <c r="I136" s="20">
        <f>'TSAS Demand Revenues (7)'!I131</f>
        <v>0</v>
      </c>
      <c r="J136" s="20">
        <f>'TSAS Demand Revenues (7)'!J131</f>
        <v>0</v>
      </c>
      <c r="K136" s="20">
        <f>'TSAS Demand Revenues (7)'!K131</f>
        <v>0</v>
      </c>
      <c r="L136" s="20">
        <f>'TSAS Demand Revenues (7)'!L131</f>
        <v>0</v>
      </c>
      <c r="M136" s="20">
        <f>'TSAS Demand Revenues (7)'!M131</f>
        <v>0</v>
      </c>
      <c r="N136" s="27">
        <f>SUM(B136:M136)</f>
        <v>20000</v>
      </c>
    </row>
    <row r="137" spans="1:16" s="19" customFormat="1" ht="10.199999999999999">
      <c r="A137" s="25" t="s">
        <v>20</v>
      </c>
      <c r="B137" s="32">
        <f>B133</f>
        <v>1.274E-2</v>
      </c>
      <c r="C137" s="32">
        <f t="shared" ref="C137:M137" si="45">C133</f>
        <v>1.274E-2</v>
      </c>
      <c r="D137" s="32">
        <f t="shared" si="45"/>
        <v>1.274E-2</v>
      </c>
      <c r="E137" s="32">
        <f t="shared" si="45"/>
        <v>1.274E-2</v>
      </c>
      <c r="F137" s="32">
        <f t="shared" si="45"/>
        <v>1.274E-2</v>
      </c>
      <c r="G137" s="32">
        <f t="shared" si="45"/>
        <v>1.274E-2</v>
      </c>
      <c r="H137" s="32">
        <f t="shared" si="45"/>
        <v>1.274E-2</v>
      </c>
      <c r="I137" s="32">
        <f t="shared" si="45"/>
        <v>1.274E-2</v>
      </c>
      <c r="J137" s="32">
        <f t="shared" si="45"/>
        <v>1.274E-2</v>
      </c>
      <c r="K137" s="32">
        <f t="shared" si="45"/>
        <v>1.274E-2</v>
      </c>
      <c r="L137" s="32">
        <f t="shared" si="45"/>
        <v>1.274E-2</v>
      </c>
      <c r="M137" s="32">
        <f t="shared" si="45"/>
        <v>1.274E-2</v>
      </c>
    </row>
    <row r="138" spans="1:16" s="19" customFormat="1" ht="10.199999999999999">
      <c r="A138" s="25" t="s">
        <v>17</v>
      </c>
      <c r="B138" s="20">
        <f t="shared" ref="B138:M138" si="46">B136*B137</f>
        <v>254.79999999999998</v>
      </c>
      <c r="C138" s="20">
        <f t="shared" si="46"/>
        <v>0</v>
      </c>
      <c r="D138" s="20">
        <f t="shared" si="46"/>
        <v>0</v>
      </c>
      <c r="E138" s="20">
        <f t="shared" si="46"/>
        <v>0</v>
      </c>
      <c r="F138" s="20">
        <f t="shared" si="46"/>
        <v>0</v>
      </c>
      <c r="G138" s="20">
        <f t="shared" si="46"/>
        <v>0</v>
      </c>
      <c r="H138" s="20">
        <f t="shared" si="46"/>
        <v>0</v>
      </c>
      <c r="I138" s="20">
        <f t="shared" si="46"/>
        <v>0</v>
      </c>
      <c r="J138" s="20">
        <f t="shared" si="46"/>
        <v>0</v>
      </c>
      <c r="K138" s="20">
        <f t="shared" si="46"/>
        <v>0</v>
      </c>
      <c r="L138" s="20">
        <f t="shared" si="46"/>
        <v>0</v>
      </c>
      <c r="M138" s="20">
        <f t="shared" si="46"/>
        <v>0</v>
      </c>
      <c r="N138" s="20">
        <f>SUM(B138:M138)</f>
        <v>254.79999999999998</v>
      </c>
    </row>
    <row r="139" spans="1:16" s="19" customFormat="1" ht="10.199999999999999">
      <c r="A139" s="25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6" s="19" customFormat="1" ht="10.199999999999999">
      <c r="A140" s="143" t="s">
        <v>25</v>
      </c>
      <c r="B140" s="142">
        <f>B74+B79+B84+B89+B94+B99+B104+B109+B114+B119+B124+B129+B134+B138</f>
        <v>6459.8934399999998</v>
      </c>
      <c r="C140" s="142">
        <f t="shared" ref="C140:M140" si="47">C74+C79+C84+C89+C94+C99+C104+C109+C114+C119+C124+C129+C134+C138</f>
        <v>5835.6334399999996</v>
      </c>
      <c r="D140" s="142">
        <f t="shared" si="47"/>
        <v>5835.6334399999996</v>
      </c>
      <c r="E140" s="142">
        <f t="shared" si="47"/>
        <v>5835.6334399999996</v>
      </c>
      <c r="F140" s="142">
        <f t="shared" si="47"/>
        <v>5835.6334399999996</v>
      </c>
      <c r="G140" s="142">
        <f t="shared" si="47"/>
        <v>5835.6334399999996</v>
      </c>
      <c r="H140" s="142">
        <f t="shared" si="47"/>
        <v>5835.6334399999996</v>
      </c>
      <c r="I140" s="142">
        <f t="shared" si="47"/>
        <v>5835.6334399999996</v>
      </c>
      <c r="J140" s="142">
        <f t="shared" si="47"/>
        <v>5835.6334399999996</v>
      </c>
      <c r="K140" s="142">
        <f t="shared" si="47"/>
        <v>5835.6334399999996</v>
      </c>
      <c r="L140" s="142">
        <f t="shared" si="47"/>
        <v>5835.6334399999996</v>
      </c>
      <c r="M140" s="142">
        <f t="shared" si="47"/>
        <v>5835.6334399999996</v>
      </c>
      <c r="N140" s="142">
        <f>SUM(B140:M140)</f>
        <v>70651.861279999983</v>
      </c>
    </row>
    <row r="141" spans="1:16" s="19" customFormat="1" ht="10.199999999999999">
      <c r="A141" s="143" t="s">
        <v>59</v>
      </c>
      <c r="B141" s="142">
        <f>B72+B77+B82+B87+B92+B102+B97+B107+B112+B117+B122+B127+B132+B136</f>
        <v>507056</v>
      </c>
      <c r="C141" s="142">
        <f t="shared" ref="C141:M141" si="48">C72+C77+C82+C87+C92+C102+C97+C107+C112+C117+C122+C127+C132+C136</f>
        <v>458056</v>
      </c>
      <c r="D141" s="142">
        <f t="shared" si="48"/>
        <v>458056</v>
      </c>
      <c r="E141" s="142">
        <f t="shared" si="48"/>
        <v>458056</v>
      </c>
      <c r="F141" s="142">
        <f t="shared" si="48"/>
        <v>458056</v>
      </c>
      <c r="G141" s="142">
        <f t="shared" si="48"/>
        <v>458056</v>
      </c>
      <c r="H141" s="142">
        <f t="shared" si="48"/>
        <v>458056</v>
      </c>
      <c r="I141" s="142">
        <f t="shared" si="48"/>
        <v>458056</v>
      </c>
      <c r="J141" s="142">
        <f t="shared" si="48"/>
        <v>458056</v>
      </c>
      <c r="K141" s="142">
        <f t="shared" si="48"/>
        <v>458056</v>
      </c>
      <c r="L141" s="142">
        <f t="shared" si="48"/>
        <v>458056</v>
      </c>
      <c r="M141" s="142">
        <f t="shared" si="48"/>
        <v>458056</v>
      </c>
      <c r="N141" s="142">
        <f>SUM(B141:M141)</f>
        <v>5545672</v>
      </c>
    </row>
    <row r="142" spans="1:16" s="19" customFormat="1" ht="10.199999999999999">
      <c r="A142" s="24">
        <f>+A67+1</f>
        <v>2016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6" s="19" customFormat="1" ht="13.2">
      <c r="A143" s="22" t="s">
        <v>19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6" s="19" customFormat="1" ht="10.199999999999999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1:15" s="19" customFormat="1" ht="10.199999999999999">
      <c r="A145" s="393" t="s">
        <v>344</v>
      </c>
    </row>
    <row r="146" spans="1:15" s="28" customFormat="1">
      <c r="A146" s="26" t="s">
        <v>16</v>
      </c>
      <c r="B146" s="27">
        <f>'TSAS Demand Revenues (7)'!B141</f>
        <v>5000</v>
      </c>
      <c r="C146" s="27">
        <f>'TSAS Demand Revenues (7)'!C141</f>
        <v>5000</v>
      </c>
      <c r="D146" s="27">
        <f>'TSAS Demand Revenues (7)'!D141</f>
        <v>5000</v>
      </c>
      <c r="E146" s="27">
        <f>'TSAS Demand Revenues (7)'!E141</f>
        <v>5000</v>
      </c>
      <c r="F146" s="27">
        <f>'TSAS Demand Revenues (7)'!F141</f>
        <v>5000</v>
      </c>
      <c r="G146" s="27">
        <f>'TSAS Demand Revenues (7)'!G141</f>
        <v>5000</v>
      </c>
      <c r="H146" s="27">
        <f>'TSAS Demand Revenues (7)'!H141</f>
        <v>5000</v>
      </c>
      <c r="I146" s="27">
        <f>'TSAS Demand Revenues (7)'!I141</f>
        <v>5000</v>
      </c>
      <c r="J146" s="27">
        <f>'TSAS Demand Revenues (7)'!J141</f>
        <v>5000</v>
      </c>
      <c r="K146" s="27">
        <f>'TSAS Demand Revenues (7)'!K141</f>
        <v>5000</v>
      </c>
      <c r="L146" s="27">
        <f>'TSAS Demand Revenues (7)'!L141</f>
        <v>5000</v>
      </c>
      <c r="M146" s="27">
        <f>'TSAS Demand Revenues (7)'!M141</f>
        <v>5000</v>
      </c>
      <c r="N146" s="27">
        <f>SUM(B146:M146)</f>
        <v>60000</v>
      </c>
      <c r="O146" s="21"/>
    </row>
    <row r="147" spans="1:15" s="19" customFormat="1">
      <c r="A147" s="25" t="s">
        <v>20</v>
      </c>
      <c r="B147" s="31">
        <f>B103</f>
        <v>1.274E-2</v>
      </c>
      <c r="C147" s="31">
        <f t="shared" ref="C147:M147" si="49">C103</f>
        <v>1.274E-2</v>
      </c>
      <c r="D147" s="31">
        <f t="shared" si="49"/>
        <v>1.274E-2</v>
      </c>
      <c r="E147" s="31">
        <f t="shared" si="49"/>
        <v>1.274E-2</v>
      </c>
      <c r="F147" s="31">
        <f t="shared" si="49"/>
        <v>1.274E-2</v>
      </c>
      <c r="G147" s="31">
        <f t="shared" si="49"/>
        <v>1.274E-2</v>
      </c>
      <c r="H147" s="31">
        <f t="shared" si="49"/>
        <v>1.274E-2</v>
      </c>
      <c r="I147" s="31">
        <f t="shared" si="49"/>
        <v>1.274E-2</v>
      </c>
      <c r="J147" s="31">
        <f t="shared" si="49"/>
        <v>1.274E-2</v>
      </c>
      <c r="K147" s="31">
        <f t="shared" si="49"/>
        <v>1.274E-2</v>
      </c>
      <c r="L147" s="31">
        <f t="shared" si="49"/>
        <v>1.274E-2</v>
      </c>
      <c r="M147" s="31">
        <f t="shared" si="49"/>
        <v>1.274E-2</v>
      </c>
      <c r="O147" s="21"/>
    </row>
    <row r="148" spans="1:15" s="19" customFormat="1">
      <c r="A148" s="25" t="s">
        <v>17</v>
      </c>
      <c r="B148" s="20">
        <f t="shared" ref="B148:M148" si="50">B146*B147</f>
        <v>63.699999999999996</v>
      </c>
      <c r="C148" s="20">
        <f t="shared" si="50"/>
        <v>63.699999999999996</v>
      </c>
      <c r="D148" s="20">
        <f t="shared" si="50"/>
        <v>63.699999999999996</v>
      </c>
      <c r="E148" s="20">
        <f t="shared" si="50"/>
        <v>63.699999999999996</v>
      </c>
      <c r="F148" s="20">
        <f t="shared" si="50"/>
        <v>63.699999999999996</v>
      </c>
      <c r="G148" s="20">
        <f t="shared" si="50"/>
        <v>63.699999999999996</v>
      </c>
      <c r="H148" s="20">
        <f t="shared" si="50"/>
        <v>63.699999999999996</v>
      </c>
      <c r="I148" s="20">
        <f t="shared" si="50"/>
        <v>63.699999999999996</v>
      </c>
      <c r="J148" s="20">
        <f t="shared" si="50"/>
        <v>63.699999999999996</v>
      </c>
      <c r="K148" s="20">
        <f t="shared" si="50"/>
        <v>63.699999999999996</v>
      </c>
      <c r="L148" s="20">
        <f t="shared" si="50"/>
        <v>63.699999999999996</v>
      </c>
      <c r="M148" s="20">
        <f t="shared" si="50"/>
        <v>63.699999999999996</v>
      </c>
      <c r="N148" s="20">
        <f>SUM(B148:M148)</f>
        <v>764.40000000000009</v>
      </c>
      <c r="O148" s="21"/>
    </row>
    <row r="149" spans="1:15" s="19" customFormat="1">
      <c r="O149" s="21"/>
    </row>
    <row r="150" spans="1:15" s="19" customFormat="1">
      <c r="A150" s="25" t="s">
        <v>21</v>
      </c>
      <c r="O150" s="21"/>
    </row>
    <row r="151" spans="1:15" s="28" customFormat="1">
      <c r="A151" s="26" t="s">
        <v>16</v>
      </c>
      <c r="B151" s="27">
        <f>'TSAS Demand Revenues (7)'!B146</f>
        <v>0</v>
      </c>
      <c r="C151" s="27">
        <f>'TSAS Demand Revenues (7)'!C146</f>
        <v>0</v>
      </c>
      <c r="D151" s="27">
        <f>'TSAS Demand Revenues (7)'!D146</f>
        <v>0</v>
      </c>
      <c r="E151" s="27">
        <f>'TSAS Demand Revenues (7)'!E146</f>
        <v>0</v>
      </c>
      <c r="F151" s="27">
        <f>'TSAS Demand Revenues (7)'!F146</f>
        <v>0</v>
      </c>
      <c r="G151" s="27">
        <f>'TSAS Demand Revenues (7)'!G146</f>
        <v>0</v>
      </c>
      <c r="H151" s="27">
        <f>'TSAS Demand Revenues (7)'!H146</f>
        <v>0</v>
      </c>
      <c r="I151" s="27">
        <f>'TSAS Demand Revenues (7)'!I146</f>
        <v>0</v>
      </c>
      <c r="J151" s="27">
        <f>'TSAS Demand Revenues (7)'!J146</f>
        <v>0</v>
      </c>
      <c r="K151" s="27">
        <f>'TSAS Demand Revenues (7)'!K146</f>
        <v>0</v>
      </c>
      <c r="L151" s="27">
        <f>'TSAS Demand Revenues (7)'!L146</f>
        <v>0</v>
      </c>
      <c r="M151" s="27">
        <f>'TSAS Demand Revenues (7)'!M146</f>
        <v>0</v>
      </c>
      <c r="N151" s="27">
        <f>SUM(B151:M151)</f>
        <v>0</v>
      </c>
      <c r="O151" s="21"/>
    </row>
    <row r="152" spans="1:15" s="19" customFormat="1">
      <c r="A152" s="25" t="s">
        <v>20</v>
      </c>
      <c r="B152" s="31">
        <f>'charges (1 &amp; 2)'!$F$23</f>
        <v>1.274E-2</v>
      </c>
      <c r="C152" s="31">
        <f>'charges (1 &amp; 2)'!$F$23</f>
        <v>1.274E-2</v>
      </c>
      <c r="D152" s="31">
        <f>'charges (1 &amp; 2)'!$F$23</f>
        <v>1.274E-2</v>
      </c>
      <c r="E152" s="31">
        <f>'charges (1 &amp; 2)'!$F$23</f>
        <v>1.274E-2</v>
      </c>
      <c r="F152" s="31">
        <f>'charges (1 &amp; 2)'!$F$23</f>
        <v>1.274E-2</v>
      </c>
      <c r="G152" s="31">
        <f>'charges (1 &amp; 2)'!$F$23</f>
        <v>1.274E-2</v>
      </c>
      <c r="H152" s="31">
        <f>'charges (1 &amp; 2)'!$F$23</f>
        <v>1.274E-2</v>
      </c>
      <c r="I152" s="31">
        <f>'charges (1 &amp; 2)'!$F$23</f>
        <v>1.274E-2</v>
      </c>
      <c r="J152" s="31">
        <f>'charges (1 &amp; 2)'!$F$23</f>
        <v>1.274E-2</v>
      </c>
      <c r="K152" s="31">
        <f>'charges (1 &amp; 2)'!$F$23</f>
        <v>1.274E-2</v>
      </c>
      <c r="L152" s="31">
        <f>'charges (1 &amp; 2)'!$F$23</f>
        <v>1.274E-2</v>
      </c>
      <c r="M152" s="31">
        <f>'charges (1 &amp; 2)'!$F$23</f>
        <v>1.274E-2</v>
      </c>
      <c r="O152" s="21"/>
    </row>
    <row r="153" spans="1:15" s="19" customFormat="1">
      <c r="A153" s="25" t="s">
        <v>17</v>
      </c>
      <c r="B153" s="20">
        <f t="shared" ref="B153:M153" si="51">B151*B152</f>
        <v>0</v>
      </c>
      <c r="C153" s="20">
        <f t="shared" si="51"/>
        <v>0</v>
      </c>
      <c r="D153" s="20">
        <f t="shared" si="51"/>
        <v>0</v>
      </c>
      <c r="E153" s="20">
        <f t="shared" si="51"/>
        <v>0</v>
      </c>
      <c r="F153" s="20">
        <f t="shared" si="51"/>
        <v>0</v>
      </c>
      <c r="G153" s="20">
        <f t="shared" si="51"/>
        <v>0</v>
      </c>
      <c r="H153" s="20">
        <f t="shared" si="51"/>
        <v>0</v>
      </c>
      <c r="I153" s="20">
        <f t="shared" si="51"/>
        <v>0</v>
      </c>
      <c r="J153" s="20">
        <f t="shared" si="51"/>
        <v>0</v>
      </c>
      <c r="K153" s="20">
        <f t="shared" si="51"/>
        <v>0</v>
      </c>
      <c r="L153" s="20">
        <f t="shared" si="51"/>
        <v>0</v>
      </c>
      <c r="M153" s="20">
        <f t="shared" si="51"/>
        <v>0</v>
      </c>
      <c r="N153" s="20">
        <f>SUM(B153:M153)</f>
        <v>0</v>
      </c>
      <c r="O153" s="21"/>
    </row>
    <row r="154" spans="1:15" s="19" customFormat="1">
      <c r="B154" s="20"/>
      <c r="O154" s="21"/>
    </row>
    <row r="155" spans="1:15" s="19" customFormat="1">
      <c r="A155" s="25" t="s">
        <v>22</v>
      </c>
      <c r="O155" s="21"/>
    </row>
    <row r="156" spans="1:15" s="28" customFormat="1">
      <c r="A156" s="26" t="s">
        <v>16</v>
      </c>
      <c r="B156" s="27">
        <f>'TSAS Demand Revenues (7)'!B151</f>
        <v>0</v>
      </c>
      <c r="C156" s="27">
        <f>'TSAS Demand Revenues (7)'!C151</f>
        <v>0</v>
      </c>
      <c r="D156" s="27">
        <f>'TSAS Demand Revenues (7)'!D151</f>
        <v>0</v>
      </c>
      <c r="E156" s="27">
        <f>'TSAS Demand Revenues (7)'!E151</f>
        <v>0</v>
      </c>
      <c r="F156" s="27">
        <f>'TSAS Demand Revenues (7)'!F151</f>
        <v>0</v>
      </c>
      <c r="G156" s="27">
        <f>'TSAS Demand Revenues (7)'!G151</f>
        <v>0</v>
      </c>
      <c r="H156" s="27">
        <f>'TSAS Demand Revenues (7)'!H151</f>
        <v>0</v>
      </c>
      <c r="I156" s="27">
        <f>'TSAS Demand Revenues (7)'!I151</f>
        <v>0</v>
      </c>
      <c r="J156" s="27">
        <f>'TSAS Demand Revenues (7)'!J151</f>
        <v>0</v>
      </c>
      <c r="K156" s="27">
        <f>'TSAS Demand Revenues (7)'!K151</f>
        <v>0</v>
      </c>
      <c r="L156" s="27">
        <f>'TSAS Demand Revenues (7)'!L151</f>
        <v>0</v>
      </c>
      <c r="M156" s="27">
        <f>'TSAS Demand Revenues (7)'!M151</f>
        <v>0</v>
      </c>
      <c r="N156" s="27">
        <f>SUM(B156:M156)</f>
        <v>0</v>
      </c>
      <c r="O156" s="21"/>
    </row>
    <row r="157" spans="1:15" s="19" customFormat="1">
      <c r="A157" s="25" t="s">
        <v>20</v>
      </c>
      <c r="B157" s="32">
        <f>B152</f>
        <v>1.274E-2</v>
      </c>
      <c r="C157" s="32">
        <f t="shared" ref="C157:M157" si="52">C152</f>
        <v>1.274E-2</v>
      </c>
      <c r="D157" s="32">
        <f t="shared" si="52"/>
        <v>1.274E-2</v>
      </c>
      <c r="E157" s="32">
        <f t="shared" si="52"/>
        <v>1.274E-2</v>
      </c>
      <c r="F157" s="32">
        <f t="shared" si="52"/>
        <v>1.274E-2</v>
      </c>
      <c r="G157" s="32">
        <f t="shared" si="52"/>
        <v>1.274E-2</v>
      </c>
      <c r="H157" s="32">
        <f t="shared" si="52"/>
        <v>1.274E-2</v>
      </c>
      <c r="I157" s="32">
        <f t="shared" si="52"/>
        <v>1.274E-2</v>
      </c>
      <c r="J157" s="32">
        <f t="shared" si="52"/>
        <v>1.274E-2</v>
      </c>
      <c r="K157" s="32">
        <f t="shared" si="52"/>
        <v>1.274E-2</v>
      </c>
      <c r="L157" s="32">
        <f t="shared" si="52"/>
        <v>1.274E-2</v>
      </c>
      <c r="M157" s="32">
        <f t="shared" si="52"/>
        <v>1.274E-2</v>
      </c>
      <c r="O157" s="21"/>
    </row>
    <row r="158" spans="1:15" s="19" customFormat="1">
      <c r="A158" s="25" t="s">
        <v>17</v>
      </c>
      <c r="B158" s="20">
        <f t="shared" ref="B158:M158" si="53">B156*B157</f>
        <v>0</v>
      </c>
      <c r="C158" s="20">
        <f t="shared" si="53"/>
        <v>0</v>
      </c>
      <c r="D158" s="20">
        <f t="shared" si="53"/>
        <v>0</v>
      </c>
      <c r="E158" s="20">
        <f t="shared" si="53"/>
        <v>0</v>
      </c>
      <c r="F158" s="20">
        <f t="shared" si="53"/>
        <v>0</v>
      </c>
      <c r="G158" s="20">
        <f t="shared" si="53"/>
        <v>0</v>
      </c>
      <c r="H158" s="20">
        <f t="shared" si="53"/>
        <v>0</v>
      </c>
      <c r="I158" s="20">
        <f t="shared" si="53"/>
        <v>0</v>
      </c>
      <c r="J158" s="20">
        <f t="shared" si="53"/>
        <v>0</v>
      </c>
      <c r="K158" s="20">
        <f t="shared" si="53"/>
        <v>0</v>
      </c>
      <c r="L158" s="20">
        <f t="shared" si="53"/>
        <v>0</v>
      </c>
      <c r="M158" s="20">
        <f t="shared" si="53"/>
        <v>0</v>
      </c>
      <c r="N158" s="20">
        <f>SUM(B158:M158)</f>
        <v>0</v>
      </c>
      <c r="O158" s="21"/>
    </row>
    <row r="159" spans="1:15" s="19" customFormat="1">
      <c r="B159" s="20"/>
      <c r="O159" s="21"/>
    </row>
    <row r="160" spans="1:15" s="19" customFormat="1" ht="10.199999999999999">
      <c r="A160" s="393" t="s">
        <v>23</v>
      </c>
      <c r="O160" s="28"/>
    </row>
    <row r="161" spans="1:14" s="28" customFormat="1" ht="10.199999999999999">
      <c r="A161" s="26" t="s">
        <v>16</v>
      </c>
      <c r="B161" s="27">
        <f>'TSAS Demand Revenues (7)'!B156</f>
        <v>37056</v>
      </c>
      <c r="C161" s="27">
        <f>'TSAS Demand Revenues (7)'!C156</f>
        <v>37056</v>
      </c>
      <c r="D161" s="27">
        <f>'TSAS Demand Revenues (7)'!D156</f>
        <v>37056</v>
      </c>
      <c r="E161" s="27">
        <f>'TSAS Demand Revenues (7)'!E156</f>
        <v>37056</v>
      </c>
      <c r="F161" s="27">
        <f>'TSAS Demand Revenues (7)'!F156</f>
        <v>37056</v>
      </c>
      <c r="G161" s="27">
        <f>'TSAS Demand Revenues (7)'!G156</f>
        <v>37056</v>
      </c>
      <c r="H161" s="27">
        <f>'TSAS Demand Revenues (7)'!H156</f>
        <v>37056</v>
      </c>
      <c r="I161" s="27">
        <f>'TSAS Demand Revenues (7)'!I156</f>
        <v>37056</v>
      </c>
      <c r="J161" s="27">
        <f>'TSAS Demand Revenues (7)'!J156</f>
        <v>37056</v>
      </c>
      <c r="K161" s="27">
        <f>'TSAS Demand Revenues (7)'!K156</f>
        <v>37056</v>
      </c>
      <c r="L161" s="27">
        <f>'TSAS Demand Revenues (7)'!L156</f>
        <v>37056</v>
      </c>
      <c r="M161" s="27">
        <f>'TSAS Demand Revenues (7)'!M156</f>
        <v>37056</v>
      </c>
      <c r="N161" s="27">
        <f>SUM(B161:M161)</f>
        <v>444672</v>
      </c>
    </row>
    <row r="162" spans="1:14" s="19" customFormat="1" ht="10.199999999999999">
      <c r="A162" s="25" t="s">
        <v>20</v>
      </c>
      <c r="B162" s="32">
        <f>'charges (1 &amp; 2)'!$E$26</f>
        <v>1.274E-2</v>
      </c>
      <c r="C162" s="32">
        <f>'charges (1 &amp; 2)'!$E$26</f>
        <v>1.274E-2</v>
      </c>
      <c r="D162" s="32">
        <f>'charges (1 &amp; 2)'!$E$26</f>
        <v>1.274E-2</v>
      </c>
      <c r="E162" s="32">
        <f>'charges (1 &amp; 2)'!$E$26</f>
        <v>1.274E-2</v>
      </c>
      <c r="F162" s="32">
        <f>'charges (1 &amp; 2)'!$E$26</f>
        <v>1.274E-2</v>
      </c>
      <c r="G162" s="32">
        <f>'charges (1 &amp; 2)'!$E$26</f>
        <v>1.274E-2</v>
      </c>
      <c r="H162" s="32">
        <f>'charges (1 &amp; 2)'!$E$26</f>
        <v>1.274E-2</v>
      </c>
      <c r="I162" s="32">
        <f>'charges (1 &amp; 2)'!$E$26</f>
        <v>1.274E-2</v>
      </c>
      <c r="J162" s="32">
        <f>'charges (1 &amp; 2)'!$E$26</f>
        <v>1.274E-2</v>
      </c>
      <c r="K162" s="32">
        <f>'charges (1 &amp; 2)'!$E$26</f>
        <v>1.274E-2</v>
      </c>
      <c r="L162" s="32">
        <f>'charges (1 &amp; 2)'!$E$26</f>
        <v>1.274E-2</v>
      </c>
      <c r="M162" s="32">
        <f>'charges (1 &amp; 2)'!$E$26</f>
        <v>1.274E-2</v>
      </c>
    </row>
    <row r="163" spans="1:14" s="19" customFormat="1" ht="10.199999999999999">
      <c r="A163" s="25" t="s">
        <v>17</v>
      </c>
      <c r="B163" s="20">
        <f t="shared" ref="B163:M163" si="54">B161*B162</f>
        <v>472.09343999999999</v>
      </c>
      <c r="C163" s="20">
        <f t="shared" si="54"/>
        <v>472.09343999999999</v>
      </c>
      <c r="D163" s="20">
        <f t="shared" si="54"/>
        <v>472.09343999999999</v>
      </c>
      <c r="E163" s="20">
        <f t="shared" si="54"/>
        <v>472.09343999999999</v>
      </c>
      <c r="F163" s="20">
        <f t="shared" si="54"/>
        <v>472.09343999999999</v>
      </c>
      <c r="G163" s="20">
        <f t="shared" si="54"/>
        <v>472.09343999999999</v>
      </c>
      <c r="H163" s="20">
        <f t="shared" si="54"/>
        <v>472.09343999999999</v>
      </c>
      <c r="I163" s="20">
        <f t="shared" si="54"/>
        <v>472.09343999999999</v>
      </c>
      <c r="J163" s="20">
        <f t="shared" si="54"/>
        <v>472.09343999999999</v>
      </c>
      <c r="K163" s="20">
        <f t="shared" si="54"/>
        <v>472.09343999999999</v>
      </c>
      <c r="L163" s="20">
        <f t="shared" si="54"/>
        <v>472.09343999999999</v>
      </c>
      <c r="M163" s="20">
        <f t="shared" si="54"/>
        <v>472.09343999999999</v>
      </c>
      <c r="N163" s="20">
        <f>SUM(B163:M163)</f>
        <v>5665.1212799999994</v>
      </c>
    </row>
    <row r="164" spans="1:14" s="19" customFormat="1" ht="10.199999999999999">
      <c r="B164" s="20"/>
    </row>
    <row r="165" spans="1:14" s="19" customFormat="1" ht="10.199999999999999">
      <c r="A165" s="393" t="s">
        <v>24</v>
      </c>
    </row>
    <row r="166" spans="1:14" s="28" customFormat="1" ht="10.199999999999999">
      <c r="A166" s="26" t="s">
        <v>16</v>
      </c>
      <c r="B166" s="27">
        <f>'TSAS Demand Revenues (7)'!B161</f>
        <v>62000</v>
      </c>
      <c r="C166" s="27">
        <f>'TSAS Demand Revenues (7)'!C161</f>
        <v>62000</v>
      </c>
      <c r="D166" s="27">
        <f>'TSAS Demand Revenues (7)'!D161</f>
        <v>62000</v>
      </c>
      <c r="E166" s="27">
        <f>'TSAS Demand Revenues (7)'!E161</f>
        <v>62000</v>
      </c>
      <c r="F166" s="27">
        <f>'TSAS Demand Revenues (7)'!F161</f>
        <v>62000</v>
      </c>
      <c r="G166" s="27">
        <f>'TSAS Demand Revenues (7)'!G161</f>
        <v>62000</v>
      </c>
      <c r="H166" s="27">
        <f>'TSAS Demand Revenues (7)'!H161</f>
        <v>62000</v>
      </c>
      <c r="I166" s="27">
        <f>'TSAS Demand Revenues (7)'!I161</f>
        <v>62000</v>
      </c>
      <c r="J166" s="27">
        <f>'TSAS Demand Revenues (7)'!J161</f>
        <v>62000</v>
      </c>
      <c r="K166" s="27">
        <f>'TSAS Demand Revenues (7)'!K161</f>
        <v>62000</v>
      </c>
      <c r="L166" s="27">
        <f>'TSAS Demand Revenues (7)'!L161</f>
        <v>62000</v>
      </c>
      <c r="M166" s="27">
        <f>'TSAS Demand Revenues (7)'!M161</f>
        <v>62000</v>
      </c>
      <c r="N166" s="27">
        <f>SUM(B166:M166)</f>
        <v>744000</v>
      </c>
    </row>
    <row r="167" spans="1:14" s="19" customFormat="1" ht="10.199999999999999">
      <c r="A167" s="25" t="s">
        <v>20</v>
      </c>
      <c r="B167" s="32">
        <f>'charges (1 &amp; 2)'!$F$17</f>
        <v>1.274E-2</v>
      </c>
      <c r="C167" s="32">
        <f>'charges (1 &amp; 2)'!$F$17</f>
        <v>1.274E-2</v>
      </c>
      <c r="D167" s="32">
        <f>'charges (1 &amp; 2)'!$F$17</f>
        <v>1.274E-2</v>
      </c>
      <c r="E167" s="32">
        <f>'charges (1 &amp; 2)'!$F$17</f>
        <v>1.274E-2</v>
      </c>
      <c r="F167" s="32">
        <f>'charges (1 &amp; 2)'!$F$17</f>
        <v>1.274E-2</v>
      </c>
      <c r="G167" s="32">
        <f>'charges (1 &amp; 2)'!$F$17</f>
        <v>1.274E-2</v>
      </c>
      <c r="H167" s="32">
        <f>'charges (1 &amp; 2)'!$F$17</f>
        <v>1.274E-2</v>
      </c>
      <c r="I167" s="32">
        <f>'charges (1 &amp; 2)'!$F$17</f>
        <v>1.274E-2</v>
      </c>
      <c r="J167" s="32">
        <f>'charges (1 &amp; 2)'!$F$17</f>
        <v>1.274E-2</v>
      </c>
      <c r="K167" s="32">
        <f>'charges (1 &amp; 2)'!$F$17</f>
        <v>1.274E-2</v>
      </c>
      <c r="L167" s="32">
        <f>'charges (1 &amp; 2)'!$F$17</f>
        <v>1.274E-2</v>
      </c>
      <c r="M167" s="32">
        <f>'charges (1 &amp; 2)'!$F$17</f>
        <v>1.274E-2</v>
      </c>
    </row>
    <row r="168" spans="1:14" s="19" customFormat="1" ht="10.199999999999999">
      <c r="A168" s="25" t="s">
        <v>17</v>
      </c>
      <c r="B168" s="20">
        <f t="shared" ref="B168:M168" si="55">B166*B167</f>
        <v>789.88</v>
      </c>
      <c r="C168" s="20">
        <f t="shared" si="55"/>
        <v>789.88</v>
      </c>
      <c r="D168" s="20">
        <f t="shared" si="55"/>
        <v>789.88</v>
      </c>
      <c r="E168" s="20">
        <f t="shared" si="55"/>
        <v>789.88</v>
      </c>
      <c r="F168" s="20">
        <f t="shared" si="55"/>
        <v>789.88</v>
      </c>
      <c r="G168" s="20">
        <f t="shared" si="55"/>
        <v>789.88</v>
      </c>
      <c r="H168" s="20">
        <f t="shared" si="55"/>
        <v>789.88</v>
      </c>
      <c r="I168" s="20">
        <f t="shared" si="55"/>
        <v>789.88</v>
      </c>
      <c r="J168" s="20">
        <f t="shared" si="55"/>
        <v>789.88</v>
      </c>
      <c r="K168" s="20">
        <f t="shared" si="55"/>
        <v>789.88</v>
      </c>
      <c r="L168" s="20">
        <f t="shared" si="55"/>
        <v>789.88</v>
      </c>
      <c r="M168" s="20">
        <f t="shared" si="55"/>
        <v>789.88</v>
      </c>
      <c r="N168" s="20">
        <f>SUM(B168:M168)</f>
        <v>9478.56</v>
      </c>
    </row>
    <row r="169" spans="1:14" s="19" customFormat="1" ht="10.199999999999999">
      <c r="A169" s="25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</row>
    <row r="170" spans="1:14" s="19" customFormat="1" ht="10.199999999999999">
      <c r="A170" s="393" t="s">
        <v>111</v>
      </c>
    </row>
    <row r="171" spans="1:14" s="19" customFormat="1" ht="10.199999999999999">
      <c r="A171" s="26" t="s">
        <v>16</v>
      </c>
      <c r="B171" s="27">
        <f>'TSAS Demand Revenues (7)'!B166</f>
        <v>40000</v>
      </c>
      <c r="C171" s="27">
        <f>'TSAS Demand Revenues (7)'!C166</f>
        <v>40000</v>
      </c>
      <c r="D171" s="27">
        <f>'TSAS Demand Revenues (7)'!D166</f>
        <v>40000</v>
      </c>
      <c r="E171" s="27">
        <f>'TSAS Demand Revenues (7)'!E166</f>
        <v>40000</v>
      </c>
      <c r="F171" s="27">
        <f>'TSAS Demand Revenues (7)'!F166</f>
        <v>40000</v>
      </c>
      <c r="G171" s="27">
        <f>'TSAS Demand Revenues (7)'!G166</f>
        <v>40000</v>
      </c>
      <c r="H171" s="27">
        <f>'TSAS Demand Revenues (7)'!H166</f>
        <v>40000</v>
      </c>
      <c r="I171" s="27">
        <f>'TSAS Demand Revenues (7)'!I166</f>
        <v>40000</v>
      </c>
      <c r="J171" s="27">
        <f>'TSAS Demand Revenues (7)'!J166</f>
        <v>40000</v>
      </c>
      <c r="K171" s="27">
        <f>'TSAS Demand Revenues (7)'!K166</f>
        <v>40000</v>
      </c>
      <c r="L171" s="27">
        <f>'TSAS Demand Revenues (7)'!L166</f>
        <v>40000</v>
      </c>
      <c r="M171" s="27">
        <f>'TSAS Demand Revenues (7)'!M166</f>
        <v>40000</v>
      </c>
      <c r="N171" s="27">
        <f>SUM(B171:M171)</f>
        <v>480000</v>
      </c>
    </row>
    <row r="172" spans="1:14" s="19" customFormat="1" ht="10.199999999999999">
      <c r="A172" s="25" t="s">
        <v>20</v>
      </c>
      <c r="B172" s="32">
        <f>B98</f>
        <v>1.274E-2</v>
      </c>
      <c r="C172" s="32">
        <f t="shared" ref="C172:M172" si="56">C98</f>
        <v>1.274E-2</v>
      </c>
      <c r="D172" s="32">
        <f t="shared" si="56"/>
        <v>1.274E-2</v>
      </c>
      <c r="E172" s="32">
        <f t="shared" si="56"/>
        <v>1.274E-2</v>
      </c>
      <c r="F172" s="32">
        <f t="shared" si="56"/>
        <v>1.274E-2</v>
      </c>
      <c r="G172" s="32">
        <f t="shared" si="56"/>
        <v>1.274E-2</v>
      </c>
      <c r="H172" s="32">
        <f t="shared" si="56"/>
        <v>1.274E-2</v>
      </c>
      <c r="I172" s="32">
        <f t="shared" si="56"/>
        <v>1.274E-2</v>
      </c>
      <c r="J172" s="32">
        <f t="shared" si="56"/>
        <v>1.274E-2</v>
      </c>
      <c r="K172" s="32">
        <f t="shared" si="56"/>
        <v>1.274E-2</v>
      </c>
      <c r="L172" s="32">
        <f t="shared" si="56"/>
        <v>1.274E-2</v>
      </c>
      <c r="M172" s="32">
        <f t="shared" si="56"/>
        <v>1.274E-2</v>
      </c>
    </row>
    <row r="173" spans="1:14" s="19" customFormat="1" ht="10.199999999999999">
      <c r="A173" s="25" t="s">
        <v>17</v>
      </c>
      <c r="B173" s="20">
        <f t="shared" ref="B173:M173" si="57">B171*B172</f>
        <v>509.59999999999997</v>
      </c>
      <c r="C173" s="20">
        <f t="shared" si="57"/>
        <v>509.59999999999997</v>
      </c>
      <c r="D173" s="20">
        <f t="shared" si="57"/>
        <v>509.59999999999997</v>
      </c>
      <c r="E173" s="20">
        <f t="shared" si="57"/>
        <v>509.59999999999997</v>
      </c>
      <c r="F173" s="20">
        <f t="shared" si="57"/>
        <v>509.59999999999997</v>
      </c>
      <c r="G173" s="20">
        <f t="shared" si="57"/>
        <v>509.59999999999997</v>
      </c>
      <c r="H173" s="20">
        <f t="shared" si="57"/>
        <v>509.59999999999997</v>
      </c>
      <c r="I173" s="20">
        <f t="shared" si="57"/>
        <v>509.59999999999997</v>
      </c>
      <c r="J173" s="20">
        <f t="shared" si="57"/>
        <v>509.59999999999997</v>
      </c>
      <c r="K173" s="20">
        <f t="shared" si="57"/>
        <v>509.59999999999997</v>
      </c>
      <c r="L173" s="20">
        <f t="shared" si="57"/>
        <v>509.59999999999997</v>
      </c>
      <c r="M173" s="20">
        <f t="shared" si="57"/>
        <v>509.59999999999997</v>
      </c>
      <c r="N173" s="20">
        <f>SUM(B173:M173)</f>
        <v>6115.2000000000007</v>
      </c>
    </row>
    <row r="174" spans="1:14" s="19" customFormat="1" ht="10.199999999999999">
      <c r="A174" s="25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s="19" customFormat="1" ht="10.199999999999999">
      <c r="A175" s="393" t="s">
        <v>271</v>
      </c>
    </row>
    <row r="176" spans="1:14" s="19" customFormat="1" ht="10.199999999999999">
      <c r="A176" s="26" t="s">
        <v>16</v>
      </c>
      <c r="B176" s="27">
        <f>'TSAS Demand Revenues (7)'!B171</f>
        <v>4000</v>
      </c>
      <c r="C176" s="27">
        <f>'TSAS Demand Revenues (7)'!C171</f>
        <v>4000</v>
      </c>
      <c r="D176" s="27">
        <f>'TSAS Demand Revenues (7)'!D171</f>
        <v>4000</v>
      </c>
      <c r="E176" s="27">
        <f>'TSAS Demand Revenues (7)'!E171</f>
        <v>4000</v>
      </c>
      <c r="F176" s="27">
        <f>'TSAS Demand Revenues (7)'!F171</f>
        <v>4000</v>
      </c>
      <c r="G176" s="27">
        <f>'TSAS Demand Revenues (7)'!G171</f>
        <v>4000</v>
      </c>
      <c r="H176" s="27">
        <f>'TSAS Demand Revenues (7)'!H171</f>
        <v>4000</v>
      </c>
      <c r="I176" s="27">
        <f>'TSAS Demand Revenues (7)'!I171</f>
        <v>4000</v>
      </c>
      <c r="J176" s="27">
        <f>'TSAS Demand Revenues (7)'!J171</f>
        <v>4000</v>
      </c>
      <c r="K176" s="27">
        <f>'TSAS Demand Revenues (7)'!K171</f>
        <v>4000</v>
      </c>
      <c r="L176" s="27">
        <f>'TSAS Demand Revenues (7)'!L171</f>
        <v>3000</v>
      </c>
      <c r="M176" s="27">
        <f>'TSAS Demand Revenues (7)'!M171</f>
        <v>3000</v>
      </c>
      <c r="N176" s="27">
        <f>SUM(B176:M176)</f>
        <v>46000</v>
      </c>
    </row>
    <row r="177" spans="1:14" s="19" customFormat="1" ht="10.199999999999999">
      <c r="A177" s="25" t="s">
        <v>20</v>
      </c>
      <c r="B177" s="32">
        <f>B172</f>
        <v>1.274E-2</v>
      </c>
      <c r="C177" s="32">
        <f t="shared" ref="C177:M177" si="58">C172</f>
        <v>1.274E-2</v>
      </c>
      <c r="D177" s="32">
        <f t="shared" si="58"/>
        <v>1.274E-2</v>
      </c>
      <c r="E177" s="32">
        <f t="shared" si="58"/>
        <v>1.274E-2</v>
      </c>
      <c r="F177" s="32">
        <f t="shared" si="58"/>
        <v>1.274E-2</v>
      </c>
      <c r="G177" s="32">
        <f t="shared" si="58"/>
        <v>1.274E-2</v>
      </c>
      <c r="H177" s="32">
        <f t="shared" si="58"/>
        <v>1.274E-2</v>
      </c>
      <c r="I177" s="32">
        <f t="shared" si="58"/>
        <v>1.274E-2</v>
      </c>
      <c r="J177" s="32">
        <f t="shared" si="58"/>
        <v>1.274E-2</v>
      </c>
      <c r="K177" s="32">
        <f t="shared" si="58"/>
        <v>1.274E-2</v>
      </c>
      <c r="L177" s="32">
        <f t="shared" si="58"/>
        <v>1.274E-2</v>
      </c>
      <c r="M177" s="32">
        <f t="shared" si="58"/>
        <v>1.274E-2</v>
      </c>
    </row>
    <row r="178" spans="1:14" s="19" customFormat="1" ht="10.199999999999999">
      <c r="A178" s="25" t="s">
        <v>17</v>
      </c>
      <c r="B178" s="20">
        <f t="shared" ref="B178:M178" si="59">B176*B177</f>
        <v>50.96</v>
      </c>
      <c r="C178" s="20">
        <f t="shared" si="59"/>
        <v>50.96</v>
      </c>
      <c r="D178" s="20">
        <f t="shared" si="59"/>
        <v>50.96</v>
      </c>
      <c r="E178" s="20">
        <f t="shared" si="59"/>
        <v>50.96</v>
      </c>
      <c r="F178" s="20">
        <f t="shared" si="59"/>
        <v>50.96</v>
      </c>
      <c r="G178" s="20">
        <f t="shared" si="59"/>
        <v>50.96</v>
      </c>
      <c r="H178" s="20">
        <f t="shared" si="59"/>
        <v>50.96</v>
      </c>
      <c r="I178" s="20">
        <f t="shared" si="59"/>
        <v>50.96</v>
      </c>
      <c r="J178" s="20">
        <f t="shared" si="59"/>
        <v>50.96</v>
      </c>
      <c r="K178" s="20">
        <f t="shared" si="59"/>
        <v>50.96</v>
      </c>
      <c r="L178" s="20">
        <f t="shared" si="59"/>
        <v>38.22</v>
      </c>
      <c r="M178" s="20">
        <f t="shared" si="59"/>
        <v>38.22</v>
      </c>
      <c r="N178" s="20">
        <f>SUM(B178:M178)</f>
        <v>586.04</v>
      </c>
    </row>
    <row r="179" spans="1:14" s="19" customFormat="1" ht="10.199999999999999">
      <c r="A179" s="25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>
      <c r="A180" s="393" t="s">
        <v>173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>
      <c r="A181" s="26" t="s">
        <v>16</v>
      </c>
      <c r="B181" s="27">
        <f>'TSAS Demand Revenues (7)'!B176</f>
        <v>0</v>
      </c>
      <c r="C181" s="27">
        <f>'TSAS Demand Revenues (7)'!C176</f>
        <v>0</v>
      </c>
      <c r="D181" s="27">
        <f>'TSAS Demand Revenues (7)'!D176</f>
        <v>0</v>
      </c>
      <c r="E181" s="27">
        <f>'TSAS Demand Revenues (7)'!E176</f>
        <v>0</v>
      </c>
      <c r="F181" s="27">
        <f>'TSAS Demand Revenues (7)'!F176</f>
        <v>0</v>
      </c>
      <c r="G181" s="27">
        <f>'TSAS Demand Revenues (7)'!G176</f>
        <v>0</v>
      </c>
      <c r="H181" s="27">
        <f>'TSAS Demand Revenues (7)'!H176</f>
        <v>0</v>
      </c>
      <c r="I181" s="27">
        <f>'TSAS Demand Revenues (7)'!I176</f>
        <v>0</v>
      </c>
      <c r="J181" s="27">
        <f>'TSAS Demand Revenues (7)'!J176</f>
        <v>0</v>
      </c>
      <c r="K181" s="27">
        <f>'TSAS Demand Revenues (7)'!K176</f>
        <v>0</v>
      </c>
      <c r="L181" s="27">
        <f>'TSAS Demand Revenues (7)'!L176</f>
        <v>0</v>
      </c>
      <c r="M181" s="27">
        <f>'TSAS Demand Revenues (7)'!M176</f>
        <v>0</v>
      </c>
      <c r="N181" s="27">
        <f>SUM(B181:M181)</f>
        <v>0</v>
      </c>
    </row>
    <row r="182" spans="1:14">
      <c r="A182" s="25" t="s">
        <v>20</v>
      </c>
      <c r="B182" s="32">
        <f>B172</f>
        <v>1.274E-2</v>
      </c>
      <c r="C182" s="32">
        <f t="shared" ref="C182:M182" si="60">C172</f>
        <v>1.274E-2</v>
      </c>
      <c r="D182" s="32">
        <f t="shared" si="60"/>
        <v>1.274E-2</v>
      </c>
      <c r="E182" s="32">
        <f t="shared" si="60"/>
        <v>1.274E-2</v>
      </c>
      <c r="F182" s="32">
        <f t="shared" si="60"/>
        <v>1.274E-2</v>
      </c>
      <c r="G182" s="32">
        <f t="shared" si="60"/>
        <v>1.274E-2</v>
      </c>
      <c r="H182" s="32">
        <f t="shared" si="60"/>
        <v>1.274E-2</v>
      </c>
      <c r="I182" s="32">
        <f t="shared" si="60"/>
        <v>1.274E-2</v>
      </c>
      <c r="J182" s="32">
        <f t="shared" si="60"/>
        <v>1.274E-2</v>
      </c>
      <c r="K182" s="32">
        <f t="shared" si="60"/>
        <v>1.274E-2</v>
      </c>
      <c r="L182" s="32">
        <f t="shared" si="60"/>
        <v>1.274E-2</v>
      </c>
      <c r="M182" s="32">
        <f t="shared" si="60"/>
        <v>1.274E-2</v>
      </c>
      <c r="N182" s="19"/>
    </row>
    <row r="183" spans="1:14">
      <c r="A183" s="25" t="s">
        <v>17</v>
      </c>
      <c r="B183" s="20">
        <f t="shared" ref="B183:M183" si="61">B181*B182</f>
        <v>0</v>
      </c>
      <c r="C183" s="20">
        <f t="shared" si="61"/>
        <v>0</v>
      </c>
      <c r="D183" s="20">
        <f t="shared" si="61"/>
        <v>0</v>
      </c>
      <c r="E183" s="20">
        <f t="shared" si="61"/>
        <v>0</v>
      </c>
      <c r="F183" s="20">
        <f t="shared" si="61"/>
        <v>0</v>
      </c>
      <c r="G183" s="20">
        <f t="shared" si="61"/>
        <v>0</v>
      </c>
      <c r="H183" s="20">
        <f t="shared" si="61"/>
        <v>0</v>
      </c>
      <c r="I183" s="20">
        <f t="shared" si="61"/>
        <v>0</v>
      </c>
      <c r="J183" s="20">
        <f t="shared" si="61"/>
        <v>0</v>
      </c>
      <c r="K183" s="20">
        <f t="shared" si="61"/>
        <v>0</v>
      </c>
      <c r="L183" s="20">
        <f t="shared" si="61"/>
        <v>0</v>
      </c>
      <c r="M183" s="20">
        <f t="shared" si="61"/>
        <v>0</v>
      </c>
      <c r="N183" s="20">
        <f>SUM(B183:M183)</f>
        <v>0</v>
      </c>
    </row>
    <row r="184" spans="1:14" s="19" customFormat="1" ht="10.199999999999999">
      <c r="A184" s="25"/>
    </row>
    <row r="185" spans="1:14">
      <c r="A185" s="393" t="s">
        <v>112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>
      <c r="A186" s="26" t="s">
        <v>16</v>
      </c>
      <c r="B186" s="27">
        <f>'TSAS Demand Revenues (7)'!B186</f>
        <v>150000</v>
      </c>
      <c r="C186" s="27">
        <f>'TSAS Demand Revenues (7)'!C186</f>
        <v>150000</v>
      </c>
      <c r="D186" s="27">
        <f>'TSAS Demand Revenues (7)'!D186</f>
        <v>150000</v>
      </c>
      <c r="E186" s="27">
        <f>'TSAS Demand Revenues (7)'!E186</f>
        <v>150000</v>
      </c>
      <c r="F186" s="27">
        <f>'TSAS Demand Revenues (7)'!F186</f>
        <v>150000</v>
      </c>
      <c r="G186" s="27">
        <f>'TSAS Demand Revenues (7)'!G186</f>
        <v>150000</v>
      </c>
      <c r="H186" s="27">
        <f>'TSAS Demand Revenues (7)'!H186</f>
        <v>150000</v>
      </c>
      <c r="I186" s="27">
        <f>'TSAS Demand Revenues (7)'!I186</f>
        <v>150000</v>
      </c>
      <c r="J186" s="27">
        <f>'TSAS Demand Revenues (7)'!J186</f>
        <v>150000</v>
      </c>
      <c r="K186" s="27">
        <f>'TSAS Demand Revenues (7)'!K186</f>
        <v>150000</v>
      </c>
      <c r="L186" s="27">
        <f>'TSAS Demand Revenues (7)'!L186</f>
        <v>150000</v>
      </c>
      <c r="M186" s="27">
        <f>'TSAS Demand Revenues (7)'!M186</f>
        <v>150000</v>
      </c>
      <c r="N186" s="27">
        <f>SUM(B186:M186)</f>
        <v>1800000</v>
      </c>
    </row>
    <row r="187" spans="1:14">
      <c r="A187" s="25" t="s">
        <v>20</v>
      </c>
      <c r="B187" s="32">
        <f>B182</f>
        <v>1.274E-2</v>
      </c>
      <c r="C187" s="32">
        <f t="shared" ref="C187:M187" si="62">C182</f>
        <v>1.274E-2</v>
      </c>
      <c r="D187" s="32">
        <f t="shared" si="62"/>
        <v>1.274E-2</v>
      </c>
      <c r="E187" s="32">
        <f t="shared" si="62"/>
        <v>1.274E-2</v>
      </c>
      <c r="F187" s="32">
        <f t="shared" si="62"/>
        <v>1.274E-2</v>
      </c>
      <c r="G187" s="32">
        <f t="shared" si="62"/>
        <v>1.274E-2</v>
      </c>
      <c r="H187" s="32">
        <f t="shared" si="62"/>
        <v>1.274E-2</v>
      </c>
      <c r="I187" s="32">
        <f t="shared" si="62"/>
        <v>1.274E-2</v>
      </c>
      <c r="J187" s="32">
        <f t="shared" si="62"/>
        <v>1.274E-2</v>
      </c>
      <c r="K187" s="32">
        <f t="shared" si="62"/>
        <v>1.274E-2</v>
      </c>
      <c r="L187" s="32">
        <f t="shared" si="62"/>
        <v>1.274E-2</v>
      </c>
      <c r="M187" s="32">
        <f t="shared" si="62"/>
        <v>1.274E-2</v>
      </c>
      <c r="N187" s="19"/>
    </row>
    <row r="188" spans="1:14">
      <c r="A188" s="25" t="s">
        <v>17</v>
      </c>
      <c r="B188" s="20">
        <f t="shared" ref="B188:M188" si="63">B186*B187</f>
        <v>1911</v>
      </c>
      <c r="C188" s="20">
        <f t="shared" si="63"/>
        <v>1911</v>
      </c>
      <c r="D188" s="20">
        <f t="shared" si="63"/>
        <v>1911</v>
      </c>
      <c r="E188" s="20">
        <f t="shared" si="63"/>
        <v>1911</v>
      </c>
      <c r="F188" s="20">
        <f t="shared" si="63"/>
        <v>1911</v>
      </c>
      <c r="G188" s="20">
        <f t="shared" si="63"/>
        <v>1911</v>
      </c>
      <c r="H188" s="20">
        <f t="shared" si="63"/>
        <v>1911</v>
      </c>
      <c r="I188" s="20">
        <f t="shared" si="63"/>
        <v>1911</v>
      </c>
      <c r="J188" s="20">
        <f t="shared" si="63"/>
        <v>1911</v>
      </c>
      <c r="K188" s="20">
        <f t="shared" si="63"/>
        <v>1911</v>
      </c>
      <c r="L188" s="20">
        <f t="shared" si="63"/>
        <v>1911</v>
      </c>
      <c r="M188" s="20">
        <f t="shared" si="63"/>
        <v>1911</v>
      </c>
      <c r="N188" s="20">
        <f>SUM(B188:M188)</f>
        <v>22932</v>
      </c>
    </row>
    <row r="189" spans="1:14" s="19" customFormat="1" ht="10.199999999999999">
      <c r="A189" s="25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</row>
    <row r="190" spans="1:14" s="19" customFormat="1" ht="10.199999999999999">
      <c r="A190" s="393" t="s">
        <v>44</v>
      </c>
    </row>
    <row r="191" spans="1:14" s="19" customFormat="1" ht="10.199999999999999">
      <c r="A191" s="26" t="s">
        <v>16</v>
      </c>
      <c r="B191" s="27">
        <f>'TSAS Demand Revenues (7)'!B181</f>
        <v>0</v>
      </c>
      <c r="C191" s="27">
        <f>'TSAS Demand Revenues (7)'!C181</f>
        <v>0</v>
      </c>
      <c r="D191" s="27">
        <f>'TSAS Demand Revenues (7)'!D181</f>
        <v>0</v>
      </c>
      <c r="E191" s="27">
        <f>'TSAS Demand Revenues (7)'!E181</f>
        <v>0</v>
      </c>
      <c r="F191" s="27">
        <f>'TSAS Demand Revenues (7)'!F181</f>
        <v>0</v>
      </c>
      <c r="G191" s="27">
        <f>'TSAS Demand Revenues (7)'!G181</f>
        <v>0</v>
      </c>
      <c r="H191" s="27">
        <f>'TSAS Demand Revenues (7)'!H181</f>
        <v>0</v>
      </c>
      <c r="I191" s="27">
        <f>'TSAS Demand Revenues (7)'!I181</f>
        <v>0</v>
      </c>
      <c r="J191" s="27">
        <f>'TSAS Demand Revenues (7)'!J181</f>
        <v>0</v>
      </c>
      <c r="K191" s="27">
        <f>'TSAS Demand Revenues (7)'!K181</f>
        <v>0</v>
      </c>
      <c r="L191" s="27">
        <f>'TSAS Demand Revenues (7)'!L181</f>
        <v>0</v>
      </c>
      <c r="M191" s="27">
        <f>'TSAS Demand Revenues (7)'!M181</f>
        <v>0</v>
      </c>
      <c r="N191" s="27">
        <f>SUM(B191:M191)</f>
        <v>0</v>
      </c>
    </row>
    <row r="192" spans="1:14" s="19" customFormat="1" ht="10.199999999999999">
      <c r="A192" s="25" t="s">
        <v>20</v>
      </c>
      <c r="B192" s="32">
        <f>B187</f>
        <v>1.274E-2</v>
      </c>
      <c r="C192" s="32">
        <f t="shared" ref="C192:M192" si="64">C187</f>
        <v>1.274E-2</v>
      </c>
      <c r="D192" s="32">
        <f t="shared" si="64"/>
        <v>1.274E-2</v>
      </c>
      <c r="E192" s="32">
        <f t="shared" si="64"/>
        <v>1.274E-2</v>
      </c>
      <c r="F192" s="32">
        <f t="shared" si="64"/>
        <v>1.274E-2</v>
      </c>
      <c r="G192" s="32">
        <f t="shared" si="64"/>
        <v>1.274E-2</v>
      </c>
      <c r="H192" s="32">
        <f t="shared" si="64"/>
        <v>1.274E-2</v>
      </c>
      <c r="I192" s="32">
        <f t="shared" si="64"/>
        <v>1.274E-2</v>
      </c>
      <c r="J192" s="32">
        <f t="shared" si="64"/>
        <v>1.274E-2</v>
      </c>
      <c r="K192" s="32">
        <f t="shared" si="64"/>
        <v>1.274E-2</v>
      </c>
      <c r="L192" s="32">
        <f t="shared" si="64"/>
        <v>1.274E-2</v>
      </c>
      <c r="M192" s="32">
        <f t="shared" si="64"/>
        <v>1.274E-2</v>
      </c>
    </row>
    <row r="193" spans="1:14" s="19" customFormat="1" ht="10.199999999999999">
      <c r="A193" s="25" t="s">
        <v>17</v>
      </c>
      <c r="B193" s="20">
        <f t="shared" ref="B193:M193" si="65">B191*B192</f>
        <v>0</v>
      </c>
      <c r="C193" s="20">
        <f t="shared" si="65"/>
        <v>0</v>
      </c>
      <c r="D193" s="20">
        <f t="shared" si="65"/>
        <v>0</v>
      </c>
      <c r="E193" s="20">
        <f t="shared" si="65"/>
        <v>0</v>
      </c>
      <c r="F193" s="20">
        <f t="shared" si="65"/>
        <v>0</v>
      </c>
      <c r="G193" s="20">
        <f t="shared" si="65"/>
        <v>0</v>
      </c>
      <c r="H193" s="20">
        <f t="shared" si="65"/>
        <v>0</v>
      </c>
      <c r="I193" s="20">
        <f t="shared" si="65"/>
        <v>0</v>
      </c>
      <c r="J193" s="20">
        <f t="shared" si="65"/>
        <v>0</v>
      </c>
      <c r="K193" s="20">
        <f t="shared" si="65"/>
        <v>0</v>
      </c>
      <c r="L193" s="20">
        <f t="shared" si="65"/>
        <v>0</v>
      </c>
      <c r="M193" s="20">
        <f t="shared" si="65"/>
        <v>0</v>
      </c>
      <c r="N193" s="20">
        <f>SUM(B193:M193)</f>
        <v>0</v>
      </c>
    </row>
    <row r="194" spans="1:14" s="19" customFormat="1" ht="10.199999999999999">
      <c r="A194" s="25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s="19" customFormat="1" ht="10.199999999999999">
      <c r="A195" s="393" t="s">
        <v>272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s="19" customFormat="1" ht="10.199999999999999">
      <c r="A196" s="26" t="s">
        <v>16</v>
      </c>
      <c r="B196" s="20">
        <f>'TSAS Reactive Revenues (2)'!B196</f>
        <v>160000</v>
      </c>
      <c r="C196" s="20">
        <f>'TSAS Reactive Revenues (2)'!C196</f>
        <v>160000</v>
      </c>
      <c r="D196" s="20">
        <f>'TSAS Reactive Revenues (2)'!D196</f>
        <v>0</v>
      </c>
      <c r="E196" s="20">
        <f>'TSAS Reactive Revenues (2)'!E196</f>
        <v>0</v>
      </c>
      <c r="F196" s="20">
        <f>'TSAS Reactive Revenues (2)'!F196</f>
        <v>0</v>
      </c>
      <c r="G196" s="20">
        <f>'TSAS Reactive Revenues (2)'!G196</f>
        <v>0</v>
      </c>
      <c r="H196" s="20">
        <f>'TSAS Reactive Revenues (2)'!H196</f>
        <v>0</v>
      </c>
      <c r="I196" s="20">
        <f>'TSAS Reactive Revenues (2)'!I196</f>
        <v>0</v>
      </c>
      <c r="J196" s="20">
        <f>'TSAS Reactive Revenues (2)'!J196</f>
        <v>0</v>
      </c>
      <c r="K196" s="20">
        <f>'TSAS Reactive Revenues (2)'!K196</f>
        <v>0</v>
      </c>
      <c r="L196" s="20">
        <f>'TSAS Reactive Revenues (2)'!L196</f>
        <v>0</v>
      </c>
      <c r="M196" s="20">
        <f>'TSAS Reactive Revenues (2)'!M196</f>
        <v>0</v>
      </c>
      <c r="N196" s="27">
        <f>SUM(B196:M196)</f>
        <v>320000</v>
      </c>
    </row>
    <row r="197" spans="1:14" s="19" customFormat="1" ht="10.199999999999999">
      <c r="A197" s="25" t="s">
        <v>20</v>
      </c>
      <c r="B197" s="32">
        <f>B192</f>
        <v>1.274E-2</v>
      </c>
      <c r="C197" s="32">
        <f t="shared" ref="C197:M197" si="66">C192</f>
        <v>1.274E-2</v>
      </c>
      <c r="D197" s="32">
        <f t="shared" si="66"/>
        <v>1.274E-2</v>
      </c>
      <c r="E197" s="32">
        <f t="shared" si="66"/>
        <v>1.274E-2</v>
      </c>
      <c r="F197" s="32">
        <f t="shared" si="66"/>
        <v>1.274E-2</v>
      </c>
      <c r="G197" s="32">
        <f t="shared" si="66"/>
        <v>1.274E-2</v>
      </c>
      <c r="H197" s="32">
        <f t="shared" si="66"/>
        <v>1.274E-2</v>
      </c>
      <c r="I197" s="32">
        <f t="shared" si="66"/>
        <v>1.274E-2</v>
      </c>
      <c r="J197" s="32">
        <f t="shared" si="66"/>
        <v>1.274E-2</v>
      </c>
      <c r="K197" s="32">
        <f t="shared" si="66"/>
        <v>1.274E-2</v>
      </c>
      <c r="L197" s="32">
        <f t="shared" si="66"/>
        <v>1.274E-2</v>
      </c>
      <c r="M197" s="32">
        <f t="shared" si="66"/>
        <v>1.274E-2</v>
      </c>
      <c r="N197" s="20"/>
    </row>
    <row r="198" spans="1:14" s="19" customFormat="1" ht="10.199999999999999">
      <c r="A198" s="25" t="s">
        <v>17</v>
      </c>
      <c r="B198" s="20">
        <f t="shared" ref="B198:M198" si="67">B196*B197</f>
        <v>2038.3999999999999</v>
      </c>
      <c r="C198" s="20">
        <f t="shared" si="67"/>
        <v>2038.3999999999999</v>
      </c>
      <c r="D198" s="20">
        <f t="shared" si="67"/>
        <v>0</v>
      </c>
      <c r="E198" s="20">
        <f t="shared" si="67"/>
        <v>0</v>
      </c>
      <c r="F198" s="20">
        <f t="shared" si="67"/>
        <v>0</v>
      </c>
      <c r="G198" s="20">
        <f t="shared" si="67"/>
        <v>0</v>
      </c>
      <c r="H198" s="20">
        <f t="shared" si="67"/>
        <v>0</v>
      </c>
      <c r="I198" s="20">
        <f t="shared" si="67"/>
        <v>0</v>
      </c>
      <c r="J198" s="20">
        <f t="shared" si="67"/>
        <v>0</v>
      </c>
      <c r="K198" s="20">
        <f t="shared" si="67"/>
        <v>0</v>
      </c>
      <c r="L198" s="20">
        <f t="shared" si="67"/>
        <v>0</v>
      </c>
      <c r="M198" s="20">
        <f t="shared" si="67"/>
        <v>0</v>
      </c>
      <c r="N198" s="20">
        <f>SUM(B198:M198)</f>
        <v>4076.7999999999997</v>
      </c>
    </row>
    <row r="199" spans="1:14" s="19" customFormat="1" ht="10.199999999999999">
      <c r="A199" s="25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</row>
    <row r="200" spans="1:14" s="19" customFormat="1" ht="10.199999999999999">
      <c r="A200" s="328"/>
      <c r="B200" s="20"/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7">
        <f>SUM(B200:M200)</f>
        <v>0</v>
      </c>
    </row>
    <row r="201" spans="1:14" s="19" customFormat="1" ht="10.199999999999999">
      <c r="A201" s="25" t="s">
        <v>20</v>
      </c>
      <c r="B201" s="32">
        <f>B197</f>
        <v>1.274E-2</v>
      </c>
      <c r="C201" s="32">
        <f t="shared" ref="C201:M201" si="68">C197</f>
        <v>1.274E-2</v>
      </c>
      <c r="D201" s="32">
        <f t="shared" si="68"/>
        <v>1.274E-2</v>
      </c>
      <c r="E201" s="32">
        <f t="shared" si="68"/>
        <v>1.274E-2</v>
      </c>
      <c r="F201" s="32">
        <f t="shared" si="68"/>
        <v>1.274E-2</v>
      </c>
      <c r="G201" s="32">
        <f t="shared" si="68"/>
        <v>1.274E-2</v>
      </c>
      <c r="H201" s="32">
        <f t="shared" si="68"/>
        <v>1.274E-2</v>
      </c>
      <c r="I201" s="32">
        <f t="shared" si="68"/>
        <v>1.274E-2</v>
      </c>
      <c r="J201" s="32">
        <f t="shared" si="68"/>
        <v>1.274E-2</v>
      </c>
      <c r="K201" s="32">
        <f t="shared" si="68"/>
        <v>1.274E-2</v>
      </c>
      <c r="L201" s="32">
        <f t="shared" si="68"/>
        <v>1.274E-2</v>
      </c>
      <c r="M201" s="32">
        <f t="shared" si="68"/>
        <v>1.274E-2</v>
      </c>
      <c r="N201" s="32"/>
    </row>
    <row r="202" spans="1:14" s="19" customFormat="1" ht="10.199999999999999">
      <c r="A202" s="25" t="s">
        <v>17</v>
      </c>
      <c r="B202" s="20">
        <f t="shared" ref="B202:M202" si="69">B200*B201</f>
        <v>0</v>
      </c>
      <c r="C202" s="20">
        <f t="shared" si="69"/>
        <v>0</v>
      </c>
      <c r="D202" s="20">
        <f t="shared" si="69"/>
        <v>0</v>
      </c>
      <c r="E202" s="20">
        <f t="shared" si="69"/>
        <v>0</v>
      </c>
      <c r="F202" s="20">
        <f t="shared" si="69"/>
        <v>0</v>
      </c>
      <c r="G202" s="20">
        <f t="shared" si="69"/>
        <v>0</v>
      </c>
      <c r="H202" s="20">
        <f t="shared" si="69"/>
        <v>0</v>
      </c>
      <c r="I202" s="20">
        <f t="shared" si="69"/>
        <v>0</v>
      </c>
      <c r="J202" s="20">
        <f t="shared" si="69"/>
        <v>0</v>
      </c>
      <c r="K202" s="20">
        <f t="shared" si="69"/>
        <v>0</v>
      </c>
      <c r="L202" s="20">
        <f t="shared" si="69"/>
        <v>0</v>
      </c>
      <c r="M202" s="20">
        <f t="shared" si="69"/>
        <v>0</v>
      </c>
      <c r="N202" s="20">
        <f>SUM(B202:M202)</f>
        <v>0</v>
      </c>
    </row>
    <row r="203" spans="1:14" s="19" customFormat="1" ht="10.199999999999999">
      <c r="A203" s="25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</row>
    <row r="204" spans="1:14" s="19" customFormat="1" ht="10.199999999999999">
      <c r="A204" s="25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</row>
    <row r="205" spans="1:14" s="19" customFormat="1" ht="10.199999999999999">
      <c r="A205" s="25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</row>
    <row r="206" spans="1:14" s="19" customFormat="1" ht="10.199999999999999">
      <c r="A206" s="143" t="s">
        <v>25</v>
      </c>
      <c r="B206" s="142">
        <f>B148+B153+B158+B163+B168+B173+B193+B198+B178+B183+B188+B202</f>
        <v>5835.6334399999996</v>
      </c>
      <c r="C206" s="142">
        <f t="shared" ref="C206:M206" si="70">C148+C153+C158+C163+C168+C173+C193+C198+C178+C183+C188+C202</f>
        <v>5835.6334399999996</v>
      </c>
      <c r="D206" s="142">
        <f t="shared" si="70"/>
        <v>3797.23344</v>
      </c>
      <c r="E206" s="142">
        <f t="shared" si="70"/>
        <v>3797.23344</v>
      </c>
      <c r="F206" s="142">
        <f t="shared" si="70"/>
        <v>3797.23344</v>
      </c>
      <c r="G206" s="142">
        <f t="shared" si="70"/>
        <v>3797.23344</v>
      </c>
      <c r="H206" s="142">
        <f t="shared" si="70"/>
        <v>3797.23344</v>
      </c>
      <c r="I206" s="142">
        <f t="shared" si="70"/>
        <v>3797.23344</v>
      </c>
      <c r="J206" s="142">
        <f t="shared" si="70"/>
        <v>3797.23344</v>
      </c>
      <c r="K206" s="142">
        <f t="shared" si="70"/>
        <v>3797.23344</v>
      </c>
      <c r="L206" s="142">
        <f t="shared" si="70"/>
        <v>3784.4934400000002</v>
      </c>
      <c r="M206" s="142">
        <f t="shared" si="70"/>
        <v>3784.4934400000002</v>
      </c>
      <c r="N206" s="142">
        <f>SUM(B206:M206)</f>
        <v>49618.121279999992</v>
      </c>
    </row>
    <row r="207" spans="1:14" s="19" customFormat="1" ht="10.199999999999999">
      <c r="A207" s="143" t="s">
        <v>59</v>
      </c>
      <c r="B207" s="142">
        <f>B146+B151+B156+B161+B166+B191+B171+B196+B176+B181+B186+B200</f>
        <v>458056</v>
      </c>
      <c r="C207" s="142">
        <f t="shared" ref="C207:M207" si="71">C146+C151+C156+C161+C166+C191+C171+C196+C176+C181+C186+C200</f>
        <v>458056</v>
      </c>
      <c r="D207" s="142">
        <f t="shared" si="71"/>
        <v>298056</v>
      </c>
      <c r="E207" s="142">
        <f t="shared" si="71"/>
        <v>298056</v>
      </c>
      <c r="F207" s="142">
        <f t="shared" si="71"/>
        <v>298056</v>
      </c>
      <c r="G207" s="142">
        <f t="shared" si="71"/>
        <v>298056</v>
      </c>
      <c r="H207" s="142">
        <f t="shared" si="71"/>
        <v>298056</v>
      </c>
      <c r="I207" s="142">
        <f t="shared" si="71"/>
        <v>298056</v>
      </c>
      <c r="J207" s="142">
        <f t="shared" si="71"/>
        <v>298056</v>
      </c>
      <c r="K207" s="142">
        <f t="shared" si="71"/>
        <v>298056</v>
      </c>
      <c r="L207" s="142">
        <f t="shared" si="71"/>
        <v>297056</v>
      </c>
      <c r="M207" s="142">
        <f t="shared" si="71"/>
        <v>297056</v>
      </c>
      <c r="N207" s="142">
        <f>SUM(B207:M207)</f>
        <v>3894672</v>
      </c>
    </row>
    <row r="208" spans="1:14" s="19" customFormat="1" ht="10.199999999999999">
      <c r="A208" s="24">
        <f>+A142+1</f>
        <v>2017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5" s="19" customFormat="1" ht="13.2">
      <c r="A209" s="22" t="s">
        <v>19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1:15" s="19" customFormat="1" ht="10.199999999999999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</row>
    <row r="211" spans="1:15" s="19" customFormat="1" ht="10.199999999999999">
      <c r="A211" s="393" t="s">
        <v>344</v>
      </c>
    </row>
    <row r="212" spans="1:15" s="28" customFormat="1">
      <c r="A212" s="26" t="s">
        <v>16</v>
      </c>
      <c r="B212" s="27">
        <f>'TSAS Demand Revenues (7)'!B210</f>
        <v>5000</v>
      </c>
      <c r="C212" s="27">
        <f>'TSAS Demand Revenues (7)'!C210</f>
        <v>5000</v>
      </c>
      <c r="D212" s="27">
        <f>'TSAS Demand Revenues (7)'!D210</f>
        <v>5000</v>
      </c>
      <c r="E212" s="27">
        <f>'TSAS Demand Revenues (7)'!E210</f>
        <v>5000</v>
      </c>
      <c r="F212" s="27">
        <f>'TSAS Demand Revenues (7)'!F210</f>
        <v>5000</v>
      </c>
      <c r="G212" s="27">
        <f>'TSAS Demand Revenues (7)'!G210</f>
        <v>5000</v>
      </c>
      <c r="H212" s="27">
        <f>'TSAS Demand Revenues (7)'!H210</f>
        <v>5000</v>
      </c>
      <c r="I212" s="27">
        <f>'TSAS Demand Revenues (7)'!I210</f>
        <v>5000</v>
      </c>
      <c r="J212" s="27">
        <f>'TSAS Demand Revenues (7)'!J210</f>
        <v>5000</v>
      </c>
      <c r="K212" s="27">
        <f>'TSAS Demand Revenues (7)'!K210</f>
        <v>5000</v>
      </c>
      <c r="L212" s="27">
        <f>'TSAS Demand Revenues (7)'!L210</f>
        <v>5000</v>
      </c>
      <c r="M212" s="27">
        <f>'TSAS Demand Revenues (7)'!M210</f>
        <v>5000</v>
      </c>
      <c r="N212" s="27">
        <f>SUM(B212:M212)</f>
        <v>60000</v>
      </c>
      <c r="O212" s="21"/>
    </row>
    <row r="213" spans="1:15" s="19" customFormat="1">
      <c r="A213" s="25" t="s">
        <v>20</v>
      </c>
      <c r="B213" s="31">
        <f>B192</f>
        <v>1.274E-2</v>
      </c>
      <c r="C213" s="31">
        <f t="shared" ref="C213:M213" si="72">C192</f>
        <v>1.274E-2</v>
      </c>
      <c r="D213" s="31">
        <f t="shared" si="72"/>
        <v>1.274E-2</v>
      </c>
      <c r="E213" s="31">
        <f t="shared" si="72"/>
        <v>1.274E-2</v>
      </c>
      <c r="F213" s="31">
        <f t="shared" si="72"/>
        <v>1.274E-2</v>
      </c>
      <c r="G213" s="31">
        <f t="shared" si="72"/>
        <v>1.274E-2</v>
      </c>
      <c r="H213" s="31">
        <f t="shared" si="72"/>
        <v>1.274E-2</v>
      </c>
      <c r="I213" s="31">
        <f t="shared" si="72"/>
        <v>1.274E-2</v>
      </c>
      <c r="J213" s="31">
        <f t="shared" si="72"/>
        <v>1.274E-2</v>
      </c>
      <c r="K213" s="31">
        <f t="shared" si="72"/>
        <v>1.274E-2</v>
      </c>
      <c r="L213" s="31">
        <f t="shared" si="72"/>
        <v>1.274E-2</v>
      </c>
      <c r="M213" s="31">
        <f t="shared" si="72"/>
        <v>1.274E-2</v>
      </c>
      <c r="O213" s="21"/>
    </row>
    <row r="214" spans="1:15" s="19" customFormat="1">
      <c r="A214" s="25" t="s">
        <v>17</v>
      </c>
      <c r="B214" s="20">
        <f t="shared" ref="B214:M214" si="73">B212*B213</f>
        <v>63.699999999999996</v>
      </c>
      <c r="C214" s="20">
        <f t="shared" si="73"/>
        <v>63.699999999999996</v>
      </c>
      <c r="D214" s="20">
        <f t="shared" si="73"/>
        <v>63.699999999999996</v>
      </c>
      <c r="E214" s="20">
        <f t="shared" si="73"/>
        <v>63.699999999999996</v>
      </c>
      <c r="F214" s="20">
        <f t="shared" si="73"/>
        <v>63.699999999999996</v>
      </c>
      <c r="G214" s="20">
        <f t="shared" si="73"/>
        <v>63.699999999999996</v>
      </c>
      <c r="H214" s="20">
        <f t="shared" si="73"/>
        <v>63.699999999999996</v>
      </c>
      <c r="I214" s="20">
        <f t="shared" si="73"/>
        <v>63.699999999999996</v>
      </c>
      <c r="J214" s="20">
        <f t="shared" si="73"/>
        <v>63.699999999999996</v>
      </c>
      <c r="K214" s="20">
        <f t="shared" si="73"/>
        <v>63.699999999999996</v>
      </c>
      <c r="L214" s="20">
        <f t="shared" si="73"/>
        <v>63.699999999999996</v>
      </c>
      <c r="M214" s="20">
        <f t="shared" si="73"/>
        <v>63.699999999999996</v>
      </c>
      <c r="N214" s="20">
        <f>SUM(B214:M214)</f>
        <v>764.40000000000009</v>
      </c>
      <c r="O214" s="21"/>
    </row>
    <row r="215" spans="1:15" s="19" customFormat="1">
      <c r="O215" s="21"/>
    </row>
    <row r="216" spans="1:15" s="19" customFormat="1">
      <c r="A216" s="25" t="s">
        <v>21</v>
      </c>
      <c r="O216" s="21"/>
    </row>
    <row r="217" spans="1:15" s="28" customFormat="1">
      <c r="A217" s="26" t="s">
        <v>16</v>
      </c>
      <c r="B217" s="27">
        <f>'TSAS Demand Revenues (7)'!B215</f>
        <v>0</v>
      </c>
      <c r="C217" s="27">
        <f>'TSAS Demand Revenues (7)'!C215</f>
        <v>0</v>
      </c>
      <c r="D217" s="27">
        <f>'TSAS Demand Revenues (7)'!D215</f>
        <v>0</v>
      </c>
      <c r="E217" s="27">
        <f>'TSAS Demand Revenues (7)'!E215</f>
        <v>0</v>
      </c>
      <c r="F217" s="27">
        <f>'TSAS Demand Revenues (7)'!F215</f>
        <v>0</v>
      </c>
      <c r="G217" s="27">
        <f>'TSAS Demand Revenues (7)'!G215</f>
        <v>0</v>
      </c>
      <c r="H217" s="27">
        <f>'TSAS Demand Revenues (7)'!H215</f>
        <v>0</v>
      </c>
      <c r="I217" s="27">
        <f>'TSAS Demand Revenues (7)'!I215</f>
        <v>0</v>
      </c>
      <c r="J217" s="27">
        <f>'TSAS Demand Revenues (7)'!J215</f>
        <v>0</v>
      </c>
      <c r="K217" s="27">
        <f>'TSAS Demand Revenues (7)'!K215</f>
        <v>0</v>
      </c>
      <c r="L217" s="27">
        <f>'TSAS Demand Revenues (7)'!L215</f>
        <v>0</v>
      </c>
      <c r="M217" s="27">
        <f>'TSAS Demand Revenues (7)'!M215</f>
        <v>0</v>
      </c>
      <c r="N217" s="27">
        <f>SUM(B217:M217)</f>
        <v>0</v>
      </c>
      <c r="O217" s="21"/>
    </row>
    <row r="218" spans="1:15" s="19" customFormat="1">
      <c r="A218" s="25" t="s">
        <v>20</v>
      </c>
      <c r="B218" s="31">
        <f>B213</f>
        <v>1.274E-2</v>
      </c>
      <c r="C218" s="31">
        <f t="shared" ref="C218:M218" si="74">+$B$17</f>
        <v>1.274E-2</v>
      </c>
      <c r="D218" s="31">
        <f t="shared" si="74"/>
        <v>1.274E-2</v>
      </c>
      <c r="E218" s="31">
        <f t="shared" si="74"/>
        <v>1.274E-2</v>
      </c>
      <c r="F218" s="31">
        <f t="shared" si="74"/>
        <v>1.274E-2</v>
      </c>
      <c r="G218" s="31">
        <f t="shared" si="74"/>
        <v>1.274E-2</v>
      </c>
      <c r="H218" s="31">
        <f t="shared" si="74"/>
        <v>1.274E-2</v>
      </c>
      <c r="I218" s="31">
        <f t="shared" si="74"/>
        <v>1.274E-2</v>
      </c>
      <c r="J218" s="31">
        <f t="shared" si="74"/>
        <v>1.274E-2</v>
      </c>
      <c r="K218" s="31">
        <f t="shared" si="74"/>
        <v>1.274E-2</v>
      </c>
      <c r="L218" s="31">
        <f t="shared" si="74"/>
        <v>1.274E-2</v>
      </c>
      <c r="M218" s="31">
        <f t="shared" si="74"/>
        <v>1.274E-2</v>
      </c>
      <c r="O218" s="21"/>
    </row>
    <row r="219" spans="1:15" s="19" customFormat="1">
      <c r="A219" s="25" t="s">
        <v>17</v>
      </c>
      <c r="B219" s="20">
        <f t="shared" ref="B219:M219" si="75">B217*B218</f>
        <v>0</v>
      </c>
      <c r="C219" s="20">
        <f t="shared" si="75"/>
        <v>0</v>
      </c>
      <c r="D219" s="20">
        <f t="shared" si="75"/>
        <v>0</v>
      </c>
      <c r="E219" s="20">
        <f t="shared" si="75"/>
        <v>0</v>
      </c>
      <c r="F219" s="20">
        <f t="shared" si="75"/>
        <v>0</v>
      </c>
      <c r="G219" s="20">
        <f t="shared" si="75"/>
        <v>0</v>
      </c>
      <c r="H219" s="20">
        <f t="shared" si="75"/>
        <v>0</v>
      </c>
      <c r="I219" s="20">
        <f t="shared" si="75"/>
        <v>0</v>
      </c>
      <c r="J219" s="20">
        <f t="shared" si="75"/>
        <v>0</v>
      </c>
      <c r="K219" s="20">
        <f t="shared" si="75"/>
        <v>0</v>
      </c>
      <c r="L219" s="20">
        <f t="shared" si="75"/>
        <v>0</v>
      </c>
      <c r="M219" s="20">
        <f t="shared" si="75"/>
        <v>0</v>
      </c>
      <c r="N219" s="20">
        <f>SUM(B219:M219)</f>
        <v>0</v>
      </c>
      <c r="O219" s="21"/>
    </row>
    <row r="220" spans="1:15" s="19" customFormat="1">
      <c r="B220" s="20"/>
      <c r="O220" s="21"/>
    </row>
    <row r="221" spans="1:15" s="19" customFormat="1">
      <c r="A221" s="25" t="s">
        <v>22</v>
      </c>
      <c r="O221" s="21"/>
    </row>
    <row r="222" spans="1:15" s="28" customFormat="1">
      <c r="A222" s="26" t="s">
        <v>16</v>
      </c>
      <c r="B222" s="27">
        <f>'TSAS Demand Revenues (7)'!B220</f>
        <v>0</v>
      </c>
      <c r="C222" s="27">
        <f>'TSAS Demand Revenues (7)'!C220</f>
        <v>0</v>
      </c>
      <c r="D222" s="27">
        <f>'TSAS Demand Revenues (7)'!D220</f>
        <v>0</v>
      </c>
      <c r="E222" s="27">
        <f>'TSAS Demand Revenues (7)'!E220</f>
        <v>0</v>
      </c>
      <c r="F222" s="27">
        <f>'TSAS Demand Revenues (7)'!F220</f>
        <v>0</v>
      </c>
      <c r="G222" s="27">
        <f>'TSAS Demand Revenues (7)'!G220</f>
        <v>0</v>
      </c>
      <c r="H222" s="27">
        <f>'TSAS Demand Revenues (7)'!H220</f>
        <v>0</v>
      </c>
      <c r="I222" s="27">
        <f>'TSAS Demand Revenues (7)'!I220</f>
        <v>0</v>
      </c>
      <c r="J222" s="27">
        <f>'TSAS Demand Revenues (7)'!J220</f>
        <v>0</v>
      </c>
      <c r="K222" s="27">
        <f>'TSAS Demand Revenues (7)'!K220</f>
        <v>0</v>
      </c>
      <c r="L222" s="27">
        <f>'TSAS Demand Revenues (7)'!L220</f>
        <v>0</v>
      </c>
      <c r="M222" s="27">
        <f>'TSAS Demand Revenues (7)'!M220</f>
        <v>0</v>
      </c>
      <c r="N222" s="27">
        <f>SUM(B222:M222)</f>
        <v>0</v>
      </c>
      <c r="O222" s="21"/>
    </row>
    <row r="223" spans="1:15" s="19" customFormat="1">
      <c r="A223" s="25" t="s">
        <v>20</v>
      </c>
      <c r="B223" s="32">
        <f>B218</f>
        <v>1.274E-2</v>
      </c>
      <c r="C223" s="32">
        <f t="shared" ref="C223:M223" si="76">+$B$22</f>
        <v>1.274E-2</v>
      </c>
      <c r="D223" s="32">
        <f t="shared" si="76"/>
        <v>1.274E-2</v>
      </c>
      <c r="E223" s="32">
        <f t="shared" si="76"/>
        <v>1.274E-2</v>
      </c>
      <c r="F223" s="32">
        <f t="shared" si="76"/>
        <v>1.274E-2</v>
      </c>
      <c r="G223" s="32">
        <f t="shared" si="76"/>
        <v>1.274E-2</v>
      </c>
      <c r="H223" s="32">
        <f t="shared" si="76"/>
        <v>1.274E-2</v>
      </c>
      <c r="I223" s="32">
        <f t="shared" si="76"/>
        <v>1.274E-2</v>
      </c>
      <c r="J223" s="32">
        <f t="shared" si="76"/>
        <v>1.274E-2</v>
      </c>
      <c r="K223" s="32">
        <f t="shared" si="76"/>
        <v>1.274E-2</v>
      </c>
      <c r="L223" s="32">
        <f t="shared" si="76"/>
        <v>1.274E-2</v>
      </c>
      <c r="M223" s="32">
        <f t="shared" si="76"/>
        <v>1.274E-2</v>
      </c>
      <c r="O223" s="21"/>
    </row>
    <row r="224" spans="1:15" s="19" customFormat="1">
      <c r="A224" s="25" t="s">
        <v>17</v>
      </c>
      <c r="B224" s="20">
        <f t="shared" ref="B224:M224" si="77">B222*B223</f>
        <v>0</v>
      </c>
      <c r="C224" s="20">
        <f t="shared" si="77"/>
        <v>0</v>
      </c>
      <c r="D224" s="20">
        <f t="shared" si="77"/>
        <v>0</v>
      </c>
      <c r="E224" s="20">
        <f t="shared" si="77"/>
        <v>0</v>
      </c>
      <c r="F224" s="20">
        <f t="shared" si="77"/>
        <v>0</v>
      </c>
      <c r="G224" s="20">
        <f t="shared" si="77"/>
        <v>0</v>
      </c>
      <c r="H224" s="20">
        <f t="shared" si="77"/>
        <v>0</v>
      </c>
      <c r="I224" s="20">
        <f t="shared" si="77"/>
        <v>0</v>
      </c>
      <c r="J224" s="20">
        <f t="shared" si="77"/>
        <v>0</v>
      </c>
      <c r="K224" s="20">
        <f t="shared" si="77"/>
        <v>0</v>
      </c>
      <c r="L224" s="20">
        <f t="shared" si="77"/>
        <v>0</v>
      </c>
      <c r="M224" s="20">
        <f t="shared" si="77"/>
        <v>0</v>
      </c>
      <c r="N224" s="20">
        <f>SUM(B224:M224)</f>
        <v>0</v>
      </c>
      <c r="O224" s="21"/>
    </row>
    <row r="225" spans="1:15" s="19" customFormat="1">
      <c r="B225" s="20"/>
      <c r="O225" s="21"/>
    </row>
    <row r="226" spans="1:15" s="19" customFormat="1" ht="10.199999999999999">
      <c r="A226" s="393" t="s">
        <v>23</v>
      </c>
      <c r="O226" s="28"/>
    </row>
    <row r="227" spans="1:15" s="28" customFormat="1" ht="10.199999999999999">
      <c r="A227" s="26" t="s">
        <v>16</v>
      </c>
      <c r="B227" s="27">
        <f>'TSAS Demand Revenues (7)'!B225</f>
        <v>37056</v>
      </c>
      <c r="C227" s="27">
        <f>'TSAS Demand Revenues (7)'!C225</f>
        <v>37056</v>
      </c>
      <c r="D227" s="27">
        <f>'TSAS Demand Revenues (7)'!D225</f>
        <v>37056</v>
      </c>
      <c r="E227" s="27">
        <f>'TSAS Demand Revenues (7)'!E225</f>
        <v>37056</v>
      </c>
      <c r="F227" s="27">
        <f>'TSAS Demand Revenues (7)'!F225</f>
        <v>37056</v>
      </c>
      <c r="G227" s="27">
        <f>'TSAS Demand Revenues (7)'!G225</f>
        <v>37056</v>
      </c>
      <c r="H227" s="27">
        <f>'TSAS Demand Revenues (7)'!H225</f>
        <v>37056</v>
      </c>
      <c r="I227" s="27">
        <f>'TSAS Demand Revenues (7)'!I225</f>
        <v>37056</v>
      </c>
      <c r="J227" s="27">
        <f>'TSAS Demand Revenues (7)'!J225</f>
        <v>37056</v>
      </c>
      <c r="K227" s="27">
        <f>'TSAS Demand Revenues (7)'!K225</f>
        <v>37056</v>
      </c>
      <c r="L227" s="27">
        <f>'TSAS Demand Revenues (7)'!L225</f>
        <v>37056</v>
      </c>
      <c r="M227" s="27">
        <f>'TSAS Demand Revenues (7)'!M225</f>
        <v>37056</v>
      </c>
      <c r="N227" s="27">
        <f>SUM(B227:M227)</f>
        <v>444672</v>
      </c>
    </row>
    <row r="228" spans="1:15" s="19" customFormat="1" ht="10.199999999999999">
      <c r="A228" s="25" t="s">
        <v>20</v>
      </c>
      <c r="B228" s="32">
        <f>B223</f>
        <v>1.274E-2</v>
      </c>
      <c r="C228" s="32">
        <f t="shared" ref="C228:M228" si="78">+$B$27</f>
        <v>1.274E-2</v>
      </c>
      <c r="D228" s="32">
        <f t="shared" si="78"/>
        <v>1.274E-2</v>
      </c>
      <c r="E228" s="32">
        <f t="shared" si="78"/>
        <v>1.274E-2</v>
      </c>
      <c r="F228" s="32">
        <f t="shared" si="78"/>
        <v>1.274E-2</v>
      </c>
      <c r="G228" s="32">
        <f t="shared" si="78"/>
        <v>1.274E-2</v>
      </c>
      <c r="H228" s="32">
        <f t="shared" si="78"/>
        <v>1.274E-2</v>
      </c>
      <c r="I228" s="32">
        <f t="shared" si="78"/>
        <v>1.274E-2</v>
      </c>
      <c r="J228" s="32">
        <f t="shared" si="78"/>
        <v>1.274E-2</v>
      </c>
      <c r="K228" s="32">
        <f t="shared" si="78"/>
        <v>1.274E-2</v>
      </c>
      <c r="L228" s="32">
        <f t="shared" si="78"/>
        <v>1.274E-2</v>
      </c>
      <c r="M228" s="32">
        <f t="shared" si="78"/>
        <v>1.274E-2</v>
      </c>
    </row>
    <row r="229" spans="1:15" s="19" customFormat="1" ht="10.199999999999999">
      <c r="A229" s="25" t="s">
        <v>17</v>
      </c>
      <c r="B229" s="20">
        <f t="shared" ref="B229:M229" si="79">B227*B228</f>
        <v>472.09343999999999</v>
      </c>
      <c r="C229" s="20">
        <f t="shared" si="79"/>
        <v>472.09343999999999</v>
      </c>
      <c r="D229" s="20">
        <f t="shared" si="79"/>
        <v>472.09343999999999</v>
      </c>
      <c r="E229" s="20">
        <f t="shared" si="79"/>
        <v>472.09343999999999</v>
      </c>
      <c r="F229" s="20">
        <f t="shared" si="79"/>
        <v>472.09343999999999</v>
      </c>
      <c r="G229" s="20">
        <f t="shared" si="79"/>
        <v>472.09343999999999</v>
      </c>
      <c r="H229" s="20">
        <f t="shared" si="79"/>
        <v>472.09343999999999</v>
      </c>
      <c r="I229" s="20">
        <f t="shared" si="79"/>
        <v>472.09343999999999</v>
      </c>
      <c r="J229" s="20">
        <f t="shared" si="79"/>
        <v>472.09343999999999</v>
      </c>
      <c r="K229" s="20">
        <f t="shared" si="79"/>
        <v>472.09343999999999</v>
      </c>
      <c r="L229" s="20">
        <f t="shared" si="79"/>
        <v>472.09343999999999</v>
      </c>
      <c r="M229" s="20">
        <f t="shared" si="79"/>
        <v>472.09343999999999</v>
      </c>
      <c r="N229" s="20">
        <f>SUM(B229:M229)</f>
        <v>5665.1212799999994</v>
      </c>
    </row>
    <row r="230" spans="1:15" s="19" customFormat="1" ht="10.199999999999999">
      <c r="B230" s="20"/>
    </row>
    <row r="231" spans="1:15" s="19" customFormat="1" ht="10.199999999999999">
      <c r="A231" s="393" t="s">
        <v>24</v>
      </c>
    </row>
    <row r="232" spans="1:15" s="28" customFormat="1" ht="10.199999999999999">
      <c r="A232" s="26" t="s">
        <v>16</v>
      </c>
      <c r="B232" s="27">
        <f>'TSAS Demand Revenues (7)'!B230</f>
        <v>62000</v>
      </c>
      <c r="C232" s="27">
        <f>'TSAS Demand Revenues (7)'!C230</f>
        <v>62000</v>
      </c>
      <c r="D232" s="27">
        <f>'TSAS Demand Revenues (7)'!D230</f>
        <v>62000</v>
      </c>
      <c r="E232" s="27">
        <f>'TSAS Demand Revenues (7)'!E230</f>
        <v>62000</v>
      </c>
      <c r="F232" s="27">
        <f>'TSAS Demand Revenues (7)'!F230</f>
        <v>62000</v>
      </c>
      <c r="G232" s="27">
        <f>'TSAS Demand Revenues (7)'!G230</f>
        <v>62000</v>
      </c>
      <c r="H232" s="27">
        <f>'TSAS Demand Revenues (7)'!H230</f>
        <v>62000</v>
      </c>
      <c r="I232" s="27">
        <f>'TSAS Demand Revenues (7)'!I230</f>
        <v>62000</v>
      </c>
      <c r="J232" s="27">
        <f>'TSAS Demand Revenues (7)'!J230</f>
        <v>62000</v>
      </c>
      <c r="K232" s="27">
        <f>'TSAS Demand Revenues (7)'!K230</f>
        <v>62000</v>
      </c>
      <c r="L232" s="27">
        <f>'TSAS Demand Revenues (7)'!L230</f>
        <v>62000</v>
      </c>
      <c r="M232" s="27">
        <f>'TSAS Demand Revenues (7)'!M230</f>
        <v>62000</v>
      </c>
      <c r="N232" s="27">
        <f>SUM(B232:M232)</f>
        <v>744000</v>
      </c>
    </row>
    <row r="233" spans="1:15" s="19" customFormat="1" ht="10.199999999999999">
      <c r="A233" s="25" t="s">
        <v>20</v>
      </c>
      <c r="B233" s="32">
        <f>B228</f>
        <v>1.274E-2</v>
      </c>
      <c r="C233" s="32">
        <f t="shared" ref="C233:M233" si="80">+$B$32</f>
        <v>1.274E-2</v>
      </c>
      <c r="D233" s="32">
        <f t="shared" si="80"/>
        <v>1.274E-2</v>
      </c>
      <c r="E233" s="32">
        <f t="shared" si="80"/>
        <v>1.274E-2</v>
      </c>
      <c r="F233" s="32">
        <f t="shared" si="80"/>
        <v>1.274E-2</v>
      </c>
      <c r="G233" s="32">
        <f t="shared" si="80"/>
        <v>1.274E-2</v>
      </c>
      <c r="H233" s="32">
        <f t="shared" si="80"/>
        <v>1.274E-2</v>
      </c>
      <c r="I233" s="32">
        <f t="shared" si="80"/>
        <v>1.274E-2</v>
      </c>
      <c r="J233" s="32">
        <f t="shared" si="80"/>
        <v>1.274E-2</v>
      </c>
      <c r="K233" s="32">
        <f t="shared" si="80"/>
        <v>1.274E-2</v>
      </c>
      <c r="L233" s="32">
        <f t="shared" si="80"/>
        <v>1.274E-2</v>
      </c>
      <c r="M233" s="32">
        <f t="shared" si="80"/>
        <v>1.274E-2</v>
      </c>
    </row>
    <row r="234" spans="1:15" s="19" customFormat="1" ht="10.199999999999999">
      <c r="A234" s="25" t="s">
        <v>17</v>
      </c>
      <c r="B234" s="20">
        <f t="shared" ref="B234:M234" si="81">B232*B233</f>
        <v>789.88</v>
      </c>
      <c r="C234" s="20">
        <f t="shared" si="81"/>
        <v>789.88</v>
      </c>
      <c r="D234" s="20">
        <f t="shared" si="81"/>
        <v>789.88</v>
      </c>
      <c r="E234" s="20">
        <f t="shared" si="81"/>
        <v>789.88</v>
      </c>
      <c r="F234" s="20">
        <f t="shared" si="81"/>
        <v>789.88</v>
      </c>
      <c r="G234" s="20">
        <f t="shared" si="81"/>
        <v>789.88</v>
      </c>
      <c r="H234" s="20">
        <f t="shared" si="81"/>
        <v>789.88</v>
      </c>
      <c r="I234" s="20">
        <f t="shared" si="81"/>
        <v>789.88</v>
      </c>
      <c r="J234" s="20">
        <f t="shared" si="81"/>
        <v>789.88</v>
      </c>
      <c r="K234" s="20">
        <f t="shared" si="81"/>
        <v>789.88</v>
      </c>
      <c r="L234" s="20">
        <f t="shared" si="81"/>
        <v>789.88</v>
      </c>
      <c r="M234" s="20">
        <f t="shared" si="81"/>
        <v>789.88</v>
      </c>
      <c r="N234" s="20">
        <f>SUM(B234:M234)</f>
        <v>9478.56</v>
      </c>
    </row>
    <row r="235" spans="1:15" s="19" customFormat="1" ht="10.199999999999999">
      <c r="A235" s="25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5" s="19" customFormat="1" ht="10.199999999999999">
      <c r="A236" s="393" t="s">
        <v>111</v>
      </c>
    </row>
    <row r="237" spans="1:15" s="19" customFormat="1" ht="10.199999999999999">
      <c r="A237" s="26" t="s">
        <v>16</v>
      </c>
      <c r="B237" s="27">
        <f>'TSAS Demand Revenues (7)'!B235</f>
        <v>40000</v>
      </c>
      <c r="C237" s="27">
        <f>'TSAS Demand Revenues (7)'!C235</f>
        <v>40000</v>
      </c>
      <c r="D237" s="27">
        <f>'TSAS Demand Revenues (7)'!D235</f>
        <v>40000</v>
      </c>
      <c r="E237" s="27">
        <f>'TSAS Demand Revenues (7)'!E235</f>
        <v>40000</v>
      </c>
      <c r="F237" s="27">
        <f>'TSAS Demand Revenues (7)'!F235</f>
        <v>40000</v>
      </c>
      <c r="G237" s="27">
        <f>'TSAS Demand Revenues (7)'!G235</f>
        <v>40000</v>
      </c>
      <c r="H237" s="27">
        <f>'TSAS Demand Revenues (7)'!H235</f>
        <v>40000</v>
      </c>
      <c r="I237" s="27">
        <f>'TSAS Demand Revenues (7)'!I235</f>
        <v>40000</v>
      </c>
      <c r="J237" s="27">
        <f>'TSAS Demand Revenues (7)'!J235</f>
        <v>40000</v>
      </c>
      <c r="K237" s="27">
        <f>'TSAS Demand Revenues (7)'!K235</f>
        <v>40000</v>
      </c>
      <c r="L237" s="27">
        <f>'TSAS Demand Revenues (7)'!L235</f>
        <v>40000</v>
      </c>
      <c r="M237" s="27">
        <f>'TSAS Demand Revenues (7)'!M235</f>
        <v>40000</v>
      </c>
      <c r="N237" s="27">
        <f>SUM(B237:M237)</f>
        <v>480000</v>
      </c>
    </row>
    <row r="238" spans="1:15" s="19" customFormat="1" ht="10.199999999999999">
      <c r="A238" s="25" t="s">
        <v>20</v>
      </c>
      <c r="B238" s="32">
        <f>B233</f>
        <v>1.274E-2</v>
      </c>
      <c r="C238" s="32">
        <f t="shared" ref="C238:M238" si="82">+$B$32</f>
        <v>1.274E-2</v>
      </c>
      <c r="D238" s="32">
        <f t="shared" si="82"/>
        <v>1.274E-2</v>
      </c>
      <c r="E238" s="32">
        <f t="shared" si="82"/>
        <v>1.274E-2</v>
      </c>
      <c r="F238" s="32">
        <f t="shared" si="82"/>
        <v>1.274E-2</v>
      </c>
      <c r="G238" s="32">
        <f t="shared" si="82"/>
        <v>1.274E-2</v>
      </c>
      <c r="H238" s="32">
        <f t="shared" si="82"/>
        <v>1.274E-2</v>
      </c>
      <c r="I238" s="32">
        <f t="shared" si="82"/>
        <v>1.274E-2</v>
      </c>
      <c r="J238" s="32">
        <f t="shared" si="82"/>
        <v>1.274E-2</v>
      </c>
      <c r="K238" s="32">
        <f t="shared" si="82"/>
        <v>1.274E-2</v>
      </c>
      <c r="L238" s="32">
        <f t="shared" si="82"/>
        <v>1.274E-2</v>
      </c>
      <c r="M238" s="32">
        <f t="shared" si="82"/>
        <v>1.274E-2</v>
      </c>
    </row>
    <row r="239" spans="1:15" s="19" customFormat="1" ht="10.199999999999999">
      <c r="A239" s="25" t="s">
        <v>17</v>
      </c>
      <c r="B239" s="20">
        <f t="shared" ref="B239:M239" si="83">B237*B238</f>
        <v>509.59999999999997</v>
      </c>
      <c r="C239" s="20">
        <f t="shared" si="83"/>
        <v>509.59999999999997</v>
      </c>
      <c r="D239" s="20">
        <f t="shared" si="83"/>
        <v>509.59999999999997</v>
      </c>
      <c r="E239" s="20">
        <f t="shared" si="83"/>
        <v>509.59999999999997</v>
      </c>
      <c r="F239" s="20">
        <f t="shared" si="83"/>
        <v>509.59999999999997</v>
      </c>
      <c r="G239" s="20">
        <f t="shared" si="83"/>
        <v>509.59999999999997</v>
      </c>
      <c r="H239" s="20">
        <f t="shared" si="83"/>
        <v>509.59999999999997</v>
      </c>
      <c r="I239" s="20">
        <f t="shared" si="83"/>
        <v>509.59999999999997</v>
      </c>
      <c r="J239" s="20">
        <f t="shared" si="83"/>
        <v>509.59999999999997</v>
      </c>
      <c r="K239" s="20">
        <f t="shared" si="83"/>
        <v>509.59999999999997</v>
      </c>
      <c r="L239" s="20">
        <f t="shared" si="83"/>
        <v>509.59999999999997</v>
      </c>
      <c r="M239" s="20">
        <f t="shared" si="83"/>
        <v>509.59999999999997</v>
      </c>
      <c r="N239" s="20">
        <f>SUM(B239:M239)</f>
        <v>6115.2000000000007</v>
      </c>
    </row>
    <row r="240" spans="1:15" s="19" customFormat="1" ht="10.199999999999999">
      <c r="A240" s="25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s="19" customFormat="1" ht="10.199999999999999">
      <c r="A241" s="393" t="s">
        <v>222</v>
      </c>
    </row>
    <row r="242" spans="1:14" s="19" customFormat="1" ht="10.199999999999999">
      <c r="A242" s="26" t="s">
        <v>16</v>
      </c>
      <c r="B242" s="27">
        <f>'TSAS Demand Revenues (7)'!B240</f>
        <v>3000</v>
      </c>
      <c r="C242" s="27">
        <f>'TSAS Demand Revenues (7)'!C240</f>
        <v>3000</v>
      </c>
      <c r="D242" s="27">
        <f>'TSAS Demand Revenues (7)'!D240</f>
        <v>3000</v>
      </c>
      <c r="E242" s="27">
        <f>'TSAS Demand Revenues (7)'!E240</f>
        <v>3000</v>
      </c>
      <c r="F242" s="27">
        <f>'TSAS Demand Revenues (7)'!F240</f>
        <v>3000</v>
      </c>
      <c r="G242" s="27">
        <f>'TSAS Demand Revenues (7)'!G240</f>
        <v>3000</v>
      </c>
      <c r="H242" s="27">
        <f>'TSAS Demand Revenues (7)'!H240</f>
        <v>3000</v>
      </c>
      <c r="I242" s="27">
        <f>'TSAS Demand Revenues (7)'!I240</f>
        <v>3000</v>
      </c>
      <c r="J242" s="27">
        <f>'TSAS Demand Revenues (7)'!J240</f>
        <v>3000</v>
      </c>
      <c r="K242" s="27">
        <f>'TSAS Demand Revenues (7)'!K240</f>
        <v>3000</v>
      </c>
      <c r="L242" s="27">
        <f>'TSAS Demand Revenues (7)'!L240</f>
        <v>3000</v>
      </c>
      <c r="M242" s="27">
        <f>'TSAS Demand Revenues (7)'!M240</f>
        <v>3000</v>
      </c>
      <c r="N242" s="27">
        <f>SUM(B242:M242)</f>
        <v>36000</v>
      </c>
    </row>
    <row r="243" spans="1:14" s="19" customFormat="1" ht="10.199999999999999">
      <c r="A243" s="25" t="s">
        <v>20</v>
      </c>
      <c r="B243" s="32">
        <f>B238</f>
        <v>1.274E-2</v>
      </c>
      <c r="C243" s="32">
        <f t="shared" ref="C243:M243" si="84">+$B$32</f>
        <v>1.274E-2</v>
      </c>
      <c r="D243" s="32">
        <f t="shared" si="84"/>
        <v>1.274E-2</v>
      </c>
      <c r="E243" s="32">
        <f t="shared" si="84"/>
        <v>1.274E-2</v>
      </c>
      <c r="F243" s="32">
        <f t="shared" si="84"/>
        <v>1.274E-2</v>
      </c>
      <c r="G243" s="32">
        <f t="shared" si="84"/>
        <v>1.274E-2</v>
      </c>
      <c r="H243" s="32">
        <f t="shared" si="84"/>
        <v>1.274E-2</v>
      </c>
      <c r="I243" s="32">
        <f t="shared" si="84"/>
        <v>1.274E-2</v>
      </c>
      <c r="J243" s="32">
        <f t="shared" si="84"/>
        <v>1.274E-2</v>
      </c>
      <c r="K243" s="32">
        <f t="shared" si="84"/>
        <v>1.274E-2</v>
      </c>
      <c r="L243" s="32">
        <f t="shared" si="84"/>
        <v>1.274E-2</v>
      </c>
      <c r="M243" s="32">
        <f t="shared" si="84"/>
        <v>1.274E-2</v>
      </c>
    </row>
    <row r="244" spans="1:14" s="19" customFormat="1" ht="10.199999999999999">
      <c r="A244" s="25" t="s">
        <v>17</v>
      </c>
      <c r="B244" s="20">
        <f t="shared" ref="B244:M244" si="85">B242*B243</f>
        <v>38.22</v>
      </c>
      <c r="C244" s="20">
        <f t="shared" si="85"/>
        <v>38.22</v>
      </c>
      <c r="D244" s="20">
        <f t="shared" si="85"/>
        <v>38.22</v>
      </c>
      <c r="E244" s="20">
        <f t="shared" si="85"/>
        <v>38.22</v>
      </c>
      <c r="F244" s="20">
        <f t="shared" si="85"/>
        <v>38.22</v>
      </c>
      <c r="G244" s="20">
        <f t="shared" si="85"/>
        <v>38.22</v>
      </c>
      <c r="H244" s="20">
        <f t="shared" si="85"/>
        <v>38.22</v>
      </c>
      <c r="I244" s="20">
        <f t="shared" si="85"/>
        <v>38.22</v>
      </c>
      <c r="J244" s="20">
        <f t="shared" si="85"/>
        <v>38.22</v>
      </c>
      <c r="K244" s="20">
        <f t="shared" si="85"/>
        <v>38.22</v>
      </c>
      <c r="L244" s="20">
        <f t="shared" si="85"/>
        <v>38.22</v>
      </c>
      <c r="M244" s="20">
        <f t="shared" si="85"/>
        <v>38.22</v>
      </c>
      <c r="N244" s="20">
        <f>SUM(B244:M244)</f>
        <v>458.6400000000001</v>
      </c>
    </row>
    <row r="245" spans="1:14" s="19" customFormat="1" ht="10.199999999999999">
      <c r="A245" s="25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>
      <c r="A246" s="393" t="s">
        <v>173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>
      <c r="A247" s="26" t="s">
        <v>16</v>
      </c>
      <c r="B247" s="27">
        <f>'TSAS Demand Revenues (7)'!B245</f>
        <v>0</v>
      </c>
      <c r="C247" s="27">
        <f>'TSAS Demand Revenues (7)'!C245</f>
        <v>0</v>
      </c>
      <c r="D247" s="27">
        <f>'TSAS Demand Revenues (7)'!D245</f>
        <v>0</v>
      </c>
      <c r="E247" s="27">
        <f>'TSAS Demand Revenues (7)'!E245</f>
        <v>0</v>
      </c>
      <c r="F247" s="27">
        <f>'TSAS Demand Revenues (7)'!F245</f>
        <v>0</v>
      </c>
      <c r="G247" s="27">
        <f>'TSAS Demand Revenues (7)'!G245</f>
        <v>0</v>
      </c>
      <c r="H247" s="27">
        <f>'TSAS Demand Revenues (7)'!H245</f>
        <v>0</v>
      </c>
      <c r="I247" s="27">
        <f>'TSAS Demand Revenues (7)'!I245</f>
        <v>0</v>
      </c>
      <c r="J247" s="27">
        <f>'TSAS Demand Revenues (7)'!J245</f>
        <v>0</v>
      </c>
      <c r="K247" s="27">
        <f>'TSAS Demand Revenues (7)'!K245</f>
        <v>0</v>
      </c>
      <c r="L247" s="27">
        <f>'TSAS Demand Revenues (7)'!L245</f>
        <v>0</v>
      </c>
      <c r="M247" s="27">
        <f>'TSAS Demand Revenues (7)'!M245</f>
        <v>0</v>
      </c>
      <c r="N247" s="27">
        <f>SUM(B247:M247)</f>
        <v>0</v>
      </c>
    </row>
    <row r="248" spans="1:14">
      <c r="A248" s="25" t="s">
        <v>20</v>
      </c>
      <c r="B248" s="32">
        <f>B238</f>
        <v>1.274E-2</v>
      </c>
      <c r="C248" s="32">
        <f t="shared" ref="C248:M248" si="86">C238</f>
        <v>1.274E-2</v>
      </c>
      <c r="D248" s="32">
        <f t="shared" si="86"/>
        <v>1.274E-2</v>
      </c>
      <c r="E248" s="32">
        <f t="shared" si="86"/>
        <v>1.274E-2</v>
      </c>
      <c r="F248" s="32">
        <f t="shared" si="86"/>
        <v>1.274E-2</v>
      </c>
      <c r="G248" s="32">
        <f t="shared" si="86"/>
        <v>1.274E-2</v>
      </c>
      <c r="H248" s="32">
        <f t="shared" si="86"/>
        <v>1.274E-2</v>
      </c>
      <c r="I248" s="32">
        <f t="shared" si="86"/>
        <v>1.274E-2</v>
      </c>
      <c r="J248" s="32">
        <f t="shared" si="86"/>
        <v>1.274E-2</v>
      </c>
      <c r="K248" s="32">
        <f t="shared" si="86"/>
        <v>1.274E-2</v>
      </c>
      <c r="L248" s="32">
        <f t="shared" si="86"/>
        <v>1.274E-2</v>
      </c>
      <c r="M248" s="32">
        <f t="shared" si="86"/>
        <v>1.274E-2</v>
      </c>
      <c r="N248" s="19"/>
    </row>
    <row r="249" spans="1:14">
      <c r="A249" s="25" t="s">
        <v>17</v>
      </c>
      <c r="B249" s="20">
        <f t="shared" ref="B249:M249" si="87">B247*B248</f>
        <v>0</v>
      </c>
      <c r="C249" s="20">
        <f t="shared" si="87"/>
        <v>0</v>
      </c>
      <c r="D249" s="20">
        <f t="shared" si="87"/>
        <v>0</v>
      </c>
      <c r="E249" s="20">
        <f t="shared" si="87"/>
        <v>0</v>
      </c>
      <c r="F249" s="20">
        <f t="shared" si="87"/>
        <v>0</v>
      </c>
      <c r="G249" s="20">
        <f t="shared" si="87"/>
        <v>0</v>
      </c>
      <c r="H249" s="20">
        <f t="shared" si="87"/>
        <v>0</v>
      </c>
      <c r="I249" s="20">
        <f t="shared" si="87"/>
        <v>0</v>
      </c>
      <c r="J249" s="20">
        <f t="shared" si="87"/>
        <v>0</v>
      </c>
      <c r="K249" s="20">
        <f t="shared" si="87"/>
        <v>0</v>
      </c>
      <c r="L249" s="20">
        <f t="shared" si="87"/>
        <v>0</v>
      </c>
      <c r="M249" s="20">
        <f t="shared" si="87"/>
        <v>0</v>
      </c>
      <c r="N249" s="20">
        <f>SUM(B249:M249)</f>
        <v>0</v>
      </c>
    </row>
    <row r="250" spans="1:14">
      <c r="A250" s="25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>
      <c r="A251" s="393" t="s">
        <v>112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>
      <c r="A252" s="26" t="s">
        <v>16</v>
      </c>
      <c r="B252" s="27">
        <f>'TSAS Demand Revenues (7)'!B255</f>
        <v>150000</v>
      </c>
      <c r="C252" s="27">
        <f>'TSAS Demand Revenues (7)'!C255</f>
        <v>150000</v>
      </c>
      <c r="D252" s="27">
        <f>'TSAS Demand Revenues (7)'!D255</f>
        <v>150000</v>
      </c>
      <c r="E252" s="27">
        <f>'TSAS Demand Revenues (7)'!E255</f>
        <v>150000</v>
      </c>
      <c r="F252" s="27">
        <f>'TSAS Demand Revenues (7)'!F255</f>
        <v>150000</v>
      </c>
      <c r="G252" s="27">
        <f>'TSAS Demand Revenues (7)'!G255</f>
        <v>150000</v>
      </c>
      <c r="H252" s="27">
        <f>'TSAS Demand Revenues (7)'!H255</f>
        <v>150000</v>
      </c>
      <c r="I252" s="27">
        <f>'TSAS Demand Revenues (7)'!I255</f>
        <v>150000</v>
      </c>
      <c r="J252" s="27">
        <f>'TSAS Demand Revenues (7)'!J255</f>
        <v>150000</v>
      </c>
      <c r="K252" s="27">
        <f>'TSAS Demand Revenues (7)'!K255</f>
        <v>150000</v>
      </c>
      <c r="L252" s="27">
        <f>'TSAS Demand Revenues (7)'!L255</f>
        <v>150000</v>
      </c>
      <c r="M252" s="27">
        <f>'TSAS Demand Revenues (7)'!M255</f>
        <v>150000</v>
      </c>
      <c r="N252" s="27">
        <f>SUM(B252:M252)</f>
        <v>1800000</v>
      </c>
    </row>
    <row r="253" spans="1:14">
      <c r="A253" s="25" t="s">
        <v>20</v>
      </c>
      <c r="B253" s="32">
        <f>B248</f>
        <v>1.274E-2</v>
      </c>
      <c r="C253" s="32">
        <f t="shared" ref="C253:M253" si="88">C248</f>
        <v>1.274E-2</v>
      </c>
      <c r="D253" s="32">
        <f t="shared" si="88"/>
        <v>1.274E-2</v>
      </c>
      <c r="E253" s="32">
        <f t="shared" si="88"/>
        <v>1.274E-2</v>
      </c>
      <c r="F253" s="32">
        <f t="shared" si="88"/>
        <v>1.274E-2</v>
      </c>
      <c r="G253" s="32">
        <f t="shared" si="88"/>
        <v>1.274E-2</v>
      </c>
      <c r="H253" s="32">
        <f t="shared" si="88"/>
        <v>1.274E-2</v>
      </c>
      <c r="I253" s="32">
        <f t="shared" si="88"/>
        <v>1.274E-2</v>
      </c>
      <c r="J253" s="32">
        <f t="shared" si="88"/>
        <v>1.274E-2</v>
      </c>
      <c r="K253" s="32">
        <f t="shared" si="88"/>
        <v>1.274E-2</v>
      </c>
      <c r="L253" s="32">
        <f t="shared" si="88"/>
        <v>1.274E-2</v>
      </c>
      <c r="M253" s="32">
        <f t="shared" si="88"/>
        <v>1.274E-2</v>
      </c>
      <c r="N253" s="19"/>
    </row>
    <row r="254" spans="1:14">
      <c r="A254" s="25" t="s">
        <v>17</v>
      </c>
      <c r="B254" s="20">
        <f t="shared" ref="B254:M254" si="89">B252*B253</f>
        <v>1911</v>
      </c>
      <c r="C254" s="20">
        <f t="shared" si="89"/>
        <v>1911</v>
      </c>
      <c r="D254" s="20">
        <f t="shared" si="89"/>
        <v>1911</v>
      </c>
      <c r="E254" s="20">
        <f t="shared" si="89"/>
        <v>1911</v>
      </c>
      <c r="F254" s="20">
        <f t="shared" si="89"/>
        <v>1911</v>
      </c>
      <c r="G254" s="20">
        <f t="shared" si="89"/>
        <v>1911</v>
      </c>
      <c r="H254" s="20">
        <f t="shared" si="89"/>
        <v>1911</v>
      </c>
      <c r="I254" s="20">
        <f t="shared" si="89"/>
        <v>1911</v>
      </c>
      <c r="J254" s="20">
        <f t="shared" si="89"/>
        <v>1911</v>
      </c>
      <c r="K254" s="20">
        <f t="shared" si="89"/>
        <v>1911</v>
      </c>
      <c r="L254" s="20">
        <f t="shared" si="89"/>
        <v>1911</v>
      </c>
      <c r="M254" s="20">
        <f t="shared" si="89"/>
        <v>1911</v>
      </c>
      <c r="N254" s="20">
        <f>SUM(B254:M254)</f>
        <v>22932</v>
      </c>
    </row>
    <row r="255" spans="1:14">
      <c r="A255" s="25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s="19" customFormat="1" ht="10.199999999999999">
      <c r="A256" s="393" t="s">
        <v>44</v>
      </c>
    </row>
    <row r="257" spans="1:14" s="19" customFormat="1" ht="10.199999999999999">
      <c r="A257" s="26" t="s">
        <v>16</v>
      </c>
      <c r="B257" s="27">
        <f>'TSAS Demand Revenues (7)'!B250</f>
        <v>0</v>
      </c>
      <c r="C257" s="27">
        <f>'TSAS Demand Revenues (7)'!C250</f>
        <v>0</v>
      </c>
      <c r="D257" s="27">
        <f>'TSAS Demand Revenues (7)'!D250</f>
        <v>0</v>
      </c>
      <c r="E257" s="27">
        <f>'TSAS Demand Revenues (7)'!E250</f>
        <v>0</v>
      </c>
      <c r="F257" s="27">
        <f>'TSAS Demand Revenues (7)'!F250</f>
        <v>0</v>
      </c>
      <c r="G257" s="27">
        <f>'TSAS Demand Revenues (7)'!G250</f>
        <v>0</v>
      </c>
      <c r="H257" s="27">
        <f>'TSAS Demand Revenues (7)'!H250</f>
        <v>0</v>
      </c>
      <c r="I257" s="27">
        <f>'TSAS Demand Revenues (7)'!I250</f>
        <v>0</v>
      </c>
      <c r="J257" s="27">
        <f>'TSAS Demand Revenues (7)'!J250</f>
        <v>0</v>
      </c>
      <c r="K257" s="27">
        <f>'TSAS Demand Revenues (7)'!K250</f>
        <v>0</v>
      </c>
      <c r="L257" s="27">
        <f>'TSAS Demand Revenues (7)'!L250</f>
        <v>0</v>
      </c>
      <c r="M257" s="27">
        <f>'TSAS Demand Revenues (7)'!M250</f>
        <v>0</v>
      </c>
      <c r="N257" s="27">
        <f>SUM(B257:M257)</f>
        <v>0</v>
      </c>
    </row>
    <row r="258" spans="1:14" s="19" customFormat="1" ht="10.199999999999999">
      <c r="A258" s="25" t="s">
        <v>20</v>
      </c>
      <c r="B258" s="32">
        <f>B243</f>
        <v>1.274E-2</v>
      </c>
      <c r="C258" s="32">
        <f t="shared" ref="C258:M258" si="90">+$B$32</f>
        <v>1.274E-2</v>
      </c>
      <c r="D258" s="32">
        <f t="shared" si="90"/>
        <v>1.274E-2</v>
      </c>
      <c r="E258" s="32">
        <f t="shared" si="90"/>
        <v>1.274E-2</v>
      </c>
      <c r="F258" s="32">
        <f t="shared" si="90"/>
        <v>1.274E-2</v>
      </c>
      <c r="G258" s="32">
        <f t="shared" si="90"/>
        <v>1.274E-2</v>
      </c>
      <c r="H258" s="32">
        <f t="shared" si="90"/>
        <v>1.274E-2</v>
      </c>
      <c r="I258" s="32">
        <f t="shared" si="90"/>
        <v>1.274E-2</v>
      </c>
      <c r="J258" s="32">
        <f t="shared" si="90"/>
        <v>1.274E-2</v>
      </c>
      <c r="K258" s="32">
        <f t="shared" si="90"/>
        <v>1.274E-2</v>
      </c>
      <c r="L258" s="32">
        <f t="shared" si="90"/>
        <v>1.274E-2</v>
      </c>
      <c r="M258" s="32">
        <f t="shared" si="90"/>
        <v>1.274E-2</v>
      </c>
      <c r="N258" s="308"/>
    </row>
    <row r="259" spans="1:14" s="19" customFormat="1" ht="10.199999999999999">
      <c r="A259" s="25" t="s">
        <v>17</v>
      </c>
      <c r="B259" s="20">
        <f t="shared" ref="B259:M259" si="91">B257*B258</f>
        <v>0</v>
      </c>
      <c r="C259" s="20">
        <f t="shared" si="91"/>
        <v>0</v>
      </c>
      <c r="D259" s="20">
        <f t="shared" si="91"/>
        <v>0</v>
      </c>
      <c r="E259" s="20">
        <f t="shared" si="91"/>
        <v>0</v>
      </c>
      <c r="F259" s="20">
        <f t="shared" si="91"/>
        <v>0</v>
      </c>
      <c r="G259" s="20">
        <f t="shared" si="91"/>
        <v>0</v>
      </c>
      <c r="H259" s="20">
        <f t="shared" si="91"/>
        <v>0</v>
      </c>
      <c r="I259" s="20">
        <f t="shared" si="91"/>
        <v>0</v>
      </c>
      <c r="J259" s="20">
        <f t="shared" si="91"/>
        <v>0</v>
      </c>
      <c r="K259" s="20">
        <f t="shared" si="91"/>
        <v>0</v>
      </c>
      <c r="L259" s="20">
        <f t="shared" si="91"/>
        <v>0</v>
      </c>
      <c r="M259" s="20">
        <f t="shared" si="91"/>
        <v>0</v>
      </c>
      <c r="N259" s="20">
        <f>SUM(B259:M259)</f>
        <v>0</v>
      </c>
    </row>
    <row r="260" spans="1:14" s="19" customFormat="1" ht="10.199999999999999">
      <c r="A260" s="25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s="19" customFormat="1" ht="10.199999999999999">
      <c r="A261" s="25" t="s">
        <v>165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s="19" customFormat="1" ht="10.199999999999999">
      <c r="A262" s="26" t="s">
        <v>16</v>
      </c>
      <c r="B262" s="20">
        <f>'TSAS Demand Revenues (7)'!B260</f>
        <v>0</v>
      </c>
      <c r="C262" s="20">
        <f>'TSAS Demand Revenues (7)'!C260</f>
        <v>0</v>
      </c>
      <c r="D262" s="20">
        <f>'TSAS Demand Revenues (7)'!D260</f>
        <v>0</v>
      </c>
      <c r="E262" s="20">
        <f>'TSAS Demand Revenues (7)'!E260</f>
        <v>0</v>
      </c>
      <c r="F262" s="20">
        <f>'TSAS Demand Revenues (7)'!F260</f>
        <v>0</v>
      </c>
      <c r="G262" s="20">
        <f>'TSAS Demand Revenues (7)'!G260</f>
        <v>0</v>
      </c>
      <c r="H262" s="20">
        <f>'TSAS Demand Revenues (7)'!H260</f>
        <v>0</v>
      </c>
      <c r="I262" s="20">
        <f>'TSAS Demand Revenues (7)'!I260</f>
        <v>0</v>
      </c>
      <c r="J262" s="20">
        <f>'TSAS Demand Revenues (7)'!J260</f>
        <v>0</v>
      </c>
      <c r="K262" s="20">
        <f>'TSAS Demand Revenues (7)'!K260</f>
        <v>0</v>
      </c>
      <c r="L262" s="20">
        <f>'TSAS Demand Revenues (7)'!L260</f>
        <v>0</v>
      </c>
      <c r="M262" s="20">
        <f>'TSAS Demand Revenues (7)'!M260</f>
        <v>0</v>
      </c>
      <c r="N262" s="27">
        <f>SUM(B262:M262)</f>
        <v>0</v>
      </c>
    </row>
    <row r="263" spans="1:14" s="19" customFormat="1" ht="10.199999999999999">
      <c r="A263" s="25" t="s">
        <v>20</v>
      </c>
      <c r="B263" s="32">
        <f>B258</f>
        <v>1.274E-2</v>
      </c>
      <c r="C263" s="32">
        <f t="shared" ref="C263:M263" si="92">C258</f>
        <v>1.274E-2</v>
      </c>
      <c r="D263" s="32">
        <f t="shared" si="92"/>
        <v>1.274E-2</v>
      </c>
      <c r="E263" s="32">
        <f t="shared" si="92"/>
        <v>1.274E-2</v>
      </c>
      <c r="F263" s="32">
        <f t="shared" si="92"/>
        <v>1.274E-2</v>
      </c>
      <c r="G263" s="32">
        <f t="shared" si="92"/>
        <v>1.274E-2</v>
      </c>
      <c r="H263" s="32">
        <f t="shared" si="92"/>
        <v>1.274E-2</v>
      </c>
      <c r="I263" s="32">
        <f t="shared" si="92"/>
        <v>1.274E-2</v>
      </c>
      <c r="J263" s="32">
        <f t="shared" si="92"/>
        <v>1.274E-2</v>
      </c>
      <c r="K263" s="32">
        <f t="shared" si="92"/>
        <v>1.274E-2</v>
      </c>
      <c r="L263" s="32">
        <f t="shared" si="92"/>
        <v>1.274E-2</v>
      </c>
      <c r="M263" s="32">
        <f t="shared" si="92"/>
        <v>1.274E-2</v>
      </c>
    </row>
    <row r="264" spans="1:14" s="19" customFormat="1" ht="10.199999999999999">
      <c r="A264" s="25" t="s">
        <v>17</v>
      </c>
      <c r="B264" s="20">
        <f t="shared" ref="B264:M264" si="93">B262*B263</f>
        <v>0</v>
      </c>
      <c r="C264" s="20">
        <f t="shared" si="93"/>
        <v>0</v>
      </c>
      <c r="D264" s="20">
        <f t="shared" si="93"/>
        <v>0</v>
      </c>
      <c r="E264" s="20">
        <f t="shared" si="93"/>
        <v>0</v>
      </c>
      <c r="F264" s="20">
        <f t="shared" si="93"/>
        <v>0</v>
      </c>
      <c r="G264" s="20">
        <f t="shared" si="93"/>
        <v>0</v>
      </c>
      <c r="H264" s="20">
        <f t="shared" si="93"/>
        <v>0</v>
      </c>
      <c r="I264" s="20">
        <f t="shared" si="93"/>
        <v>0</v>
      </c>
      <c r="J264" s="20">
        <f t="shared" si="93"/>
        <v>0</v>
      </c>
      <c r="K264" s="20">
        <f t="shared" si="93"/>
        <v>0</v>
      </c>
      <c r="L264" s="20">
        <f t="shared" si="93"/>
        <v>0</v>
      </c>
      <c r="M264" s="20">
        <f t="shared" si="93"/>
        <v>0</v>
      </c>
      <c r="N264" s="20">
        <f>SUM(B264:M264)</f>
        <v>0</v>
      </c>
    </row>
    <row r="265" spans="1:14" s="19" customFormat="1" ht="10.199999999999999">
      <c r="A265" s="25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s="19" customFormat="1" ht="10.199999999999999">
      <c r="A266" s="143" t="s">
        <v>25</v>
      </c>
      <c r="B266" s="142">
        <f>B214+B219+B224+B229+B234+B239+B259+B244+B264+B249+B254</f>
        <v>3784.4934400000002</v>
      </c>
      <c r="C266" s="142">
        <f t="shared" ref="C266:M266" si="94">C214+C219+C224+C229+C234+C239+C259+C244+C264+C249+C254</f>
        <v>3784.4934400000002</v>
      </c>
      <c r="D266" s="142">
        <f t="shared" si="94"/>
        <v>3784.4934400000002</v>
      </c>
      <c r="E266" s="142">
        <f t="shared" si="94"/>
        <v>3784.4934400000002</v>
      </c>
      <c r="F266" s="142">
        <f t="shared" si="94"/>
        <v>3784.4934400000002</v>
      </c>
      <c r="G266" s="142">
        <f t="shared" si="94"/>
        <v>3784.4934400000002</v>
      </c>
      <c r="H266" s="142">
        <f t="shared" si="94"/>
        <v>3784.4934400000002</v>
      </c>
      <c r="I266" s="142">
        <f t="shared" si="94"/>
        <v>3784.4934400000002</v>
      </c>
      <c r="J266" s="142">
        <f t="shared" si="94"/>
        <v>3784.4934400000002</v>
      </c>
      <c r="K266" s="142">
        <f t="shared" si="94"/>
        <v>3784.4934400000002</v>
      </c>
      <c r="L266" s="142">
        <f t="shared" si="94"/>
        <v>3784.4934400000002</v>
      </c>
      <c r="M266" s="142">
        <f t="shared" si="94"/>
        <v>3784.4934400000002</v>
      </c>
      <c r="N266" s="142">
        <f>SUM(B266:M266)</f>
        <v>45413.921279999988</v>
      </c>
    </row>
    <row r="267" spans="1:14">
      <c r="A267" s="143" t="s">
        <v>59</v>
      </c>
      <c r="B267" s="142">
        <f>B212+B217+B222+B227+B232+B257+B237+B242+B262+B247+B252</f>
        <v>297056</v>
      </c>
      <c r="C267" s="142">
        <f t="shared" ref="C267:M267" si="95">C212+C217+C222+C227+C232+C257+C237+C242+C262+C247+C252</f>
        <v>297056</v>
      </c>
      <c r="D267" s="142">
        <f t="shared" si="95"/>
        <v>297056</v>
      </c>
      <c r="E267" s="142">
        <f t="shared" si="95"/>
        <v>297056</v>
      </c>
      <c r="F267" s="142">
        <f t="shared" si="95"/>
        <v>297056</v>
      </c>
      <c r="G267" s="142">
        <f t="shared" si="95"/>
        <v>297056</v>
      </c>
      <c r="H267" s="142">
        <f t="shared" si="95"/>
        <v>297056</v>
      </c>
      <c r="I267" s="142">
        <f t="shared" si="95"/>
        <v>297056</v>
      </c>
      <c r="J267" s="142">
        <f t="shared" si="95"/>
        <v>297056</v>
      </c>
      <c r="K267" s="142">
        <f t="shared" si="95"/>
        <v>297056</v>
      </c>
      <c r="L267" s="142">
        <f t="shared" si="95"/>
        <v>297056</v>
      </c>
      <c r="M267" s="142">
        <f t="shared" si="95"/>
        <v>297056</v>
      </c>
      <c r="N267" s="142">
        <f>SUM(B267:M267)</f>
        <v>3564672</v>
      </c>
    </row>
    <row r="268" spans="1:14">
      <c r="A268" s="24">
        <f>+A208+1</f>
        <v>2018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.2">
      <c r="A269" s="22" t="s">
        <v>19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1:14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</row>
    <row r="271" spans="1:14">
      <c r="A271" s="393" t="s">
        <v>344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>
      <c r="A272" s="26" t="s">
        <v>16</v>
      </c>
      <c r="B272" s="27">
        <f>'TSAS Demand Revenues (7)'!B270</f>
        <v>5000</v>
      </c>
      <c r="C272" s="27">
        <f>'TSAS Demand Revenues (7)'!C270</f>
        <v>5000</v>
      </c>
      <c r="D272" s="27">
        <f>'TSAS Demand Revenues (7)'!D270</f>
        <v>5000</v>
      </c>
      <c r="E272" s="27">
        <f>'TSAS Demand Revenues (7)'!E270</f>
        <v>5000</v>
      </c>
      <c r="F272" s="27">
        <f>'TSAS Demand Revenues (7)'!F270</f>
        <v>5000</v>
      </c>
      <c r="G272" s="27">
        <f>'TSAS Demand Revenues (7)'!G270</f>
        <v>5000</v>
      </c>
      <c r="H272" s="27">
        <f>'TSAS Demand Revenues (7)'!H270</f>
        <v>5000</v>
      </c>
      <c r="I272" s="27">
        <f>'TSAS Demand Revenues (7)'!I270</f>
        <v>5000</v>
      </c>
      <c r="J272" s="27">
        <f>'TSAS Demand Revenues (7)'!J270</f>
        <v>5000</v>
      </c>
      <c r="K272" s="27">
        <f>'TSAS Demand Revenues (7)'!K270</f>
        <v>5000</v>
      </c>
      <c r="L272" s="27">
        <f>'TSAS Demand Revenues (7)'!L270</f>
        <v>5000</v>
      </c>
      <c r="M272" s="27">
        <f>'TSAS Demand Revenues (7)'!M270</f>
        <v>5000</v>
      </c>
      <c r="N272" s="27">
        <f>SUM(B272:M272)</f>
        <v>60000</v>
      </c>
    </row>
    <row r="273" spans="1:14">
      <c r="A273" s="25" t="s">
        <v>20</v>
      </c>
      <c r="B273" s="31">
        <f>B258</f>
        <v>1.274E-2</v>
      </c>
      <c r="C273" s="31">
        <f t="shared" ref="C273:M273" si="96">+$B$12</f>
        <v>1.274E-2</v>
      </c>
      <c r="D273" s="31">
        <f t="shared" si="96"/>
        <v>1.274E-2</v>
      </c>
      <c r="E273" s="31">
        <f t="shared" si="96"/>
        <v>1.274E-2</v>
      </c>
      <c r="F273" s="31">
        <f t="shared" si="96"/>
        <v>1.274E-2</v>
      </c>
      <c r="G273" s="31">
        <f t="shared" si="96"/>
        <v>1.274E-2</v>
      </c>
      <c r="H273" s="31">
        <f t="shared" si="96"/>
        <v>1.274E-2</v>
      </c>
      <c r="I273" s="31">
        <f t="shared" si="96"/>
        <v>1.274E-2</v>
      </c>
      <c r="J273" s="31">
        <f t="shared" si="96"/>
        <v>1.274E-2</v>
      </c>
      <c r="K273" s="31">
        <f t="shared" si="96"/>
        <v>1.274E-2</v>
      </c>
      <c r="L273" s="31">
        <f t="shared" si="96"/>
        <v>1.274E-2</v>
      </c>
      <c r="M273" s="31">
        <f t="shared" si="96"/>
        <v>1.274E-2</v>
      </c>
      <c r="N273" s="19"/>
    </row>
    <row r="274" spans="1:14">
      <c r="A274" s="25" t="s">
        <v>17</v>
      </c>
      <c r="B274" s="20">
        <f t="shared" ref="B274:M274" si="97">B272*B273</f>
        <v>63.699999999999996</v>
      </c>
      <c r="C274" s="20">
        <f t="shared" si="97"/>
        <v>63.699999999999996</v>
      </c>
      <c r="D274" s="20">
        <f t="shared" si="97"/>
        <v>63.699999999999996</v>
      </c>
      <c r="E274" s="20">
        <f t="shared" si="97"/>
        <v>63.699999999999996</v>
      </c>
      <c r="F274" s="20">
        <f t="shared" si="97"/>
        <v>63.699999999999996</v>
      </c>
      <c r="G274" s="20">
        <f t="shared" si="97"/>
        <v>63.699999999999996</v>
      </c>
      <c r="H274" s="20">
        <f t="shared" si="97"/>
        <v>63.699999999999996</v>
      </c>
      <c r="I274" s="20">
        <f t="shared" si="97"/>
        <v>63.699999999999996</v>
      </c>
      <c r="J274" s="20">
        <f t="shared" si="97"/>
        <v>63.699999999999996</v>
      </c>
      <c r="K274" s="20">
        <f t="shared" si="97"/>
        <v>63.699999999999996</v>
      </c>
      <c r="L274" s="20">
        <f t="shared" si="97"/>
        <v>63.699999999999996</v>
      </c>
      <c r="M274" s="20">
        <f t="shared" si="97"/>
        <v>63.699999999999996</v>
      </c>
      <c r="N274" s="20">
        <f>SUM(B274:M274)</f>
        <v>764.40000000000009</v>
      </c>
    </row>
    <row r="275" spans="1:14" ht="6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>
      <c r="A276" s="25" t="s">
        <v>21</v>
      </c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>
      <c r="A277" s="26" t="s">
        <v>16</v>
      </c>
      <c r="B277" s="27">
        <f>'TSAS Demand Revenues (7)'!B275</f>
        <v>0</v>
      </c>
      <c r="C277" s="27">
        <f>'TSAS Demand Revenues (7)'!C275</f>
        <v>0</v>
      </c>
      <c r="D277" s="27">
        <f>'TSAS Demand Revenues (7)'!D275</f>
        <v>0</v>
      </c>
      <c r="E277" s="27">
        <f>'TSAS Demand Revenues (7)'!E275</f>
        <v>0</v>
      </c>
      <c r="F277" s="27">
        <f>'TSAS Demand Revenues (7)'!F275</f>
        <v>0</v>
      </c>
      <c r="G277" s="27">
        <f>'TSAS Demand Revenues (7)'!G275</f>
        <v>0</v>
      </c>
      <c r="H277" s="27">
        <f>'TSAS Demand Revenues (7)'!H275</f>
        <v>0</v>
      </c>
      <c r="I277" s="27">
        <f>'TSAS Demand Revenues (7)'!I275</f>
        <v>0</v>
      </c>
      <c r="J277" s="27">
        <f>'TSAS Demand Revenues (7)'!J275</f>
        <v>0</v>
      </c>
      <c r="K277" s="27">
        <f>'TSAS Demand Revenues (7)'!K275</f>
        <v>0</v>
      </c>
      <c r="L277" s="27">
        <f>'TSAS Demand Revenues (7)'!L275</f>
        <v>0</v>
      </c>
      <c r="M277" s="27">
        <f>'TSAS Demand Revenues (7)'!M275</f>
        <v>0</v>
      </c>
      <c r="N277" s="27">
        <f>SUM(B277:M277)</f>
        <v>0</v>
      </c>
    </row>
    <row r="278" spans="1:14">
      <c r="A278" s="25" t="s">
        <v>20</v>
      </c>
      <c r="B278" s="31">
        <f>B273</f>
        <v>1.274E-2</v>
      </c>
      <c r="C278" s="31">
        <f t="shared" ref="C278:M278" si="98">+$B$17</f>
        <v>1.274E-2</v>
      </c>
      <c r="D278" s="31">
        <f t="shared" si="98"/>
        <v>1.274E-2</v>
      </c>
      <c r="E278" s="31">
        <f t="shared" si="98"/>
        <v>1.274E-2</v>
      </c>
      <c r="F278" s="31">
        <f t="shared" si="98"/>
        <v>1.274E-2</v>
      </c>
      <c r="G278" s="31">
        <f t="shared" si="98"/>
        <v>1.274E-2</v>
      </c>
      <c r="H278" s="31">
        <f t="shared" si="98"/>
        <v>1.274E-2</v>
      </c>
      <c r="I278" s="31">
        <f t="shared" si="98"/>
        <v>1.274E-2</v>
      </c>
      <c r="J278" s="31">
        <f t="shared" si="98"/>
        <v>1.274E-2</v>
      </c>
      <c r="K278" s="31">
        <f t="shared" si="98"/>
        <v>1.274E-2</v>
      </c>
      <c r="L278" s="31">
        <f t="shared" si="98"/>
        <v>1.274E-2</v>
      </c>
      <c r="M278" s="31">
        <f t="shared" si="98"/>
        <v>1.274E-2</v>
      </c>
      <c r="N278" s="19"/>
    </row>
    <row r="279" spans="1:14">
      <c r="A279" s="25" t="s">
        <v>17</v>
      </c>
      <c r="B279" s="20">
        <f t="shared" ref="B279:M279" si="99">B277*B278</f>
        <v>0</v>
      </c>
      <c r="C279" s="20">
        <f t="shared" si="99"/>
        <v>0</v>
      </c>
      <c r="D279" s="20">
        <f t="shared" si="99"/>
        <v>0</v>
      </c>
      <c r="E279" s="20">
        <f t="shared" si="99"/>
        <v>0</v>
      </c>
      <c r="F279" s="20">
        <f t="shared" si="99"/>
        <v>0</v>
      </c>
      <c r="G279" s="20">
        <f t="shared" si="99"/>
        <v>0</v>
      </c>
      <c r="H279" s="20">
        <f t="shared" si="99"/>
        <v>0</v>
      </c>
      <c r="I279" s="20">
        <f t="shared" si="99"/>
        <v>0</v>
      </c>
      <c r="J279" s="20">
        <f t="shared" si="99"/>
        <v>0</v>
      </c>
      <c r="K279" s="20">
        <f t="shared" si="99"/>
        <v>0</v>
      </c>
      <c r="L279" s="20">
        <f t="shared" si="99"/>
        <v>0</v>
      </c>
      <c r="M279" s="20">
        <f t="shared" si="99"/>
        <v>0</v>
      </c>
      <c r="N279" s="20">
        <f>SUM(B279:M279)</f>
        <v>0</v>
      </c>
    </row>
    <row r="280" spans="1:14" ht="4.5" customHeight="1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>
      <c r="A281" s="25" t="s">
        <v>22</v>
      </c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1:14">
      <c r="A282" s="26" t="s">
        <v>16</v>
      </c>
      <c r="B282" s="27">
        <f>'TSAS Demand Revenues (7)'!B280</f>
        <v>0</v>
      </c>
      <c r="C282" s="27">
        <f>'TSAS Demand Revenues (7)'!C280</f>
        <v>0</v>
      </c>
      <c r="D282" s="27">
        <f>'TSAS Demand Revenues (7)'!D280</f>
        <v>0</v>
      </c>
      <c r="E282" s="27">
        <f>'TSAS Demand Revenues (7)'!E280</f>
        <v>0</v>
      </c>
      <c r="F282" s="27">
        <f>'TSAS Demand Revenues (7)'!F280</f>
        <v>0</v>
      </c>
      <c r="G282" s="27">
        <f>'TSAS Demand Revenues (7)'!G280</f>
        <v>0</v>
      </c>
      <c r="H282" s="27">
        <f>'TSAS Demand Revenues (7)'!H280</f>
        <v>0</v>
      </c>
      <c r="I282" s="27">
        <f>'TSAS Demand Revenues (7)'!I280</f>
        <v>0</v>
      </c>
      <c r="J282" s="27">
        <f>'TSAS Demand Revenues (7)'!J280</f>
        <v>0</v>
      </c>
      <c r="K282" s="27">
        <f>'TSAS Demand Revenues (7)'!K280</f>
        <v>0</v>
      </c>
      <c r="L282" s="27">
        <f>'TSAS Demand Revenues (7)'!L280</f>
        <v>0</v>
      </c>
      <c r="M282" s="27">
        <f>'TSAS Demand Revenues (7)'!M280</f>
        <v>0</v>
      </c>
      <c r="N282" s="27">
        <f>SUM(B282:M282)</f>
        <v>0</v>
      </c>
    </row>
    <row r="283" spans="1:14">
      <c r="A283" s="25" t="s">
        <v>20</v>
      </c>
      <c r="B283" s="32">
        <f>B278</f>
        <v>1.274E-2</v>
      </c>
      <c r="C283" s="32">
        <f t="shared" ref="C283:M283" si="100">+$B$22</f>
        <v>1.274E-2</v>
      </c>
      <c r="D283" s="32">
        <f t="shared" si="100"/>
        <v>1.274E-2</v>
      </c>
      <c r="E283" s="32">
        <f t="shared" si="100"/>
        <v>1.274E-2</v>
      </c>
      <c r="F283" s="32">
        <f t="shared" si="100"/>
        <v>1.274E-2</v>
      </c>
      <c r="G283" s="32">
        <f t="shared" si="100"/>
        <v>1.274E-2</v>
      </c>
      <c r="H283" s="32">
        <f t="shared" si="100"/>
        <v>1.274E-2</v>
      </c>
      <c r="I283" s="32">
        <f t="shared" si="100"/>
        <v>1.274E-2</v>
      </c>
      <c r="J283" s="32">
        <f t="shared" si="100"/>
        <v>1.274E-2</v>
      </c>
      <c r="K283" s="32">
        <f t="shared" si="100"/>
        <v>1.274E-2</v>
      </c>
      <c r="L283" s="32">
        <f t="shared" si="100"/>
        <v>1.274E-2</v>
      </c>
      <c r="M283" s="32">
        <f t="shared" si="100"/>
        <v>1.274E-2</v>
      </c>
      <c r="N283" s="19"/>
    </row>
    <row r="284" spans="1:14">
      <c r="A284" s="25" t="s">
        <v>17</v>
      </c>
      <c r="B284" s="20">
        <f t="shared" ref="B284:M284" si="101">B282*B283</f>
        <v>0</v>
      </c>
      <c r="C284" s="20">
        <f t="shared" si="101"/>
        <v>0</v>
      </c>
      <c r="D284" s="20">
        <f t="shared" si="101"/>
        <v>0</v>
      </c>
      <c r="E284" s="20">
        <f t="shared" si="101"/>
        <v>0</v>
      </c>
      <c r="F284" s="20">
        <f t="shared" si="101"/>
        <v>0</v>
      </c>
      <c r="G284" s="20">
        <f t="shared" si="101"/>
        <v>0</v>
      </c>
      <c r="H284" s="20">
        <f t="shared" si="101"/>
        <v>0</v>
      </c>
      <c r="I284" s="20">
        <f t="shared" si="101"/>
        <v>0</v>
      </c>
      <c r="J284" s="20">
        <f t="shared" si="101"/>
        <v>0</v>
      </c>
      <c r="K284" s="20">
        <f t="shared" si="101"/>
        <v>0</v>
      </c>
      <c r="L284" s="20">
        <f t="shared" si="101"/>
        <v>0</v>
      </c>
      <c r="M284" s="20">
        <f t="shared" si="101"/>
        <v>0</v>
      </c>
      <c r="N284" s="20">
        <f>SUM(B284:M284)</f>
        <v>0</v>
      </c>
    </row>
    <row r="285" spans="1:14" ht="6" customHeight="1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1:14" ht="21" customHeight="1">
      <c r="A286" s="393" t="s">
        <v>23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>
      <c r="A287" s="26" t="s">
        <v>16</v>
      </c>
      <c r="B287" s="27">
        <f>'TSAS Demand Revenues (7)'!B285</f>
        <v>37056</v>
      </c>
      <c r="C287" s="27">
        <f>'TSAS Demand Revenues (7)'!C285</f>
        <v>37056</v>
      </c>
      <c r="D287" s="27">
        <f>'TSAS Demand Revenues (7)'!D285</f>
        <v>37056</v>
      </c>
      <c r="E287" s="27">
        <f>'TSAS Demand Revenues (7)'!E285</f>
        <v>37056</v>
      </c>
      <c r="F287" s="27">
        <f>'TSAS Demand Revenues (7)'!F285</f>
        <v>37056</v>
      </c>
      <c r="G287" s="27">
        <f>'TSAS Demand Revenues (7)'!G285</f>
        <v>37056</v>
      </c>
      <c r="H287" s="27">
        <f>'TSAS Demand Revenues (7)'!H285</f>
        <v>37056</v>
      </c>
      <c r="I287" s="27">
        <f>'TSAS Demand Revenues (7)'!I285</f>
        <v>37056</v>
      </c>
      <c r="J287" s="27">
        <f>'TSAS Demand Revenues (7)'!J285</f>
        <v>37056</v>
      </c>
      <c r="K287" s="27">
        <f>'TSAS Demand Revenues (7)'!K285</f>
        <v>37056</v>
      </c>
      <c r="L287" s="27">
        <f>'TSAS Demand Revenues (7)'!L285</f>
        <v>37056</v>
      </c>
      <c r="M287" s="27">
        <f>'TSAS Demand Revenues (7)'!M285</f>
        <v>37056</v>
      </c>
      <c r="N287" s="27">
        <f>SUM(B287:M287)</f>
        <v>444672</v>
      </c>
    </row>
    <row r="288" spans="1:14">
      <c r="A288" s="25" t="s">
        <v>20</v>
      </c>
      <c r="B288" s="32">
        <f t="shared" ref="B288:M288" si="102">+$B$27</f>
        <v>1.274E-2</v>
      </c>
      <c r="C288" s="32">
        <f t="shared" si="102"/>
        <v>1.274E-2</v>
      </c>
      <c r="D288" s="32">
        <f t="shared" si="102"/>
        <v>1.274E-2</v>
      </c>
      <c r="E288" s="32">
        <f t="shared" si="102"/>
        <v>1.274E-2</v>
      </c>
      <c r="F288" s="32">
        <f t="shared" si="102"/>
        <v>1.274E-2</v>
      </c>
      <c r="G288" s="32">
        <f t="shared" si="102"/>
        <v>1.274E-2</v>
      </c>
      <c r="H288" s="32">
        <f t="shared" si="102"/>
        <v>1.274E-2</v>
      </c>
      <c r="I288" s="32">
        <f t="shared" si="102"/>
        <v>1.274E-2</v>
      </c>
      <c r="J288" s="32">
        <f t="shared" si="102"/>
        <v>1.274E-2</v>
      </c>
      <c r="K288" s="32">
        <f t="shared" si="102"/>
        <v>1.274E-2</v>
      </c>
      <c r="L288" s="32">
        <f t="shared" si="102"/>
        <v>1.274E-2</v>
      </c>
      <c r="M288" s="32">
        <f t="shared" si="102"/>
        <v>1.274E-2</v>
      </c>
      <c r="N288" s="19"/>
    </row>
    <row r="289" spans="1:14">
      <c r="A289" s="25" t="s">
        <v>17</v>
      </c>
      <c r="B289" s="20">
        <f t="shared" ref="B289:M289" si="103">B287*B288</f>
        <v>472.09343999999999</v>
      </c>
      <c r="C289" s="20">
        <f t="shared" si="103"/>
        <v>472.09343999999999</v>
      </c>
      <c r="D289" s="20">
        <f t="shared" si="103"/>
        <v>472.09343999999999</v>
      </c>
      <c r="E289" s="20">
        <f t="shared" si="103"/>
        <v>472.09343999999999</v>
      </c>
      <c r="F289" s="20">
        <f t="shared" si="103"/>
        <v>472.09343999999999</v>
      </c>
      <c r="G289" s="20">
        <f t="shared" si="103"/>
        <v>472.09343999999999</v>
      </c>
      <c r="H289" s="20">
        <f t="shared" si="103"/>
        <v>472.09343999999999</v>
      </c>
      <c r="I289" s="20">
        <f t="shared" si="103"/>
        <v>472.09343999999999</v>
      </c>
      <c r="J289" s="20">
        <f t="shared" si="103"/>
        <v>472.09343999999999</v>
      </c>
      <c r="K289" s="20">
        <f t="shared" si="103"/>
        <v>472.09343999999999</v>
      </c>
      <c r="L289" s="20">
        <f t="shared" si="103"/>
        <v>472.09343999999999</v>
      </c>
      <c r="M289" s="20">
        <f t="shared" si="103"/>
        <v>472.09343999999999</v>
      </c>
      <c r="N289" s="20">
        <f>SUM(B289:M289)</f>
        <v>5665.1212799999994</v>
      </c>
    </row>
    <row r="290" spans="1:14" ht="4.5" customHeight="1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</row>
    <row r="291" spans="1:14">
      <c r="A291" s="393" t="s">
        <v>24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</row>
    <row r="292" spans="1:14">
      <c r="A292" s="26" t="s">
        <v>16</v>
      </c>
      <c r="B292" s="27">
        <f>'TSAS Demand Revenues (7)'!B290</f>
        <v>62000</v>
      </c>
      <c r="C292" s="27">
        <f>'TSAS Demand Revenues (7)'!C290</f>
        <v>62000</v>
      </c>
      <c r="D292" s="27">
        <f>'TSAS Demand Revenues (7)'!D290</f>
        <v>62000</v>
      </c>
      <c r="E292" s="27">
        <f>'TSAS Demand Revenues (7)'!E290</f>
        <v>62000</v>
      </c>
      <c r="F292" s="27">
        <f>'TSAS Demand Revenues (7)'!F290</f>
        <v>62000</v>
      </c>
      <c r="G292" s="27">
        <f>'TSAS Demand Revenues (7)'!G290</f>
        <v>62000</v>
      </c>
      <c r="H292" s="27">
        <f>'TSAS Demand Revenues (7)'!H290</f>
        <v>62000</v>
      </c>
      <c r="I292" s="27">
        <f>'TSAS Demand Revenues (7)'!I290</f>
        <v>62000</v>
      </c>
      <c r="J292" s="27">
        <f>'TSAS Demand Revenues (7)'!J290</f>
        <v>62000</v>
      </c>
      <c r="K292" s="27">
        <f>'TSAS Demand Revenues (7)'!K290</f>
        <v>62000</v>
      </c>
      <c r="L292" s="27">
        <f>'TSAS Demand Revenues (7)'!L290</f>
        <v>62000</v>
      </c>
      <c r="M292" s="27">
        <f>'TSAS Demand Revenues (7)'!M290</f>
        <v>62000</v>
      </c>
      <c r="N292" s="27">
        <f>SUM(B292:M292)</f>
        <v>744000</v>
      </c>
    </row>
    <row r="293" spans="1:14">
      <c r="A293" s="25" t="s">
        <v>20</v>
      </c>
      <c r="B293" s="32">
        <f>B288</f>
        <v>1.274E-2</v>
      </c>
      <c r="C293" s="32">
        <f t="shared" ref="C293:M293" si="104">+$B$32</f>
        <v>1.274E-2</v>
      </c>
      <c r="D293" s="32">
        <f t="shared" si="104"/>
        <v>1.274E-2</v>
      </c>
      <c r="E293" s="32">
        <f t="shared" si="104"/>
        <v>1.274E-2</v>
      </c>
      <c r="F293" s="32">
        <f t="shared" si="104"/>
        <v>1.274E-2</v>
      </c>
      <c r="G293" s="32">
        <f t="shared" si="104"/>
        <v>1.274E-2</v>
      </c>
      <c r="H293" s="32">
        <f t="shared" si="104"/>
        <v>1.274E-2</v>
      </c>
      <c r="I293" s="32">
        <f t="shared" si="104"/>
        <v>1.274E-2</v>
      </c>
      <c r="J293" s="32">
        <f t="shared" si="104"/>
        <v>1.274E-2</v>
      </c>
      <c r="K293" s="32">
        <f t="shared" si="104"/>
        <v>1.274E-2</v>
      </c>
      <c r="L293" s="32">
        <f t="shared" si="104"/>
        <v>1.274E-2</v>
      </c>
      <c r="M293" s="32">
        <f t="shared" si="104"/>
        <v>1.274E-2</v>
      </c>
      <c r="N293" s="19"/>
    </row>
    <row r="294" spans="1:14">
      <c r="A294" s="25" t="s">
        <v>17</v>
      </c>
      <c r="B294" s="20">
        <f t="shared" ref="B294:M294" si="105">B292*B293</f>
        <v>789.88</v>
      </c>
      <c r="C294" s="20">
        <f t="shared" si="105"/>
        <v>789.88</v>
      </c>
      <c r="D294" s="20">
        <f t="shared" si="105"/>
        <v>789.88</v>
      </c>
      <c r="E294" s="20">
        <f t="shared" si="105"/>
        <v>789.88</v>
      </c>
      <c r="F294" s="20">
        <f t="shared" si="105"/>
        <v>789.88</v>
      </c>
      <c r="G294" s="20">
        <f t="shared" si="105"/>
        <v>789.88</v>
      </c>
      <c r="H294" s="20">
        <f t="shared" si="105"/>
        <v>789.88</v>
      </c>
      <c r="I294" s="20">
        <f t="shared" si="105"/>
        <v>789.88</v>
      </c>
      <c r="J294" s="20">
        <f t="shared" si="105"/>
        <v>789.88</v>
      </c>
      <c r="K294" s="20">
        <f t="shared" si="105"/>
        <v>789.88</v>
      </c>
      <c r="L294" s="20">
        <f t="shared" si="105"/>
        <v>789.88</v>
      </c>
      <c r="M294" s="20">
        <f t="shared" si="105"/>
        <v>789.88</v>
      </c>
      <c r="N294" s="20">
        <f>SUM(B294:M294)</f>
        <v>9478.56</v>
      </c>
    </row>
    <row r="295" spans="1:14" ht="5.25" customHeight="1">
      <c r="A295" s="25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>
      <c r="A296" s="393" t="s">
        <v>111</v>
      </c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1:14">
      <c r="A297" s="26" t="s">
        <v>16</v>
      </c>
      <c r="B297" s="27">
        <f>'TSAS Demand Revenues (7)'!B295</f>
        <v>40000</v>
      </c>
      <c r="C297" s="27">
        <f>'TSAS Demand Revenues (7)'!C295</f>
        <v>40000</v>
      </c>
      <c r="D297" s="27">
        <f>'TSAS Demand Revenues (7)'!D295</f>
        <v>40000</v>
      </c>
      <c r="E297" s="27">
        <f>'TSAS Demand Revenues (7)'!E295</f>
        <v>40000</v>
      </c>
      <c r="F297" s="27">
        <f>'TSAS Demand Revenues (7)'!F295</f>
        <v>40000</v>
      </c>
      <c r="G297" s="27">
        <f>'TSAS Demand Revenues (7)'!G295</f>
        <v>40000</v>
      </c>
      <c r="H297" s="27">
        <f>'TSAS Demand Revenues (7)'!H295</f>
        <v>40000</v>
      </c>
      <c r="I297" s="27">
        <f>'TSAS Demand Revenues (7)'!I295</f>
        <v>40000</v>
      </c>
      <c r="J297" s="27">
        <f>'TSAS Demand Revenues (7)'!J295</f>
        <v>40000</v>
      </c>
      <c r="K297" s="27">
        <f>'TSAS Demand Revenues (7)'!K295</f>
        <v>40000</v>
      </c>
      <c r="L297" s="27">
        <f>'TSAS Demand Revenues (7)'!L295</f>
        <v>40000</v>
      </c>
      <c r="M297" s="27">
        <f>'TSAS Demand Revenues (7)'!M295</f>
        <v>40000</v>
      </c>
      <c r="N297" s="27">
        <f>SUM(B297:M297)</f>
        <v>480000</v>
      </c>
    </row>
    <row r="298" spans="1:14">
      <c r="A298" s="25" t="s">
        <v>20</v>
      </c>
      <c r="B298" s="32">
        <f>B293</f>
        <v>1.274E-2</v>
      </c>
      <c r="C298" s="32">
        <f t="shared" ref="C298:M298" si="106">B298</f>
        <v>1.274E-2</v>
      </c>
      <c r="D298" s="32">
        <f t="shared" si="106"/>
        <v>1.274E-2</v>
      </c>
      <c r="E298" s="32">
        <f t="shared" si="106"/>
        <v>1.274E-2</v>
      </c>
      <c r="F298" s="32">
        <f t="shared" si="106"/>
        <v>1.274E-2</v>
      </c>
      <c r="G298" s="32">
        <f t="shared" si="106"/>
        <v>1.274E-2</v>
      </c>
      <c r="H298" s="32">
        <f t="shared" si="106"/>
        <v>1.274E-2</v>
      </c>
      <c r="I298" s="32">
        <f t="shared" si="106"/>
        <v>1.274E-2</v>
      </c>
      <c r="J298" s="32">
        <f t="shared" si="106"/>
        <v>1.274E-2</v>
      </c>
      <c r="K298" s="32">
        <f t="shared" si="106"/>
        <v>1.274E-2</v>
      </c>
      <c r="L298" s="32">
        <f t="shared" si="106"/>
        <v>1.274E-2</v>
      </c>
      <c r="M298" s="32">
        <f t="shared" si="106"/>
        <v>1.274E-2</v>
      </c>
      <c r="N298" s="19"/>
    </row>
    <row r="299" spans="1:14">
      <c r="A299" s="25" t="s">
        <v>17</v>
      </c>
      <c r="B299" s="20">
        <f t="shared" ref="B299:M299" si="107">B297*B298</f>
        <v>509.59999999999997</v>
      </c>
      <c r="C299" s="20">
        <f t="shared" si="107"/>
        <v>509.59999999999997</v>
      </c>
      <c r="D299" s="20">
        <f t="shared" si="107"/>
        <v>509.59999999999997</v>
      </c>
      <c r="E299" s="20">
        <f t="shared" si="107"/>
        <v>509.59999999999997</v>
      </c>
      <c r="F299" s="20">
        <f t="shared" si="107"/>
        <v>509.59999999999997</v>
      </c>
      <c r="G299" s="20">
        <f t="shared" si="107"/>
        <v>509.59999999999997</v>
      </c>
      <c r="H299" s="20">
        <f t="shared" si="107"/>
        <v>509.59999999999997</v>
      </c>
      <c r="I299" s="20">
        <f t="shared" si="107"/>
        <v>509.59999999999997</v>
      </c>
      <c r="J299" s="20">
        <f t="shared" si="107"/>
        <v>509.59999999999997</v>
      </c>
      <c r="K299" s="20">
        <f t="shared" si="107"/>
        <v>509.59999999999997</v>
      </c>
      <c r="L299" s="20">
        <f t="shared" si="107"/>
        <v>509.59999999999997</v>
      </c>
      <c r="M299" s="20">
        <f t="shared" si="107"/>
        <v>509.59999999999997</v>
      </c>
      <c r="N299" s="20">
        <f>SUM(B299:M299)</f>
        <v>6115.2000000000007</v>
      </c>
    </row>
    <row r="300" spans="1:14" ht="13.5" customHeight="1">
      <c r="A300" s="25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s="19" customFormat="1" ht="15" customHeight="1">
      <c r="A301" s="393" t="s">
        <v>222</v>
      </c>
    </row>
    <row r="302" spans="1:14" s="19" customFormat="1" ht="10.199999999999999">
      <c r="A302" s="26" t="s">
        <v>16</v>
      </c>
      <c r="B302" s="27">
        <f>'TSAS Demand Revenues (7)'!B300</f>
        <v>3000</v>
      </c>
      <c r="C302" s="27">
        <f>'TSAS Demand Revenues (7)'!C300</f>
        <v>3000</v>
      </c>
      <c r="D302" s="27">
        <f>'TSAS Demand Revenues (7)'!D300</f>
        <v>3000</v>
      </c>
      <c r="E302" s="27">
        <f>'TSAS Demand Revenues (7)'!E300</f>
        <v>3000</v>
      </c>
      <c r="F302" s="27">
        <f>'TSAS Demand Revenues (7)'!F300</f>
        <v>3000</v>
      </c>
      <c r="G302" s="27">
        <f>'TSAS Demand Revenues (7)'!G300</f>
        <v>3000</v>
      </c>
      <c r="H302" s="27">
        <f>'TSAS Demand Revenues (7)'!H300</f>
        <v>3000</v>
      </c>
      <c r="I302" s="27">
        <f>'TSAS Demand Revenues (7)'!I300</f>
        <v>3000</v>
      </c>
      <c r="J302" s="27">
        <f>'TSAS Demand Revenues (7)'!J300</f>
        <v>3000</v>
      </c>
      <c r="K302" s="27">
        <f>'TSAS Demand Revenues (7)'!K300</f>
        <v>3000</v>
      </c>
      <c r="L302" s="27">
        <f>'TSAS Demand Revenues (7)'!L300</f>
        <v>3000</v>
      </c>
      <c r="M302" s="27">
        <f>'TSAS Demand Revenues (7)'!M300</f>
        <v>3000</v>
      </c>
      <c r="N302" s="27">
        <f>SUM(B302:M302)</f>
        <v>36000</v>
      </c>
    </row>
    <row r="303" spans="1:14">
      <c r="A303" s="25" t="s">
        <v>20</v>
      </c>
      <c r="B303" s="32">
        <f>B298</f>
        <v>1.274E-2</v>
      </c>
      <c r="C303" s="32">
        <f t="shared" ref="C303:M303" si="108">B303</f>
        <v>1.274E-2</v>
      </c>
      <c r="D303" s="32">
        <f t="shared" si="108"/>
        <v>1.274E-2</v>
      </c>
      <c r="E303" s="32">
        <f t="shared" si="108"/>
        <v>1.274E-2</v>
      </c>
      <c r="F303" s="32">
        <f t="shared" si="108"/>
        <v>1.274E-2</v>
      </c>
      <c r="G303" s="32">
        <f t="shared" si="108"/>
        <v>1.274E-2</v>
      </c>
      <c r="H303" s="32">
        <f t="shared" si="108"/>
        <v>1.274E-2</v>
      </c>
      <c r="I303" s="32">
        <f t="shared" si="108"/>
        <v>1.274E-2</v>
      </c>
      <c r="J303" s="32">
        <f t="shared" si="108"/>
        <v>1.274E-2</v>
      </c>
      <c r="K303" s="32">
        <f t="shared" si="108"/>
        <v>1.274E-2</v>
      </c>
      <c r="L303" s="32">
        <f t="shared" si="108"/>
        <v>1.274E-2</v>
      </c>
      <c r="M303" s="32">
        <f t="shared" si="108"/>
        <v>1.274E-2</v>
      </c>
      <c r="N303" s="19"/>
    </row>
    <row r="304" spans="1:14">
      <c r="A304" s="25" t="s">
        <v>17</v>
      </c>
      <c r="B304" s="20">
        <f t="shared" ref="B304:M304" si="109">B302*B303</f>
        <v>38.22</v>
      </c>
      <c r="C304" s="20">
        <f t="shared" si="109"/>
        <v>38.22</v>
      </c>
      <c r="D304" s="20">
        <f t="shared" si="109"/>
        <v>38.22</v>
      </c>
      <c r="E304" s="20">
        <f t="shared" si="109"/>
        <v>38.22</v>
      </c>
      <c r="F304" s="20">
        <f t="shared" si="109"/>
        <v>38.22</v>
      </c>
      <c r="G304" s="20">
        <f t="shared" si="109"/>
        <v>38.22</v>
      </c>
      <c r="H304" s="20">
        <f t="shared" si="109"/>
        <v>38.22</v>
      </c>
      <c r="I304" s="20">
        <f t="shared" si="109"/>
        <v>38.22</v>
      </c>
      <c r="J304" s="20">
        <f t="shared" si="109"/>
        <v>38.22</v>
      </c>
      <c r="K304" s="20">
        <f t="shared" si="109"/>
        <v>38.22</v>
      </c>
      <c r="L304" s="20">
        <f t="shared" si="109"/>
        <v>38.22</v>
      </c>
      <c r="M304" s="20">
        <f t="shared" si="109"/>
        <v>38.22</v>
      </c>
      <c r="N304" s="20">
        <f>SUM(B304:M304)</f>
        <v>458.6400000000001</v>
      </c>
    </row>
    <row r="305" spans="1:14" ht="6" customHeight="1">
      <c r="A305" s="25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>
      <c r="A306" s="393" t="s">
        <v>173</v>
      </c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</row>
    <row r="307" spans="1:14">
      <c r="A307" s="26" t="s">
        <v>16</v>
      </c>
      <c r="B307" s="27">
        <f>'TSAS Demand Revenues (7)'!B305</f>
        <v>0</v>
      </c>
      <c r="C307" s="27">
        <f>'TSAS Demand Revenues (7)'!C305</f>
        <v>0</v>
      </c>
      <c r="D307" s="27">
        <f>'TSAS Demand Revenues (7)'!D305</f>
        <v>0</v>
      </c>
      <c r="E307" s="27">
        <f>'TSAS Demand Revenues (7)'!E305</f>
        <v>0</v>
      </c>
      <c r="F307" s="27">
        <f>'TSAS Demand Revenues (7)'!F305</f>
        <v>0</v>
      </c>
      <c r="G307" s="27">
        <f>'TSAS Demand Revenues (7)'!G305</f>
        <v>0</v>
      </c>
      <c r="H307" s="27">
        <f>'TSAS Demand Revenues (7)'!H305</f>
        <v>0</v>
      </c>
      <c r="I307" s="27">
        <f>'TSAS Demand Revenues (7)'!I305</f>
        <v>0</v>
      </c>
      <c r="J307" s="27">
        <f>'TSAS Demand Revenues (7)'!J305</f>
        <v>0</v>
      </c>
      <c r="K307" s="27">
        <f>'TSAS Demand Revenues (7)'!K305</f>
        <v>0</v>
      </c>
      <c r="L307" s="27">
        <f>'TSAS Demand Revenues (7)'!L305</f>
        <v>0</v>
      </c>
      <c r="M307" s="27">
        <f>'TSAS Demand Revenues (7)'!M305</f>
        <v>0</v>
      </c>
      <c r="N307" s="27">
        <f>SUM(B307:M307)</f>
        <v>0</v>
      </c>
    </row>
    <row r="308" spans="1:14">
      <c r="A308" s="25" t="s">
        <v>20</v>
      </c>
      <c r="B308" s="32">
        <f>B298</f>
        <v>1.274E-2</v>
      </c>
      <c r="C308" s="32">
        <f t="shared" ref="C308:M308" si="110">C298</f>
        <v>1.274E-2</v>
      </c>
      <c r="D308" s="32">
        <f t="shared" si="110"/>
        <v>1.274E-2</v>
      </c>
      <c r="E308" s="32">
        <f t="shared" si="110"/>
        <v>1.274E-2</v>
      </c>
      <c r="F308" s="32">
        <f t="shared" si="110"/>
        <v>1.274E-2</v>
      </c>
      <c r="G308" s="32">
        <f t="shared" si="110"/>
        <v>1.274E-2</v>
      </c>
      <c r="H308" s="32">
        <f t="shared" si="110"/>
        <v>1.274E-2</v>
      </c>
      <c r="I308" s="32">
        <f t="shared" si="110"/>
        <v>1.274E-2</v>
      </c>
      <c r="J308" s="32">
        <f t="shared" si="110"/>
        <v>1.274E-2</v>
      </c>
      <c r="K308" s="32">
        <f t="shared" si="110"/>
        <v>1.274E-2</v>
      </c>
      <c r="L308" s="32">
        <f t="shared" si="110"/>
        <v>1.274E-2</v>
      </c>
      <c r="M308" s="32">
        <f t="shared" si="110"/>
        <v>1.274E-2</v>
      </c>
      <c r="N308" s="19"/>
    </row>
    <row r="309" spans="1:14">
      <c r="A309" s="25" t="s">
        <v>17</v>
      </c>
      <c r="B309" s="20">
        <f t="shared" ref="B309:M309" si="111">B307*B308</f>
        <v>0</v>
      </c>
      <c r="C309" s="20">
        <f t="shared" si="111"/>
        <v>0</v>
      </c>
      <c r="D309" s="20">
        <f t="shared" si="111"/>
        <v>0</v>
      </c>
      <c r="E309" s="20">
        <f t="shared" si="111"/>
        <v>0</v>
      </c>
      <c r="F309" s="20">
        <f t="shared" si="111"/>
        <v>0</v>
      </c>
      <c r="G309" s="20">
        <f t="shared" si="111"/>
        <v>0</v>
      </c>
      <c r="H309" s="20">
        <f t="shared" si="111"/>
        <v>0</v>
      </c>
      <c r="I309" s="20">
        <f t="shared" si="111"/>
        <v>0</v>
      </c>
      <c r="J309" s="20">
        <f t="shared" si="111"/>
        <v>0</v>
      </c>
      <c r="K309" s="20">
        <f t="shared" si="111"/>
        <v>0</v>
      </c>
      <c r="L309" s="20">
        <f t="shared" si="111"/>
        <v>0</v>
      </c>
      <c r="M309" s="20">
        <f t="shared" si="111"/>
        <v>0</v>
      </c>
      <c r="N309" s="20">
        <f>SUM(B309:M309)</f>
        <v>0</v>
      </c>
    </row>
    <row r="310" spans="1:14">
      <c r="A310" s="25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>
      <c r="A311" s="393" t="s">
        <v>44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>
      <c r="A312" s="26" t="s">
        <v>16</v>
      </c>
      <c r="B312" s="27">
        <f>'TSAS Demand Revenues (7)'!B310</f>
        <v>0</v>
      </c>
      <c r="C312" s="27">
        <f>'TSAS Demand Revenues (7)'!C310</f>
        <v>0</v>
      </c>
      <c r="D312" s="27">
        <f>'TSAS Demand Revenues (7)'!D310</f>
        <v>0</v>
      </c>
      <c r="E312" s="27">
        <f>'TSAS Demand Revenues (7)'!E310</f>
        <v>0</v>
      </c>
      <c r="F312" s="27">
        <f>'TSAS Demand Revenues (7)'!F310</f>
        <v>0</v>
      </c>
      <c r="G312" s="27">
        <f>'TSAS Demand Revenues (7)'!G310</f>
        <v>0</v>
      </c>
      <c r="H312" s="27">
        <f>'TSAS Demand Revenues (7)'!H310</f>
        <v>0</v>
      </c>
      <c r="I312" s="27">
        <f>'TSAS Demand Revenues (7)'!I310</f>
        <v>0</v>
      </c>
      <c r="J312" s="27">
        <f>'TSAS Demand Revenues (7)'!J310</f>
        <v>0</v>
      </c>
      <c r="K312" s="27">
        <f>'TSAS Demand Revenues (7)'!K310</f>
        <v>0</v>
      </c>
      <c r="L312" s="27">
        <f>'TSAS Demand Revenues (7)'!L310</f>
        <v>0</v>
      </c>
      <c r="M312" s="27">
        <f>'TSAS Demand Revenues (7)'!M310</f>
        <v>0</v>
      </c>
      <c r="N312" s="27">
        <f>SUM(B312:M312)</f>
        <v>0</v>
      </c>
    </row>
    <row r="313" spans="1:14">
      <c r="A313" s="25" t="s">
        <v>20</v>
      </c>
      <c r="B313" s="32">
        <f>B303</f>
        <v>1.274E-2</v>
      </c>
      <c r="C313" s="32">
        <f t="shared" ref="C313:M313" si="112">+$B$32</f>
        <v>1.274E-2</v>
      </c>
      <c r="D313" s="32">
        <f t="shared" si="112"/>
        <v>1.274E-2</v>
      </c>
      <c r="E313" s="32">
        <f t="shared" si="112"/>
        <v>1.274E-2</v>
      </c>
      <c r="F313" s="32">
        <f t="shared" si="112"/>
        <v>1.274E-2</v>
      </c>
      <c r="G313" s="32">
        <f t="shared" si="112"/>
        <v>1.274E-2</v>
      </c>
      <c r="H313" s="32">
        <f t="shared" si="112"/>
        <v>1.274E-2</v>
      </c>
      <c r="I313" s="32">
        <f t="shared" si="112"/>
        <v>1.274E-2</v>
      </c>
      <c r="J313" s="32">
        <f t="shared" si="112"/>
        <v>1.274E-2</v>
      </c>
      <c r="K313" s="32">
        <f t="shared" si="112"/>
        <v>1.274E-2</v>
      </c>
      <c r="L313" s="32">
        <f t="shared" si="112"/>
        <v>1.274E-2</v>
      </c>
      <c r="M313" s="32">
        <f t="shared" si="112"/>
        <v>1.274E-2</v>
      </c>
      <c r="N313" s="19"/>
    </row>
    <row r="314" spans="1:14">
      <c r="A314" s="25" t="s">
        <v>17</v>
      </c>
      <c r="B314" s="20">
        <f t="shared" ref="B314:M314" si="113">B312*B313</f>
        <v>0</v>
      </c>
      <c r="C314" s="20">
        <f t="shared" si="113"/>
        <v>0</v>
      </c>
      <c r="D314" s="20">
        <f t="shared" si="113"/>
        <v>0</v>
      </c>
      <c r="E314" s="20">
        <f t="shared" si="113"/>
        <v>0</v>
      </c>
      <c r="F314" s="20">
        <f t="shared" si="113"/>
        <v>0</v>
      </c>
      <c r="G314" s="20">
        <f t="shared" si="113"/>
        <v>0</v>
      </c>
      <c r="H314" s="20">
        <f t="shared" si="113"/>
        <v>0</v>
      </c>
      <c r="I314" s="20">
        <f t="shared" si="113"/>
        <v>0</v>
      </c>
      <c r="J314" s="20">
        <f t="shared" si="113"/>
        <v>0</v>
      </c>
      <c r="K314" s="20">
        <f t="shared" si="113"/>
        <v>0</v>
      </c>
      <c r="L314" s="20">
        <f t="shared" si="113"/>
        <v>0</v>
      </c>
      <c r="M314" s="20">
        <f t="shared" si="113"/>
        <v>0</v>
      </c>
      <c r="N314" s="20">
        <f>SUM(B314:M314)</f>
        <v>0</v>
      </c>
    </row>
    <row r="315" spans="1:14" ht="6" customHeight="1">
      <c r="A315" s="25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>
      <c r="A316" s="393" t="s">
        <v>112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1:14">
      <c r="A317" s="26" t="s">
        <v>16</v>
      </c>
      <c r="B317" s="27">
        <f>'TSAS Demand Revenues (7)'!B315</f>
        <v>150000</v>
      </c>
      <c r="C317" s="27">
        <f>'TSAS Demand Revenues (7)'!C315</f>
        <v>100000</v>
      </c>
      <c r="D317" s="27">
        <f>'TSAS Demand Revenues (7)'!D315</f>
        <v>100000</v>
      </c>
      <c r="E317" s="27">
        <f>'TSAS Demand Revenues (7)'!E315</f>
        <v>100000</v>
      </c>
      <c r="F317" s="27">
        <f>'TSAS Demand Revenues (7)'!F315</f>
        <v>100000</v>
      </c>
      <c r="G317" s="27">
        <f>'TSAS Demand Revenues (7)'!G315</f>
        <v>100000</v>
      </c>
      <c r="H317" s="27">
        <f>'TSAS Demand Revenues (7)'!H315</f>
        <v>100000</v>
      </c>
      <c r="I317" s="27">
        <f>'TSAS Demand Revenues (7)'!I315</f>
        <v>100000</v>
      </c>
      <c r="J317" s="27">
        <f>'TSAS Demand Revenues (7)'!J315</f>
        <v>100000</v>
      </c>
      <c r="K317" s="27">
        <f>'TSAS Demand Revenues (7)'!K315</f>
        <v>100000</v>
      </c>
      <c r="L317" s="27">
        <f>'TSAS Demand Revenues (7)'!L315</f>
        <v>100000</v>
      </c>
      <c r="M317" s="27">
        <f>'TSAS Demand Revenues (7)'!M315</f>
        <v>100000</v>
      </c>
      <c r="N317" s="27">
        <f>SUM(B317:M317)</f>
        <v>1250000</v>
      </c>
    </row>
    <row r="318" spans="1:14">
      <c r="A318" s="25" t="s">
        <v>20</v>
      </c>
      <c r="B318" s="32">
        <f>B313</f>
        <v>1.274E-2</v>
      </c>
      <c r="C318" s="32">
        <f t="shared" ref="C318:M318" si="114">+$B$32</f>
        <v>1.274E-2</v>
      </c>
      <c r="D318" s="32">
        <f t="shared" si="114"/>
        <v>1.274E-2</v>
      </c>
      <c r="E318" s="32">
        <f t="shared" si="114"/>
        <v>1.274E-2</v>
      </c>
      <c r="F318" s="32">
        <f t="shared" si="114"/>
        <v>1.274E-2</v>
      </c>
      <c r="G318" s="32">
        <f t="shared" si="114"/>
        <v>1.274E-2</v>
      </c>
      <c r="H318" s="32">
        <f t="shared" si="114"/>
        <v>1.274E-2</v>
      </c>
      <c r="I318" s="32">
        <f t="shared" si="114"/>
        <v>1.274E-2</v>
      </c>
      <c r="J318" s="32">
        <f t="shared" si="114"/>
        <v>1.274E-2</v>
      </c>
      <c r="K318" s="32">
        <f t="shared" si="114"/>
        <v>1.274E-2</v>
      </c>
      <c r="L318" s="32">
        <f t="shared" si="114"/>
        <v>1.274E-2</v>
      </c>
      <c r="M318" s="32">
        <f t="shared" si="114"/>
        <v>1.274E-2</v>
      </c>
      <c r="N318" s="19"/>
    </row>
    <row r="319" spans="1:14">
      <c r="A319" s="25" t="s">
        <v>17</v>
      </c>
      <c r="B319" s="20">
        <f t="shared" ref="B319:M319" si="115">B317*B318</f>
        <v>1911</v>
      </c>
      <c r="C319" s="20">
        <f t="shared" si="115"/>
        <v>1274</v>
      </c>
      <c r="D319" s="20">
        <f t="shared" si="115"/>
        <v>1274</v>
      </c>
      <c r="E319" s="20">
        <f t="shared" si="115"/>
        <v>1274</v>
      </c>
      <c r="F319" s="20">
        <f t="shared" si="115"/>
        <v>1274</v>
      </c>
      <c r="G319" s="20">
        <f t="shared" si="115"/>
        <v>1274</v>
      </c>
      <c r="H319" s="20">
        <f t="shared" si="115"/>
        <v>1274</v>
      </c>
      <c r="I319" s="20">
        <f t="shared" si="115"/>
        <v>1274</v>
      </c>
      <c r="J319" s="20">
        <f t="shared" si="115"/>
        <v>1274</v>
      </c>
      <c r="K319" s="20">
        <f t="shared" si="115"/>
        <v>1274</v>
      </c>
      <c r="L319" s="20">
        <f t="shared" si="115"/>
        <v>1274</v>
      </c>
      <c r="M319" s="20">
        <f t="shared" si="115"/>
        <v>1274</v>
      </c>
      <c r="N319" s="20">
        <f>SUM(B319:M319)</f>
        <v>15925</v>
      </c>
    </row>
    <row r="320" spans="1:14">
      <c r="A320" s="25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>
      <c r="A321" s="25" t="s">
        <v>165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7"/>
    </row>
    <row r="322" spans="1:14">
      <c r="A322" s="26" t="s">
        <v>16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7">
        <f>SUM(B322:M322)</f>
        <v>0</v>
      </c>
    </row>
    <row r="323" spans="1:14">
      <c r="A323" s="25" t="s">
        <v>20</v>
      </c>
      <c r="B323" s="32">
        <f>B318</f>
        <v>1.274E-2</v>
      </c>
      <c r="C323" s="32">
        <f t="shared" ref="C323:M323" si="116">C318</f>
        <v>1.274E-2</v>
      </c>
      <c r="D323" s="32">
        <f t="shared" si="116"/>
        <v>1.274E-2</v>
      </c>
      <c r="E323" s="32">
        <f t="shared" si="116"/>
        <v>1.274E-2</v>
      </c>
      <c r="F323" s="32">
        <f t="shared" si="116"/>
        <v>1.274E-2</v>
      </c>
      <c r="G323" s="32">
        <f t="shared" si="116"/>
        <v>1.274E-2</v>
      </c>
      <c r="H323" s="32">
        <f t="shared" si="116"/>
        <v>1.274E-2</v>
      </c>
      <c r="I323" s="32">
        <f t="shared" si="116"/>
        <v>1.274E-2</v>
      </c>
      <c r="J323" s="32">
        <f t="shared" si="116"/>
        <v>1.274E-2</v>
      </c>
      <c r="K323" s="32">
        <f t="shared" si="116"/>
        <v>1.274E-2</v>
      </c>
      <c r="L323" s="32">
        <f t="shared" si="116"/>
        <v>1.274E-2</v>
      </c>
      <c r="M323" s="32">
        <f t="shared" si="116"/>
        <v>1.274E-2</v>
      </c>
      <c r="N323" s="19"/>
    </row>
    <row r="324" spans="1:14">
      <c r="A324" s="25" t="s">
        <v>17</v>
      </c>
      <c r="B324" s="20">
        <f t="shared" ref="B324:M324" si="117">B322*B323</f>
        <v>0</v>
      </c>
      <c r="C324" s="20">
        <f t="shared" si="117"/>
        <v>0</v>
      </c>
      <c r="D324" s="20">
        <f t="shared" si="117"/>
        <v>0</v>
      </c>
      <c r="E324" s="20">
        <f t="shared" si="117"/>
        <v>0</v>
      </c>
      <c r="F324" s="20">
        <f t="shared" si="117"/>
        <v>0</v>
      </c>
      <c r="G324" s="20">
        <f t="shared" si="117"/>
        <v>0</v>
      </c>
      <c r="H324" s="20">
        <f t="shared" si="117"/>
        <v>0</v>
      </c>
      <c r="I324" s="20">
        <f t="shared" si="117"/>
        <v>0</v>
      </c>
      <c r="J324" s="20">
        <f t="shared" si="117"/>
        <v>0</v>
      </c>
      <c r="K324" s="20">
        <f t="shared" si="117"/>
        <v>0</v>
      </c>
      <c r="L324" s="20">
        <f t="shared" si="117"/>
        <v>0</v>
      </c>
      <c r="M324" s="20">
        <f t="shared" si="117"/>
        <v>0</v>
      </c>
      <c r="N324" s="20">
        <f>SUM(B324:M324)</f>
        <v>0</v>
      </c>
    </row>
    <row r="325" spans="1:14">
      <c r="A325" s="25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>
      <c r="A326" s="143" t="s">
        <v>25</v>
      </c>
      <c r="B326" s="142">
        <f t="shared" ref="B326:M326" si="118">B274+B279+B284+B289+B294+B299+B314+B304+B319+B324+B309</f>
        <v>3784.4934400000002</v>
      </c>
      <c r="C326" s="142">
        <f t="shared" si="118"/>
        <v>3147.4934400000002</v>
      </c>
      <c r="D326" s="142">
        <f t="shared" si="118"/>
        <v>3147.4934400000002</v>
      </c>
      <c r="E326" s="142">
        <f t="shared" si="118"/>
        <v>3147.4934400000002</v>
      </c>
      <c r="F326" s="142">
        <f t="shared" si="118"/>
        <v>3147.4934400000002</v>
      </c>
      <c r="G326" s="142">
        <f t="shared" si="118"/>
        <v>3147.4934400000002</v>
      </c>
      <c r="H326" s="142">
        <f t="shared" si="118"/>
        <v>3147.4934400000002</v>
      </c>
      <c r="I326" s="142">
        <f t="shared" si="118"/>
        <v>3147.4934400000002</v>
      </c>
      <c r="J326" s="142">
        <f t="shared" si="118"/>
        <v>3147.4934400000002</v>
      </c>
      <c r="K326" s="142">
        <f t="shared" si="118"/>
        <v>3147.4934400000002</v>
      </c>
      <c r="L326" s="142">
        <f t="shared" si="118"/>
        <v>3147.4934400000002</v>
      </c>
      <c r="M326" s="142">
        <f t="shared" si="118"/>
        <v>3147.4934400000002</v>
      </c>
      <c r="N326" s="142">
        <f>SUM(B326:M326)</f>
        <v>38406.921279999995</v>
      </c>
    </row>
    <row r="327" spans="1:14">
      <c r="A327" s="143" t="s">
        <v>59</v>
      </c>
      <c r="B327" s="144">
        <f t="shared" ref="B327:M327" si="119">B272+B277+B282+B287+B292+B297+B302+B312+B317+B322+B307</f>
        <v>297056</v>
      </c>
      <c r="C327" s="144">
        <f t="shared" si="119"/>
        <v>247056</v>
      </c>
      <c r="D327" s="144">
        <f t="shared" si="119"/>
        <v>247056</v>
      </c>
      <c r="E327" s="144">
        <f t="shared" si="119"/>
        <v>247056</v>
      </c>
      <c r="F327" s="144">
        <f t="shared" si="119"/>
        <v>247056</v>
      </c>
      <c r="G327" s="144">
        <f t="shared" si="119"/>
        <v>247056</v>
      </c>
      <c r="H327" s="144">
        <f t="shared" si="119"/>
        <v>247056</v>
      </c>
      <c r="I327" s="144">
        <f t="shared" si="119"/>
        <v>247056</v>
      </c>
      <c r="J327" s="144">
        <f t="shared" si="119"/>
        <v>247056</v>
      </c>
      <c r="K327" s="144">
        <f t="shared" si="119"/>
        <v>247056</v>
      </c>
      <c r="L327" s="144">
        <f t="shared" si="119"/>
        <v>247056</v>
      </c>
      <c r="M327" s="144">
        <f t="shared" si="119"/>
        <v>247056</v>
      </c>
      <c r="N327" s="142">
        <f>SUM(B327:M327)</f>
        <v>3014672</v>
      </c>
    </row>
    <row r="328" spans="1:14">
      <c r="A328" s="24">
        <f>+A268+1</f>
        <v>2019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.2">
      <c r="A329" s="22" t="s">
        <v>19</v>
      </c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</row>
    <row r="331" spans="1:14">
      <c r="A331" s="393" t="s">
        <v>344</v>
      </c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</row>
    <row r="332" spans="1:14">
      <c r="A332" s="26" t="s">
        <v>16</v>
      </c>
      <c r="B332" s="27">
        <f>'TSAS Demand Revenues (7)'!B325</f>
        <v>5000</v>
      </c>
      <c r="C332" s="27">
        <f>'TSAS Demand Revenues (7)'!C325</f>
        <v>5000</v>
      </c>
      <c r="D332" s="27">
        <f>'TSAS Demand Revenues (7)'!D325</f>
        <v>5000</v>
      </c>
      <c r="E332" s="27">
        <f>'TSAS Demand Revenues (7)'!E325</f>
        <v>5000</v>
      </c>
      <c r="F332" s="27">
        <f>'TSAS Demand Revenues (7)'!F325</f>
        <v>5000</v>
      </c>
      <c r="G332" s="27">
        <f>'TSAS Demand Revenues (7)'!G325</f>
        <v>5000</v>
      </c>
      <c r="H332" s="27">
        <f>'TSAS Demand Revenues (7)'!H325</f>
        <v>5000</v>
      </c>
      <c r="I332" s="27">
        <f>'TSAS Demand Revenues (7)'!I325</f>
        <v>5000</v>
      </c>
      <c r="J332" s="27">
        <f>'TSAS Demand Revenues (7)'!J325</f>
        <v>5000</v>
      </c>
      <c r="K332" s="27">
        <f>'TSAS Demand Revenues (7)'!K325</f>
        <v>5000</v>
      </c>
      <c r="L332" s="27">
        <f>'TSAS Demand Revenues (7)'!L325</f>
        <v>5000</v>
      </c>
      <c r="M332" s="27">
        <f>'TSAS Demand Revenues (7)'!M325</f>
        <v>5000</v>
      </c>
      <c r="N332" s="27">
        <f>SUM(B332:M332)</f>
        <v>60000</v>
      </c>
    </row>
    <row r="333" spans="1:14">
      <c r="A333" s="25" t="s">
        <v>20</v>
      </c>
      <c r="B333" s="31">
        <f>B318</f>
        <v>1.274E-2</v>
      </c>
      <c r="C333" s="31">
        <f t="shared" ref="C333:M333" si="120">+$B$12</f>
        <v>1.274E-2</v>
      </c>
      <c r="D333" s="31">
        <f t="shared" si="120"/>
        <v>1.274E-2</v>
      </c>
      <c r="E333" s="31">
        <f t="shared" si="120"/>
        <v>1.274E-2</v>
      </c>
      <c r="F333" s="31">
        <f t="shared" si="120"/>
        <v>1.274E-2</v>
      </c>
      <c r="G333" s="31">
        <f t="shared" si="120"/>
        <v>1.274E-2</v>
      </c>
      <c r="H333" s="31">
        <f t="shared" si="120"/>
        <v>1.274E-2</v>
      </c>
      <c r="I333" s="31">
        <f t="shared" si="120"/>
        <v>1.274E-2</v>
      </c>
      <c r="J333" s="31">
        <f t="shared" si="120"/>
        <v>1.274E-2</v>
      </c>
      <c r="K333" s="31">
        <f t="shared" si="120"/>
        <v>1.274E-2</v>
      </c>
      <c r="L333" s="31">
        <f t="shared" si="120"/>
        <v>1.274E-2</v>
      </c>
      <c r="M333" s="31">
        <f t="shared" si="120"/>
        <v>1.274E-2</v>
      </c>
      <c r="N333" s="19"/>
    </row>
    <row r="334" spans="1:14">
      <c r="A334" s="25" t="s">
        <v>17</v>
      </c>
      <c r="B334" s="20">
        <f t="shared" ref="B334:M334" si="121">B332*B333</f>
        <v>63.699999999999996</v>
      </c>
      <c r="C334" s="20">
        <f t="shared" si="121"/>
        <v>63.699999999999996</v>
      </c>
      <c r="D334" s="20">
        <f t="shared" si="121"/>
        <v>63.699999999999996</v>
      </c>
      <c r="E334" s="20">
        <f t="shared" si="121"/>
        <v>63.699999999999996</v>
      </c>
      <c r="F334" s="20">
        <f t="shared" si="121"/>
        <v>63.699999999999996</v>
      </c>
      <c r="G334" s="20">
        <f t="shared" si="121"/>
        <v>63.699999999999996</v>
      </c>
      <c r="H334" s="20">
        <f t="shared" si="121"/>
        <v>63.699999999999996</v>
      </c>
      <c r="I334" s="20">
        <f t="shared" si="121"/>
        <v>63.699999999999996</v>
      </c>
      <c r="J334" s="20">
        <f t="shared" si="121"/>
        <v>63.699999999999996</v>
      </c>
      <c r="K334" s="20">
        <f t="shared" si="121"/>
        <v>63.699999999999996</v>
      </c>
      <c r="L334" s="20">
        <f t="shared" si="121"/>
        <v>63.699999999999996</v>
      </c>
      <c r="M334" s="20">
        <f t="shared" si="121"/>
        <v>63.699999999999996</v>
      </c>
      <c r="N334" s="20">
        <f>SUM(B334:M334)</f>
        <v>764.40000000000009</v>
      </c>
    </row>
    <row r="335" spans="1:14" ht="6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</row>
    <row r="336" spans="1:14">
      <c r="A336" s="25" t="s">
        <v>21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</row>
    <row r="337" spans="1:14">
      <c r="A337" s="26" t="s">
        <v>16</v>
      </c>
      <c r="B337" s="27">
        <f>'TSAS Demand Revenues (7)'!B330</f>
        <v>0</v>
      </c>
      <c r="C337" s="27">
        <f>'TSAS Demand Revenues (7)'!C330</f>
        <v>0</v>
      </c>
      <c r="D337" s="27">
        <f>'TSAS Demand Revenues (7)'!D330</f>
        <v>0</v>
      </c>
      <c r="E337" s="27">
        <f>'TSAS Demand Revenues (7)'!E330</f>
        <v>0</v>
      </c>
      <c r="F337" s="27">
        <f>'TSAS Demand Revenues (7)'!F330</f>
        <v>0</v>
      </c>
      <c r="G337" s="27">
        <f>'TSAS Demand Revenues (7)'!G330</f>
        <v>0</v>
      </c>
      <c r="H337" s="27">
        <f>'TSAS Demand Revenues (7)'!H330</f>
        <v>0</v>
      </c>
      <c r="I337" s="27">
        <f>'TSAS Demand Revenues (7)'!I330</f>
        <v>0</v>
      </c>
      <c r="J337" s="27">
        <f>'TSAS Demand Revenues (7)'!J330</f>
        <v>0</v>
      </c>
      <c r="K337" s="27">
        <f>'TSAS Demand Revenues (7)'!K330</f>
        <v>0</v>
      </c>
      <c r="L337" s="27">
        <f>'TSAS Demand Revenues (7)'!L330</f>
        <v>0</v>
      </c>
      <c r="M337" s="27">
        <f>'TSAS Demand Revenues (7)'!M330</f>
        <v>0</v>
      </c>
      <c r="N337" s="27">
        <f>SUM(B337:M337)</f>
        <v>0</v>
      </c>
    </row>
    <row r="338" spans="1:14">
      <c r="A338" s="25" t="s">
        <v>20</v>
      </c>
      <c r="B338" s="31">
        <f>B333</f>
        <v>1.274E-2</v>
      </c>
      <c r="C338" s="31">
        <f t="shared" ref="C338:M338" si="122">+$B$17</f>
        <v>1.274E-2</v>
      </c>
      <c r="D338" s="31">
        <f t="shared" si="122"/>
        <v>1.274E-2</v>
      </c>
      <c r="E338" s="31">
        <f t="shared" si="122"/>
        <v>1.274E-2</v>
      </c>
      <c r="F338" s="31">
        <f t="shared" si="122"/>
        <v>1.274E-2</v>
      </c>
      <c r="G338" s="31">
        <f t="shared" si="122"/>
        <v>1.274E-2</v>
      </c>
      <c r="H338" s="31">
        <f t="shared" si="122"/>
        <v>1.274E-2</v>
      </c>
      <c r="I338" s="31">
        <f t="shared" si="122"/>
        <v>1.274E-2</v>
      </c>
      <c r="J338" s="31">
        <f t="shared" si="122"/>
        <v>1.274E-2</v>
      </c>
      <c r="K338" s="31">
        <f t="shared" si="122"/>
        <v>1.274E-2</v>
      </c>
      <c r="L338" s="31">
        <f t="shared" si="122"/>
        <v>1.274E-2</v>
      </c>
      <c r="M338" s="31">
        <f t="shared" si="122"/>
        <v>1.274E-2</v>
      </c>
      <c r="N338" s="19"/>
    </row>
    <row r="339" spans="1:14">
      <c r="A339" s="25" t="s">
        <v>17</v>
      </c>
      <c r="B339" s="20">
        <f t="shared" ref="B339:M339" si="123">B337*B338</f>
        <v>0</v>
      </c>
      <c r="C339" s="20">
        <f t="shared" si="123"/>
        <v>0</v>
      </c>
      <c r="D339" s="20">
        <f t="shared" si="123"/>
        <v>0</v>
      </c>
      <c r="E339" s="20">
        <f t="shared" si="123"/>
        <v>0</v>
      </c>
      <c r="F339" s="20">
        <f t="shared" si="123"/>
        <v>0</v>
      </c>
      <c r="G339" s="20">
        <f t="shared" si="123"/>
        <v>0</v>
      </c>
      <c r="H339" s="20">
        <f t="shared" si="123"/>
        <v>0</v>
      </c>
      <c r="I339" s="20">
        <f t="shared" si="123"/>
        <v>0</v>
      </c>
      <c r="J339" s="20">
        <f t="shared" si="123"/>
        <v>0</v>
      </c>
      <c r="K339" s="20">
        <f t="shared" si="123"/>
        <v>0</v>
      </c>
      <c r="L339" s="20">
        <f t="shared" si="123"/>
        <v>0</v>
      </c>
      <c r="M339" s="20">
        <f t="shared" si="123"/>
        <v>0</v>
      </c>
      <c r="N339" s="20">
        <f>SUM(B339:M339)</f>
        <v>0</v>
      </c>
    </row>
    <row r="340" spans="1:14" ht="4.5" customHeight="1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</row>
    <row r="341" spans="1:14">
      <c r="A341" s="25" t="s">
        <v>22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</row>
    <row r="342" spans="1:14">
      <c r="A342" s="26" t="s">
        <v>16</v>
      </c>
      <c r="B342" s="27">
        <f>'TSAS Demand Revenues (7)'!B335</f>
        <v>0</v>
      </c>
      <c r="C342" s="27">
        <f>'TSAS Demand Revenues (7)'!C335</f>
        <v>0</v>
      </c>
      <c r="D342" s="27">
        <f>'TSAS Demand Revenues (7)'!D335</f>
        <v>0</v>
      </c>
      <c r="E342" s="27">
        <f>'TSAS Demand Revenues (7)'!E335</f>
        <v>0</v>
      </c>
      <c r="F342" s="27">
        <f>'TSAS Demand Revenues (7)'!F335</f>
        <v>0</v>
      </c>
      <c r="G342" s="27">
        <f>'TSAS Demand Revenues (7)'!G335</f>
        <v>0</v>
      </c>
      <c r="H342" s="27">
        <f>'TSAS Demand Revenues (7)'!H335</f>
        <v>0</v>
      </c>
      <c r="I342" s="27">
        <f>'TSAS Demand Revenues (7)'!I335</f>
        <v>0</v>
      </c>
      <c r="J342" s="27">
        <f>'TSAS Demand Revenues (7)'!J335</f>
        <v>0</v>
      </c>
      <c r="K342" s="27">
        <f>'TSAS Demand Revenues (7)'!K335</f>
        <v>0</v>
      </c>
      <c r="L342" s="27">
        <f>'TSAS Demand Revenues (7)'!L335</f>
        <v>0</v>
      </c>
      <c r="M342" s="27">
        <f>'TSAS Demand Revenues (7)'!M335</f>
        <v>0</v>
      </c>
      <c r="N342" s="27">
        <f>SUM(B342:M342)</f>
        <v>0</v>
      </c>
    </row>
    <row r="343" spans="1:14">
      <c r="A343" s="25" t="s">
        <v>20</v>
      </c>
      <c r="B343" s="32">
        <f>B338</f>
        <v>1.274E-2</v>
      </c>
      <c r="C343" s="32">
        <f t="shared" ref="C343:M343" si="124">+$B$22</f>
        <v>1.274E-2</v>
      </c>
      <c r="D343" s="32">
        <f t="shared" si="124"/>
        <v>1.274E-2</v>
      </c>
      <c r="E343" s="32">
        <f t="shared" si="124"/>
        <v>1.274E-2</v>
      </c>
      <c r="F343" s="32">
        <f t="shared" si="124"/>
        <v>1.274E-2</v>
      </c>
      <c r="G343" s="32">
        <f t="shared" si="124"/>
        <v>1.274E-2</v>
      </c>
      <c r="H343" s="32">
        <f t="shared" si="124"/>
        <v>1.274E-2</v>
      </c>
      <c r="I343" s="32">
        <f t="shared" si="124"/>
        <v>1.274E-2</v>
      </c>
      <c r="J343" s="32">
        <f t="shared" si="124"/>
        <v>1.274E-2</v>
      </c>
      <c r="K343" s="32">
        <f t="shared" si="124"/>
        <v>1.274E-2</v>
      </c>
      <c r="L343" s="32">
        <f t="shared" si="124"/>
        <v>1.274E-2</v>
      </c>
      <c r="M343" s="32">
        <f t="shared" si="124"/>
        <v>1.274E-2</v>
      </c>
      <c r="N343" s="19"/>
    </row>
    <row r="344" spans="1:14">
      <c r="A344" s="25" t="s">
        <v>17</v>
      </c>
      <c r="B344" s="20">
        <f t="shared" ref="B344:M344" si="125">B342*B343</f>
        <v>0</v>
      </c>
      <c r="C344" s="20">
        <f t="shared" si="125"/>
        <v>0</v>
      </c>
      <c r="D344" s="20">
        <f t="shared" si="125"/>
        <v>0</v>
      </c>
      <c r="E344" s="20">
        <f t="shared" si="125"/>
        <v>0</v>
      </c>
      <c r="F344" s="20">
        <f t="shared" si="125"/>
        <v>0</v>
      </c>
      <c r="G344" s="20">
        <f t="shared" si="125"/>
        <v>0</v>
      </c>
      <c r="H344" s="20">
        <f t="shared" si="125"/>
        <v>0</v>
      </c>
      <c r="I344" s="20">
        <f t="shared" si="125"/>
        <v>0</v>
      </c>
      <c r="J344" s="20">
        <f t="shared" si="125"/>
        <v>0</v>
      </c>
      <c r="K344" s="20">
        <f t="shared" si="125"/>
        <v>0</v>
      </c>
      <c r="L344" s="20">
        <f t="shared" si="125"/>
        <v>0</v>
      </c>
      <c r="M344" s="20">
        <f t="shared" si="125"/>
        <v>0</v>
      </c>
      <c r="N344" s="20">
        <f>SUM(B344:M344)</f>
        <v>0</v>
      </c>
    </row>
    <row r="345" spans="1:14" ht="6" customHeight="1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</row>
    <row r="346" spans="1:14" ht="21" customHeight="1">
      <c r="A346" s="393" t="s">
        <v>23</v>
      </c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</row>
    <row r="347" spans="1:14">
      <c r="A347" s="26" t="s">
        <v>16</v>
      </c>
      <c r="B347" s="27">
        <f>'TSAS Demand Revenues (7)'!B340</f>
        <v>37056</v>
      </c>
      <c r="C347" s="27">
        <f>'TSAS Demand Revenues (7)'!C340</f>
        <v>37056</v>
      </c>
      <c r="D347" s="27">
        <f>'TSAS Demand Revenues (7)'!D340</f>
        <v>37056</v>
      </c>
      <c r="E347" s="27">
        <f>'TSAS Demand Revenues (7)'!E340</f>
        <v>37056</v>
      </c>
      <c r="F347" s="27">
        <f>'TSAS Demand Revenues (7)'!F340</f>
        <v>37056</v>
      </c>
      <c r="G347" s="27">
        <f>'TSAS Demand Revenues (7)'!G340</f>
        <v>37056</v>
      </c>
      <c r="H347" s="27">
        <f>'TSAS Demand Revenues (7)'!H340</f>
        <v>37056</v>
      </c>
      <c r="I347" s="27">
        <f>'TSAS Demand Revenues (7)'!I340</f>
        <v>37056</v>
      </c>
      <c r="J347" s="27">
        <f>'TSAS Demand Revenues (7)'!J340</f>
        <v>37056</v>
      </c>
      <c r="K347" s="27">
        <f>'TSAS Demand Revenues (7)'!K340</f>
        <v>37056</v>
      </c>
      <c r="L347" s="27">
        <f>'TSAS Demand Revenues (7)'!L340</f>
        <v>37056</v>
      </c>
      <c r="M347" s="27">
        <f>'TSAS Demand Revenues (7)'!M340</f>
        <v>37056</v>
      </c>
      <c r="N347" s="27">
        <f>SUM(B347:M347)</f>
        <v>444672</v>
      </c>
    </row>
    <row r="348" spans="1:14">
      <c r="A348" s="25" t="s">
        <v>20</v>
      </c>
      <c r="B348" s="32">
        <f t="shared" ref="B348:M348" si="126">+$B$27</f>
        <v>1.274E-2</v>
      </c>
      <c r="C348" s="32">
        <f t="shared" si="126"/>
        <v>1.274E-2</v>
      </c>
      <c r="D348" s="32">
        <f t="shared" si="126"/>
        <v>1.274E-2</v>
      </c>
      <c r="E348" s="32">
        <f t="shared" si="126"/>
        <v>1.274E-2</v>
      </c>
      <c r="F348" s="32">
        <f t="shared" si="126"/>
        <v>1.274E-2</v>
      </c>
      <c r="G348" s="32">
        <f t="shared" si="126"/>
        <v>1.274E-2</v>
      </c>
      <c r="H348" s="32">
        <f t="shared" si="126"/>
        <v>1.274E-2</v>
      </c>
      <c r="I348" s="32">
        <f t="shared" si="126"/>
        <v>1.274E-2</v>
      </c>
      <c r="J348" s="32">
        <f t="shared" si="126"/>
        <v>1.274E-2</v>
      </c>
      <c r="K348" s="32">
        <f t="shared" si="126"/>
        <v>1.274E-2</v>
      </c>
      <c r="L348" s="32">
        <f t="shared" si="126"/>
        <v>1.274E-2</v>
      </c>
      <c r="M348" s="32">
        <f t="shared" si="126"/>
        <v>1.274E-2</v>
      </c>
      <c r="N348" s="19"/>
    </row>
    <row r="349" spans="1:14">
      <c r="A349" s="25" t="s">
        <v>17</v>
      </c>
      <c r="B349" s="20">
        <f t="shared" ref="B349:M349" si="127">B347*B348</f>
        <v>472.09343999999999</v>
      </c>
      <c r="C349" s="20">
        <f t="shared" si="127"/>
        <v>472.09343999999999</v>
      </c>
      <c r="D349" s="20">
        <f t="shared" si="127"/>
        <v>472.09343999999999</v>
      </c>
      <c r="E349" s="20">
        <f t="shared" si="127"/>
        <v>472.09343999999999</v>
      </c>
      <c r="F349" s="20">
        <f t="shared" si="127"/>
        <v>472.09343999999999</v>
      </c>
      <c r="G349" s="20">
        <f t="shared" si="127"/>
        <v>472.09343999999999</v>
      </c>
      <c r="H349" s="20">
        <f t="shared" si="127"/>
        <v>472.09343999999999</v>
      </c>
      <c r="I349" s="20">
        <f t="shared" si="127"/>
        <v>472.09343999999999</v>
      </c>
      <c r="J349" s="20">
        <f t="shared" si="127"/>
        <v>472.09343999999999</v>
      </c>
      <c r="K349" s="20">
        <f t="shared" si="127"/>
        <v>472.09343999999999</v>
      </c>
      <c r="L349" s="20">
        <f t="shared" si="127"/>
        <v>472.09343999999999</v>
      </c>
      <c r="M349" s="20">
        <f t="shared" si="127"/>
        <v>472.09343999999999</v>
      </c>
      <c r="N349" s="20">
        <f>SUM(B349:M349)</f>
        <v>5665.1212799999994</v>
      </c>
    </row>
    <row r="350" spans="1:14" ht="4.5" customHeight="1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</row>
    <row r="351" spans="1:14">
      <c r="A351" s="393" t="s">
        <v>24</v>
      </c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</row>
    <row r="352" spans="1:14">
      <c r="A352" s="26" t="s">
        <v>16</v>
      </c>
      <c r="B352" s="27">
        <f>'TSAS Demand Revenues (7)'!B345</f>
        <v>62000</v>
      </c>
      <c r="C352" s="27">
        <f>'TSAS Demand Revenues (7)'!C345</f>
        <v>62000</v>
      </c>
      <c r="D352" s="27">
        <f>'TSAS Demand Revenues (7)'!D345</f>
        <v>62000</v>
      </c>
      <c r="E352" s="27">
        <f>'TSAS Demand Revenues (7)'!E345</f>
        <v>62000</v>
      </c>
      <c r="F352" s="27">
        <f>'TSAS Demand Revenues (7)'!F345</f>
        <v>62000</v>
      </c>
      <c r="G352" s="27">
        <f>'TSAS Demand Revenues (7)'!G345</f>
        <v>62000</v>
      </c>
      <c r="H352" s="27">
        <f>'TSAS Demand Revenues (7)'!H345</f>
        <v>62000</v>
      </c>
      <c r="I352" s="27">
        <f>'TSAS Demand Revenues (7)'!I345</f>
        <v>62000</v>
      </c>
      <c r="J352" s="27">
        <f>'TSAS Demand Revenues (7)'!J345</f>
        <v>62000</v>
      </c>
      <c r="K352" s="27">
        <f>'TSAS Demand Revenues (7)'!K345</f>
        <v>62000</v>
      </c>
      <c r="L352" s="27">
        <f>'TSAS Demand Revenues (7)'!L345</f>
        <v>62000</v>
      </c>
      <c r="M352" s="27">
        <f>'TSAS Demand Revenues (7)'!M345</f>
        <v>62000</v>
      </c>
      <c r="N352" s="27">
        <f>SUM(B352:M352)</f>
        <v>744000</v>
      </c>
    </row>
    <row r="353" spans="1:14">
      <c r="A353" s="25" t="s">
        <v>20</v>
      </c>
      <c r="B353" s="32">
        <f>B348</f>
        <v>1.274E-2</v>
      </c>
      <c r="C353" s="32">
        <f t="shared" ref="C353:M353" si="128">+$B$32</f>
        <v>1.274E-2</v>
      </c>
      <c r="D353" s="32">
        <f t="shared" si="128"/>
        <v>1.274E-2</v>
      </c>
      <c r="E353" s="32">
        <f t="shared" si="128"/>
        <v>1.274E-2</v>
      </c>
      <c r="F353" s="32">
        <f t="shared" si="128"/>
        <v>1.274E-2</v>
      </c>
      <c r="G353" s="32">
        <f t="shared" si="128"/>
        <v>1.274E-2</v>
      </c>
      <c r="H353" s="32">
        <f t="shared" si="128"/>
        <v>1.274E-2</v>
      </c>
      <c r="I353" s="32">
        <f t="shared" si="128"/>
        <v>1.274E-2</v>
      </c>
      <c r="J353" s="32">
        <f t="shared" si="128"/>
        <v>1.274E-2</v>
      </c>
      <c r="K353" s="32">
        <f t="shared" si="128"/>
        <v>1.274E-2</v>
      </c>
      <c r="L353" s="32">
        <f t="shared" si="128"/>
        <v>1.274E-2</v>
      </c>
      <c r="M353" s="32">
        <f t="shared" si="128"/>
        <v>1.274E-2</v>
      </c>
      <c r="N353" s="19"/>
    </row>
    <row r="354" spans="1:14">
      <c r="A354" s="25" t="s">
        <v>17</v>
      </c>
      <c r="B354" s="20">
        <f t="shared" ref="B354:M354" si="129">B352*B353</f>
        <v>789.88</v>
      </c>
      <c r="C354" s="20">
        <f t="shared" si="129"/>
        <v>789.88</v>
      </c>
      <c r="D354" s="20">
        <f t="shared" si="129"/>
        <v>789.88</v>
      </c>
      <c r="E354" s="20">
        <f t="shared" si="129"/>
        <v>789.88</v>
      </c>
      <c r="F354" s="20">
        <f t="shared" si="129"/>
        <v>789.88</v>
      </c>
      <c r="G354" s="20">
        <f t="shared" si="129"/>
        <v>789.88</v>
      </c>
      <c r="H354" s="20">
        <f t="shared" si="129"/>
        <v>789.88</v>
      </c>
      <c r="I354" s="20">
        <f t="shared" si="129"/>
        <v>789.88</v>
      </c>
      <c r="J354" s="20">
        <f t="shared" si="129"/>
        <v>789.88</v>
      </c>
      <c r="K354" s="20">
        <f t="shared" si="129"/>
        <v>789.88</v>
      </c>
      <c r="L354" s="20">
        <f t="shared" si="129"/>
        <v>789.88</v>
      </c>
      <c r="M354" s="20">
        <f t="shared" si="129"/>
        <v>789.88</v>
      </c>
      <c r="N354" s="20">
        <f>SUM(B354:M354)</f>
        <v>9478.56</v>
      </c>
    </row>
    <row r="355" spans="1:14" ht="5.25" customHeight="1">
      <c r="A355" s="25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>
      <c r="A356" s="393" t="s">
        <v>111</v>
      </c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</row>
    <row r="357" spans="1:14">
      <c r="A357" s="26" t="s">
        <v>16</v>
      </c>
      <c r="B357" s="27">
        <f>'TSAS Demand Revenues (7)'!B350</f>
        <v>40000</v>
      </c>
      <c r="C357" s="27">
        <f>'TSAS Demand Revenues (7)'!C350</f>
        <v>40000</v>
      </c>
      <c r="D357" s="27">
        <f>'TSAS Demand Revenues (7)'!D350</f>
        <v>40000</v>
      </c>
      <c r="E357" s="27">
        <f>'TSAS Demand Revenues (7)'!E350</f>
        <v>40000</v>
      </c>
      <c r="F357" s="27">
        <f>'TSAS Demand Revenues (7)'!F350</f>
        <v>40000</v>
      </c>
      <c r="G357" s="27">
        <f>'TSAS Demand Revenues (7)'!G350</f>
        <v>40000</v>
      </c>
      <c r="H357" s="27">
        <f>'TSAS Demand Revenues (7)'!H350</f>
        <v>40000</v>
      </c>
      <c r="I357" s="27">
        <f>'TSAS Demand Revenues (7)'!I350</f>
        <v>40000</v>
      </c>
      <c r="J357" s="27">
        <f>'TSAS Demand Revenues (7)'!J350</f>
        <v>40000</v>
      </c>
      <c r="K357" s="27">
        <f>'TSAS Demand Revenues (7)'!K350</f>
        <v>40000</v>
      </c>
      <c r="L357" s="27">
        <f>'TSAS Demand Revenues (7)'!L350</f>
        <v>40000</v>
      </c>
      <c r="M357" s="27">
        <f>'TSAS Demand Revenues (7)'!M350</f>
        <v>40000</v>
      </c>
      <c r="N357" s="27">
        <f>SUM(B357:M357)</f>
        <v>480000</v>
      </c>
    </row>
    <row r="358" spans="1:14">
      <c r="A358" s="25" t="s">
        <v>20</v>
      </c>
      <c r="B358" s="32">
        <f>B353</f>
        <v>1.274E-2</v>
      </c>
      <c r="C358" s="32">
        <f t="shared" ref="C358" si="130">B358</f>
        <v>1.274E-2</v>
      </c>
      <c r="D358" s="32">
        <f t="shared" ref="D358" si="131">C358</f>
        <v>1.274E-2</v>
      </c>
      <c r="E358" s="32">
        <f t="shared" ref="E358" si="132">D358</f>
        <v>1.274E-2</v>
      </c>
      <c r="F358" s="32">
        <f t="shared" ref="F358" si="133">E358</f>
        <v>1.274E-2</v>
      </c>
      <c r="G358" s="32">
        <f t="shared" ref="G358" si="134">F358</f>
        <v>1.274E-2</v>
      </c>
      <c r="H358" s="32">
        <f t="shared" ref="H358" si="135">G358</f>
        <v>1.274E-2</v>
      </c>
      <c r="I358" s="32">
        <f t="shared" ref="I358" si="136">H358</f>
        <v>1.274E-2</v>
      </c>
      <c r="J358" s="32">
        <f t="shared" ref="J358" si="137">I358</f>
        <v>1.274E-2</v>
      </c>
      <c r="K358" s="32">
        <f t="shared" ref="K358" si="138">J358</f>
        <v>1.274E-2</v>
      </c>
      <c r="L358" s="32">
        <f t="shared" ref="L358" si="139">K358</f>
        <v>1.274E-2</v>
      </c>
      <c r="M358" s="32">
        <f t="shared" ref="M358" si="140">L358</f>
        <v>1.274E-2</v>
      </c>
      <c r="N358" s="19"/>
    </row>
    <row r="359" spans="1:14">
      <c r="A359" s="25" t="s">
        <v>17</v>
      </c>
      <c r="B359" s="20">
        <f t="shared" ref="B359:M359" si="141">B357*B358</f>
        <v>509.59999999999997</v>
      </c>
      <c r="C359" s="20">
        <f t="shared" si="141"/>
        <v>509.59999999999997</v>
      </c>
      <c r="D359" s="20">
        <f t="shared" si="141"/>
        <v>509.59999999999997</v>
      </c>
      <c r="E359" s="20">
        <f t="shared" si="141"/>
        <v>509.59999999999997</v>
      </c>
      <c r="F359" s="20">
        <f t="shared" si="141"/>
        <v>509.59999999999997</v>
      </c>
      <c r="G359" s="20">
        <f t="shared" si="141"/>
        <v>509.59999999999997</v>
      </c>
      <c r="H359" s="20">
        <f t="shared" si="141"/>
        <v>509.59999999999997</v>
      </c>
      <c r="I359" s="20">
        <f t="shared" si="141"/>
        <v>509.59999999999997</v>
      </c>
      <c r="J359" s="20">
        <f t="shared" si="141"/>
        <v>509.59999999999997</v>
      </c>
      <c r="K359" s="20">
        <f t="shared" si="141"/>
        <v>509.59999999999997</v>
      </c>
      <c r="L359" s="20">
        <f t="shared" si="141"/>
        <v>509.59999999999997</v>
      </c>
      <c r="M359" s="20">
        <f t="shared" si="141"/>
        <v>509.59999999999997</v>
      </c>
      <c r="N359" s="20">
        <f>SUM(B359:M359)</f>
        <v>6115.2000000000007</v>
      </c>
    </row>
    <row r="360" spans="1:14" ht="13.5" customHeight="1">
      <c r="A360" s="25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s="19" customFormat="1" ht="15" customHeight="1">
      <c r="A361" s="393" t="s">
        <v>222</v>
      </c>
    </row>
    <row r="362" spans="1:14" s="19" customFormat="1" ht="10.199999999999999">
      <c r="A362" s="26" t="s">
        <v>16</v>
      </c>
      <c r="B362" s="27">
        <f>'TSAS Demand Revenues (7)'!B355</f>
        <v>3000</v>
      </c>
      <c r="C362" s="27">
        <f>'TSAS Demand Revenues (7)'!C355</f>
        <v>3000</v>
      </c>
      <c r="D362" s="27">
        <f>'TSAS Demand Revenues (7)'!D355</f>
        <v>3000</v>
      </c>
      <c r="E362" s="27">
        <f>'TSAS Demand Revenues (7)'!E355</f>
        <v>3000</v>
      </c>
      <c r="F362" s="27">
        <f>'TSAS Demand Revenues (7)'!F355</f>
        <v>3000</v>
      </c>
      <c r="G362" s="27">
        <f>'TSAS Demand Revenues (7)'!G355</f>
        <v>3000</v>
      </c>
      <c r="H362" s="27">
        <f>'TSAS Demand Revenues (7)'!H355</f>
        <v>3000</v>
      </c>
      <c r="I362" s="27">
        <f>'TSAS Demand Revenues (7)'!I355</f>
        <v>3000</v>
      </c>
      <c r="J362" s="27">
        <f>'TSAS Demand Revenues (7)'!J355</f>
        <v>3000</v>
      </c>
      <c r="K362" s="27">
        <f>'TSAS Demand Revenues (7)'!K355</f>
        <v>3000</v>
      </c>
      <c r="L362" s="27">
        <f>'TSAS Demand Revenues (7)'!L355</f>
        <v>3000</v>
      </c>
      <c r="M362" s="27">
        <f>'TSAS Demand Revenues (7)'!M355</f>
        <v>3000</v>
      </c>
      <c r="N362" s="27">
        <f>SUM(B362:M362)</f>
        <v>36000</v>
      </c>
    </row>
    <row r="363" spans="1:14">
      <c r="A363" s="25" t="s">
        <v>20</v>
      </c>
      <c r="B363" s="32">
        <f>B358</f>
        <v>1.274E-2</v>
      </c>
      <c r="C363" s="32">
        <f t="shared" ref="C363" si="142">B363</f>
        <v>1.274E-2</v>
      </c>
      <c r="D363" s="32">
        <f t="shared" ref="D363" si="143">C363</f>
        <v>1.274E-2</v>
      </c>
      <c r="E363" s="32">
        <f t="shared" ref="E363" si="144">D363</f>
        <v>1.274E-2</v>
      </c>
      <c r="F363" s="32">
        <f t="shared" ref="F363" si="145">E363</f>
        <v>1.274E-2</v>
      </c>
      <c r="G363" s="32">
        <f t="shared" ref="G363" si="146">F363</f>
        <v>1.274E-2</v>
      </c>
      <c r="H363" s="32">
        <f t="shared" ref="H363" si="147">G363</f>
        <v>1.274E-2</v>
      </c>
      <c r="I363" s="32">
        <f t="shared" ref="I363" si="148">H363</f>
        <v>1.274E-2</v>
      </c>
      <c r="J363" s="32">
        <f t="shared" ref="J363" si="149">I363</f>
        <v>1.274E-2</v>
      </c>
      <c r="K363" s="32">
        <f t="shared" ref="K363" si="150">J363</f>
        <v>1.274E-2</v>
      </c>
      <c r="L363" s="32">
        <f t="shared" ref="L363" si="151">K363</f>
        <v>1.274E-2</v>
      </c>
      <c r="M363" s="32">
        <f t="shared" ref="M363" si="152">L363</f>
        <v>1.274E-2</v>
      </c>
      <c r="N363" s="19"/>
    </row>
    <row r="364" spans="1:14">
      <c r="A364" s="25" t="s">
        <v>17</v>
      </c>
      <c r="B364" s="20">
        <f t="shared" ref="B364:M364" si="153">B362*B363</f>
        <v>38.22</v>
      </c>
      <c r="C364" s="20">
        <f t="shared" si="153"/>
        <v>38.22</v>
      </c>
      <c r="D364" s="20">
        <f t="shared" si="153"/>
        <v>38.22</v>
      </c>
      <c r="E364" s="20">
        <f t="shared" si="153"/>
        <v>38.22</v>
      </c>
      <c r="F364" s="20">
        <f t="shared" si="153"/>
        <v>38.22</v>
      </c>
      <c r="G364" s="20">
        <f t="shared" si="153"/>
        <v>38.22</v>
      </c>
      <c r="H364" s="20">
        <f t="shared" si="153"/>
        <v>38.22</v>
      </c>
      <c r="I364" s="20">
        <f t="shared" si="153"/>
        <v>38.22</v>
      </c>
      <c r="J364" s="20">
        <f t="shared" si="153"/>
        <v>38.22</v>
      </c>
      <c r="K364" s="20">
        <f t="shared" si="153"/>
        <v>38.22</v>
      </c>
      <c r="L364" s="20">
        <f t="shared" si="153"/>
        <v>38.22</v>
      </c>
      <c r="M364" s="20">
        <f t="shared" si="153"/>
        <v>38.22</v>
      </c>
      <c r="N364" s="20">
        <f>SUM(B364:M364)</f>
        <v>458.6400000000001</v>
      </c>
    </row>
    <row r="365" spans="1:14" ht="6" customHeight="1">
      <c r="A365" s="25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>
      <c r="A366" s="393" t="s">
        <v>173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</row>
    <row r="367" spans="1:14">
      <c r="A367" s="26" t="s">
        <v>16</v>
      </c>
      <c r="B367" s="27">
        <f>'TSAS Demand Revenues (7)'!B360</f>
        <v>0</v>
      </c>
      <c r="C367" s="27">
        <f>'TSAS Demand Revenues (7)'!C360</f>
        <v>0</v>
      </c>
      <c r="D367" s="27">
        <f>'TSAS Demand Revenues (7)'!D360</f>
        <v>0</v>
      </c>
      <c r="E367" s="27">
        <f>'TSAS Demand Revenues (7)'!E360</f>
        <v>0</v>
      </c>
      <c r="F367" s="27">
        <f>'TSAS Demand Revenues (7)'!F360</f>
        <v>0</v>
      </c>
      <c r="G367" s="27">
        <f>'TSAS Demand Revenues (7)'!G360</f>
        <v>0</v>
      </c>
      <c r="H367" s="27">
        <f>'TSAS Demand Revenues (7)'!H360</f>
        <v>0</v>
      </c>
      <c r="I367" s="27">
        <f>'TSAS Demand Revenues (7)'!I360</f>
        <v>0</v>
      </c>
      <c r="J367" s="27">
        <f>'TSAS Demand Revenues (7)'!J360</f>
        <v>0</v>
      </c>
      <c r="K367" s="27">
        <f>'TSAS Demand Revenues (7)'!K360</f>
        <v>0</v>
      </c>
      <c r="L367" s="27">
        <f>'TSAS Demand Revenues (7)'!L360</f>
        <v>0</v>
      </c>
      <c r="M367" s="27">
        <f>'TSAS Demand Revenues (7)'!M360</f>
        <v>0</v>
      </c>
      <c r="N367" s="27">
        <f>SUM(B367:M367)</f>
        <v>0</v>
      </c>
    </row>
    <row r="368" spans="1:14">
      <c r="A368" s="25" t="s">
        <v>20</v>
      </c>
      <c r="B368" s="32">
        <f>B358</f>
        <v>1.274E-2</v>
      </c>
      <c r="C368" s="32">
        <f t="shared" ref="C368:M368" si="154">C358</f>
        <v>1.274E-2</v>
      </c>
      <c r="D368" s="32">
        <f t="shared" si="154"/>
        <v>1.274E-2</v>
      </c>
      <c r="E368" s="32">
        <f t="shared" si="154"/>
        <v>1.274E-2</v>
      </c>
      <c r="F368" s="32">
        <f t="shared" si="154"/>
        <v>1.274E-2</v>
      </c>
      <c r="G368" s="32">
        <f t="shared" si="154"/>
        <v>1.274E-2</v>
      </c>
      <c r="H368" s="32">
        <f t="shared" si="154"/>
        <v>1.274E-2</v>
      </c>
      <c r="I368" s="32">
        <f t="shared" si="154"/>
        <v>1.274E-2</v>
      </c>
      <c r="J368" s="32">
        <f t="shared" si="154"/>
        <v>1.274E-2</v>
      </c>
      <c r="K368" s="32">
        <f t="shared" si="154"/>
        <v>1.274E-2</v>
      </c>
      <c r="L368" s="32">
        <f t="shared" si="154"/>
        <v>1.274E-2</v>
      </c>
      <c r="M368" s="32">
        <f t="shared" si="154"/>
        <v>1.274E-2</v>
      </c>
      <c r="N368" s="19"/>
    </row>
    <row r="369" spans="1:14">
      <c r="A369" s="25" t="s">
        <v>17</v>
      </c>
      <c r="B369" s="20">
        <f t="shared" ref="B369:M369" si="155">B367*B368</f>
        <v>0</v>
      </c>
      <c r="C369" s="20">
        <f t="shared" si="155"/>
        <v>0</v>
      </c>
      <c r="D369" s="20">
        <f t="shared" si="155"/>
        <v>0</v>
      </c>
      <c r="E369" s="20">
        <f t="shared" si="155"/>
        <v>0</v>
      </c>
      <c r="F369" s="20">
        <f t="shared" si="155"/>
        <v>0</v>
      </c>
      <c r="G369" s="20">
        <f t="shared" si="155"/>
        <v>0</v>
      </c>
      <c r="H369" s="20">
        <f t="shared" si="155"/>
        <v>0</v>
      </c>
      <c r="I369" s="20">
        <f t="shared" si="155"/>
        <v>0</v>
      </c>
      <c r="J369" s="20">
        <f t="shared" si="155"/>
        <v>0</v>
      </c>
      <c r="K369" s="20">
        <f t="shared" si="155"/>
        <v>0</v>
      </c>
      <c r="L369" s="20">
        <f t="shared" si="155"/>
        <v>0</v>
      </c>
      <c r="M369" s="20">
        <f t="shared" si="155"/>
        <v>0</v>
      </c>
      <c r="N369" s="20">
        <f>SUM(B369:M369)</f>
        <v>0</v>
      </c>
    </row>
    <row r="370" spans="1:14">
      <c r="A370" s="25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>
      <c r="A371" s="393" t="s">
        <v>44</v>
      </c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</row>
    <row r="372" spans="1:14">
      <c r="A372" s="26" t="s">
        <v>16</v>
      </c>
      <c r="B372" s="27">
        <f>'TSAS Demand Revenues (7)'!B365</f>
        <v>0</v>
      </c>
      <c r="C372" s="27">
        <f>'TSAS Demand Revenues (7)'!C365</f>
        <v>0</v>
      </c>
      <c r="D372" s="27">
        <f>'TSAS Demand Revenues (7)'!D365</f>
        <v>0</v>
      </c>
      <c r="E372" s="27">
        <f>'TSAS Demand Revenues (7)'!E365</f>
        <v>0</v>
      </c>
      <c r="F372" s="27">
        <f>'TSAS Demand Revenues (7)'!F365</f>
        <v>0</v>
      </c>
      <c r="G372" s="27">
        <f>'TSAS Demand Revenues (7)'!G365</f>
        <v>0</v>
      </c>
      <c r="H372" s="27">
        <f>'TSAS Demand Revenues (7)'!H365</f>
        <v>0</v>
      </c>
      <c r="I372" s="27">
        <f>'TSAS Demand Revenues (7)'!I365</f>
        <v>0</v>
      </c>
      <c r="J372" s="27">
        <f>'TSAS Demand Revenues (7)'!J365</f>
        <v>0</v>
      </c>
      <c r="K372" s="27">
        <f>'TSAS Demand Revenues (7)'!K365</f>
        <v>0</v>
      </c>
      <c r="L372" s="27">
        <f>'TSAS Demand Revenues (7)'!L365</f>
        <v>0</v>
      </c>
      <c r="M372" s="27">
        <f>'TSAS Demand Revenues (7)'!M365</f>
        <v>0</v>
      </c>
      <c r="N372" s="27">
        <f>SUM(B372:M372)</f>
        <v>0</v>
      </c>
    </row>
    <row r="373" spans="1:14">
      <c r="A373" s="25" t="s">
        <v>20</v>
      </c>
      <c r="B373" s="32">
        <f>B363</f>
        <v>1.274E-2</v>
      </c>
      <c r="C373" s="32">
        <f t="shared" ref="C373:M373" si="156">+$B$32</f>
        <v>1.274E-2</v>
      </c>
      <c r="D373" s="32">
        <f t="shared" si="156"/>
        <v>1.274E-2</v>
      </c>
      <c r="E373" s="32">
        <f t="shared" si="156"/>
        <v>1.274E-2</v>
      </c>
      <c r="F373" s="32">
        <f t="shared" si="156"/>
        <v>1.274E-2</v>
      </c>
      <c r="G373" s="32">
        <f t="shared" si="156"/>
        <v>1.274E-2</v>
      </c>
      <c r="H373" s="32">
        <f t="shared" si="156"/>
        <v>1.274E-2</v>
      </c>
      <c r="I373" s="32">
        <f t="shared" si="156"/>
        <v>1.274E-2</v>
      </c>
      <c r="J373" s="32">
        <f t="shared" si="156"/>
        <v>1.274E-2</v>
      </c>
      <c r="K373" s="32">
        <f t="shared" si="156"/>
        <v>1.274E-2</v>
      </c>
      <c r="L373" s="32">
        <f t="shared" si="156"/>
        <v>1.274E-2</v>
      </c>
      <c r="M373" s="32">
        <f t="shared" si="156"/>
        <v>1.274E-2</v>
      </c>
      <c r="N373" s="19"/>
    </row>
    <row r="374" spans="1:14">
      <c r="A374" s="25" t="s">
        <v>17</v>
      </c>
      <c r="B374" s="20">
        <f t="shared" ref="B374:M374" si="157">B372*B373</f>
        <v>0</v>
      </c>
      <c r="C374" s="20">
        <f t="shared" si="157"/>
        <v>0</v>
      </c>
      <c r="D374" s="20">
        <f t="shared" si="157"/>
        <v>0</v>
      </c>
      <c r="E374" s="20">
        <f t="shared" si="157"/>
        <v>0</v>
      </c>
      <c r="F374" s="20">
        <f t="shared" si="157"/>
        <v>0</v>
      </c>
      <c r="G374" s="20">
        <f t="shared" si="157"/>
        <v>0</v>
      </c>
      <c r="H374" s="20">
        <f t="shared" si="157"/>
        <v>0</v>
      </c>
      <c r="I374" s="20">
        <f t="shared" si="157"/>
        <v>0</v>
      </c>
      <c r="J374" s="20">
        <f t="shared" si="157"/>
        <v>0</v>
      </c>
      <c r="K374" s="20">
        <f t="shared" si="157"/>
        <v>0</v>
      </c>
      <c r="L374" s="20">
        <f t="shared" si="157"/>
        <v>0</v>
      </c>
      <c r="M374" s="20">
        <f t="shared" si="157"/>
        <v>0</v>
      </c>
      <c r="N374" s="20">
        <f>SUM(B374:M374)</f>
        <v>0</v>
      </c>
    </row>
    <row r="375" spans="1:14" ht="6" customHeight="1">
      <c r="A375" s="25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>
      <c r="A376" s="393" t="s">
        <v>112</v>
      </c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</row>
    <row r="377" spans="1:14">
      <c r="A377" s="26" t="s">
        <v>16</v>
      </c>
      <c r="B377" s="27">
        <f>'TSAS Demand Revenues (7)'!B370</f>
        <v>100000</v>
      </c>
      <c r="C377" s="27">
        <f>'TSAS Demand Revenues (7)'!C370</f>
        <v>100000</v>
      </c>
      <c r="D377" s="27">
        <f>'TSAS Demand Revenues (7)'!D370</f>
        <v>100000</v>
      </c>
      <c r="E377" s="27">
        <f>'TSAS Demand Revenues (7)'!E370</f>
        <v>100000</v>
      </c>
      <c r="F377" s="27">
        <f>'TSAS Demand Revenues (7)'!F370</f>
        <v>100000</v>
      </c>
      <c r="G377" s="27">
        <f>'TSAS Demand Revenues (7)'!G370</f>
        <v>100000</v>
      </c>
      <c r="H377" s="27">
        <f>'TSAS Demand Revenues (7)'!H370</f>
        <v>100000</v>
      </c>
      <c r="I377" s="27">
        <f>'TSAS Demand Revenues (7)'!I370</f>
        <v>100000</v>
      </c>
      <c r="J377" s="27">
        <f>'TSAS Demand Revenues (7)'!J370</f>
        <v>100000</v>
      </c>
      <c r="K377" s="27">
        <f>'TSAS Demand Revenues (7)'!K370</f>
        <v>100000</v>
      </c>
      <c r="L377" s="27">
        <f>'TSAS Demand Revenues (7)'!L370</f>
        <v>100000</v>
      </c>
      <c r="M377" s="27">
        <f>'TSAS Demand Revenues (7)'!M370</f>
        <v>100000</v>
      </c>
      <c r="N377" s="27">
        <f>SUM(B377:M377)</f>
        <v>1200000</v>
      </c>
    </row>
    <row r="378" spans="1:14">
      <c r="A378" s="25" t="s">
        <v>20</v>
      </c>
      <c r="B378" s="32">
        <f>B373</f>
        <v>1.274E-2</v>
      </c>
      <c r="C378" s="32">
        <f t="shared" ref="C378:M378" si="158">+$B$32</f>
        <v>1.274E-2</v>
      </c>
      <c r="D378" s="32">
        <f t="shared" si="158"/>
        <v>1.274E-2</v>
      </c>
      <c r="E378" s="32">
        <f t="shared" si="158"/>
        <v>1.274E-2</v>
      </c>
      <c r="F378" s="32">
        <f t="shared" si="158"/>
        <v>1.274E-2</v>
      </c>
      <c r="G378" s="32">
        <f t="shared" si="158"/>
        <v>1.274E-2</v>
      </c>
      <c r="H378" s="32">
        <f t="shared" si="158"/>
        <v>1.274E-2</v>
      </c>
      <c r="I378" s="32">
        <f t="shared" si="158"/>
        <v>1.274E-2</v>
      </c>
      <c r="J378" s="32">
        <f t="shared" si="158"/>
        <v>1.274E-2</v>
      </c>
      <c r="K378" s="32">
        <f t="shared" si="158"/>
        <v>1.274E-2</v>
      </c>
      <c r="L378" s="32">
        <f t="shared" si="158"/>
        <v>1.274E-2</v>
      </c>
      <c r="M378" s="32">
        <f t="shared" si="158"/>
        <v>1.274E-2</v>
      </c>
      <c r="N378" s="19"/>
    </row>
    <row r="379" spans="1:14">
      <c r="A379" s="25" t="s">
        <v>17</v>
      </c>
      <c r="B379" s="20">
        <f t="shared" ref="B379:M379" si="159">B377*B378</f>
        <v>1274</v>
      </c>
      <c r="C379" s="20">
        <f t="shared" si="159"/>
        <v>1274</v>
      </c>
      <c r="D379" s="20">
        <f t="shared" si="159"/>
        <v>1274</v>
      </c>
      <c r="E379" s="20">
        <f t="shared" si="159"/>
        <v>1274</v>
      </c>
      <c r="F379" s="20">
        <f t="shared" si="159"/>
        <v>1274</v>
      </c>
      <c r="G379" s="20">
        <f t="shared" si="159"/>
        <v>1274</v>
      </c>
      <c r="H379" s="20">
        <f t="shared" si="159"/>
        <v>1274</v>
      </c>
      <c r="I379" s="20">
        <f t="shared" si="159"/>
        <v>1274</v>
      </c>
      <c r="J379" s="20">
        <f t="shared" si="159"/>
        <v>1274</v>
      </c>
      <c r="K379" s="20">
        <f t="shared" si="159"/>
        <v>1274</v>
      </c>
      <c r="L379" s="20">
        <f t="shared" si="159"/>
        <v>1274</v>
      </c>
      <c r="M379" s="20">
        <f t="shared" si="159"/>
        <v>1274</v>
      </c>
      <c r="N379" s="20">
        <f>SUM(B379:M379)</f>
        <v>15288</v>
      </c>
    </row>
    <row r="380" spans="1:14">
      <c r="A380" s="25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>
      <c r="A381" s="25" t="s">
        <v>165</v>
      </c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7"/>
    </row>
    <row r="382" spans="1:14">
      <c r="A382" s="26" t="s">
        <v>16</v>
      </c>
      <c r="B382" s="20">
        <v>0</v>
      </c>
      <c r="C382" s="20">
        <v>0</v>
      </c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7">
        <f>SUM(B382:M382)</f>
        <v>0</v>
      </c>
    </row>
    <row r="383" spans="1:14">
      <c r="A383" s="25" t="s">
        <v>20</v>
      </c>
      <c r="B383" s="32">
        <f>B378</f>
        <v>1.274E-2</v>
      </c>
      <c r="C383" s="32">
        <f t="shared" ref="C383:M383" si="160">C378</f>
        <v>1.274E-2</v>
      </c>
      <c r="D383" s="32">
        <f t="shared" si="160"/>
        <v>1.274E-2</v>
      </c>
      <c r="E383" s="32">
        <f t="shared" si="160"/>
        <v>1.274E-2</v>
      </c>
      <c r="F383" s="32">
        <f t="shared" si="160"/>
        <v>1.274E-2</v>
      </c>
      <c r="G383" s="32">
        <f t="shared" si="160"/>
        <v>1.274E-2</v>
      </c>
      <c r="H383" s="32">
        <f t="shared" si="160"/>
        <v>1.274E-2</v>
      </c>
      <c r="I383" s="32">
        <f t="shared" si="160"/>
        <v>1.274E-2</v>
      </c>
      <c r="J383" s="32">
        <f t="shared" si="160"/>
        <v>1.274E-2</v>
      </c>
      <c r="K383" s="32">
        <f t="shared" si="160"/>
        <v>1.274E-2</v>
      </c>
      <c r="L383" s="32">
        <f t="shared" si="160"/>
        <v>1.274E-2</v>
      </c>
      <c r="M383" s="32">
        <f t="shared" si="160"/>
        <v>1.274E-2</v>
      </c>
      <c r="N383" s="19"/>
    </row>
    <row r="384" spans="1:14">
      <c r="A384" s="25" t="s">
        <v>17</v>
      </c>
      <c r="B384" s="20">
        <f t="shared" ref="B384:M384" si="161">B382*B383</f>
        <v>0</v>
      </c>
      <c r="C384" s="20">
        <f t="shared" si="161"/>
        <v>0</v>
      </c>
      <c r="D384" s="20">
        <f t="shared" si="161"/>
        <v>0</v>
      </c>
      <c r="E384" s="20">
        <f t="shared" si="161"/>
        <v>0</v>
      </c>
      <c r="F384" s="20">
        <f t="shared" si="161"/>
        <v>0</v>
      </c>
      <c r="G384" s="20">
        <f t="shared" si="161"/>
        <v>0</v>
      </c>
      <c r="H384" s="20">
        <f t="shared" si="161"/>
        <v>0</v>
      </c>
      <c r="I384" s="20">
        <f t="shared" si="161"/>
        <v>0</v>
      </c>
      <c r="J384" s="20">
        <f t="shared" si="161"/>
        <v>0</v>
      </c>
      <c r="K384" s="20">
        <f t="shared" si="161"/>
        <v>0</v>
      </c>
      <c r="L384" s="20">
        <f t="shared" si="161"/>
        <v>0</v>
      </c>
      <c r="M384" s="20">
        <f t="shared" si="161"/>
        <v>0</v>
      </c>
      <c r="N384" s="20">
        <f>SUM(B384:M384)</f>
        <v>0</v>
      </c>
    </row>
    <row r="385" spans="1:14">
      <c r="A385" s="25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>
      <c r="A386" s="143" t="s">
        <v>25</v>
      </c>
      <c r="B386" s="142">
        <f t="shared" ref="B386:M386" si="162">B334+B339+B344+B349+B354+B359+B374+B364+B379+B384+B369</f>
        <v>3147.4934400000002</v>
      </c>
      <c r="C386" s="142">
        <f t="shared" si="162"/>
        <v>3147.4934400000002</v>
      </c>
      <c r="D386" s="142">
        <f t="shared" si="162"/>
        <v>3147.4934400000002</v>
      </c>
      <c r="E386" s="142">
        <f t="shared" si="162"/>
        <v>3147.4934400000002</v>
      </c>
      <c r="F386" s="142">
        <f t="shared" si="162"/>
        <v>3147.4934400000002</v>
      </c>
      <c r="G386" s="142">
        <f t="shared" si="162"/>
        <v>3147.4934400000002</v>
      </c>
      <c r="H386" s="142">
        <f t="shared" si="162"/>
        <v>3147.4934400000002</v>
      </c>
      <c r="I386" s="142">
        <f t="shared" si="162"/>
        <v>3147.4934400000002</v>
      </c>
      <c r="J386" s="142">
        <f t="shared" si="162"/>
        <v>3147.4934400000002</v>
      </c>
      <c r="K386" s="142">
        <f t="shared" si="162"/>
        <v>3147.4934400000002</v>
      </c>
      <c r="L386" s="142">
        <f t="shared" si="162"/>
        <v>3147.4934400000002</v>
      </c>
      <c r="M386" s="142">
        <f t="shared" si="162"/>
        <v>3147.4934400000002</v>
      </c>
      <c r="N386" s="142">
        <f>SUM(B386:M386)</f>
        <v>37769.921279999995</v>
      </c>
    </row>
    <row r="387" spans="1:14">
      <c r="A387" s="143" t="s">
        <v>59</v>
      </c>
      <c r="B387" s="144">
        <f t="shared" ref="B387:M387" si="163">B332+B337+B342+B347+B352+B357+B362+B372+B377+B382+B367</f>
        <v>247056</v>
      </c>
      <c r="C387" s="144">
        <f t="shared" si="163"/>
        <v>247056</v>
      </c>
      <c r="D387" s="144">
        <f t="shared" si="163"/>
        <v>247056</v>
      </c>
      <c r="E387" s="144">
        <f t="shared" si="163"/>
        <v>247056</v>
      </c>
      <c r="F387" s="144">
        <f t="shared" si="163"/>
        <v>247056</v>
      </c>
      <c r="G387" s="144">
        <f t="shared" si="163"/>
        <v>247056</v>
      </c>
      <c r="H387" s="144">
        <f t="shared" si="163"/>
        <v>247056</v>
      </c>
      <c r="I387" s="144">
        <f t="shared" si="163"/>
        <v>247056</v>
      </c>
      <c r="J387" s="144">
        <f t="shared" si="163"/>
        <v>247056</v>
      </c>
      <c r="K387" s="144">
        <f t="shared" si="163"/>
        <v>247056</v>
      </c>
      <c r="L387" s="144">
        <f t="shared" si="163"/>
        <v>247056</v>
      </c>
      <c r="M387" s="144">
        <f t="shared" si="163"/>
        <v>247056</v>
      </c>
      <c r="N387" s="142">
        <f>SUM(B387:M387)</f>
        <v>2964672</v>
      </c>
    </row>
    <row r="388" spans="1:14">
      <c r="A388" s="24">
        <f>+A328+1</f>
        <v>2020</v>
      </c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.2">
      <c r="A389" s="22" t="s">
        <v>19</v>
      </c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</row>
    <row r="391" spans="1:14">
      <c r="A391" s="393" t="s">
        <v>344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</row>
    <row r="392" spans="1:14">
      <c r="A392" s="26" t="s">
        <v>16</v>
      </c>
      <c r="B392" s="27">
        <f>'TSAS Demand Revenues (7)'!B380</f>
        <v>5000</v>
      </c>
      <c r="C392" s="27">
        <f>'TSAS Demand Revenues (7)'!C380</f>
        <v>5000</v>
      </c>
      <c r="D392" s="27">
        <f>'TSAS Demand Revenues (7)'!D380</f>
        <v>5000</v>
      </c>
      <c r="E392" s="27">
        <f>'TSAS Demand Revenues (7)'!E380</f>
        <v>5000</v>
      </c>
      <c r="F392" s="27">
        <f>'TSAS Demand Revenues (7)'!F380</f>
        <v>5000</v>
      </c>
      <c r="G392" s="27">
        <f>'TSAS Demand Revenues (7)'!G380</f>
        <v>5000</v>
      </c>
      <c r="H392" s="27">
        <f>'TSAS Demand Revenues (7)'!H380</f>
        <v>5000</v>
      </c>
      <c r="I392" s="27">
        <f>'TSAS Demand Revenues (7)'!I380</f>
        <v>5000</v>
      </c>
      <c r="J392" s="27">
        <f>'TSAS Demand Revenues (7)'!J380</f>
        <v>5000</v>
      </c>
      <c r="K392" s="27">
        <f>'TSAS Demand Revenues (7)'!K380</f>
        <v>5000</v>
      </c>
      <c r="L392" s="27">
        <f>'TSAS Demand Revenues (7)'!L380</f>
        <v>5000</v>
      </c>
      <c r="M392" s="27">
        <f>'TSAS Demand Revenues (7)'!M380</f>
        <v>5000</v>
      </c>
      <c r="N392" s="27">
        <f>SUM(B392:M392)</f>
        <v>60000</v>
      </c>
    </row>
    <row r="393" spans="1:14">
      <c r="A393" s="25" t="s">
        <v>20</v>
      </c>
      <c r="B393" s="31">
        <f>B378</f>
        <v>1.274E-2</v>
      </c>
      <c r="C393" s="31">
        <f t="shared" ref="C393:M393" si="164">+$B$12</f>
        <v>1.274E-2</v>
      </c>
      <c r="D393" s="31">
        <f t="shared" si="164"/>
        <v>1.274E-2</v>
      </c>
      <c r="E393" s="31">
        <f t="shared" si="164"/>
        <v>1.274E-2</v>
      </c>
      <c r="F393" s="31">
        <f t="shared" si="164"/>
        <v>1.274E-2</v>
      </c>
      <c r="G393" s="31">
        <f t="shared" si="164"/>
        <v>1.274E-2</v>
      </c>
      <c r="H393" s="31">
        <f t="shared" si="164"/>
        <v>1.274E-2</v>
      </c>
      <c r="I393" s="31">
        <f t="shared" si="164"/>
        <v>1.274E-2</v>
      </c>
      <c r="J393" s="31">
        <f t="shared" si="164"/>
        <v>1.274E-2</v>
      </c>
      <c r="K393" s="31">
        <f t="shared" si="164"/>
        <v>1.274E-2</v>
      </c>
      <c r="L393" s="31">
        <f t="shared" si="164"/>
        <v>1.274E-2</v>
      </c>
      <c r="M393" s="31">
        <f t="shared" si="164"/>
        <v>1.274E-2</v>
      </c>
      <c r="N393" s="19"/>
    </row>
    <row r="394" spans="1:14">
      <c r="A394" s="25" t="s">
        <v>17</v>
      </c>
      <c r="B394" s="20">
        <f t="shared" ref="B394:M394" si="165">B392*B393</f>
        <v>63.699999999999996</v>
      </c>
      <c r="C394" s="20">
        <f t="shared" si="165"/>
        <v>63.699999999999996</v>
      </c>
      <c r="D394" s="20">
        <f t="shared" si="165"/>
        <v>63.699999999999996</v>
      </c>
      <c r="E394" s="20">
        <f t="shared" si="165"/>
        <v>63.699999999999996</v>
      </c>
      <c r="F394" s="20">
        <f t="shared" si="165"/>
        <v>63.699999999999996</v>
      </c>
      <c r="G394" s="20">
        <f t="shared" si="165"/>
        <v>63.699999999999996</v>
      </c>
      <c r="H394" s="20">
        <f t="shared" si="165"/>
        <v>63.699999999999996</v>
      </c>
      <c r="I394" s="20">
        <f t="shared" si="165"/>
        <v>63.699999999999996</v>
      </c>
      <c r="J394" s="20">
        <f t="shared" si="165"/>
        <v>63.699999999999996</v>
      </c>
      <c r="K394" s="20">
        <f t="shared" si="165"/>
        <v>63.699999999999996</v>
      </c>
      <c r="L394" s="20">
        <f t="shared" si="165"/>
        <v>63.699999999999996</v>
      </c>
      <c r="M394" s="20">
        <f t="shared" si="165"/>
        <v>63.699999999999996</v>
      </c>
      <c r="N394" s="20">
        <f>SUM(B394:M394)</f>
        <v>764.40000000000009</v>
      </c>
    </row>
    <row r="395" spans="1:14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</row>
    <row r="396" spans="1:14">
      <c r="A396" s="25" t="s">
        <v>21</v>
      </c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</row>
    <row r="397" spans="1:14">
      <c r="A397" s="26" t="s">
        <v>16</v>
      </c>
      <c r="B397" s="27">
        <f>'TSAS Demand Revenues (7)'!B390</f>
        <v>0</v>
      </c>
      <c r="C397" s="27">
        <f>'TSAS Demand Revenues (7)'!C390</f>
        <v>0</v>
      </c>
      <c r="D397" s="27">
        <f>'TSAS Demand Revenues (7)'!D390</f>
        <v>0</v>
      </c>
      <c r="E397" s="27">
        <f>'TSAS Demand Revenues (7)'!E390</f>
        <v>0</v>
      </c>
      <c r="F397" s="27">
        <f>'TSAS Demand Revenues (7)'!F390</f>
        <v>0</v>
      </c>
      <c r="G397" s="27">
        <f>'TSAS Demand Revenues (7)'!G390</f>
        <v>0</v>
      </c>
      <c r="H397" s="27">
        <f>'TSAS Demand Revenues (7)'!H390</f>
        <v>0</v>
      </c>
      <c r="I397" s="27">
        <f>'TSAS Demand Revenues (7)'!I390</f>
        <v>0</v>
      </c>
      <c r="J397" s="27">
        <f>'TSAS Demand Revenues (7)'!J390</f>
        <v>0</v>
      </c>
      <c r="K397" s="27">
        <f>'TSAS Demand Revenues (7)'!K390</f>
        <v>0</v>
      </c>
      <c r="L397" s="27">
        <f>'TSAS Demand Revenues (7)'!L390</f>
        <v>0</v>
      </c>
      <c r="M397" s="27">
        <f>'TSAS Demand Revenues (7)'!M390</f>
        <v>0</v>
      </c>
      <c r="N397" s="27">
        <f>SUM(B397:M397)</f>
        <v>0</v>
      </c>
    </row>
    <row r="398" spans="1:14">
      <c r="A398" s="25" t="s">
        <v>20</v>
      </c>
      <c r="B398" s="31">
        <f>B393</f>
        <v>1.274E-2</v>
      </c>
      <c r="C398" s="31">
        <f t="shared" ref="C398:M398" si="166">+$B$17</f>
        <v>1.274E-2</v>
      </c>
      <c r="D398" s="31">
        <f t="shared" si="166"/>
        <v>1.274E-2</v>
      </c>
      <c r="E398" s="31">
        <f t="shared" si="166"/>
        <v>1.274E-2</v>
      </c>
      <c r="F398" s="31">
        <f t="shared" si="166"/>
        <v>1.274E-2</v>
      </c>
      <c r="G398" s="31">
        <f t="shared" si="166"/>
        <v>1.274E-2</v>
      </c>
      <c r="H398" s="31">
        <f t="shared" si="166"/>
        <v>1.274E-2</v>
      </c>
      <c r="I398" s="31">
        <f t="shared" si="166"/>
        <v>1.274E-2</v>
      </c>
      <c r="J398" s="31">
        <f t="shared" si="166"/>
        <v>1.274E-2</v>
      </c>
      <c r="K398" s="31">
        <f t="shared" si="166"/>
        <v>1.274E-2</v>
      </c>
      <c r="L398" s="31">
        <f t="shared" si="166"/>
        <v>1.274E-2</v>
      </c>
      <c r="M398" s="31">
        <f t="shared" si="166"/>
        <v>1.274E-2</v>
      </c>
      <c r="N398" s="19"/>
    </row>
    <row r="399" spans="1:14">
      <c r="A399" s="25" t="s">
        <v>17</v>
      </c>
      <c r="B399" s="20">
        <f t="shared" ref="B399:M399" si="167">B397*B398</f>
        <v>0</v>
      </c>
      <c r="C399" s="20">
        <f t="shared" si="167"/>
        <v>0</v>
      </c>
      <c r="D399" s="20">
        <f t="shared" si="167"/>
        <v>0</v>
      </c>
      <c r="E399" s="20">
        <f t="shared" si="167"/>
        <v>0</v>
      </c>
      <c r="F399" s="20">
        <f t="shared" si="167"/>
        <v>0</v>
      </c>
      <c r="G399" s="20">
        <f t="shared" si="167"/>
        <v>0</v>
      </c>
      <c r="H399" s="20">
        <f t="shared" si="167"/>
        <v>0</v>
      </c>
      <c r="I399" s="20">
        <f t="shared" si="167"/>
        <v>0</v>
      </c>
      <c r="J399" s="20">
        <f t="shared" si="167"/>
        <v>0</v>
      </c>
      <c r="K399" s="20">
        <f t="shared" si="167"/>
        <v>0</v>
      </c>
      <c r="L399" s="20">
        <f t="shared" si="167"/>
        <v>0</v>
      </c>
      <c r="M399" s="20">
        <f t="shared" si="167"/>
        <v>0</v>
      </c>
      <c r="N399" s="20">
        <f>SUM(B399:M399)</f>
        <v>0</v>
      </c>
    </row>
    <row r="400" spans="1:14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</row>
    <row r="401" spans="1:14">
      <c r="A401" s="25" t="s">
        <v>22</v>
      </c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</row>
    <row r="402" spans="1:14">
      <c r="A402" s="26" t="s">
        <v>16</v>
      </c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>
        <f>SUM(B402:M402)</f>
        <v>0</v>
      </c>
    </row>
    <row r="403" spans="1:14">
      <c r="A403" s="25" t="s">
        <v>20</v>
      </c>
      <c r="B403" s="32">
        <f>B398</f>
        <v>1.274E-2</v>
      </c>
      <c r="C403" s="32">
        <f t="shared" ref="C403:M403" si="168">+$B$22</f>
        <v>1.274E-2</v>
      </c>
      <c r="D403" s="32">
        <f t="shared" si="168"/>
        <v>1.274E-2</v>
      </c>
      <c r="E403" s="32">
        <f t="shared" si="168"/>
        <v>1.274E-2</v>
      </c>
      <c r="F403" s="32">
        <f t="shared" si="168"/>
        <v>1.274E-2</v>
      </c>
      <c r="G403" s="32">
        <f t="shared" si="168"/>
        <v>1.274E-2</v>
      </c>
      <c r="H403" s="32">
        <f t="shared" si="168"/>
        <v>1.274E-2</v>
      </c>
      <c r="I403" s="32">
        <f t="shared" si="168"/>
        <v>1.274E-2</v>
      </c>
      <c r="J403" s="32">
        <f t="shared" si="168"/>
        <v>1.274E-2</v>
      </c>
      <c r="K403" s="32">
        <f t="shared" si="168"/>
        <v>1.274E-2</v>
      </c>
      <c r="L403" s="32">
        <f t="shared" si="168"/>
        <v>1.274E-2</v>
      </c>
      <c r="M403" s="32">
        <f t="shared" si="168"/>
        <v>1.274E-2</v>
      </c>
      <c r="N403" s="19"/>
    </row>
    <row r="404" spans="1:14">
      <c r="A404" s="25" t="s">
        <v>17</v>
      </c>
      <c r="B404" s="20">
        <f t="shared" ref="B404:M404" si="169">B402*B403</f>
        <v>0</v>
      </c>
      <c r="C404" s="20">
        <f t="shared" si="169"/>
        <v>0</v>
      </c>
      <c r="D404" s="20">
        <f t="shared" si="169"/>
        <v>0</v>
      </c>
      <c r="E404" s="20">
        <f t="shared" si="169"/>
        <v>0</v>
      </c>
      <c r="F404" s="20">
        <f t="shared" si="169"/>
        <v>0</v>
      </c>
      <c r="G404" s="20">
        <f t="shared" si="169"/>
        <v>0</v>
      </c>
      <c r="H404" s="20">
        <f t="shared" si="169"/>
        <v>0</v>
      </c>
      <c r="I404" s="20">
        <f t="shared" si="169"/>
        <v>0</v>
      </c>
      <c r="J404" s="20">
        <f t="shared" si="169"/>
        <v>0</v>
      </c>
      <c r="K404" s="20">
        <f t="shared" si="169"/>
        <v>0</v>
      </c>
      <c r="L404" s="20">
        <f t="shared" si="169"/>
        <v>0</v>
      </c>
      <c r="M404" s="20">
        <f t="shared" si="169"/>
        <v>0</v>
      </c>
      <c r="N404" s="20">
        <f>SUM(B404:M404)</f>
        <v>0</v>
      </c>
    </row>
    <row r="405" spans="1:14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</row>
    <row r="406" spans="1:14">
      <c r="A406" s="393" t="s">
        <v>23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</row>
    <row r="407" spans="1:14">
      <c r="A407" s="26" t="s">
        <v>16</v>
      </c>
      <c r="B407" s="27">
        <f>'TSAS Demand Revenues (7)'!B395</f>
        <v>37056</v>
      </c>
      <c r="C407" s="27">
        <f>'TSAS Demand Revenues (7)'!C395</f>
        <v>37056</v>
      </c>
      <c r="D407" s="27">
        <f>'TSAS Demand Revenues (7)'!D395</f>
        <v>37056</v>
      </c>
      <c r="E407" s="27">
        <f>'TSAS Demand Revenues (7)'!E395</f>
        <v>37056</v>
      </c>
      <c r="F407" s="27">
        <f>'TSAS Demand Revenues (7)'!F395</f>
        <v>37056</v>
      </c>
      <c r="G407" s="27">
        <f>'TSAS Demand Revenues (7)'!G395</f>
        <v>37056</v>
      </c>
      <c r="H407" s="27">
        <f>'TSAS Demand Revenues (7)'!H395</f>
        <v>37056</v>
      </c>
      <c r="I407" s="27">
        <f>'TSAS Demand Revenues (7)'!I395</f>
        <v>37056</v>
      </c>
      <c r="J407" s="27">
        <f>'TSAS Demand Revenues (7)'!J395</f>
        <v>37056</v>
      </c>
      <c r="K407" s="27">
        <f>'TSAS Demand Revenues (7)'!K395</f>
        <v>37056</v>
      </c>
      <c r="L407" s="27">
        <f>'TSAS Demand Revenues (7)'!L395</f>
        <v>37056</v>
      </c>
      <c r="M407" s="27">
        <f>'TSAS Demand Revenues (7)'!M395</f>
        <v>37056</v>
      </c>
      <c r="N407" s="27">
        <f>SUM(B407:M407)</f>
        <v>444672</v>
      </c>
    </row>
    <row r="408" spans="1:14">
      <c r="A408" s="25" t="s">
        <v>20</v>
      </c>
      <c r="B408" s="32">
        <f t="shared" ref="B408:M408" si="170">+$B$27</f>
        <v>1.274E-2</v>
      </c>
      <c r="C408" s="32">
        <f t="shared" si="170"/>
        <v>1.274E-2</v>
      </c>
      <c r="D408" s="32">
        <f t="shared" si="170"/>
        <v>1.274E-2</v>
      </c>
      <c r="E408" s="32">
        <f t="shared" si="170"/>
        <v>1.274E-2</v>
      </c>
      <c r="F408" s="32">
        <f t="shared" si="170"/>
        <v>1.274E-2</v>
      </c>
      <c r="G408" s="32">
        <f t="shared" si="170"/>
        <v>1.274E-2</v>
      </c>
      <c r="H408" s="32">
        <f t="shared" si="170"/>
        <v>1.274E-2</v>
      </c>
      <c r="I408" s="32">
        <f t="shared" si="170"/>
        <v>1.274E-2</v>
      </c>
      <c r="J408" s="32">
        <f t="shared" si="170"/>
        <v>1.274E-2</v>
      </c>
      <c r="K408" s="32">
        <f t="shared" si="170"/>
        <v>1.274E-2</v>
      </c>
      <c r="L408" s="32">
        <f t="shared" si="170"/>
        <v>1.274E-2</v>
      </c>
      <c r="M408" s="32">
        <f t="shared" si="170"/>
        <v>1.274E-2</v>
      </c>
      <c r="N408" s="19"/>
    </row>
    <row r="409" spans="1:14">
      <c r="A409" s="25" t="s">
        <v>17</v>
      </c>
      <c r="B409" s="20">
        <f t="shared" ref="B409:M409" si="171">B407*B408</f>
        <v>472.09343999999999</v>
      </c>
      <c r="C409" s="20">
        <f t="shared" si="171"/>
        <v>472.09343999999999</v>
      </c>
      <c r="D409" s="20">
        <f t="shared" si="171"/>
        <v>472.09343999999999</v>
      </c>
      <c r="E409" s="20">
        <f t="shared" si="171"/>
        <v>472.09343999999999</v>
      </c>
      <c r="F409" s="20">
        <f t="shared" si="171"/>
        <v>472.09343999999999</v>
      </c>
      <c r="G409" s="20">
        <f t="shared" si="171"/>
        <v>472.09343999999999</v>
      </c>
      <c r="H409" s="20">
        <f t="shared" si="171"/>
        <v>472.09343999999999</v>
      </c>
      <c r="I409" s="20">
        <f t="shared" si="171"/>
        <v>472.09343999999999</v>
      </c>
      <c r="J409" s="20">
        <f t="shared" si="171"/>
        <v>472.09343999999999</v>
      </c>
      <c r="K409" s="20">
        <f t="shared" si="171"/>
        <v>472.09343999999999</v>
      </c>
      <c r="L409" s="20">
        <f t="shared" si="171"/>
        <v>472.09343999999999</v>
      </c>
      <c r="M409" s="20">
        <f t="shared" si="171"/>
        <v>472.09343999999999</v>
      </c>
      <c r="N409" s="20">
        <f>SUM(B409:M409)</f>
        <v>5665.1212799999994</v>
      </c>
    </row>
    <row r="410" spans="1:14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</row>
    <row r="411" spans="1:14">
      <c r="A411" s="393" t="s">
        <v>24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</row>
    <row r="412" spans="1:14">
      <c r="A412" s="26" t="s">
        <v>16</v>
      </c>
      <c r="B412" s="27">
        <f>'TSAS Demand Revenues (7)'!B400</f>
        <v>62000</v>
      </c>
      <c r="C412" s="27">
        <f>'TSAS Demand Revenues (7)'!C400</f>
        <v>62000</v>
      </c>
      <c r="D412" s="27">
        <f>'TSAS Demand Revenues (7)'!D400</f>
        <v>62000</v>
      </c>
      <c r="E412" s="27">
        <f>'TSAS Demand Revenues (7)'!E400</f>
        <v>62000</v>
      </c>
      <c r="F412" s="27">
        <f>'TSAS Demand Revenues (7)'!F400</f>
        <v>62000</v>
      </c>
      <c r="G412" s="27">
        <f>'TSAS Demand Revenues (7)'!G400</f>
        <v>62000</v>
      </c>
      <c r="H412" s="27">
        <f>'TSAS Demand Revenues (7)'!H400</f>
        <v>62000</v>
      </c>
      <c r="I412" s="27">
        <f>'TSAS Demand Revenues (7)'!I400</f>
        <v>62000</v>
      </c>
      <c r="J412" s="27">
        <f>'TSAS Demand Revenues (7)'!J400</f>
        <v>62000</v>
      </c>
      <c r="K412" s="27">
        <f>'TSAS Demand Revenues (7)'!K400</f>
        <v>62000</v>
      </c>
      <c r="L412" s="27">
        <f>'TSAS Demand Revenues (7)'!L400</f>
        <v>62000</v>
      </c>
      <c r="M412" s="27">
        <f>'TSAS Demand Revenues (7)'!M400</f>
        <v>62000</v>
      </c>
      <c r="N412" s="27">
        <f>SUM(B412:M412)</f>
        <v>744000</v>
      </c>
    </row>
    <row r="413" spans="1:14">
      <c r="A413" s="25" t="s">
        <v>20</v>
      </c>
      <c r="B413" s="32">
        <f>B408</f>
        <v>1.274E-2</v>
      </c>
      <c r="C413" s="32">
        <f t="shared" ref="C413:M413" si="172">+$B$32</f>
        <v>1.274E-2</v>
      </c>
      <c r="D413" s="32">
        <f t="shared" si="172"/>
        <v>1.274E-2</v>
      </c>
      <c r="E413" s="32">
        <f t="shared" si="172"/>
        <v>1.274E-2</v>
      </c>
      <c r="F413" s="32">
        <f t="shared" si="172"/>
        <v>1.274E-2</v>
      </c>
      <c r="G413" s="32">
        <f t="shared" si="172"/>
        <v>1.274E-2</v>
      </c>
      <c r="H413" s="32">
        <f t="shared" si="172"/>
        <v>1.274E-2</v>
      </c>
      <c r="I413" s="32">
        <f t="shared" si="172"/>
        <v>1.274E-2</v>
      </c>
      <c r="J413" s="32">
        <f t="shared" si="172"/>
        <v>1.274E-2</v>
      </c>
      <c r="K413" s="32">
        <f t="shared" si="172"/>
        <v>1.274E-2</v>
      </c>
      <c r="L413" s="32">
        <f t="shared" si="172"/>
        <v>1.274E-2</v>
      </c>
      <c r="M413" s="32">
        <f t="shared" si="172"/>
        <v>1.274E-2</v>
      </c>
      <c r="N413" s="19"/>
    </row>
    <row r="414" spans="1:14">
      <c r="A414" s="25" t="s">
        <v>17</v>
      </c>
      <c r="B414" s="20">
        <f t="shared" ref="B414:M414" si="173">B412*B413</f>
        <v>789.88</v>
      </c>
      <c r="C414" s="20">
        <f t="shared" si="173"/>
        <v>789.88</v>
      </c>
      <c r="D414" s="20">
        <f t="shared" si="173"/>
        <v>789.88</v>
      </c>
      <c r="E414" s="20">
        <f t="shared" si="173"/>
        <v>789.88</v>
      </c>
      <c r="F414" s="20">
        <f t="shared" si="173"/>
        <v>789.88</v>
      </c>
      <c r="G414" s="20">
        <f t="shared" si="173"/>
        <v>789.88</v>
      </c>
      <c r="H414" s="20">
        <f t="shared" si="173"/>
        <v>789.88</v>
      </c>
      <c r="I414" s="20">
        <f t="shared" si="173"/>
        <v>789.88</v>
      </c>
      <c r="J414" s="20">
        <f t="shared" si="173"/>
        <v>789.88</v>
      </c>
      <c r="K414" s="20">
        <f t="shared" si="173"/>
        <v>789.88</v>
      </c>
      <c r="L414" s="20">
        <f t="shared" si="173"/>
        <v>789.88</v>
      </c>
      <c r="M414" s="20">
        <f t="shared" si="173"/>
        <v>789.88</v>
      </c>
      <c r="N414" s="20">
        <f>SUM(B414:M414)</f>
        <v>9478.56</v>
      </c>
    </row>
    <row r="415" spans="1:14">
      <c r="A415" s="25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>
      <c r="A416" s="393" t="s">
        <v>111</v>
      </c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</row>
    <row r="417" spans="1:14">
      <c r="A417" s="26" t="s">
        <v>16</v>
      </c>
      <c r="B417" s="27">
        <f>'TSAS Demand Revenues (7)'!B405</f>
        <v>40000</v>
      </c>
      <c r="C417" s="27">
        <f>'TSAS Demand Revenues (7)'!C405</f>
        <v>0</v>
      </c>
      <c r="D417" s="27">
        <f>'TSAS Demand Revenues (7)'!D405</f>
        <v>0</v>
      </c>
      <c r="E417" s="27">
        <f>'TSAS Demand Revenues (7)'!E405</f>
        <v>0</v>
      </c>
      <c r="F417" s="27">
        <f>'TSAS Demand Revenues (7)'!F405</f>
        <v>0</v>
      </c>
      <c r="G417" s="27">
        <f>'TSAS Demand Revenues (7)'!G405</f>
        <v>0</v>
      </c>
      <c r="H417" s="27">
        <f>'TSAS Demand Revenues (7)'!H405</f>
        <v>0</v>
      </c>
      <c r="I417" s="27">
        <f>'TSAS Demand Revenues (7)'!I405</f>
        <v>0</v>
      </c>
      <c r="J417" s="27">
        <f>'TSAS Demand Revenues (7)'!J405</f>
        <v>0</v>
      </c>
      <c r="K417" s="27">
        <f>'TSAS Demand Revenues (7)'!K405</f>
        <v>0</v>
      </c>
      <c r="L417" s="27">
        <f>'TSAS Demand Revenues (7)'!L405</f>
        <v>0</v>
      </c>
      <c r="M417" s="27">
        <f>'TSAS Demand Revenues (7)'!M405</f>
        <v>0</v>
      </c>
      <c r="N417" s="27">
        <f>SUM(B417:M417)</f>
        <v>40000</v>
      </c>
    </row>
    <row r="418" spans="1:14">
      <c r="A418" s="25" t="s">
        <v>20</v>
      </c>
      <c r="B418" s="32">
        <f>B413</f>
        <v>1.274E-2</v>
      </c>
      <c r="C418" s="32">
        <f t="shared" ref="C418" si="174">B418</f>
        <v>1.274E-2</v>
      </c>
      <c r="D418" s="32">
        <f t="shared" ref="D418" si="175">C418</f>
        <v>1.274E-2</v>
      </c>
      <c r="E418" s="32">
        <f t="shared" ref="E418" si="176">D418</f>
        <v>1.274E-2</v>
      </c>
      <c r="F418" s="32">
        <f t="shared" ref="F418" si="177">E418</f>
        <v>1.274E-2</v>
      </c>
      <c r="G418" s="32">
        <f t="shared" ref="G418" si="178">F418</f>
        <v>1.274E-2</v>
      </c>
      <c r="H418" s="32">
        <f t="shared" ref="H418" si="179">G418</f>
        <v>1.274E-2</v>
      </c>
      <c r="I418" s="32">
        <f t="shared" ref="I418" si="180">H418</f>
        <v>1.274E-2</v>
      </c>
      <c r="J418" s="32">
        <f t="shared" ref="J418" si="181">I418</f>
        <v>1.274E-2</v>
      </c>
      <c r="K418" s="32">
        <f t="shared" ref="K418" si="182">J418</f>
        <v>1.274E-2</v>
      </c>
      <c r="L418" s="32">
        <f t="shared" ref="L418" si="183">K418</f>
        <v>1.274E-2</v>
      </c>
      <c r="M418" s="32">
        <f t="shared" ref="M418" si="184">L418</f>
        <v>1.274E-2</v>
      </c>
      <c r="N418" s="19"/>
    </row>
    <row r="419" spans="1:14">
      <c r="A419" s="25" t="s">
        <v>17</v>
      </c>
      <c r="B419" s="20">
        <f t="shared" ref="B419:M419" si="185">B417*B418</f>
        <v>509.59999999999997</v>
      </c>
      <c r="C419" s="20">
        <f t="shared" si="185"/>
        <v>0</v>
      </c>
      <c r="D419" s="20">
        <f t="shared" si="185"/>
        <v>0</v>
      </c>
      <c r="E419" s="20">
        <f t="shared" si="185"/>
        <v>0</v>
      </c>
      <c r="F419" s="20">
        <f t="shared" si="185"/>
        <v>0</v>
      </c>
      <c r="G419" s="20">
        <f t="shared" si="185"/>
        <v>0</v>
      </c>
      <c r="H419" s="20">
        <f t="shared" si="185"/>
        <v>0</v>
      </c>
      <c r="I419" s="20">
        <f t="shared" si="185"/>
        <v>0</v>
      </c>
      <c r="J419" s="20">
        <f t="shared" si="185"/>
        <v>0</v>
      </c>
      <c r="K419" s="20">
        <f t="shared" si="185"/>
        <v>0</v>
      </c>
      <c r="L419" s="20">
        <f t="shared" si="185"/>
        <v>0</v>
      </c>
      <c r="M419" s="20">
        <f t="shared" si="185"/>
        <v>0</v>
      </c>
      <c r="N419" s="20">
        <f>SUM(B419:M419)</f>
        <v>509.59999999999997</v>
      </c>
    </row>
    <row r="420" spans="1:14">
      <c r="A420" s="25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>
      <c r="A421" s="393" t="s">
        <v>222</v>
      </c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</row>
    <row r="422" spans="1:14">
      <c r="A422" s="26" t="s">
        <v>16</v>
      </c>
      <c r="B422" s="27">
        <f>'TSAS Demand Revenues (7)'!B410</f>
        <v>3000</v>
      </c>
      <c r="C422" s="27">
        <f>'TSAS Demand Revenues (7)'!C410</f>
        <v>3000</v>
      </c>
      <c r="D422" s="27">
        <f>'TSAS Demand Revenues (7)'!D410</f>
        <v>3000</v>
      </c>
      <c r="E422" s="27">
        <f>'TSAS Demand Revenues (7)'!E410</f>
        <v>3000</v>
      </c>
      <c r="F422" s="27">
        <f>'TSAS Demand Revenues (7)'!F410</f>
        <v>3000</v>
      </c>
      <c r="G422" s="27">
        <f>'TSAS Demand Revenues (7)'!G410</f>
        <v>3000</v>
      </c>
      <c r="H422" s="27">
        <f>'TSAS Demand Revenues (7)'!H410</f>
        <v>3000</v>
      </c>
      <c r="I422" s="27">
        <f>'TSAS Demand Revenues (7)'!I410</f>
        <v>3000</v>
      </c>
      <c r="J422" s="27">
        <f>'TSAS Demand Revenues (7)'!J410</f>
        <v>3000</v>
      </c>
      <c r="K422" s="27">
        <f>'TSAS Demand Revenues (7)'!K410</f>
        <v>3000</v>
      </c>
      <c r="L422" s="27">
        <f>'TSAS Demand Revenues (7)'!L410</f>
        <v>3000</v>
      </c>
      <c r="M422" s="27">
        <f>'TSAS Demand Revenues (7)'!M410</f>
        <v>3000</v>
      </c>
      <c r="N422" s="27">
        <f>SUM(B422:M422)</f>
        <v>36000</v>
      </c>
    </row>
    <row r="423" spans="1:14">
      <c r="A423" s="25" t="s">
        <v>20</v>
      </c>
      <c r="B423" s="32">
        <f>B418</f>
        <v>1.274E-2</v>
      </c>
      <c r="C423" s="32">
        <f t="shared" ref="C423" si="186">B423</f>
        <v>1.274E-2</v>
      </c>
      <c r="D423" s="32">
        <f t="shared" ref="D423" si="187">C423</f>
        <v>1.274E-2</v>
      </c>
      <c r="E423" s="32">
        <f t="shared" ref="E423" si="188">D423</f>
        <v>1.274E-2</v>
      </c>
      <c r="F423" s="32">
        <f t="shared" ref="F423" si="189">E423</f>
        <v>1.274E-2</v>
      </c>
      <c r="G423" s="32">
        <f t="shared" ref="G423" si="190">F423</f>
        <v>1.274E-2</v>
      </c>
      <c r="H423" s="32">
        <f t="shared" ref="H423" si="191">G423</f>
        <v>1.274E-2</v>
      </c>
      <c r="I423" s="32">
        <f t="shared" ref="I423" si="192">H423</f>
        <v>1.274E-2</v>
      </c>
      <c r="J423" s="32">
        <f t="shared" ref="J423" si="193">I423</f>
        <v>1.274E-2</v>
      </c>
      <c r="K423" s="32">
        <f t="shared" ref="K423" si="194">J423</f>
        <v>1.274E-2</v>
      </c>
      <c r="L423" s="32">
        <f t="shared" ref="L423" si="195">K423</f>
        <v>1.274E-2</v>
      </c>
      <c r="M423" s="32">
        <f t="shared" ref="M423" si="196">L423</f>
        <v>1.274E-2</v>
      </c>
      <c r="N423" s="19"/>
    </row>
    <row r="424" spans="1:14">
      <c r="A424" s="25" t="s">
        <v>17</v>
      </c>
      <c r="B424" s="20">
        <f t="shared" ref="B424:M424" si="197">B422*B423</f>
        <v>38.22</v>
      </c>
      <c r="C424" s="20">
        <f t="shared" si="197"/>
        <v>38.22</v>
      </c>
      <c r="D424" s="20">
        <f t="shared" si="197"/>
        <v>38.22</v>
      </c>
      <c r="E424" s="20">
        <f t="shared" si="197"/>
        <v>38.22</v>
      </c>
      <c r="F424" s="20">
        <f t="shared" si="197"/>
        <v>38.22</v>
      </c>
      <c r="G424" s="20">
        <f t="shared" si="197"/>
        <v>38.22</v>
      </c>
      <c r="H424" s="20">
        <f t="shared" si="197"/>
        <v>38.22</v>
      </c>
      <c r="I424" s="20">
        <f t="shared" si="197"/>
        <v>38.22</v>
      </c>
      <c r="J424" s="20">
        <f t="shared" si="197"/>
        <v>38.22</v>
      </c>
      <c r="K424" s="20">
        <f t="shared" si="197"/>
        <v>38.22</v>
      </c>
      <c r="L424" s="20">
        <f t="shared" si="197"/>
        <v>38.22</v>
      </c>
      <c r="M424" s="20">
        <f t="shared" si="197"/>
        <v>38.22</v>
      </c>
      <c r="N424" s="20">
        <f>SUM(B424:M424)</f>
        <v>458.6400000000001</v>
      </c>
    </row>
    <row r="425" spans="1:14">
      <c r="A425" s="25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>
      <c r="A426" s="393" t="s">
        <v>173</v>
      </c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</row>
    <row r="427" spans="1:14">
      <c r="A427" s="26" t="s">
        <v>16</v>
      </c>
      <c r="B427" s="27">
        <f>'TSAS Demand Revenues (7)'!B420</f>
        <v>0</v>
      </c>
      <c r="C427" s="27">
        <f>'TSAS Demand Revenues (7)'!C420</f>
        <v>0</v>
      </c>
      <c r="D427" s="27">
        <f>'TSAS Demand Revenues (7)'!D420</f>
        <v>0</v>
      </c>
      <c r="E427" s="27">
        <f>'TSAS Demand Revenues (7)'!E420</f>
        <v>0</v>
      </c>
      <c r="F427" s="27">
        <f>'TSAS Demand Revenues (7)'!F420</f>
        <v>0</v>
      </c>
      <c r="G427" s="27">
        <f>'TSAS Demand Revenues (7)'!G420</f>
        <v>0</v>
      </c>
      <c r="H427" s="27">
        <f>'TSAS Demand Revenues (7)'!H420</f>
        <v>0</v>
      </c>
      <c r="I427" s="27">
        <f>'TSAS Demand Revenues (7)'!I420</f>
        <v>0</v>
      </c>
      <c r="J427" s="27">
        <f>'TSAS Demand Revenues (7)'!J420</f>
        <v>0</v>
      </c>
      <c r="K427" s="27">
        <f>'TSAS Demand Revenues (7)'!K420</f>
        <v>0</v>
      </c>
      <c r="L427" s="27">
        <f>'TSAS Demand Revenues (7)'!L420</f>
        <v>0</v>
      </c>
      <c r="M427" s="27">
        <f>'TSAS Demand Revenues (7)'!M420</f>
        <v>0</v>
      </c>
      <c r="N427" s="27">
        <f>SUM(B427:M427)</f>
        <v>0</v>
      </c>
    </row>
    <row r="428" spans="1:14">
      <c r="A428" s="25" t="s">
        <v>20</v>
      </c>
      <c r="B428" s="32">
        <f>B418</f>
        <v>1.274E-2</v>
      </c>
      <c r="C428" s="32">
        <f t="shared" ref="C428:M428" si="198">C418</f>
        <v>1.274E-2</v>
      </c>
      <c r="D428" s="32">
        <f t="shared" si="198"/>
        <v>1.274E-2</v>
      </c>
      <c r="E428" s="32">
        <f t="shared" si="198"/>
        <v>1.274E-2</v>
      </c>
      <c r="F428" s="32">
        <f t="shared" si="198"/>
        <v>1.274E-2</v>
      </c>
      <c r="G428" s="32">
        <f t="shared" si="198"/>
        <v>1.274E-2</v>
      </c>
      <c r="H428" s="32">
        <f t="shared" si="198"/>
        <v>1.274E-2</v>
      </c>
      <c r="I428" s="32">
        <f t="shared" si="198"/>
        <v>1.274E-2</v>
      </c>
      <c r="J428" s="32">
        <f t="shared" si="198"/>
        <v>1.274E-2</v>
      </c>
      <c r="K428" s="32">
        <f t="shared" si="198"/>
        <v>1.274E-2</v>
      </c>
      <c r="L428" s="32">
        <f t="shared" si="198"/>
        <v>1.274E-2</v>
      </c>
      <c r="M428" s="32">
        <f t="shared" si="198"/>
        <v>1.274E-2</v>
      </c>
      <c r="N428" s="19"/>
    </row>
    <row r="429" spans="1:14">
      <c r="A429" s="25" t="s">
        <v>17</v>
      </c>
      <c r="B429" s="20">
        <f t="shared" ref="B429:M429" si="199">B427*B428</f>
        <v>0</v>
      </c>
      <c r="C429" s="20">
        <f t="shared" si="199"/>
        <v>0</v>
      </c>
      <c r="D429" s="20">
        <f t="shared" si="199"/>
        <v>0</v>
      </c>
      <c r="E429" s="20">
        <f t="shared" si="199"/>
        <v>0</v>
      </c>
      <c r="F429" s="20">
        <f t="shared" si="199"/>
        <v>0</v>
      </c>
      <c r="G429" s="20">
        <f t="shared" si="199"/>
        <v>0</v>
      </c>
      <c r="H429" s="20">
        <f t="shared" si="199"/>
        <v>0</v>
      </c>
      <c r="I429" s="20">
        <f t="shared" si="199"/>
        <v>0</v>
      </c>
      <c r="J429" s="20">
        <f t="shared" si="199"/>
        <v>0</v>
      </c>
      <c r="K429" s="20">
        <f t="shared" si="199"/>
        <v>0</v>
      </c>
      <c r="L429" s="20">
        <f t="shared" si="199"/>
        <v>0</v>
      </c>
      <c r="M429" s="20">
        <f t="shared" si="199"/>
        <v>0</v>
      </c>
      <c r="N429" s="20">
        <f>SUM(B429:M429)</f>
        <v>0</v>
      </c>
    </row>
    <row r="430" spans="1:14">
      <c r="A430" s="25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>
      <c r="A431" s="393" t="s">
        <v>44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</row>
    <row r="432" spans="1:14">
      <c r="A432" s="26" t="s">
        <v>16</v>
      </c>
      <c r="B432" s="27">
        <f>'TSAS Demand Revenues (7)'!B420</f>
        <v>0</v>
      </c>
      <c r="C432" s="27">
        <f>'TSAS Demand Revenues (7)'!C420</f>
        <v>0</v>
      </c>
      <c r="D432" s="27">
        <f>'TSAS Demand Revenues (7)'!D420</f>
        <v>0</v>
      </c>
      <c r="E432" s="27">
        <f>'TSAS Demand Revenues (7)'!E420</f>
        <v>0</v>
      </c>
      <c r="F432" s="27">
        <f>'TSAS Demand Revenues (7)'!F420</f>
        <v>0</v>
      </c>
      <c r="G432" s="27">
        <f>'TSAS Demand Revenues (7)'!G420</f>
        <v>0</v>
      </c>
      <c r="H432" s="27">
        <f>'TSAS Demand Revenues (7)'!H420</f>
        <v>0</v>
      </c>
      <c r="I432" s="27">
        <f>'TSAS Demand Revenues (7)'!I420</f>
        <v>0</v>
      </c>
      <c r="J432" s="27">
        <f>'TSAS Demand Revenues (7)'!J420</f>
        <v>0</v>
      </c>
      <c r="K432" s="27">
        <f>'TSAS Demand Revenues (7)'!K420</f>
        <v>0</v>
      </c>
      <c r="L432" s="27">
        <f>'TSAS Demand Revenues (7)'!L420</f>
        <v>0</v>
      </c>
      <c r="M432" s="27">
        <f>'TSAS Demand Revenues (7)'!M420</f>
        <v>0</v>
      </c>
      <c r="N432" s="27">
        <f>SUM(B432:M432)</f>
        <v>0</v>
      </c>
    </row>
    <row r="433" spans="1:14">
      <c r="A433" s="25" t="s">
        <v>20</v>
      </c>
      <c r="B433" s="32">
        <f>B423</f>
        <v>1.274E-2</v>
      </c>
      <c r="C433" s="32">
        <f t="shared" ref="C433:M433" si="200">+$B$32</f>
        <v>1.274E-2</v>
      </c>
      <c r="D433" s="32">
        <f t="shared" si="200"/>
        <v>1.274E-2</v>
      </c>
      <c r="E433" s="32">
        <f t="shared" si="200"/>
        <v>1.274E-2</v>
      </c>
      <c r="F433" s="32">
        <f t="shared" si="200"/>
        <v>1.274E-2</v>
      </c>
      <c r="G433" s="32">
        <f t="shared" si="200"/>
        <v>1.274E-2</v>
      </c>
      <c r="H433" s="32">
        <f t="shared" si="200"/>
        <v>1.274E-2</v>
      </c>
      <c r="I433" s="32">
        <f t="shared" si="200"/>
        <v>1.274E-2</v>
      </c>
      <c r="J433" s="32">
        <f t="shared" si="200"/>
        <v>1.274E-2</v>
      </c>
      <c r="K433" s="32">
        <f t="shared" si="200"/>
        <v>1.274E-2</v>
      </c>
      <c r="L433" s="32">
        <f t="shared" si="200"/>
        <v>1.274E-2</v>
      </c>
      <c r="M433" s="32">
        <f t="shared" si="200"/>
        <v>1.274E-2</v>
      </c>
      <c r="N433" s="19"/>
    </row>
    <row r="434" spans="1:14">
      <c r="A434" s="25" t="s">
        <v>17</v>
      </c>
      <c r="B434" s="20">
        <f t="shared" ref="B434:M434" si="201">B432*B433</f>
        <v>0</v>
      </c>
      <c r="C434" s="20">
        <f t="shared" si="201"/>
        <v>0</v>
      </c>
      <c r="D434" s="20">
        <f t="shared" si="201"/>
        <v>0</v>
      </c>
      <c r="E434" s="20">
        <f t="shared" si="201"/>
        <v>0</v>
      </c>
      <c r="F434" s="20">
        <f t="shared" si="201"/>
        <v>0</v>
      </c>
      <c r="G434" s="20">
        <f t="shared" si="201"/>
        <v>0</v>
      </c>
      <c r="H434" s="20">
        <f t="shared" si="201"/>
        <v>0</v>
      </c>
      <c r="I434" s="20">
        <f t="shared" si="201"/>
        <v>0</v>
      </c>
      <c r="J434" s="20">
        <f t="shared" si="201"/>
        <v>0</v>
      </c>
      <c r="K434" s="20">
        <f t="shared" si="201"/>
        <v>0</v>
      </c>
      <c r="L434" s="20">
        <f t="shared" si="201"/>
        <v>0</v>
      </c>
      <c r="M434" s="20">
        <f t="shared" si="201"/>
        <v>0</v>
      </c>
      <c r="N434" s="20">
        <f>SUM(B434:M434)</f>
        <v>0</v>
      </c>
    </row>
    <row r="435" spans="1:14">
      <c r="A435" s="25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>
      <c r="A436" s="393" t="s">
        <v>112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</row>
    <row r="437" spans="1:14">
      <c r="A437" s="26" t="s">
        <v>16</v>
      </c>
      <c r="B437" s="27">
        <f>'TSAS Demand Revenues (7)'!B425</f>
        <v>100000</v>
      </c>
      <c r="C437" s="27">
        <f>'TSAS Demand Revenues (7)'!C425</f>
        <v>100000</v>
      </c>
      <c r="D437" s="27">
        <f>'TSAS Demand Revenues (7)'!D425</f>
        <v>100000</v>
      </c>
      <c r="E437" s="27">
        <f>'TSAS Demand Revenues (7)'!E425</f>
        <v>100000</v>
      </c>
      <c r="F437" s="27">
        <f>'TSAS Demand Revenues (7)'!F425</f>
        <v>100000</v>
      </c>
      <c r="G437" s="27">
        <f>'TSAS Demand Revenues (7)'!G425</f>
        <v>100000</v>
      </c>
      <c r="H437" s="27">
        <f>'TSAS Demand Revenues (7)'!H425</f>
        <v>100000</v>
      </c>
      <c r="I437" s="27">
        <f>'TSAS Demand Revenues (7)'!I425</f>
        <v>100000</v>
      </c>
      <c r="J437" s="27">
        <f>'TSAS Demand Revenues (7)'!J425</f>
        <v>100000</v>
      </c>
      <c r="K437" s="27">
        <f>'TSAS Demand Revenues (7)'!K425</f>
        <v>100000</v>
      </c>
      <c r="L437" s="27">
        <f>'TSAS Demand Revenues (7)'!L425</f>
        <v>100000</v>
      </c>
      <c r="M437" s="27">
        <f>'TSAS Demand Revenues (7)'!M425</f>
        <v>100000</v>
      </c>
      <c r="N437" s="27">
        <f>SUM(B437:M437)</f>
        <v>1200000</v>
      </c>
    </row>
    <row r="438" spans="1:14">
      <c r="A438" s="25" t="s">
        <v>20</v>
      </c>
      <c r="B438" s="32">
        <f>B433</f>
        <v>1.274E-2</v>
      </c>
      <c r="C438" s="32">
        <f t="shared" ref="C438:M438" si="202">+$B$32</f>
        <v>1.274E-2</v>
      </c>
      <c r="D438" s="32">
        <f t="shared" si="202"/>
        <v>1.274E-2</v>
      </c>
      <c r="E438" s="32">
        <f t="shared" si="202"/>
        <v>1.274E-2</v>
      </c>
      <c r="F438" s="32">
        <f t="shared" si="202"/>
        <v>1.274E-2</v>
      </c>
      <c r="G438" s="32">
        <f t="shared" si="202"/>
        <v>1.274E-2</v>
      </c>
      <c r="H438" s="32">
        <f t="shared" si="202"/>
        <v>1.274E-2</v>
      </c>
      <c r="I438" s="32">
        <f t="shared" si="202"/>
        <v>1.274E-2</v>
      </c>
      <c r="J438" s="32">
        <f t="shared" si="202"/>
        <v>1.274E-2</v>
      </c>
      <c r="K438" s="32">
        <f t="shared" si="202"/>
        <v>1.274E-2</v>
      </c>
      <c r="L438" s="32">
        <f t="shared" si="202"/>
        <v>1.274E-2</v>
      </c>
      <c r="M438" s="32">
        <f t="shared" si="202"/>
        <v>1.274E-2</v>
      </c>
      <c r="N438" s="19"/>
    </row>
    <row r="439" spans="1:14">
      <c r="A439" s="25" t="s">
        <v>17</v>
      </c>
      <c r="B439" s="20">
        <f t="shared" ref="B439:M439" si="203">B437*B438</f>
        <v>1274</v>
      </c>
      <c r="C439" s="20">
        <f t="shared" si="203"/>
        <v>1274</v>
      </c>
      <c r="D439" s="20">
        <f t="shared" si="203"/>
        <v>1274</v>
      </c>
      <c r="E439" s="20">
        <f t="shared" si="203"/>
        <v>1274</v>
      </c>
      <c r="F439" s="20">
        <f t="shared" si="203"/>
        <v>1274</v>
      </c>
      <c r="G439" s="20">
        <f t="shared" si="203"/>
        <v>1274</v>
      </c>
      <c r="H439" s="20">
        <f t="shared" si="203"/>
        <v>1274</v>
      </c>
      <c r="I439" s="20">
        <f t="shared" si="203"/>
        <v>1274</v>
      </c>
      <c r="J439" s="20">
        <f t="shared" si="203"/>
        <v>1274</v>
      </c>
      <c r="K439" s="20">
        <f t="shared" si="203"/>
        <v>1274</v>
      </c>
      <c r="L439" s="20">
        <f t="shared" si="203"/>
        <v>1274</v>
      </c>
      <c r="M439" s="20">
        <f t="shared" si="203"/>
        <v>1274</v>
      </c>
      <c r="N439" s="20">
        <f>SUM(B439:M439)</f>
        <v>15288</v>
      </c>
    </row>
    <row r="440" spans="1:14">
      <c r="A440" s="25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>
      <c r="A441" s="25" t="s">
        <v>165</v>
      </c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7"/>
    </row>
    <row r="442" spans="1:14">
      <c r="A442" s="26" t="s">
        <v>16</v>
      </c>
      <c r="B442" s="20">
        <v>0</v>
      </c>
      <c r="C442" s="20">
        <v>0</v>
      </c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7">
        <f>SUM(B442:M442)</f>
        <v>0</v>
      </c>
    </row>
    <row r="443" spans="1:14">
      <c r="A443" s="25" t="s">
        <v>20</v>
      </c>
      <c r="B443" s="32">
        <f>B438</f>
        <v>1.274E-2</v>
      </c>
      <c r="C443" s="32">
        <f t="shared" ref="C443:M443" si="204">C438</f>
        <v>1.274E-2</v>
      </c>
      <c r="D443" s="32">
        <f t="shared" si="204"/>
        <v>1.274E-2</v>
      </c>
      <c r="E443" s="32">
        <f t="shared" si="204"/>
        <v>1.274E-2</v>
      </c>
      <c r="F443" s="32">
        <f t="shared" si="204"/>
        <v>1.274E-2</v>
      </c>
      <c r="G443" s="32">
        <f t="shared" si="204"/>
        <v>1.274E-2</v>
      </c>
      <c r="H443" s="32">
        <f t="shared" si="204"/>
        <v>1.274E-2</v>
      </c>
      <c r="I443" s="32">
        <f t="shared" si="204"/>
        <v>1.274E-2</v>
      </c>
      <c r="J443" s="32">
        <f t="shared" si="204"/>
        <v>1.274E-2</v>
      </c>
      <c r="K443" s="32">
        <f t="shared" si="204"/>
        <v>1.274E-2</v>
      </c>
      <c r="L443" s="32">
        <f t="shared" si="204"/>
        <v>1.274E-2</v>
      </c>
      <c r="M443" s="32">
        <f t="shared" si="204"/>
        <v>1.274E-2</v>
      </c>
      <c r="N443" s="19"/>
    </row>
    <row r="444" spans="1:14">
      <c r="A444" s="25" t="s">
        <v>17</v>
      </c>
      <c r="B444" s="20">
        <f t="shared" ref="B444:M444" si="205">B442*B443</f>
        <v>0</v>
      </c>
      <c r="C444" s="20">
        <f t="shared" si="205"/>
        <v>0</v>
      </c>
      <c r="D444" s="20">
        <f t="shared" si="205"/>
        <v>0</v>
      </c>
      <c r="E444" s="20">
        <f t="shared" si="205"/>
        <v>0</v>
      </c>
      <c r="F444" s="20">
        <f t="shared" si="205"/>
        <v>0</v>
      </c>
      <c r="G444" s="20">
        <f t="shared" si="205"/>
        <v>0</v>
      </c>
      <c r="H444" s="20">
        <f t="shared" si="205"/>
        <v>0</v>
      </c>
      <c r="I444" s="20">
        <f t="shared" si="205"/>
        <v>0</v>
      </c>
      <c r="J444" s="20">
        <f t="shared" si="205"/>
        <v>0</v>
      </c>
      <c r="K444" s="20">
        <f t="shared" si="205"/>
        <v>0</v>
      </c>
      <c r="L444" s="20">
        <f t="shared" si="205"/>
        <v>0</v>
      </c>
      <c r="M444" s="20">
        <f t="shared" si="205"/>
        <v>0</v>
      </c>
      <c r="N444" s="20">
        <f>SUM(B444:M444)</f>
        <v>0</v>
      </c>
    </row>
    <row r="445" spans="1:14">
      <c r="A445" s="25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>
      <c r="A446" s="143" t="s">
        <v>25</v>
      </c>
      <c r="B446" s="142">
        <f t="shared" ref="B446:M446" si="206">B394+B399+B404+B409+B414+B419+B434+B424+B439+B444+B429</f>
        <v>3147.4934400000002</v>
      </c>
      <c r="C446" s="142">
        <f t="shared" si="206"/>
        <v>2637.8934399999998</v>
      </c>
      <c r="D446" s="142">
        <f t="shared" si="206"/>
        <v>2637.8934399999998</v>
      </c>
      <c r="E446" s="142">
        <f t="shared" si="206"/>
        <v>2637.8934399999998</v>
      </c>
      <c r="F446" s="142">
        <f t="shared" si="206"/>
        <v>2637.8934399999998</v>
      </c>
      <c r="G446" s="142">
        <f t="shared" si="206"/>
        <v>2637.8934399999998</v>
      </c>
      <c r="H446" s="142">
        <f t="shared" si="206"/>
        <v>2637.8934399999998</v>
      </c>
      <c r="I446" s="142">
        <f t="shared" si="206"/>
        <v>2637.8934399999998</v>
      </c>
      <c r="J446" s="142">
        <f t="shared" si="206"/>
        <v>2637.8934399999998</v>
      </c>
      <c r="K446" s="142">
        <f t="shared" si="206"/>
        <v>2637.8934399999998</v>
      </c>
      <c r="L446" s="142">
        <f t="shared" si="206"/>
        <v>2637.8934399999998</v>
      </c>
      <c r="M446" s="142">
        <f t="shared" si="206"/>
        <v>2637.8934399999998</v>
      </c>
      <c r="N446" s="142">
        <f>SUM(B446:M446)</f>
        <v>32164.321279999996</v>
      </c>
    </row>
    <row r="447" spans="1:14">
      <c r="A447" s="143" t="s">
        <v>59</v>
      </c>
      <c r="B447" s="144">
        <f t="shared" ref="B447:M447" si="207">B392+B397+B402+B407+B412+B417+B422+B432+B437+B442+B427</f>
        <v>247056</v>
      </c>
      <c r="C447" s="144">
        <f t="shared" si="207"/>
        <v>207056</v>
      </c>
      <c r="D447" s="144">
        <f t="shared" si="207"/>
        <v>207056</v>
      </c>
      <c r="E447" s="144">
        <f t="shared" si="207"/>
        <v>207056</v>
      </c>
      <c r="F447" s="144">
        <f t="shared" si="207"/>
        <v>207056</v>
      </c>
      <c r="G447" s="144">
        <f t="shared" si="207"/>
        <v>207056</v>
      </c>
      <c r="H447" s="144">
        <f t="shared" si="207"/>
        <v>207056</v>
      </c>
      <c r="I447" s="144">
        <f t="shared" si="207"/>
        <v>207056</v>
      </c>
      <c r="J447" s="144">
        <f t="shared" si="207"/>
        <v>207056</v>
      </c>
      <c r="K447" s="144">
        <f t="shared" si="207"/>
        <v>207056</v>
      </c>
      <c r="L447" s="144">
        <f t="shared" si="207"/>
        <v>207056</v>
      </c>
      <c r="M447" s="144">
        <f t="shared" si="207"/>
        <v>207056</v>
      </c>
      <c r="N447" s="142">
        <f>SUM(B447:M447)</f>
        <v>2524672</v>
      </c>
    </row>
  </sheetData>
  <phoneticPr fontId="23" type="noConversion"/>
  <pageMargins left="0.59" right="0.2" top="0.55000000000000004" bottom="0.46" header="0.38" footer="0.18"/>
  <pageSetup scale="67" pageOrder="overThenDown" orientation="landscape" horizontalDpi="4294967292" verticalDpi="300" r:id="rId1"/>
  <headerFooter alignWithMargins="0">
    <oddHeader>&amp;A</oddHeader>
    <oddFooter>&amp;Z&amp;F</oddFooter>
  </headerFooter>
  <rowBreaks count="5" manualBreakCount="5">
    <brk id="66" max="16383" man="1"/>
    <brk id="141" max="16383" man="1"/>
    <brk id="207" max="16383" man="1"/>
    <brk id="267" max="16383" man="1"/>
    <brk id="3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0" customWidth="1"/>
    <col min="2" max="2" width="10.77734375" style="460" bestFit="1" customWidth="1"/>
    <col min="3" max="13" width="9.33203125" style="460" bestFit="1" customWidth="1"/>
    <col min="14" max="14" width="10.109375" style="460" bestFit="1" customWidth="1"/>
    <col min="15" max="15" width="9.21875" style="460" bestFit="1" customWidth="1"/>
    <col min="16" max="16384" width="9" style="460"/>
  </cols>
  <sheetData>
    <row r="1" spans="1:15">
      <c r="A1" s="471" t="s">
        <v>461</v>
      </c>
    </row>
    <row r="2" spans="1:15">
      <c r="A2" s="471" t="s">
        <v>458</v>
      </c>
    </row>
    <row r="3" spans="1:15" ht="17.399999999999999">
      <c r="A3" s="483" t="s">
        <v>378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5.6">
      <c r="A4" s="484" t="s">
        <v>412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</row>
    <row r="5" spans="1:15" ht="15.6">
      <c r="A5" s="461"/>
    </row>
    <row r="6" spans="1:15" ht="13.8" thickBot="1"/>
    <row r="7" spans="1:15" ht="13.8" thickBot="1">
      <c r="O7" s="462"/>
    </row>
    <row r="8" spans="1:15" ht="13.8" thickBot="1">
      <c r="A8" s="463"/>
      <c r="B8" s="464">
        <v>43101</v>
      </c>
      <c r="C8" s="464">
        <v>43132</v>
      </c>
      <c r="D8" s="464">
        <v>43160</v>
      </c>
      <c r="E8" s="464">
        <v>43191</v>
      </c>
      <c r="F8" s="464">
        <v>43221</v>
      </c>
      <c r="G8" s="464">
        <v>43252</v>
      </c>
      <c r="H8" s="464">
        <v>43282</v>
      </c>
      <c r="I8" s="464">
        <v>43313</v>
      </c>
      <c r="J8" s="464">
        <v>43344</v>
      </c>
      <c r="K8" s="464">
        <v>43374</v>
      </c>
      <c r="L8" s="464">
        <v>43405</v>
      </c>
      <c r="M8" s="464">
        <v>43435</v>
      </c>
      <c r="N8" s="465" t="s">
        <v>33</v>
      </c>
      <c r="O8" s="466" t="s">
        <v>379</v>
      </c>
    </row>
    <row r="9" spans="1:15">
      <c r="A9" s="467" t="s">
        <v>380</v>
      </c>
      <c r="O9" s="468"/>
    </row>
    <row r="10" spans="1:15">
      <c r="A10" s="460" t="s">
        <v>381</v>
      </c>
      <c r="B10" s="469">
        <f>'Blountstown Network'!B78/(1+'Transmission Formula Rate (7)'!$B$27)</f>
        <v>0</v>
      </c>
      <c r="C10" s="469">
        <f>'Blountstown Network'!C78/(1+'Transmission Formula Rate (7)'!$B$27)</f>
        <v>0</v>
      </c>
      <c r="D10" s="469">
        <f>'Blountstown Network'!D78/(1+'Transmission Formula Rate (7)'!$B$27)</f>
        <v>0</v>
      </c>
      <c r="E10" s="469">
        <f>'Blountstown Network'!E78/(1+'Transmission Formula Rate (7)'!$B$27)</f>
        <v>0</v>
      </c>
      <c r="F10" s="469">
        <f>'Blountstown Network'!F78/(1+'Transmission Formula Rate (7)'!$B$27)</f>
        <v>0</v>
      </c>
      <c r="G10" s="469">
        <f>'Blountstown Network'!G78/(1+'Transmission Formula Rate (7)'!$B$27)</f>
        <v>0</v>
      </c>
      <c r="H10" s="469">
        <f>'Blountstown Network'!H78/(1+'Transmission Formula Rate (7)'!$B$27)</f>
        <v>0</v>
      </c>
      <c r="I10" s="469">
        <f>'Blountstown Network'!I78/(1+'Transmission Formula Rate (7)'!$B$27)</f>
        <v>0</v>
      </c>
      <c r="J10" s="469">
        <f>'Blountstown Network'!J78/(1+'Transmission Formula Rate (7)'!$B$27)</f>
        <v>0</v>
      </c>
      <c r="K10" s="469">
        <f>'Blountstown Network'!K78/(1+'Transmission Formula Rate (7)'!$B$27)</f>
        <v>0</v>
      </c>
      <c r="L10" s="469">
        <f>'Blountstown Network'!L78/(1+'Transmission Formula Rate (7)'!$B$27)</f>
        <v>0</v>
      </c>
      <c r="M10" s="469">
        <f>'Blountstown Network'!M78/(1+'Transmission Formula Rate (7)'!$B$27)</f>
        <v>0</v>
      </c>
      <c r="N10" s="480">
        <f t="shared" ref="N10:N21" si="0">SUM(B10:M10)</f>
        <v>0</v>
      </c>
      <c r="O10" s="470">
        <f t="shared" ref="O10:O22" si="1">AVERAGE(B10:M10)</f>
        <v>0</v>
      </c>
    </row>
    <row r="11" spans="1:15">
      <c r="A11" s="460" t="s">
        <v>382</v>
      </c>
      <c r="B11" s="469">
        <f>'Winter Park Network'!B57/(1+'Transmission Formula Rate (7)'!$B$27)</f>
        <v>58910.162002945508</v>
      </c>
      <c r="C11" s="469">
        <f>'Winter Park Network'!C57/(1+'Transmission Formula Rate (7)'!$B$27)</f>
        <v>58910.162002945508</v>
      </c>
      <c r="D11" s="469">
        <f>'Winter Park Network'!D57/(1+'Transmission Formula Rate (7)'!$B$27)</f>
        <v>43167.277859597445</v>
      </c>
      <c r="E11" s="469">
        <f>'Winter Park Network'!E57/(1+'Transmission Formula Rate (7)'!$B$27)</f>
        <v>46480.410898379967</v>
      </c>
      <c r="F11" s="469">
        <f>'Winter Park Network'!F57/(1+'Transmission Formula Rate (7)'!$B$27)</f>
        <v>63874.35935198822</v>
      </c>
      <c r="G11" s="469">
        <f>'Winter Park Network'!G57/(1+'Transmission Formula Rate (7)'!$B$27)</f>
        <v>65530.925871379477</v>
      </c>
      <c r="H11" s="469">
        <f>'Winter Park Network'!H57/(1+'Transmission Formula Rate (7)'!$B$27)</f>
        <v>63046.076092292577</v>
      </c>
      <c r="I11" s="469">
        <f>'Winter Park Network'!I57/(1+'Transmission Formula Rate (7)'!$B$27)</f>
        <v>70500.625429553256</v>
      </c>
      <c r="J11" s="469">
        <f>'Winter Park Network'!J57/(1+'Transmission Formula Rate (7)'!$B$27)</f>
        <v>58910.162002945508</v>
      </c>
      <c r="K11" s="469">
        <f>'Winter Park Network'!K57/(1+'Transmission Formula Rate (7)'!$B$27)</f>
        <v>59732.943053510069</v>
      </c>
      <c r="L11" s="469">
        <f>'Winter Park Network'!L57/(1+'Transmission Formula Rate (7)'!$B$27)</f>
        <v>42338.994599901816</v>
      </c>
      <c r="M11" s="469">
        <f>'Winter Park Network'!M57/(1+'Transmission Formula Rate (7)'!$B$27)</f>
        <v>42338.994599901816</v>
      </c>
      <c r="N11" s="480">
        <f t="shared" si="0"/>
        <v>673741.09376534121</v>
      </c>
      <c r="O11" s="470">
        <f t="shared" si="1"/>
        <v>56145.091147111765</v>
      </c>
    </row>
    <row r="12" spans="1:15">
      <c r="A12" s="460" t="s">
        <v>383</v>
      </c>
      <c r="B12" s="469">
        <f>'LCEC Network'!B81/(1+'Transmission Formula Rate (7)'!$B$27)</f>
        <v>537241.20199190732</v>
      </c>
      <c r="C12" s="469">
        <f>'LCEC Network'!C81/(1+'Transmission Formula Rate (7)'!$B$27)</f>
        <v>732363.22598528466</v>
      </c>
      <c r="D12" s="469">
        <f>'LCEC Network'!D81/(1+'Transmission Formula Rate (7)'!$B$27)</f>
        <v>657453.17939637578</v>
      </c>
      <c r="E12" s="469">
        <f>'LCEC Network'!E81/(1+'Transmission Formula Rate (7)'!$B$27)</f>
        <v>605918.30963617552</v>
      </c>
      <c r="F12" s="469">
        <f>'LCEC Network'!F81/(1+'Transmission Formula Rate (7)'!$B$27)</f>
        <v>596674.96056205675</v>
      </c>
      <c r="G12" s="469">
        <f>'LCEC Network'!G81/(1+'Transmission Formula Rate (7)'!$B$27)</f>
        <v>690656.36144635908</v>
      </c>
      <c r="H12" s="469">
        <f>'LCEC Network'!H81/(1+'Transmission Formula Rate (7)'!$B$27)</f>
        <v>757220.70583907375</v>
      </c>
      <c r="I12" s="469">
        <f>'LCEC Network'!I81/(1+'Transmission Formula Rate (7)'!$B$27)</f>
        <v>739686.50655638718</v>
      </c>
      <c r="J12" s="469">
        <f>'LCEC Network'!J81/(1+'Transmission Formula Rate (7)'!$B$27)</f>
        <v>773624.53198215237</v>
      </c>
      <c r="K12" s="469">
        <f>'LCEC Network'!K81/(1+'Transmission Formula Rate (7)'!$B$27)</f>
        <v>664365.3365010398</v>
      </c>
      <c r="L12" s="469">
        <f>'LCEC Network'!L81/(1+'Transmission Formula Rate (7)'!$B$27)</f>
        <v>698159.676932003</v>
      </c>
      <c r="M12" s="469">
        <f>'LCEC Network'!M81/(1+'Transmission Formula Rate (7)'!$B$27)</f>
        <v>572712.51035478432</v>
      </c>
      <c r="N12" s="480">
        <f t="shared" si="0"/>
        <v>8026076.5071836002</v>
      </c>
      <c r="O12" s="470">
        <f t="shared" si="1"/>
        <v>668839.70893196668</v>
      </c>
    </row>
    <row r="13" spans="1:15">
      <c r="A13" s="460" t="s">
        <v>384</v>
      </c>
      <c r="B13" s="469">
        <f>'FKEC Network'!B81/(1+'Transmission Formula Rate (7)'!$B$27)</f>
        <v>114102.39222238011</v>
      </c>
      <c r="C13" s="469">
        <f>'FKEC Network'!C81/(1+'Transmission Formula Rate (7)'!$B$27)</f>
        <v>111401.92956334174</v>
      </c>
      <c r="D13" s="469">
        <f>'FKEC Network'!D81/(1+'Transmission Formula Rate (7)'!$B$27)</f>
        <v>118535.65169487016</v>
      </c>
      <c r="E13" s="469">
        <f>'FKEC Network'!E81/(1+'Transmission Formula Rate (7)'!$B$27)</f>
        <v>112486.83532782091</v>
      </c>
      <c r="F13" s="469">
        <f>'FKEC Network'!F81/(1+'Transmission Formula Rate (7)'!$B$27)</f>
        <v>133584.0419202573</v>
      </c>
      <c r="G13" s="469">
        <f>'FKEC Network'!G81/(1+'Transmission Formula Rate (7)'!$B$27)</f>
        <v>141998.47246095104</v>
      </c>
      <c r="H13" s="469">
        <f>'FKEC Network'!H81/(1+'Transmission Formula Rate (7)'!$B$27)</f>
        <v>146138.46678934194</v>
      </c>
      <c r="I13" s="469">
        <f>'FKEC Network'!I81/(1+'Transmission Formula Rate (7)'!$B$27)</f>
        <v>158305.11666188302</v>
      </c>
      <c r="J13" s="469">
        <f>'FKEC Network'!J81/(1+'Transmission Formula Rate (7)'!$B$27)</f>
        <v>154424.97670816237</v>
      </c>
      <c r="K13" s="469">
        <f>'FKEC Network'!K81/(1+'Transmission Formula Rate (7)'!$B$27)</f>
        <v>142463.52081389577</v>
      </c>
      <c r="L13" s="469">
        <f>'FKEC Network'!L81/(1+'Transmission Formula Rate (7)'!$B$27)</f>
        <v>136206.69167156809</v>
      </c>
      <c r="M13" s="469">
        <f>'FKEC Network'!M81/(1+'Transmission Formula Rate (7)'!$B$27)</f>
        <v>120839.30400966034</v>
      </c>
      <c r="N13" s="480">
        <f t="shared" si="0"/>
        <v>1590487.3998441331</v>
      </c>
      <c r="O13" s="470">
        <f t="shared" si="1"/>
        <v>132540.61665367775</v>
      </c>
    </row>
    <row r="14" spans="1:15">
      <c r="A14" s="460" t="s">
        <v>385</v>
      </c>
      <c r="B14" s="469">
        <f>'Wauchula Network'!B81/(1+'Transmission Formula Rate (7)'!$B$27)</f>
        <v>0</v>
      </c>
      <c r="C14" s="469">
        <f>'Wauchula Network'!C81/(1+'Transmission Formula Rate (7)'!$B$27)</f>
        <v>0</v>
      </c>
      <c r="D14" s="469">
        <f>'Wauchula Network'!D81/(1+'Transmission Formula Rate (7)'!$B$27)</f>
        <v>0</v>
      </c>
      <c r="E14" s="469">
        <f>'Wauchula Network'!E81/(1+'Transmission Formula Rate (7)'!$B$27)</f>
        <v>0</v>
      </c>
      <c r="F14" s="469">
        <f>'Wauchula Network'!F81/(1+'Transmission Formula Rate (7)'!$B$27)</f>
        <v>0</v>
      </c>
      <c r="G14" s="469">
        <f>'Wauchula Network'!G81/(1+'Transmission Formula Rate (7)'!$B$27)</f>
        <v>0</v>
      </c>
      <c r="H14" s="469">
        <f>'Wauchula Network'!H81/(1+'Transmission Formula Rate (7)'!$B$27)</f>
        <v>0</v>
      </c>
      <c r="I14" s="469">
        <f>'Wauchula Network'!I81/(1+'Transmission Formula Rate (7)'!$B$27)</f>
        <v>0</v>
      </c>
      <c r="J14" s="469">
        <f>'Wauchula Network'!J81/(1+'Transmission Formula Rate (7)'!$B$27)</f>
        <v>0</v>
      </c>
      <c r="K14" s="469">
        <f>'Wauchula Network'!K81/(1+'Transmission Formula Rate (7)'!$B$27)</f>
        <v>0</v>
      </c>
      <c r="L14" s="469">
        <f>'Wauchula Network'!L81/(1+'Transmission Formula Rate (7)'!$B$27)</f>
        <v>0</v>
      </c>
      <c r="M14" s="469">
        <f>'Wauchula Network'!M81/(1+'Transmission Formula Rate (7)'!$B$27)</f>
        <v>0</v>
      </c>
      <c r="N14" s="480">
        <f t="shared" si="0"/>
        <v>0</v>
      </c>
      <c r="O14" s="470">
        <f t="shared" si="1"/>
        <v>0</v>
      </c>
    </row>
    <row r="15" spans="1:15">
      <c r="A15" s="460" t="s">
        <v>386</v>
      </c>
      <c r="B15" s="469">
        <f>'Vero Beach Network'!B109</f>
        <v>180000</v>
      </c>
      <c r="C15" s="469">
        <f>'Vero Beach Network'!C109</f>
        <v>157000</v>
      </c>
      <c r="D15" s="469">
        <f>'Vero Beach Network'!D109</f>
        <v>125000</v>
      </c>
      <c r="E15" s="469">
        <f>'Vero Beach Network'!E109</f>
        <v>129000</v>
      </c>
      <c r="F15" s="469">
        <f>'Vero Beach Network'!F109</f>
        <v>143000</v>
      </c>
      <c r="G15" s="469">
        <f>'Vero Beach Network'!G109</f>
        <v>157000</v>
      </c>
      <c r="H15" s="469">
        <f>'Vero Beach Network'!H109</f>
        <v>155000</v>
      </c>
      <c r="I15" s="469">
        <f>'Vero Beach Network'!I109</f>
        <v>166000</v>
      </c>
      <c r="J15" s="469">
        <f>'Vero Beach Network'!J109</f>
        <v>157000</v>
      </c>
      <c r="K15" s="469">
        <f>'Vero Beach Network'!K109</f>
        <v>148000</v>
      </c>
      <c r="L15" s="469">
        <f>'Vero Beach Network'!L109</f>
        <v>126000</v>
      </c>
      <c r="M15" s="469">
        <f>'Vero Beach Network'!M109</f>
        <v>142000</v>
      </c>
      <c r="N15" s="480">
        <f t="shared" si="0"/>
        <v>1785000</v>
      </c>
      <c r="O15" s="470">
        <f t="shared" si="1"/>
        <v>148750</v>
      </c>
    </row>
    <row r="16" spans="1:15">
      <c r="A16" s="460" t="s">
        <v>277</v>
      </c>
      <c r="B16" s="469">
        <f>'FMPA Network'!B111</f>
        <v>427200.00000000006</v>
      </c>
      <c r="C16" s="469">
        <f>'FMPA Network'!C111</f>
        <v>398200</v>
      </c>
      <c r="D16" s="469">
        <f>'FMPA Network'!D111</f>
        <v>348300</v>
      </c>
      <c r="E16" s="469">
        <f>'FMPA Network'!E111</f>
        <v>374200</v>
      </c>
      <c r="F16" s="469">
        <f>'FMPA Network'!F111</f>
        <v>422200</v>
      </c>
      <c r="G16" s="469">
        <f>'FMPA Network'!G111</f>
        <v>459200</v>
      </c>
      <c r="H16" s="469">
        <f>'FMPA Network'!H111</f>
        <v>475100</v>
      </c>
      <c r="I16" s="469">
        <f>'FMPA Network'!I111</f>
        <v>483200</v>
      </c>
      <c r="J16" s="469">
        <f>'FMPA Network'!J111</f>
        <v>440800</v>
      </c>
      <c r="K16" s="469">
        <f>'FMPA Network'!K111</f>
        <v>407300</v>
      </c>
      <c r="L16" s="469">
        <f>'FMPA Network'!L111</f>
        <v>364700</v>
      </c>
      <c r="M16" s="469">
        <f>'FMPA Network'!M111</f>
        <v>350000</v>
      </c>
      <c r="N16" s="480">
        <f t="shared" si="0"/>
        <v>4950400</v>
      </c>
      <c r="O16" s="470">
        <f t="shared" si="1"/>
        <v>412533.33333333331</v>
      </c>
    </row>
    <row r="17" spans="1:15">
      <c r="A17" s="460" t="s">
        <v>387</v>
      </c>
      <c r="B17" s="469">
        <f>'SECI Network'!B109</f>
        <v>545059</v>
      </c>
      <c r="C17" s="469">
        <f>'SECI Network'!C109</f>
        <v>434335</v>
      </c>
      <c r="D17" s="469">
        <f>'SECI Network'!D109</f>
        <v>399322</v>
      </c>
      <c r="E17" s="469">
        <f>'SECI Network'!E109</f>
        <v>378072</v>
      </c>
      <c r="F17" s="469">
        <f>'SECI Network'!F109</f>
        <v>426788</v>
      </c>
      <c r="G17" s="469">
        <f>'SECI Network'!G109</f>
        <v>458515</v>
      </c>
      <c r="H17" s="469">
        <f>'SECI Network'!H109</f>
        <v>454939</v>
      </c>
      <c r="I17" s="469">
        <f>'SECI Network'!I109</f>
        <v>453511</v>
      </c>
      <c r="J17" s="469">
        <f>'SECI Network'!J109</f>
        <v>459480</v>
      </c>
      <c r="K17" s="469">
        <f>'SECI Network'!K109</f>
        <v>399421</v>
      </c>
      <c r="L17" s="469">
        <f>'SECI Network'!L109</f>
        <v>385009</v>
      </c>
      <c r="M17" s="469">
        <f>'SECI Network'!M109</f>
        <v>416522</v>
      </c>
      <c r="N17" s="480">
        <f t="shared" si="0"/>
        <v>5210973</v>
      </c>
      <c r="O17" s="470">
        <f t="shared" si="1"/>
        <v>434247.75</v>
      </c>
    </row>
    <row r="18" spans="1:15">
      <c r="A18" s="460" t="s">
        <v>44</v>
      </c>
      <c r="B18" s="469">
        <f>'Georgia Trans Network'!B99</f>
        <v>18911</v>
      </c>
      <c r="C18" s="469">
        <f>'Georgia Trans Network'!C99</f>
        <v>18911</v>
      </c>
      <c r="D18" s="469">
        <f>'Georgia Trans Network'!D99</f>
        <v>18911</v>
      </c>
      <c r="E18" s="469">
        <f>'Georgia Trans Network'!E99</f>
        <v>18911</v>
      </c>
      <c r="F18" s="469">
        <f>'Georgia Trans Network'!F99</f>
        <v>18911</v>
      </c>
      <c r="G18" s="469">
        <f>'Georgia Trans Network'!G99</f>
        <v>22891</v>
      </c>
      <c r="H18" s="469">
        <f>'Georgia Trans Network'!H99</f>
        <v>22891</v>
      </c>
      <c r="I18" s="469">
        <f>'Georgia Trans Network'!I99</f>
        <v>22891</v>
      </c>
      <c r="J18" s="469">
        <f>'Georgia Trans Network'!J99</f>
        <v>22891</v>
      </c>
      <c r="K18" s="469">
        <f>'Georgia Trans Network'!K99</f>
        <v>25884</v>
      </c>
      <c r="L18" s="469">
        <f>'Georgia Trans Network'!L99</f>
        <v>25884</v>
      </c>
      <c r="M18" s="469">
        <f>'Georgia Trans Network'!M99</f>
        <v>25884</v>
      </c>
      <c r="N18" s="480">
        <f t="shared" si="0"/>
        <v>263771</v>
      </c>
      <c r="O18" s="470">
        <f t="shared" si="1"/>
        <v>21980.916666666668</v>
      </c>
    </row>
    <row r="19" spans="1:15">
      <c r="A19" s="460" t="s">
        <v>388</v>
      </c>
      <c r="B19" s="469">
        <f>'Lake Worth Forecast'!E14</f>
        <v>69796.943041193677</v>
      </c>
      <c r="C19" s="469">
        <f>'Lake Worth Forecast'!F14</f>
        <v>68195.177280064745</v>
      </c>
      <c r="D19" s="469">
        <f>'Lake Worth Forecast'!G14</f>
        <v>71158.443938153272</v>
      </c>
      <c r="E19" s="469">
        <f>'Lake Worth Forecast'!H14</f>
        <v>74351.964424404097</v>
      </c>
      <c r="F19" s="469">
        <f>'Lake Worth Forecast'!I14</f>
        <v>82971.466426479223</v>
      </c>
      <c r="G19" s="469">
        <f>'Lake Worth Forecast'!J14</f>
        <v>87055.969117358021</v>
      </c>
      <c r="H19" s="469">
        <f>'Lake Worth Forecast'!K14</f>
        <v>90449.710323749969</v>
      </c>
      <c r="I19" s="469">
        <f>'Lake Worth Forecast'!L14</f>
        <v>90960.27316010982</v>
      </c>
      <c r="J19" s="469">
        <f>'Lake Worth Forecast'!M14</f>
        <v>87846.840961915441</v>
      </c>
      <c r="K19" s="469">
        <f>'Lake Worth Forecast'!N14</f>
        <v>82540.991878175832</v>
      </c>
      <c r="L19" s="469">
        <f>'Lake Worth Forecast'!O14</f>
        <v>73761.313299987814</v>
      </c>
      <c r="M19" s="469">
        <f>'Lake Worth Forecast'!P14</f>
        <v>70077.252049391231</v>
      </c>
      <c r="N19" s="480">
        <f>'Lake Worth Forecast'!Q14</f>
        <v>949166.34590098332</v>
      </c>
      <c r="O19" s="470">
        <f t="shared" si="1"/>
        <v>79097.195491748615</v>
      </c>
    </row>
    <row r="20" spans="1:15">
      <c r="A20" s="460" t="s">
        <v>111</v>
      </c>
      <c r="B20" s="469">
        <f>'Homestead Network Transmission'!B98/(1+'Transmission Formula Rate (7)'!$B$27)</f>
        <v>23564.064801178203</v>
      </c>
      <c r="C20" s="469">
        <f>'Homestead Network Transmission'!C98/(1+'Transmission Formula Rate (7)'!$B$27)</f>
        <v>5891.0162002945508</v>
      </c>
      <c r="D20" s="469">
        <f>'Homestead Network Transmission'!D98/(1+'Transmission Formula Rate (7)'!$B$27)</f>
        <v>0</v>
      </c>
      <c r="E20" s="469">
        <f>'Homestead Network Transmission'!E98/(1+'Transmission Formula Rate (7)'!$B$27)</f>
        <v>2945.5081001472754</v>
      </c>
      <c r="F20" s="469">
        <f>'Homestead Network Transmission'!F98/(1+'Transmission Formula Rate (7)'!$B$27)</f>
        <v>11782.032400589102</v>
      </c>
      <c r="G20" s="469">
        <f>'Homestead Network Transmission'!G98/(1+'Transmission Formula Rate (7)'!$B$27)</f>
        <v>19636.720667648504</v>
      </c>
      <c r="H20" s="469">
        <f>'Homestead Network Transmission'!H98/(1+'Transmission Formula Rate (7)'!$B$27)</f>
        <v>24545.900834560631</v>
      </c>
      <c r="I20" s="469">
        <f>'Homestead Network Transmission'!I98/(1+'Transmission Formula Rate (7)'!$B$27)</f>
        <v>23564.064801178203</v>
      </c>
      <c r="J20" s="469">
        <f>'Homestead Network Transmission'!J98/(1+'Transmission Formula Rate (7)'!$B$27)</f>
        <v>20618.556701030928</v>
      </c>
      <c r="K20" s="469">
        <f>'Homestead Network Transmission'!K98/(1+'Transmission Formula Rate (7)'!$B$27)</f>
        <v>7854.6882670594014</v>
      </c>
      <c r="L20" s="469">
        <f>'Homestead Network Transmission'!L98/(1+'Transmission Formula Rate (7)'!$B$27)</f>
        <v>0</v>
      </c>
      <c r="M20" s="469">
        <f>'Homestead Network Transmission'!M98/(1+'Transmission Formula Rate (7)'!$B$27)</f>
        <v>0</v>
      </c>
      <c r="N20" s="480">
        <f>'Homestead Network Transmission'!N98/(1+'Transmission Formula Rate (7)'!$B$27)</f>
        <v>140402.5527736868</v>
      </c>
      <c r="O20" s="470">
        <f t="shared" si="1"/>
        <v>11700.212731140566</v>
      </c>
    </row>
    <row r="21" spans="1:15">
      <c r="A21" s="460" t="s">
        <v>393</v>
      </c>
      <c r="B21" s="469">
        <f>'New Smyrna Network'!B98/(1+'Transmission Formula Rate (7)'!$B$27)</f>
        <v>44182.621502209135</v>
      </c>
      <c r="C21" s="469">
        <f>'New Smyrna Network'!C98/(1+'Transmission Formula Rate (7)'!$B$27)</f>
        <v>44182.621502209135</v>
      </c>
      <c r="D21" s="469">
        <f>'New Smyrna Network'!D98/(1+'Transmission Formula Rate (7)'!$B$27)</f>
        <v>29455.081001472754</v>
      </c>
      <c r="E21" s="469">
        <f>'New Smyrna Network'!E98/(1+'Transmission Formula Rate (7)'!$B$27)</f>
        <v>19636.720667648504</v>
      </c>
      <c r="F21" s="469">
        <f>'New Smyrna Network'!F98/(1+'Transmission Formula Rate (7)'!$B$27)</f>
        <v>29455.081001472754</v>
      </c>
      <c r="G21" s="469">
        <f>'New Smyrna Network'!G98/(1+'Transmission Formula Rate (7)'!$B$27)</f>
        <v>44182.621502209135</v>
      </c>
      <c r="H21" s="469">
        <f>'New Smyrna Network'!H98/(1+'Transmission Formula Rate (7)'!$B$27)</f>
        <v>44182.621502209135</v>
      </c>
      <c r="I21" s="469">
        <f>'New Smyrna Network'!I98/(1+'Transmission Formula Rate (7)'!$B$27)</f>
        <v>44182.621502209135</v>
      </c>
      <c r="J21" s="469">
        <f>'New Smyrna Network'!J98/(1+'Transmission Formula Rate (7)'!$B$27)</f>
        <v>34364.261168384881</v>
      </c>
      <c r="K21" s="469">
        <f>'New Smyrna Network'!K98/(1+'Transmission Formula Rate (7)'!$B$27)</f>
        <v>29455.081001472754</v>
      </c>
      <c r="L21" s="469">
        <f>'New Smyrna Network'!L98/(1+'Transmission Formula Rate (7)'!$B$27)</f>
        <v>19636.720667648504</v>
      </c>
      <c r="M21" s="469">
        <f>'New Smyrna Network'!M98/(1+'Transmission Formula Rate (7)'!$B$27)</f>
        <v>29455.081001472754</v>
      </c>
      <c r="N21" s="480">
        <f t="shared" si="0"/>
        <v>412371.13402061857</v>
      </c>
      <c r="O21" s="470">
        <f t="shared" si="1"/>
        <v>34364.261168384881</v>
      </c>
    </row>
    <row r="22" spans="1:15">
      <c r="A22" s="460" t="s">
        <v>435</v>
      </c>
      <c r="B22" s="469">
        <f>'Quincy Transmission'!B72/(1+'Transmission Formula Rate (7)'!$B$27)</f>
        <v>18654.88463426608</v>
      </c>
      <c r="C22" s="469">
        <f>'Quincy Transmission'!C72/(1+'Transmission Formula Rate (7)'!$B$27)</f>
        <v>23342.474226804126</v>
      </c>
      <c r="D22" s="469">
        <f>'Quincy Transmission'!D72/(1+'Transmission Formula Rate (7)'!$B$27)</f>
        <v>21369.366715758471</v>
      </c>
      <c r="E22" s="469">
        <f>'Quincy Transmission'!E72/(1+'Transmission Formula Rate (7)'!$B$27)</f>
        <v>19162.444771723123</v>
      </c>
      <c r="F22" s="469">
        <f>'Quincy Transmission'!F72/(1+'Transmission Formula Rate (7)'!$B$27)</f>
        <v>22637.054491899853</v>
      </c>
      <c r="G22" s="469">
        <f>'Quincy Transmission'!G72/(1+'Transmission Formula Rate (7)'!$B$27)</f>
        <v>27179.73490427099</v>
      </c>
      <c r="H22" s="469">
        <f>'Quincy Transmission'!H72/(1+'Transmission Formula Rate (7)'!$B$27)</f>
        <v>26867.982326951402</v>
      </c>
      <c r="I22" s="469">
        <f>'Quincy Transmission'!I72/(1+'Transmission Formula Rate (7)'!$B$27)</f>
        <v>18654.88463426608</v>
      </c>
      <c r="J22" s="469">
        <f>'Quincy Transmission'!J72/(1+'Transmission Formula Rate (7)'!$B$27)</f>
        <v>24822.503681885126</v>
      </c>
      <c r="K22" s="469">
        <f>'Quincy Transmission'!K72/(1+'Transmission Formula Rate (7)'!$B$27)</f>
        <v>21870.397643593522</v>
      </c>
      <c r="L22" s="469">
        <f>'Quincy Transmission'!L72/(1+'Transmission Formula Rate (7)'!$B$27)</f>
        <v>25166.863033873346</v>
      </c>
      <c r="M22" s="469">
        <f>'Quincy Transmission'!M72/(1+'Transmission Formula Rate (7)'!$B$27)</f>
        <v>22615.581737849781</v>
      </c>
      <c r="N22" s="480">
        <f>'Quincy Transmission'!N72/(1+'Transmission Formula Rate (7)'!$B$27)</f>
        <v>272344.17280314193</v>
      </c>
      <c r="O22" s="470">
        <f t="shared" si="1"/>
        <v>22695.347733595161</v>
      </c>
    </row>
    <row r="23" spans="1:15">
      <c r="A23" s="471" t="s">
        <v>389</v>
      </c>
      <c r="B23" s="472">
        <f>SUM(B10:B22)</f>
        <v>2037622.2701960804</v>
      </c>
      <c r="C23" s="472">
        <f t="shared" ref="C23:O23" si="2">SUM(C10:C22)</f>
        <v>2052732.6067609445</v>
      </c>
      <c r="D23" s="472">
        <f t="shared" si="2"/>
        <v>1832672.0006062281</v>
      </c>
      <c r="E23" s="472">
        <f t="shared" si="2"/>
        <v>1781165.1938262996</v>
      </c>
      <c r="F23" s="472">
        <f t="shared" si="2"/>
        <v>1951877.996154743</v>
      </c>
      <c r="G23" s="472">
        <f t="shared" si="2"/>
        <v>2173846.8059701761</v>
      </c>
      <c r="H23" s="472">
        <f t="shared" si="2"/>
        <v>2260381.4637081795</v>
      </c>
      <c r="I23" s="472">
        <f t="shared" si="2"/>
        <v>2271456.0927455868</v>
      </c>
      <c r="J23" s="472">
        <f t="shared" si="2"/>
        <v>2234782.8332064766</v>
      </c>
      <c r="K23" s="472">
        <f t="shared" si="2"/>
        <v>1988887.959158747</v>
      </c>
      <c r="L23" s="472">
        <f t="shared" si="2"/>
        <v>1896863.2602049827</v>
      </c>
      <c r="M23" s="472">
        <f t="shared" si="2"/>
        <v>1792444.7237530602</v>
      </c>
      <c r="N23" s="472">
        <f t="shared" si="2"/>
        <v>24274733.206291504</v>
      </c>
      <c r="O23" s="472">
        <f t="shared" si="2"/>
        <v>2022894.4338576256</v>
      </c>
    </row>
    <row r="24" spans="1:15">
      <c r="O24" s="468"/>
    </row>
    <row r="25" spans="1:15">
      <c r="A25" s="467" t="s">
        <v>390</v>
      </c>
      <c r="O25" s="468"/>
    </row>
    <row r="26" spans="1:15">
      <c r="A26" s="460" t="s">
        <v>23</v>
      </c>
      <c r="B26" s="469">
        <f>'TSAS Demand Revenues (7)'!B285</f>
        <v>37056</v>
      </c>
      <c r="C26" s="469">
        <f>'TSAS Demand Revenues (7)'!C285</f>
        <v>37056</v>
      </c>
      <c r="D26" s="469">
        <f>'TSAS Demand Revenues (7)'!D285</f>
        <v>37056</v>
      </c>
      <c r="E26" s="469">
        <f>'TSAS Demand Revenues (7)'!E285</f>
        <v>37056</v>
      </c>
      <c r="F26" s="469">
        <f>'TSAS Demand Revenues (7)'!F285</f>
        <v>37056</v>
      </c>
      <c r="G26" s="469">
        <f>'TSAS Demand Revenues (7)'!G285</f>
        <v>37056</v>
      </c>
      <c r="H26" s="469">
        <f>'TSAS Demand Revenues (7)'!H285</f>
        <v>37056</v>
      </c>
      <c r="I26" s="469">
        <f>'TSAS Demand Revenues (7)'!I285</f>
        <v>37056</v>
      </c>
      <c r="J26" s="469">
        <f>'TSAS Demand Revenues (7)'!J285</f>
        <v>37056</v>
      </c>
      <c r="K26" s="469">
        <f>'TSAS Demand Revenues (7)'!K285</f>
        <v>37056</v>
      </c>
      <c r="L26" s="469">
        <f>'TSAS Demand Revenues (7)'!L285</f>
        <v>37056</v>
      </c>
      <c r="M26" s="469">
        <f>'TSAS Demand Revenues (7)'!M285</f>
        <v>37056</v>
      </c>
      <c r="N26" s="480">
        <f>SUM(B26:M26)</f>
        <v>444672</v>
      </c>
      <c r="O26" s="470">
        <f t="shared" ref="O26:O32" si="3">AVERAGE(B26:M26)</f>
        <v>37056</v>
      </c>
    </row>
    <row r="27" spans="1:15">
      <c r="A27" s="460" t="s">
        <v>24</v>
      </c>
      <c r="B27" s="469">
        <f>'TSAS Demand Revenues (7)'!B290</f>
        <v>62000</v>
      </c>
      <c r="C27" s="469">
        <f>'TSAS Demand Revenues (7)'!C290</f>
        <v>62000</v>
      </c>
      <c r="D27" s="469">
        <f>'TSAS Demand Revenues (7)'!D290</f>
        <v>62000</v>
      </c>
      <c r="E27" s="469">
        <f>'TSAS Demand Revenues (7)'!E290</f>
        <v>62000</v>
      </c>
      <c r="F27" s="469">
        <f>'TSAS Demand Revenues (7)'!F290</f>
        <v>62000</v>
      </c>
      <c r="G27" s="469">
        <f>'TSAS Demand Revenues (7)'!G290</f>
        <v>62000</v>
      </c>
      <c r="H27" s="469">
        <f>'TSAS Demand Revenues (7)'!H290</f>
        <v>62000</v>
      </c>
      <c r="I27" s="469">
        <f>'TSAS Demand Revenues (7)'!I290</f>
        <v>62000</v>
      </c>
      <c r="J27" s="469">
        <f>'TSAS Demand Revenues (7)'!J290</f>
        <v>62000</v>
      </c>
      <c r="K27" s="469">
        <f>'TSAS Demand Revenues (7)'!K290</f>
        <v>62000</v>
      </c>
      <c r="L27" s="469">
        <f>'TSAS Demand Revenues (7)'!L290</f>
        <v>62000</v>
      </c>
      <c r="M27" s="469">
        <f>'TSAS Demand Revenues (7)'!M290</f>
        <v>62000</v>
      </c>
      <c r="N27" s="480">
        <f t="shared" ref="N27:N32" si="4">SUM(B27:M27)</f>
        <v>744000</v>
      </c>
      <c r="O27" s="470">
        <f t="shared" si="3"/>
        <v>62000</v>
      </c>
    </row>
    <row r="28" spans="1:15">
      <c r="A28" s="460" t="s">
        <v>111</v>
      </c>
      <c r="B28" s="469">
        <f>'TSAS Demand Revenues (7)'!B295</f>
        <v>40000</v>
      </c>
      <c r="C28" s="469">
        <f>'TSAS Demand Revenues (7)'!C295</f>
        <v>40000</v>
      </c>
      <c r="D28" s="469">
        <f>'TSAS Demand Revenues (7)'!D295</f>
        <v>40000</v>
      </c>
      <c r="E28" s="469">
        <f>'TSAS Demand Revenues (7)'!E295</f>
        <v>40000</v>
      </c>
      <c r="F28" s="469">
        <f>'TSAS Demand Revenues (7)'!F295</f>
        <v>40000</v>
      </c>
      <c r="G28" s="469">
        <f>'TSAS Demand Revenues (7)'!G295</f>
        <v>40000</v>
      </c>
      <c r="H28" s="469">
        <f>'TSAS Demand Revenues (7)'!H295</f>
        <v>40000</v>
      </c>
      <c r="I28" s="469">
        <f>'TSAS Demand Revenues (7)'!I295</f>
        <v>40000</v>
      </c>
      <c r="J28" s="469">
        <f>'TSAS Demand Revenues (7)'!J295</f>
        <v>40000</v>
      </c>
      <c r="K28" s="469">
        <f>'TSAS Demand Revenues (7)'!K295</f>
        <v>40000</v>
      </c>
      <c r="L28" s="469">
        <f>'TSAS Demand Revenues (7)'!L295</f>
        <v>40000</v>
      </c>
      <c r="M28" s="469">
        <f>'TSAS Demand Revenues (7)'!M295</f>
        <v>40000</v>
      </c>
      <c r="N28" s="480">
        <f t="shared" si="4"/>
        <v>480000</v>
      </c>
      <c r="O28" s="470">
        <f t="shared" si="3"/>
        <v>40000</v>
      </c>
    </row>
    <row r="29" spans="1:15">
      <c r="A29" s="460" t="s">
        <v>222</v>
      </c>
      <c r="B29" s="469">
        <f>'TSAS Demand Revenues (7)'!B300</f>
        <v>3000</v>
      </c>
      <c r="C29" s="469">
        <f>'TSAS Demand Revenues (7)'!C300</f>
        <v>3000</v>
      </c>
      <c r="D29" s="469">
        <f>'TSAS Demand Revenues (7)'!D300</f>
        <v>3000</v>
      </c>
      <c r="E29" s="469">
        <f>'TSAS Demand Revenues (7)'!E300</f>
        <v>3000</v>
      </c>
      <c r="F29" s="469">
        <f>'TSAS Demand Revenues (7)'!F300</f>
        <v>3000</v>
      </c>
      <c r="G29" s="469">
        <f>'TSAS Demand Revenues (7)'!G300</f>
        <v>3000</v>
      </c>
      <c r="H29" s="469">
        <f>'TSAS Demand Revenues (7)'!H300</f>
        <v>3000</v>
      </c>
      <c r="I29" s="469">
        <f>'TSAS Demand Revenues (7)'!I300</f>
        <v>3000</v>
      </c>
      <c r="J29" s="469">
        <f>'TSAS Demand Revenues (7)'!J300</f>
        <v>3000</v>
      </c>
      <c r="K29" s="469">
        <f>'TSAS Demand Revenues (7)'!K300</f>
        <v>3000</v>
      </c>
      <c r="L29" s="469">
        <f>'TSAS Demand Revenues (7)'!L300</f>
        <v>3000</v>
      </c>
      <c r="M29" s="469">
        <f>'TSAS Demand Revenues (7)'!M300</f>
        <v>3000</v>
      </c>
      <c r="N29" s="480">
        <f t="shared" si="4"/>
        <v>36000</v>
      </c>
      <c r="O29" s="470">
        <f t="shared" si="3"/>
        <v>3000</v>
      </c>
    </row>
    <row r="30" spans="1:15">
      <c r="A30" s="460" t="s">
        <v>112</v>
      </c>
      <c r="B30" s="469">
        <f>'TSAS Demand Revenues (7)'!B315</f>
        <v>150000</v>
      </c>
      <c r="C30" s="469">
        <f>'TSAS Demand Revenues (7)'!C315</f>
        <v>100000</v>
      </c>
      <c r="D30" s="469">
        <f>'TSAS Demand Revenues (7)'!D315</f>
        <v>100000</v>
      </c>
      <c r="E30" s="469">
        <f>'TSAS Demand Revenues (7)'!E315</f>
        <v>100000</v>
      </c>
      <c r="F30" s="469">
        <f>'TSAS Demand Revenues (7)'!F315</f>
        <v>100000</v>
      </c>
      <c r="G30" s="469">
        <f>'TSAS Demand Revenues (7)'!G315</f>
        <v>100000</v>
      </c>
      <c r="H30" s="469">
        <f>'TSAS Demand Revenues (7)'!H315</f>
        <v>100000</v>
      </c>
      <c r="I30" s="469">
        <f>'TSAS Demand Revenues (7)'!I315</f>
        <v>100000</v>
      </c>
      <c r="J30" s="469">
        <f>'TSAS Demand Revenues (7)'!J315</f>
        <v>100000</v>
      </c>
      <c r="K30" s="469">
        <f>'TSAS Demand Revenues (7)'!K315</f>
        <v>100000</v>
      </c>
      <c r="L30" s="469">
        <f>'TSAS Demand Revenues (7)'!L315</f>
        <v>100000</v>
      </c>
      <c r="M30" s="469">
        <f>'TSAS Demand Revenues (7)'!M315</f>
        <v>100000</v>
      </c>
      <c r="N30" s="480">
        <f t="shared" si="4"/>
        <v>1250000</v>
      </c>
      <c r="O30" s="470">
        <f t="shared" si="3"/>
        <v>104166.66666666667</v>
      </c>
    </row>
    <row r="31" spans="1:15">
      <c r="A31" s="460" t="s">
        <v>395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80">
        <f t="shared" si="4"/>
        <v>0</v>
      </c>
      <c r="O31" s="470">
        <f t="shared" si="3"/>
        <v>0</v>
      </c>
    </row>
    <row r="32" spans="1:15">
      <c r="A32" s="460" t="s">
        <v>391</v>
      </c>
      <c r="B32" s="469">
        <f>'TSAS Demand Revenues (7)'!B270</f>
        <v>5000</v>
      </c>
      <c r="C32" s="469">
        <f>'TSAS Demand Revenues (7)'!C270</f>
        <v>5000</v>
      </c>
      <c r="D32" s="469">
        <f>'TSAS Demand Revenues (7)'!D270</f>
        <v>5000</v>
      </c>
      <c r="E32" s="469">
        <f>'TSAS Demand Revenues (7)'!E270</f>
        <v>5000</v>
      </c>
      <c r="F32" s="469">
        <f>'TSAS Demand Revenues (7)'!F270</f>
        <v>5000</v>
      </c>
      <c r="G32" s="469">
        <f>'TSAS Demand Revenues (7)'!G270</f>
        <v>5000</v>
      </c>
      <c r="H32" s="469">
        <f>'TSAS Demand Revenues (7)'!H270</f>
        <v>5000</v>
      </c>
      <c r="I32" s="469">
        <f>'TSAS Demand Revenues (7)'!I270</f>
        <v>5000</v>
      </c>
      <c r="J32" s="469">
        <f>'TSAS Demand Revenues (7)'!J270</f>
        <v>5000</v>
      </c>
      <c r="K32" s="469">
        <f>'TSAS Demand Revenues (7)'!K270</f>
        <v>5000</v>
      </c>
      <c r="L32" s="469">
        <f>'TSAS Demand Revenues (7)'!L270</f>
        <v>5000</v>
      </c>
      <c r="M32" s="469">
        <f>'TSAS Demand Revenues (7)'!M270</f>
        <v>5000</v>
      </c>
      <c r="N32" s="480">
        <f t="shared" si="4"/>
        <v>60000</v>
      </c>
      <c r="O32" s="470">
        <f t="shared" si="3"/>
        <v>5000</v>
      </c>
    </row>
    <row r="33" spans="1:15">
      <c r="A33" s="471" t="s">
        <v>392</v>
      </c>
      <c r="B33" s="472">
        <f t="shared" ref="B33:O33" si="5">SUM(B26:B32)</f>
        <v>297056</v>
      </c>
      <c r="C33" s="472">
        <f t="shared" si="5"/>
        <v>247056</v>
      </c>
      <c r="D33" s="472">
        <f t="shared" si="5"/>
        <v>247056</v>
      </c>
      <c r="E33" s="472">
        <f t="shared" si="5"/>
        <v>247056</v>
      </c>
      <c r="F33" s="472">
        <f t="shared" si="5"/>
        <v>247056</v>
      </c>
      <c r="G33" s="472">
        <f t="shared" si="5"/>
        <v>247056</v>
      </c>
      <c r="H33" s="472">
        <f t="shared" si="5"/>
        <v>247056</v>
      </c>
      <c r="I33" s="472">
        <f t="shared" si="5"/>
        <v>247056</v>
      </c>
      <c r="J33" s="472">
        <f t="shared" si="5"/>
        <v>247056</v>
      </c>
      <c r="K33" s="472">
        <f t="shared" si="5"/>
        <v>247056</v>
      </c>
      <c r="L33" s="472">
        <f t="shared" si="5"/>
        <v>247056</v>
      </c>
      <c r="M33" s="472">
        <f t="shared" si="5"/>
        <v>247056</v>
      </c>
      <c r="N33" s="472">
        <f t="shared" si="5"/>
        <v>3014672</v>
      </c>
      <c r="O33" s="473">
        <f t="shared" si="5"/>
        <v>251222.66666666669</v>
      </c>
    </row>
    <row r="34" spans="1:15">
      <c r="O34" s="468"/>
    </row>
    <row r="35" spans="1:15">
      <c r="O35" s="468"/>
    </row>
    <row r="36" spans="1:15" ht="13.8" thickBot="1">
      <c r="A36" s="471" t="s">
        <v>451</v>
      </c>
      <c r="B36" s="474">
        <f t="shared" ref="B36:O36" si="6">+B23+B33</f>
        <v>2334678.2701960802</v>
      </c>
      <c r="C36" s="474">
        <f t="shared" si="6"/>
        <v>2299788.6067609442</v>
      </c>
      <c r="D36" s="474">
        <f t="shared" si="6"/>
        <v>2079728.0006062281</v>
      </c>
      <c r="E36" s="474">
        <f t="shared" si="6"/>
        <v>2028221.1938262996</v>
      </c>
      <c r="F36" s="474">
        <f t="shared" si="6"/>
        <v>2198933.9961547432</v>
      </c>
      <c r="G36" s="474">
        <f t="shared" si="6"/>
        <v>2420902.8059701761</v>
      </c>
      <c r="H36" s="474">
        <f t="shared" si="6"/>
        <v>2507437.4637081795</v>
      </c>
      <c r="I36" s="474">
        <f t="shared" si="6"/>
        <v>2518512.0927455868</v>
      </c>
      <c r="J36" s="474">
        <f t="shared" si="6"/>
        <v>2481838.8332064766</v>
      </c>
      <c r="K36" s="474">
        <f t="shared" si="6"/>
        <v>2235943.959158747</v>
      </c>
      <c r="L36" s="474">
        <f t="shared" si="6"/>
        <v>2143919.2602049829</v>
      </c>
      <c r="M36" s="474">
        <f t="shared" si="6"/>
        <v>2039500.7237530602</v>
      </c>
      <c r="N36" s="474">
        <f t="shared" si="6"/>
        <v>27289405.206291504</v>
      </c>
      <c r="O36" s="475">
        <f t="shared" si="6"/>
        <v>2274117.1005242923</v>
      </c>
    </row>
    <row r="37" spans="1:15" ht="14.4" thickTop="1" thickBot="1">
      <c r="O37" s="476"/>
    </row>
  </sheetData>
  <mergeCells count="2">
    <mergeCell ref="A3:O3"/>
    <mergeCell ref="A4:O4"/>
  </mergeCells>
  <pageMargins left="0.7" right="0.7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00B050"/>
  </sheetPr>
  <dimension ref="A1:R431"/>
  <sheetViews>
    <sheetView zoomScaleNormal="100" workbookViewId="0">
      <pane xSplit="1" ySplit="4" topLeftCell="B5" activePane="bottomRight" state="frozen"/>
      <selection sqref="A1:XFD1428"/>
      <selection pane="topRight" sqref="A1:XFD1428"/>
      <selection pane="bottomLeft" sqref="A1:XFD1428"/>
      <selection pane="bottomRight" activeCell="A2" sqref="A2"/>
    </sheetView>
  </sheetViews>
  <sheetFormatPr defaultColWidth="9" defaultRowHeight="12"/>
  <cols>
    <col min="1" max="1" width="19.6640625" style="21" customWidth="1"/>
    <col min="2" max="2" width="7.77734375" style="21" customWidth="1"/>
    <col min="3" max="13" width="7.33203125" style="21" customWidth="1"/>
    <col min="14" max="14" width="9.109375" style="21" customWidth="1"/>
    <col min="15" max="16384" width="9" style="21"/>
  </cols>
  <sheetData>
    <row r="1" spans="1:18" s="15" customFormat="1" ht="13.8">
      <c r="A1" s="482" t="s">
        <v>496</v>
      </c>
      <c r="B1" s="13">
        <f ca="1">TRUNC(NOW())</f>
        <v>42476</v>
      </c>
      <c r="C1" s="14"/>
      <c r="D1" s="16" t="s">
        <v>15</v>
      </c>
      <c r="E1" s="14"/>
      <c r="F1" s="14"/>
      <c r="G1" s="14"/>
      <c r="H1" s="14"/>
      <c r="I1" s="14"/>
      <c r="J1" s="386" t="s">
        <v>319</v>
      </c>
      <c r="K1" s="386"/>
      <c r="L1" s="14"/>
      <c r="M1" s="14"/>
      <c r="N1" s="14"/>
      <c r="O1" s="14"/>
      <c r="P1" s="14"/>
      <c r="Q1" s="14"/>
      <c r="R1" s="14"/>
    </row>
    <row r="2" spans="1:18" s="15" customFormat="1" ht="13.8">
      <c r="A2" s="482" t="s">
        <v>458</v>
      </c>
      <c r="B2" s="17">
        <f ca="1">NOW()</f>
        <v>42476.370215393516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s="15" customFormat="1" ht="13.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O3" s="14"/>
      <c r="P3" s="14"/>
      <c r="Q3" s="14"/>
      <c r="R3" s="14"/>
    </row>
    <row r="4" spans="1:18" s="15" customFormat="1" ht="13.8">
      <c r="A4" s="22" t="s">
        <v>35</v>
      </c>
      <c r="B4" s="23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</row>
    <row r="5" spans="1:18" s="19" customFormat="1" ht="10.199999999999999">
      <c r="A5" s="24">
        <v>2014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8" s="19" customFormat="1" ht="7.5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8" s="19" customFormat="1" ht="13.2">
      <c r="A7" s="22" t="s">
        <v>19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8" s="19" customFormat="1" ht="7.5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8" s="19" customFormat="1" ht="10.199999999999999">
      <c r="A9" s="393" t="s">
        <v>344</v>
      </c>
    </row>
    <row r="10" spans="1:18" s="28" customFormat="1">
      <c r="A10" s="26" t="s">
        <v>16</v>
      </c>
      <c r="B10" s="27">
        <f>'TSAS Scheduling Revenue (1)'!B11</f>
        <v>5000</v>
      </c>
      <c r="C10" s="27">
        <f>'TSAS Scheduling Revenue (1)'!C11</f>
        <v>5000</v>
      </c>
      <c r="D10" s="27">
        <f>'TSAS Scheduling Revenue (1)'!D11</f>
        <v>5000</v>
      </c>
      <c r="E10" s="27">
        <f>'TSAS Scheduling Revenue (1)'!E11</f>
        <v>5000</v>
      </c>
      <c r="F10" s="27">
        <f>'TSAS Scheduling Revenue (1)'!F11</f>
        <v>5000</v>
      </c>
      <c r="G10" s="27">
        <f>'TSAS Scheduling Revenue (1)'!G11</f>
        <v>5000</v>
      </c>
      <c r="H10" s="27">
        <f>'TSAS Scheduling Revenue (1)'!H11</f>
        <v>5000</v>
      </c>
      <c r="I10" s="27">
        <f>'TSAS Scheduling Revenue (1)'!I11</f>
        <v>5000</v>
      </c>
      <c r="J10" s="27">
        <f>'TSAS Scheduling Revenue (1)'!J11</f>
        <v>5000</v>
      </c>
      <c r="K10" s="27">
        <f>'TSAS Scheduling Revenue (1)'!K11</f>
        <v>5000</v>
      </c>
      <c r="L10" s="27">
        <f>'TSAS Scheduling Revenue (1)'!L11</f>
        <v>5000</v>
      </c>
      <c r="M10" s="27">
        <f>'TSAS Scheduling Revenue (1)'!M11</f>
        <v>5000</v>
      </c>
      <c r="N10" s="27">
        <f>SUM(B10:M10)</f>
        <v>60000</v>
      </c>
      <c r="O10" s="326"/>
      <c r="P10" s="21"/>
    </row>
    <row r="11" spans="1:18" s="19" customFormat="1">
      <c r="A11" s="25" t="s">
        <v>20</v>
      </c>
      <c r="B11" s="31">
        <f>'charges (1 &amp; 2)'!$C$19</f>
        <v>0.1008</v>
      </c>
      <c r="C11" s="31">
        <f>+$B$11</f>
        <v>0.1008</v>
      </c>
      <c r="D11" s="31">
        <f t="shared" ref="D11:M11" si="0">+$B$11</f>
        <v>0.1008</v>
      </c>
      <c r="E11" s="31">
        <f t="shared" si="0"/>
        <v>0.1008</v>
      </c>
      <c r="F11" s="31">
        <f t="shared" si="0"/>
        <v>0.1008</v>
      </c>
      <c r="G11" s="31">
        <f t="shared" si="0"/>
        <v>0.1008</v>
      </c>
      <c r="H11" s="31">
        <f t="shared" si="0"/>
        <v>0.1008</v>
      </c>
      <c r="I11" s="31">
        <f t="shared" si="0"/>
        <v>0.1008</v>
      </c>
      <c r="J11" s="31">
        <f t="shared" si="0"/>
        <v>0.1008</v>
      </c>
      <c r="K11" s="31">
        <f t="shared" si="0"/>
        <v>0.1008</v>
      </c>
      <c r="L11" s="31">
        <f t="shared" si="0"/>
        <v>0.1008</v>
      </c>
      <c r="M11" s="31">
        <f t="shared" si="0"/>
        <v>0.1008</v>
      </c>
      <c r="P11" s="21"/>
    </row>
    <row r="12" spans="1:18" s="19" customFormat="1">
      <c r="A12" s="25" t="s">
        <v>17</v>
      </c>
      <c r="B12" s="20">
        <f t="shared" ref="B12:M12" si="1">B10*B11</f>
        <v>504</v>
      </c>
      <c r="C12" s="20">
        <f t="shared" si="1"/>
        <v>504</v>
      </c>
      <c r="D12" s="20">
        <f t="shared" si="1"/>
        <v>504</v>
      </c>
      <c r="E12" s="20">
        <f t="shared" si="1"/>
        <v>504</v>
      </c>
      <c r="F12" s="20">
        <f t="shared" si="1"/>
        <v>504</v>
      </c>
      <c r="G12" s="20">
        <f t="shared" si="1"/>
        <v>504</v>
      </c>
      <c r="H12" s="20">
        <f t="shared" si="1"/>
        <v>504</v>
      </c>
      <c r="I12" s="20">
        <f t="shared" si="1"/>
        <v>504</v>
      </c>
      <c r="J12" s="20">
        <f t="shared" si="1"/>
        <v>504</v>
      </c>
      <c r="K12" s="20">
        <f t="shared" si="1"/>
        <v>504</v>
      </c>
      <c r="L12" s="20">
        <f t="shared" si="1"/>
        <v>504</v>
      </c>
      <c r="M12" s="20">
        <f t="shared" si="1"/>
        <v>504</v>
      </c>
      <c r="N12" s="20">
        <f>SUM(B12:M12)</f>
        <v>6048</v>
      </c>
      <c r="P12" s="21"/>
    </row>
    <row r="13" spans="1:18" s="19" customFormat="1">
      <c r="P13" s="21"/>
    </row>
    <row r="14" spans="1:18" s="19" customFormat="1">
      <c r="A14" s="393" t="s">
        <v>287</v>
      </c>
      <c r="P14" s="21"/>
    </row>
    <row r="15" spans="1:18" s="28" customFormat="1">
      <c r="A15" s="26" t="s">
        <v>16</v>
      </c>
      <c r="B15" s="27">
        <f>'TSAS Scheduling Revenue (1)'!B16</f>
        <v>23000</v>
      </c>
      <c r="C15" s="27">
        <f>'TSAS Scheduling Revenue (1)'!C16</f>
        <v>23000</v>
      </c>
      <c r="D15" s="27">
        <f>'TSAS Scheduling Revenue (1)'!D16</f>
        <v>23000</v>
      </c>
      <c r="E15" s="27">
        <f>'TSAS Scheduling Revenue (1)'!E16</f>
        <v>23000</v>
      </c>
      <c r="F15" s="27">
        <f>'TSAS Scheduling Revenue (1)'!F16</f>
        <v>23000</v>
      </c>
      <c r="G15" s="27">
        <f>'TSAS Scheduling Revenue (1)'!G16</f>
        <v>23000</v>
      </c>
      <c r="H15" s="27">
        <f>'TSAS Scheduling Revenue (1)'!H16</f>
        <v>23000</v>
      </c>
      <c r="I15" s="27">
        <f>'TSAS Scheduling Revenue (1)'!I16</f>
        <v>23000</v>
      </c>
      <c r="J15" s="27">
        <f>'TSAS Scheduling Revenue (1)'!J16</f>
        <v>23000</v>
      </c>
      <c r="K15" s="27">
        <f>'TSAS Scheduling Revenue (1)'!K16</f>
        <v>23000</v>
      </c>
      <c r="L15" s="27">
        <f>'TSAS Scheduling Revenue (1)'!L16</f>
        <v>23000</v>
      </c>
      <c r="M15" s="27">
        <f>'TSAS Scheduling Revenue (1)'!M16</f>
        <v>23000</v>
      </c>
      <c r="N15" s="27">
        <f>SUM(B15:M15)</f>
        <v>276000</v>
      </c>
      <c r="P15" s="21"/>
    </row>
    <row r="16" spans="1:18" s="19" customFormat="1">
      <c r="A16" s="25" t="s">
        <v>20</v>
      </c>
      <c r="B16" s="31">
        <f>'charges (1 &amp; 2)'!$C$10</f>
        <v>0.1008</v>
      </c>
      <c r="C16" s="31">
        <f t="shared" ref="C16:M16" si="2">+$B$16</f>
        <v>0.1008</v>
      </c>
      <c r="D16" s="31">
        <f t="shared" si="2"/>
        <v>0.1008</v>
      </c>
      <c r="E16" s="31">
        <f t="shared" si="2"/>
        <v>0.1008</v>
      </c>
      <c r="F16" s="31">
        <f t="shared" si="2"/>
        <v>0.1008</v>
      </c>
      <c r="G16" s="31">
        <f t="shared" si="2"/>
        <v>0.1008</v>
      </c>
      <c r="H16" s="31">
        <f t="shared" si="2"/>
        <v>0.1008</v>
      </c>
      <c r="I16" s="31">
        <f t="shared" si="2"/>
        <v>0.1008</v>
      </c>
      <c r="J16" s="31">
        <f t="shared" si="2"/>
        <v>0.1008</v>
      </c>
      <c r="K16" s="31">
        <f t="shared" si="2"/>
        <v>0.1008</v>
      </c>
      <c r="L16" s="31">
        <f t="shared" si="2"/>
        <v>0.1008</v>
      </c>
      <c r="M16" s="31">
        <f t="shared" si="2"/>
        <v>0.1008</v>
      </c>
      <c r="P16" s="21"/>
    </row>
    <row r="17" spans="1:16" s="19" customFormat="1">
      <c r="A17" s="25" t="s">
        <v>17</v>
      </c>
      <c r="B17" s="20">
        <f t="shared" ref="B17:M17" si="3">B15*B16</f>
        <v>2318.4</v>
      </c>
      <c r="C17" s="20">
        <f t="shared" si="3"/>
        <v>2318.4</v>
      </c>
      <c r="D17" s="20">
        <f t="shared" si="3"/>
        <v>2318.4</v>
      </c>
      <c r="E17" s="20">
        <f t="shared" si="3"/>
        <v>2318.4</v>
      </c>
      <c r="F17" s="20">
        <f t="shared" si="3"/>
        <v>2318.4</v>
      </c>
      <c r="G17" s="20">
        <f t="shared" si="3"/>
        <v>2318.4</v>
      </c>
      <c r="H17" s="20">
        <f t="shared" si="3"/>
        <v>2318.4</v>
      </c>
      <c r="I17" s="20">
        <f t="shared" si="3"/>
        <v>2318.4</v>
      </c>
      <c r="J17" s="20">
        <f t="shared" si="3"/>
        <v>2318.4</v>
      </c>
      <c r="K17" s="20">
        <f t="shared" si="3"/>
        <v>2318.4</v>
      </c>
      <c r="L17" s="20">
        <f t="shared" si="3"/>
        <v>2318.4</v>
      </c>
      <c r="M17" s="20">
        <f t="shared" si="3"/>
        <v>2318.4</v>
      </c>
      <c r="N17" s="20">
        <f>SUM(B17:M17)</f>
        <v>27820.800000000007</v>
      </c>
      <c r="P17" s="21"/>
    </row>
    <row r="18" spans="1:16" s="19" customFormat="1">
      <c r="B18" s="20"/>
      <c r="P18" s="21"/>
    </row>
    <row r="19" spans="1:16" s="19" customFormat="1">
      <c r="A19" s="393" t="s">
        <v>112</v>
      </c>
      <c r="P19" s="21"/>
    </row>
    <row r="20" spans="1:16" s="28" customFormat="1">
      <c r="A20" s="26" t="s">
        <v>16</v>
      </c>
      <c r="B20" s="27">
        <f>'TSAS Scheduling Revenue (1)'!B21</f>
        <v>150000</v>
      </c>
      <c r="C20" s="27">
        <f>'TSAS Scheduling Revenue (1)'!C21</f>
        <v>150000</v>
      </c>
      <c r="D20" s="27">
        <f>'TSAS Scheduling Revenue (1)'!D21</f>
        <v>150000</v>
      </c>
      <c r="E20" s="27">
        <f>'TSAS Scheduling Revenue (1)'!E21</f>
        <v>150000</v>
      </c>
      <c r="F20" s="27">
        <f>'TSAS Scheduling Revenue (1)'!F21</f>
        <v>150000</v>
      </c>
      <c r="G20" s="27">
        <f>'TSAS Scheduling Revenue (1)'!G21</f>
        <v>150000</v>
      </c>
      <c r="H20" s="27">
        <f>'TSAS Scheduling Revenue (1)'!H21</f>
        <v>150000</v>
      </c>
      <c r="I20" s="27">
        <f>'TSAS Scheduling Revenue (1)'!I21</f>
        <v>150000</v>
      </c>
      <c r="J20" s="27">
        <f>'TSAS Scheduling Revenue (1)'!J21</f>
        <v>150000</v>
      </c>
      <c r="K20" s="27">
        <f>'TSAS Scheduling Revenue (1)'!K21</f>
        <v>150000</v>
      </c>
      <c r="L20" s="27">
        <f>'TSAS Scheduling Revenue (1)'!L21</f>
        <v>150000</v>
      </c>
      <c r="M20" s="27">
        <f>'TSAS Scheduling Revenue (1)'!M21</f>
        <v>150000</v>
      </c>
      <c r="N20" s="27">
        <f>SUM(B20:M20)</f>
        <v>1800000</v>
      </c>
      <c r="P20" s="21"/>
    </row>
    <row r="21" spans="1:16" s="19" customFormat="1">
      <c r="A21" s="25" t="s">
        <v>20</v>
      </c>
      <c r="B21" s="32">
        <f>'charges (1 &amp; 2)'!C22</f>
        <v>0.1008</v>
      </c>
      <c r="C21" s="32">
        <f t="shared" ref="C21:M21" si="4">+$B$21</f>
        <v>0.1008</v>
      </c>
      <c r="D21" s="32">
        <f t="shared" si="4"/>
        <v>0.1008</v>
      </c>
      <c r="E21" s="32">
        <f t="shared" si="4"/>
        <v>0.1008</v>
      </c>
      <c r="F21" s="32">
        <f t="shared" si="4"/>
        <v>0.1008</v>
      </c>
      <c r="G21" s="32">
        <f t="shared" si="4"/>
        <v>0.1008</v>
      </c>
      <c r="H21" s="32">
        <f t="shared" si="4"/>
        <v>0.1008</v>
      </c>
      <c r="I21" s="32">
        <f t="shared" si="4"/>
        <v>0.1008</v>
      </c>
      <c r="J21" s="32">
        <f t="shared" si="4"/>
        <v>0.1008</v>
      </c>
      <c r="K21" s="32">
        <f t="shared" si="4"/>
        <v>0.1008</v>
      </c>
      <c r="L21" s="32">
        <f t="shared" si="4"/>
        <v>0.1008</v>
      </c>
      <c r="M21" s="32">
        <f t="shared" si="4"/>
        <v>0.1008</v>
      </c>
      <c r="P21" s="21"/>
    </row>
    <row r="22" spans="1:16" s="19" customFormat="1">
      <c r="A22" s="25" t="s">
        <v>17</v>
      </c>
      <c r="B22" s="20">
        <f t="shared" ref="B22:M22" si="5">B20*B21</f>
        <v>15120</v>
      </c>
      <c r="C22" s="20">
        <f t="shared" si="5"/>
        <v>15120</v>
      </c>
      <c r="D22" s="20">
        <f t="shared" si="5"/>
        <v>15120</v>
      </c>
      <c r="E22" s="20">
        <f t="shared" si="5"/>
        <v>15120</v>
      </c>
      <c r="F22" s="20">
        <f t="shared" si="5"/>
        <v>15120</v>
      </c>
      <c r="G22" s="20">
        <f t="shared" si="5"/>
        <v>15120</v>
      </c>
      <c r="H22" s="20">
        <f t="shared" si="5"/>
        <v>15120</v>
      </c>
      <c r="I22" s="20">
        <f t="shared" si="5"/>
        <v>15120</v>
      </c>
      <c r="J22" s="20">
        <f t="shared" si="5"/>
        <v>15120</v>
      </c>
      <c r="K22" s="20">
        <f t="shared" si="5"/>
        <v>15120</v>
      </c>
      <c r="L22" s="20">
        <f t="shared" si="5"/>
        <v>15120</v>
      </c>
      <c r="M22" s="20">
        <f t="shared" si="5"/>
        <v>15120</v>
      </c>
      <c r="N22" s="20">
        <f>SUM(B22:M22)</f>
        <v>181440</v>
      </c>
      <c r="P22" s="21"/>
    </row>
    <row r="23" spans="1:16" s="19" customFormat="1">
      <c r="B23" s="20"/>
      <c r="P23" s="21"/>
    </row>
    <row r="24" spans="1:16" s="19" customFormat="1" ht="10.199999999999999">
      <c r="A24" s="393" t="s">
        <v>23</v>
      </c>
      <c r="P24" s="28"/>
    </row>
    <row r="25" spans="1:16" s="28" customFormat="1" ht="10.199999999999999">
      <c r="A25" s="26" t="s">
        <v>16</v>
      </c>
      <c r="B25" s="27">
        <f>'TSAS Scheduling Revenue (1)'!B26</f>
        <v>37056</v>
      </c>
      <c r="C25" s="27">
        <f>'TSAS Scheduling Revenue (1)'!C26</f>
        <v>37056</v>
      </c>
      <c r="D25" s="27">
        <f>'TSAS Scheduling Revenue (1)'!D26</f>
        <v>37056</v>
      </c>
      <c r="E25" s="27">
        <f>'TSAS Scheduling Revenue (1)'!E26</f>
        <v>37056</v>
      </c>
      <c r="F25" s="27">
        <f>'TSAS Scheduling Revenue (1)'!F26</f>
        <v>37056</v>
      </c>
      <c r="G25" s="27">
        <f>'TSAS Scheduling Revenue (1)'!G26</f>
        <v>37056</v>
      </c>
      <c r="H25" s="27">
        <f>'TSAS Scheduling Revenue (1)'!H26</f>
        <v>37056</v>
      </c>
      <c r="I25" s="27">
        <f>'TSAS Scheduling Revenue (1)'!I26</f>
        <v>37056</v>
      </c>
      <c r="J25" s="27">
        <f>'TSAS Scheduling Revenue (1)'!J26</f>
        <v>37056</v>
      </c>
      <c r="K25" s="27">
        <f>'TSAS Scheduling Revenue (1)'!K26</f>
        <v>37056</v>
      </c>
      <c r="L25" s="27">
        <f>'TSAS Scheduling Revenue (1)'!L26</f>
        <v>37056</v>
      </c>
      <c r="M25" s="27">
        <f>'TSAS Scheduling Revenue (1)'!M26</f>
        <v>37056</v>
      </c>
      <c r="N25" s="27">
        <f>SUM(B25:M25)</f>
        <v>444672</v>
      </c>
    </row>
    <row r="26" spans="1:16" s="19" customFormat="1" ht="10.199999999999999">
      <c r="A26" s="25" t="s">
        <v>20</v>
      </c>
      <c r="B26" s="32">
        <f>'charges (1 &amp; 2)'!C13</f>
        <v>7.0000000000000007E-2</v>
      </c>
      <c r="C26" s="32">
        <f t="shared" ref="C26:M26" si="6">+$B$26</f>
        <v>7.0000000000000007E-2</v>
      </c>
      <c r="D26" s="32">
        <f t="shared" si="6"/>
        <v>7.0000000000000007E-2</v>
      </c>
      <c r="E26" s="32">
        <f t="shared" si="6"/>
        <v>7.0000000000000007E-2</v>
      </c>
      <c r="F26" s="32">
        <f t="shared" si="6"/>
        <v>7.0000000000000007E-2</v>
      </c>
      <c r="G26" s="32">
        <f t="shared" si="6"/>
        <v>7.0000000000000007E-2</v>
      </c>
      <c r="H26" s="32">
        <f t="shared" si="6"/>
        <v>7.0000000000000007E-2</v>
      </c>
      <c r="I26" s="32">
        <f t="shared" si="6"/>
        <v>7.0000000000000007E-2</v>
      </c>
      <c r="J26" s="32">
        <f t="shared" si="6"/>
        <v>7.0000000000000007E-2</v>
      </c>
      <c r="K26" s="32">
        <f t="shared" si="6"/>
        <v>7.0000000000000007E-2</v>
      </c>
      <c r="L26" s="32">
        <f t="shared" si="6"/>
        <v>7.0000000000000007E-2</v>
      </c>
      <c r="M26" s="32">
        <f t="shared" si="6"/>
        <v>7.0000000000000007E-2</v>
      </c>
    </row>
    <row r="27" spans="1:16" s="19" customFormat="1" ht="10.199999999999999">
      <c r="A27" s="25" t="s">
        <v>17</v>
      </c>
      <c r="B27" s="20">
        <f t="shared" ref="B27:M27" si="7">B25*B26</f>
        <v>2593.92</v>
      </c>
      <c r="C27" s="20">
        <f t="shared" si="7"/>
        <v>2593.92</v>
      </c>
      <c r="D27" s="20">
        <f t="shared" si="7"/>
        <v>2593.92</v>
      </c>
      <c r="E27" s="20">
        <f t="shared" si="7"/>
        <v>2593.92</v>
      </c>
      <c r="F27" s="20">
        <f t="shared" si="7"/>
        <v>2593.92</v>
      </c>
      <c r="G27" s="20">
        <f t="shared" si="7"/>
        <v>2593.92</v>
      </c>
      <c r="H27" s="20">
        <f t="shared" si="7"/>
        <v>2593.92</v>
      </c>
      <c r="I27" s="20">
        <f t="shared" si="7"/>
        <v>2593.92</v>
      </c>
      <c r="J27" s="20">
        <f t="shared" si="7"/>
        <v>2593.92</v>
      </c>
      <c r="K27" s="20">
        <f t="shared" si="7"/>
        <v>2593.92</v>
      </c>
      <c r="L27" s="20">
        <f t="shared" si="7"/>
        <v>2593.92</v>
      </c>
      <c r="M27" s="20">
        <f t="shared" si="7"/>
        <v>2593.92</v>
      </c>
      <c r="N27" s="20">
        <f>SUM(B27:M27)</f>
        <v>31127.039999999994</v>
      </c>
    </row>
    <row r="28" spans="1:16" s="19" customFormat="1" ht="10.199999999999999">
      <c r="B28" s="20"/>
    </row>
    <row r="29" spans="1:16" s="19" customFormat="1" ht="10.199999999999999">
      <c r="A29" s="393" t="s">
        <v>24</v>
      </c>
    </row>
    <row r="30" spans="1:16" s="28" customFormat="1" ht="10.199999999999999">
      <c r="A30" s="26" t="s">
        <v>16</v>
      </c>
      <c r="B30" s="27">
        <f>'TSAS Scheduling Revenue (1)'!B31</f>
        <v>52000</v>
      </c>
      <c r="C30" s="27">
        <f>'TSAS Scheduling Revenue (1)'!C31</f>
        <v>52000</v>
      </c>
      <c r="D30" s="27">
        <f>'TSAS Scheduling Revenue (1)'!D31</f>
        <v>52000</v>
      </c>
      <c r="E30" s="27">
        <f>'TSAS Scheduling Revenue (1)'!E31</f>
        <v>52000</v>
      </c>
      <c r="F30" s="27">
        <f>'TSAS Scheduling Revenue (1)'!F31</f>
        <v>52000</v>
      </c>
      <c r="G30" s="27">
        <f>'TSAS Scheduling Revenue (1)'!G31</f>
        <v>52000</v>
      </c>
      <c r="H30" s="27">
        <f>'TSAS Scheduling Revenue (1)'!H31</f>
        <v>52000</v>
      </c>
      <c r="I30" s="27">
        <f>'TSAS Scheduling Revenue (1)'!I31</f>
        <v>52000</v>
      </c>
      <c r="J30" s="27">
        <f>'TSAS Scheduling Revenue (1)'!J31</f>
        <v>52000</v>
      </c>
      <c r="K30" s="27">
        <f>'TSAS Scheduling Revenue (1)'!K31</f>
        <v>52000</v>
      </c>
      <c r="L30" s="27">
        <f>'TSAS Scheduling Revenue (1)'!L31</f>
        <v>52000</v>
      </c>
      <c r="M30" s="27">
        <f>'TSAS Scheduling Revenue (1)'!M31</f>
        <v>52000</v>
      </c>
      <c r="N30" s="27">
        <f>SUM(B30:M30)</f>
        <v>624000</v>
      </c>
    </row>
    <row r="31" spans="1:16" s="19" customFormat="1" ht="10.199999999999999">
      <c r="A31" s="25" t="s">
        <v>20</v>
      </c>
      <c r="B31" s="32">
        <f>'charges (1 &amp; 2)'!C16</f>
        <v>0.1008</v>
      </c>
      <c r="C31" s="32">
        <f t="shared" ref="C31:M31" si="8">+$B$31</f>
        <v>0.1008</v>
      </c>
      <c r="D31" s="32">
        <f t="shared" si="8"/>
        <v>0.1008</v>
      </c>
      <c r="E31" s="32">
        <f t="shared" si="8"/>
        <v>0.1008</v>
      </c>
      <c r="F31" s="32">
        <f t="shared" si="8"/>
        <v>0.1008</v>
      </c>
      <c r="G31" s="32">
        <f t="shared" si="8"/>
        <v>0.1008</v>
      </c>
      <c r="H31" s="32">
        <f t="shared" si="8"/>
        <v>0.1008</v>
      </c>
      <c r="I31" s="32">
        <f t="shared" si="8"/>
        <v>0.1008</v>
      </c>
      <c r="J31" s="32">
        <f t="shared" si="8"/>
        <v>0.1008</v>
      </c>
      <c r="K31" s="32">
        <f t="shared" si="8"/>
        <v>0.1008</v>
      </c>
      <c r="L31" s="32">
        <f t="shared" si="8"/>
        <v>0.1008</v>
      </c>
      <c r="M31" s="32">
        <f t="shared" si="8"/>
        <v>0.1008</v>
      </c>
    </row>
    <row r="32" spans="1:16" s="19" customFormat="1" ht="10.199999999999999">
      <c r="A32" s="25" t="s">
        <v>17</v>
      </c>
      <c r="B32" s="20">
        <f t="shared" ref="B32:M32" si="9">B30*B31</f>
        <v>5241.6000000000004</v>
      </c>
      <c r="C32" s="20">
        <f t="shared" si="9"/>
        <v>5241.6000000000004</v>
      </c>
      <c r="D32" s="20">
        <f t="shared" si="9"/>
        <v>5241.6000000000004</v>
      </c>
      <c r="E32" s="20">
        <f t="shared" si="9"/>
        <v>5241.6000000000004</v>
      </c>
      <c r="F32" s="20">
        <f t="shared" si="9"/>
        <v>5241.6000000000004</v>
      </c>
      <c r="G32" s="20">
        <f t="shared" si="9"/>
        <v>5241.6000000000004</v>
      </c>
      <c r="H32" s="20">
        <f t="shared" si="9"/>
        <v>5241.6000000000004</v>
      </c>
      <c r="I32" s="20">
        <f t="shared" si="9"/>
        <v>5241.6000000000004</v>
      </c>
      <c r="J32" s="20">
        <f t="shared" si="9"/>
        <v>5241.6000000000004</v>
      </c>
      <c r="K32" s="20">
        <f t="shared" si="9"/>
        <v>5241.6000000000004</v>
      </c>
      <c r="L32" s="20">
        <f t="shared" si="9"/>
        <v>5241.6000000000004</v>
      </c>
      <c r="M32" s="20">
        <f t="shared" si="9"/>
        <v>5241.6000000000004</v>
      </c>
      <c r="N32" s="20">
        <f>SUM(B32:M32)</f>
        <v>62899.19999999999</v>
      </c>
    </row>
    <row r="33" spans="1:14" s="19" customFormat="1" ht="10.199999999999999">
      <c r="A33" s="25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s="19" customFormat="1" ht="10.199999999999999">
      <c r="A34" s="393" t="s">
        <v>222</v>
      </c>
    </row>
    <row r="35" spans="1:14" s="19" customFormat="1" ht="10.199999999999999">
      <c r="A35" s="26" t="s">
        <v>16</v>
      </c>
      <c r="B35" s="27">
        <f>'TSAS Demand Revenues (7)'!B41</f>
        <v>4000</v>
      </c>
      <c r="C35" s="27">
        <f>'TSAS Demand Revenues (7)'!C41</f>
        <v>4000</v>
      </c>
      <c r="D35" s="27">
        <f>'TSAS Demand Revenues (7)'!D41</f>
        <v>4000</v>
      </c>
      <c r="E35" s="27">
        <f>'TSAS Demand Revenues (7)'!E41</f>
        <v>4000</v>
      </c>
      <c r="F35" s="27">
        <f>'TSAS Demand Revenues (7)'!F41</f>
        <v>4000</v>
      </c>
      <c r="G35" s="27">
        <f>'TSAS Demand Revenues (7)'!G41</f>
        <v>4000</v>
      </c>
      <c r="H35" s="27">
        <f>'TSAS Demand Revenues (7)'!H41</f>
        <v>4000</v>
      </c>
      <c r="I35" s="27">
        <f>'TSAS Demand Revenues (7)'!I41</f>
        <v>4000</v>
      </c>
      <c r="J35" s="27">
        <f>'TSAS Demand Revenues (7)'!J41</f>
        <v>4000</v>
      </c>
      <c r="K35" s="27">
        <f>'TSAS Demand Revenues (7)'!K41</f>
        <v>4000</v>
      </c>
      <c r="L35" s="27">
        <f>'TSAS Demand Revenues (7)'!L41</f>
        <v>4000</v>
      </c>
      <c r="M35" s="27">
        <f>'TSAS Demand Revenues (7)'!M41</f>
        <v>4000</v>
      </c>
      <c r="N35" s="27">
        <f>SUM(B35:M35)</f>
        <v>48000</v>
      </c>
    </row>
    <row r="36" spans="1:14" s="19" customFormat="1" ht="10.199999999999999">
      <c r="A36" s="25" t="s">
        <v>20</v>
      </c>
      <c r="B36" s="32">
        <f t="shared" ref="B36:M36" si="10">+$B$31</f>
        <v>0.1008</v>
      </c>
      <c r="C36" s="32">
        <f t="shared" si="10"/>
        <v>0.1008</v>
      </c>
      <c r="D36" s="32">
        <f t="shared" si="10"/>
        <v>0.1008</v>
      </c>
      <c r="E36" s="32">
        <f t="shared" si="10"/>
        <v>0.1008</v>
      </c>
      <c r="F36" s="32">
        <f t="shared" si="10"/>
        <v>0.1008</v>
      </c>
      <c r="G36" s="32">
        <f t="shared" si="10"/>
        <v>0.1008</v>
      </c>
      <c r="H36" s="32">
        <f t="shared" si="10"/>
        <v>0.1008</v>
      </c>
      <c r="I36" s="32">
        <f t="shared" si="10"/>
        <v>0.1008</v>
      </c>
      <c r="J36" s="32">
        <f t="shared" si="10"/>
        <v>0.1008</v>
      </c>
      <c r="K36" s="32">
        <f t="shared" si="10"/>
        <v>0.1008</v>
      </c>
      <c r="L36" s="32">
        <f t="shared" si="10"/>
        <v>0.1008</v>
      </c>
      <c r="M36" s="32">
        <f t="shared" si="10"/>
        <v>0.1008</v>
      </c>
    </row>
    <row r="37" spans="1:14" s="19" customFormat="1" ht="10.199999999999999">
      <c r="A37" s="25" t="s">
        <v>17</v>
      </c>
      <c r="B37" s="20">
        <f t="shared" ref="B37:M37" si="11">B35*B36</f>
        <v>403.2</v>
      </c>
      <c r="C37" s="20">
        <f t="shared" si="11"/>
        <v>403.2</v>
      </c>
      <c r="D37" s="20">
        <f t="shared" si="11"/>
        <v>403.2</v>
      </c>
      <c r="E37" s="20">
        <f t="shared" si="11"/>
        <v>403.2</v>
      </c>
      <c r="F37" s="20">
        <f t="shared" si="11"/>
        <v>403.2</v>
      </c>
      <c r="G37" s="20">
        <f t="shared" si="11"/>
        <v>403.2</v>
      </c>
      <c r="H37" s="20">
        <f t="shared" si="11"/>
        <v>403.2</v>
      </c>
      <c r="I37" s="20">
        <f t="shared" si="11"/>
        <v>403.2</v>
      </c>
      <c r="J37" s="20">
        <f t="shared" si="11"/>
        <v>403.2</v>
      </c>
      <c r="K37" s="20">
        <f t="shared" si="11"/>
        <v>403.2</v>
      </c>
      <c r="L37" s="20">
        <f t="shared" si="11"/>
        <v>403.2</v>
      </c>
      <c r="M37" s="20">
        <f t="shared" si="11"/>
        <v>403.2</v>
      </c>
      <c r="N37" s="20">
        <f>SUM(B37:M37)</f>
        <v>4838.3999999999987</v>
      </c>
    </row>
    <row r="38" spans="1:14" s="19" customFormat="1" ht="10.199999999999999">
      <c r="A38" s="25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s="19" customFormat="1" ht="10.199999999999999">
      <c r="A39" s="393" t="s">
        <v>111</v>
      </c>
    </row>
    <row r="40" spans="1:14" s="19" customFormat="1" ht="10.199999999999999">
      <c r="A40" s="26" t="s">
        <v>16</v>
      </c>
      <c r="B40" s="27">
        <f>'TSAS Scheduling Revenue (1)'!B41</f>
        <v>40000</v>
      </c>
      <c r="C40" s="27">
        <f>'TSAS Scheduling Revenue (1)'!C41</f>
        <v>40000</v>
      </c>
      <c r="D40" s="27">
        <f>'TSAS Scheduling Revenue (1)'!D41</f>
        <v>40000</v>
      </c>
      <c r="E40" s="27">
        <f>'TSAS Scheduling Revenue (1)'!E41</f>
        <v>40000</v>
      </c>
      <c r="F40" s="27">
        <f>'TSAS Scheduling Revenue (1)'!F41</f>
        <v>40000</v>
      </c>
      <c r="G40" s="27">
        <f>'TSAS Scheduling Revenue (1)'!G41</f>
        <v>40000</v>
      </c>
      <c r="H40" s="27">
        <f>'TSAS Scheduling Revenue (1)'!H41</f>
        <v>40000</v>
      </c>
      <c r="I40" s="27">
        <f>'TSAS Scheduling Revenue (1)'!I41</f>
        <v>40000</v>
      </c>
      <c r="J40" s="27">
        <f>'TSAS Scheduling Revenue (1)'!J41</f>
        <v>40000</v>
      </c>
      <c r="K40" s="27">
        <f>'TSAS Scheduling Revenue (1)'!K41</f>
        <v>40000</v>
      </c>
      <c r="L40" s="27">
        <f>'TSAS Scheduling Revenue (1)'!L41</f>
        <v>40000</v>
      </c>
      <c r="M40" s="27">
        <f>'TSAS Scheduling Revenue (1)'!M41</f>
        <v>40000</v>
      </c>
      <c r="N40" s="27">
        <f>SUM(B40:M40)</f>
        <v>480000</v>
      </c>
    </row>
    <row r="41" spans="1:14" s="19" customFormat="1" ht="10.199999999999999">
      <c r="A41" s="25" t="s">
        <v>20</v>
      </c>
      <c r="B41" s="32">
        <f t="shared" ref="B41:I41" si="12">+$B$31</f>
        <v>0.1008</v>
      </c>
      <c r="C41" s="32">
        <f t="shared" si="12"/>
        <v>0.1008</v>
      </c>
      <c r="D41" s="32">
        <f t="shared" si="12"/>
        <v>0.1008</v>
      </c>
      <c r="E41" s="32">
        <f t="shared" si="12"/>
        <v>0.1008</v>
      </c>
      <c r="F41" s="32">
        <f t="shared" si="12"/>
        <v>0.1008</v>
      </c>
      <c r="G41" s="32">
        <f t="shared" si="12"/>
        <v>0.1008</v>
      </c>
      <c r="H41" s="32">
        <f t="shared" si="12"/>
        <v>0.1008</v>
      </c>
      <c r="I41" s="32">
        <f t="shared" si="12"/>
        <v>0.1008</v>
      </c>
      <c r="J41" s="32">
        <f>+$B$31</f>
        <v>0.1008</v>
      </c>
      <c r="K41" s="32">
        <f>+$B$31</f>
        <v>0.1008</v>
      </c>
      <c r="L41" s="32">
        <f>+$B$31</f>
        <v>0.1008</v>
      </c>
      <c r="M41" s="32">
        <f>+$B$31</f>
        <v>0.1008</v>
      </c>
    </row>
    <row r="42" spans="1:14" s="19" customFormat="1" ht="10.199999999999999">
      <c r="A42" s="25" t="s">
        <v>17</v>
      </c>
      <c r="B42" s="20">
        <f t="shared" ref="B42:I42" si="13">B40*B41</f>
        <v>4032</v>
      </c>
      <c r="C42" s="20">
        <f t="shared" si="13"/>
        <v>4032</v>
      </c>
      <c r="D42" s="20">
        <f t="shared" si="13"/>
        <v>4032</v>
      </c>
      <c r="E42" s="20">
        <f t="shared" si="13"/>
        <v>4032</v>
      </c>
      <c r="F42" s="20">
        <f t="shared" si="13"/>
        <v>4032</v>
      </c>
      <c r="G42" s="20">
        <f t="shared" si="13"/>
        <v>4032</v>
      </c>
      <c r="H42" s="20">
        <f t="shared" si="13"/>
        <v>4032</v>
      </c>
      <c r="I42" s="20">
        <f t="shared" si="13"/>
        <v>4032</v>
      </c>
      <c r="J42" s="20">
        <f>J40*J41</f>
        <v>4032</v>
      </c>
      <c r="K42" s="20">
        <f>K40*K41</f>
        <v>4032</v>
      </c>
      <c r="L42" s="20">
        <f>L40*L41</f>
        <v>4032</v>
      </c>
      <c r="M42" s="20">
        <f>M40*M41</f>
        <v>4032</v>
      </c>
      <c r="N42" s="27">
        <f>SUM(B42:M42)</f>
        <v>48384</v>
      </c>
    </row>
    <row r="43" spans="1:14" s="19" customFormat="1" ht="9" customHeight="1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s="19" customFormat="1" ht="10.199999999999999">
      <c r="A44" s="393" t="s">
        <v>44</v>
      </c>
    </row>
    <row r="45" spans="1:14" s="19" customFormat="1" ht="10.199999999999999">
      <c r="A45" s="26" t="s">
        <v>16</v>
      </c>
      <c r="B45" s="27">
        <f>'TSAS Scheduling Revenue (1)'!B46</f>
        <v>25000</v>
      </c>
      <c r="C45" s="27">
        <f>'TSAS Scheduling Revenue (1)'!C46</f>
        <v>25000</v>
      </c>
      <c r="D45" s="27">
        <f>'TSAS Scheduling Revenue (1)'!D46</f>
        <v>25000</v>
      </c>
      <c r="E45" s="27">
        <f>'TSAS Scheduling Revenue (1)'!E46</f>
        <v>25000</v>
      </c>
      <c r="F45" s="27">
        <f>'TSAS Scheduling Revenue (1)'!F46</f>
        <v>25000</v>
      </c>
      <c r="G45" s="27">
        <f>'TSAS Scheduling Revenue (1)'!G46</f>
        <v>25000</v>
      </c>
      <c r="H45" s="27">
        <f>'TSAS Scheduling Revenue (1)'!H46</f>
        <v>25000</v>
      </c>
      <c r="I45" s="27">
        <f>'TSAS Scheduling Revenue (1)'!I46</f>
        <v>25000</v>
      </c>
      <c r="J45" s="27">
        <f>'TSAS Scheduling Revenue (1)'!J46</f>
        <v>25000</v>
      </c>
      <c r="K45" s="27">
        <f>'TSAS Scheduling Revenue (1)'!K46</f>
        <v>25000</v>
      </c>
      <c r="L45" s="27">
        <f>'TSAS Scheduling Revenue (1)'!L46</f>
        <v>25000</v>
      </c>
      <c r="M45" s="27">
        <f>'TSAS Scheduling Revenue (1)'!M46</f>
        <v>25000</v>
      </c>
      <c r="N45" s="27">
        <f>SUM(B45:M45)</f>
        <v>300000</v>
      </c>
    </row>
    <row r="46" spans="1:14" s="19" customFormat="1" ht="10.199999999999999">
      <c r="A46" s="25" t="s">
        <v>20</v>
      </c>
      <c r="B46" s="32">
        <f t="shared" ref="B46:M46" si="14">+$B$31</f>
        <v>0.1008</v>
      </c>
      <c r="C46" s="32">
        <f t="shared" si="14"/>
        <v>0.1008</v>
      </c>
      <c r="D46" s="32">
        <f t="shared" si="14"/>
        <v>0.1008</v>
      </c>
      <c r="E46" s="32">
        <f t="shared" si="14"/>
        <v>0.1008</v>
      </c>
      <c r="F46" s="32">
        <f t="shared" si="14"/>
        <v>0.1008</v>
      </c>
      <c r="G46" s="32">
        <f t="shared" si="14"/>
        <v>0.1008</v>
      </c>
      <c r="H46" s="32">
        <f t="shared" si="14"/>
        <v>0.1008</v>
      </c>
      <c r="I46" s="32">
        <f t="shared" si="14"/>
        <v>0.1008</v>
      </c>
      <c r="J46" s="32">
        <f t="shared" si="14"/>
        <v>0.1008</v>
      </c>
      <c r="K46" s="32">
        <f t="shared" si="14"/>
        <v>0.1008</v>
      </c>
      <c r="L46" s="32">
        <f t="shared" si="14"/>
        <v>0.1008</v>
      </c>
      <c r="M46" s="32">
        <f t="shared" si="14"/>
        <v>0.1008</v>
      </c>
    </row>
    <row r="47" spans="1:14" s="19" customFormat="1" ht="10.199999999999999">
      <c r="A47" s="25" t="s">
        <v>17</v>
      </c>
      <c r="B47" s="20">
        <f t="shared" ref="B47:M47" si="15">B45*B46</f>
        <v>2520</v>
      </c>
      <c r="C47" s="20">
        <f t="shared" si="15"/>
        <v>2520</v>
      </c>
      <c r="D47" s="20">
        <f t="shared" si="15"/>
        <v>2520</v>
      </c>
      <c r="E47" s="20">
        <f t="shared" si="15"/>
        <v>2520</v>
      </c>
      <c r="F47" s="20">
        <f t="shared" si="15"/>
        <v>2520</v>
      </c>
      <c r="G47" s="20">
        <f t="shared" si="15"/>
        <v>2520</v>
      </c>
      <c r="H47" s="20">
        <f t="shared" si="15"/>
        <v>2520</v>
      </c>
      <c r="I47" s="20">
        <f t="shared" si="15"/>
        <v>2520</v>
      </c>
      <c r="J47" s="20">
        <f t="shared" si="15"/>
        <v>2520</v>
      </c>
      <c r="K47" s="20">
        <f t="shared" si="15"/>
        <v>2520</v>
      </c>
      <c r="L47" s="20">
        <f t="shared" si="15"/>
        <v>2520</v>
      </c>
      <c r="M47" s="20">
        <f t="shared" si="15"/>
        <v>2520</v>
      </c>
      <c r="N47" s="20">
        <f>SUM(B47:M47)</f>
        <v>30240</v>
      </c>
    </row>
    <row r="48" spans="1:14" s="19" customFormat="1" ht="10.199999999999999">
      <c r="A48" s="25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s="19" customFormat="1" ht="10.199999999999999">
      <c r="A49" s="393" t="s">
        <v>165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s="19" customFormat="1" ht="10.199999999999999">
      <c r="A50" s="26" t="s">
        <v>16</v>
      </c>
      <c r="B50" s="20">
        <f>'TSAS Demand Revenues (7)'!B56</f>
        <v>4000</v>
      </c>
      <c r="C50" s="20">
        <f>'TSAS Demand Revenues (7)'!C56</f>
        <v>4000</v>
      </c>
      <c r="D50" s="20">
        <f>'TSAS Demand Revenues (7)'!D56</f>
        <v>4000</v>
      </c>
      <c r="E50" s="20">
        <f>'TSAS Demand Revenues (7)'!E56</f>
        <v>4000</v>
      </c>
      <c r="F50" s="20">
        <f>'TSAS Demand Revenues (7)'!F56</f>
        <v>4000</v>
      </c>
      <c r="G50" s="20">
        <f>'TSAS Demand Revenues (7)'!G56</f>
        <v>4000</v>
      </c>
      <c r="H50" s="20">
        <f>'TSAS Demand Revenues (7)'!H56</f>
        <v>4000</v>
      </c>
      <c r="I50" s="20">
        <f>'TSAS Demand Revenues (7)'!I56</f>
        <v>4000</v>
      </c>
      <c r="J50" s="20">
        <f>'TSAS Demand Revenues (7)'!J56</f>
        <v>4000</v>
      </c>
      <c r="K50" s="20">
        <f>'TSAS Demand Revenues (7)'!K56</f>
        <v>4000</v>
      </c>
      <c r="L50" s="20">
        <f>'TSAS Demand Revenues (7)'!L56</f>
        <v>4000</v>
      </c>
      <c r="M50" s="20">
        <f>'TSAS Demand Revenues (7)'!M56</f>
        <v>4000</v>
      </c>
      <c r="N50" s="27">
        <f>SUM(B50:M50)</f>
        <v>48000</v>
      </c>
    </row>
    <row r="51" spans="1:14" s="19" customFormat="1" ht="10.199999999999999">
      <c r="A51" s="25" t="s">
        <v>20</v>
      </c>
      <c r="B51" s="32">
        <f>B46</f>
        <v>0.1008</v>
      </c>
      <c r="C51" s="32">
        <f t="shared" ref="C51:M51" si="16">C46</f>
        <v>0.1008</v>
      </c>
      <c r="D51" s="32">
        <f t="shared" si="16"/>
        <v>0.1008</v>
      </c>
      <c r="E51" s="32">
        <f t="shared" si="16"/>
        <v>0.1008</v>
      </c>
      <c r="F51" s="32">
        <f t="shared" si="16"/>
        <v>0.1008</v>
      </c>
      <c r="G51" s="32">
        <f t="shared" si="16"/>
        <v>0.1008</v>
      </c>
      <c r="H51" s="32">
        <f t="shared" si="16"/>
        <v>0.1008</v>
      </c>
      <c r="I51" s="32">
        <f t="shared" si="16"/>
        <v>0.1008</v>
      </c>
      <c r="J51" s="32">
        <f t="shared" si="16"/>
        <v>0.1008</v>
      </c>
      <c r="K51" s="32">
        <f t="shared" si="16"/>
        <v>0.1008</v>
      </c>
      <c r="L51" s="32">
        <f t="shared" si="16"/>
        <v>0.1008</v>
      </c>
      <c r="M51" s="32">
        <f t="shared" si="16"/>
        <v>0.1008</v>
      </c>
    </row>
    <row r="52" spans="1:14" s="19" customFormat="1" ht="10.199999999999999">
      <c r="A52" s="25" t="s">
        <v>17</v>
      </c>
      <c r="B52" s="20">
        <f t="shared" ref="B52:M52" si="17">B50*B51</f>
        <v>403.2</v>
      </c>
      <c r="C52" s="20">
        <f t="shared" si="17"/>
        <v>403.2</v>
      </c>
      <c r="D52" s="20">
        <f t="shared" si="17"/>
        <v>403.2</v>
      </c>
      <c r="E52" s="20">
        <f t="shared" si="17"/>
        <v>403.2</v>
      </c>
      <c r="F52" s="20">
        <f t="shared" si="17"/>
        <v>403.2</v>
      </c>
      <c r="G52" s="20">
        <f t="shared" si="17"/>
        <v>403.2</v>
      </c>
      <c r="H52" s="20">
        <f t="shared" si="17"/>
        <v>403.2</v>
      </c>
      <c r="I52" s="20">
        <f t="shared" si="17"/>
        <v>403.2</v>
      </c>
      <c r="J52" s="20">
        <f t="shared" si="17"/>
        <v>403.2</v>
      </c>
      <c r="K52" s="20">
        <f t="shared" si="17"/>
        <v>403.2</v>
      </c>
      <c r="L52" s="20">
        <f t="shared" si="17"/>
        <v>403.2</v>
      </c>
      <c r="M52" s="20">
        <f t="shared" si="17"/>
        <v>403.2</v>
      </c>
      <c r="N52" s="20">
        <f>SUM(B52:M52)</f>
        <v>4838.3999999999987</v>
      </c>
    </row>
    <row r="53" spans="1:14" s="19" customFormat="1" ht="10.199999999999999">
      <c r="A53" s="25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>
      <c r="A54" s="393" t="s">
        <v>173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>
      <c r="A55" s="26" t="s">
        <v>16</v>
      </c>
      <c r="B55" s="27">
        <v>3000</v>
      </c>
      <c r="C55" s="27">
        <f>B55</f>
        <v>3000</v>
      </c>
      <c r="D55" s="27">
        <f t="shared" ref="D55:M55" si="18">C55</f>
        <v>3000</v>
      </c>
      <c r="E55" s="27">
        <f t="shared" si="18"/>
        <v>3000</v>
      </c>
      <c r="F55" s="27">
        <f t="shared" si="18"/>
        <v>3000</v>
      </c>
      <c r="G55" s="27">
        <f t="shared" si="18"/>
        <v>3000</v>
      </c>
      <c r="H55" s="27">
        <f t="shared" si="18"/>
        <v>3000</v>
      </c>
      <c r="I55" s="27">
        <f t="shared" si="18"/>
        <v>3000</v>
      </c>
      <c r="J55" s="27">
        <f t="shared" si="18"/>
        <v>3000</v>
      </c>
      <c r="K55" s="27">
        <f t="shared" si="18"/>
        <v>3000</v>
      </c>
      <c r="L55" s="27">
        <f t="shared" si="18"/>
        <v>3000</v>
      </c>
      <c r="M55" s="27">
        <f t="shared" si="18"/>
        <v>3000</v>
      </c>
      <c r="N55" s="27">
        <f>SUM(B55:M55)</f>
        <v>36000</v>
      </c>
    </row>
    <row r="56" spans="1:14">
      <c r="A56" s="25" t="s">
        <v>20</v>
      </c>
      <c r="B56" s="265">
        <f>B51</f>
        <v>0.1008</v>
      </c>
      <c r="C56" s="265">
        <f t="shared" ref="C56:M56" si="19">C51</f>
        <v>0.1008</v>
      </c>
      <c r="D56" s="265">
        <f t="shared" si="19"/>
        <v>0.1008</v>
      </c>
      <c r="E56" s="265">
        <f t="shared" si="19"/>
        <v>0.1008</v>
      </c>
      <c r="F56" s="265">
        <f t="shared" si="19"/>
        <v>0.1008</v>
      </c>
      <c r="G56" s="265">
        <f t="shared" si="19"/>
        <v>0.1008</v>
      </c>
      <c r="H56" s="265">
        <f t="shared" si="19"/>
        <v>0.1008</v>
      </c>
      <c r="I56" s="265">
        <f t="shared" si="19"/>
        <v>0.1008</v>
      </c>
      <c r="J56" s="265">
        <f t="shared" si="19"/>
        <v>0.1008</v>
      </c>
      <c r="K56" s="265">
        <f t="shared" si="19"/>
        <v>0.1008</v>
      </c>
      <c r="L56" s="265">
        <f t="shared" si="19"/>
        <v>0.1008</v>
      </c>
      <c r="M56" s="265">
        <f t="shared" si="19"/>
        <v>0.1008</v>
      </c>
      <c r="N56" s="19"/>
    </row>
    <row r="57" spans="1:14">
      <c r="A57" s="25" t="s">
        <v>17</v>
      </c>
      <c r="B57" s="20">
        <f t="shared" ref="B57:M57" si="20">B55*B56</f>
        <v>302.39999999999998</v>
      </c>
      <c r="C57" s="20">
        <f t="shared" si="20"/>
        <v>302.39999999999998</v>
      </c>
      <c r="D57" s="20">
        <f t="shared" si="20"/>
        <v>302.39999999999998</v>
      </c>
      <c r="E57" s="20">
        <f t="shared" si="20"/>
        <v>302.39999999999998</v>
      </c>
      <c r="F57" s="20">
        <f t="shared" si="20"/>
        <v>302.39999999999998</v>
      </c>
      <c r="G57" s="20">
        <f t="shared" si="20"/>
        <v>302.39999999999998</v>
      </c>
      <c r="H57" s="20">
        <f t="shared" si="20"/>
        <v>302.39999999999998</v>
      </c>
      <c r="I57" s="20">
        <f t="shared" si="20"/>
        <v>302.39999999999998</v>
      </c>
      <c r="J57" s="20">
        <f t="shared" si="20"/>
        <v>302.39999999999998</v>
      </c>
      <c r="K57" s="20">
        <f t="shared" si="20"/>
        <v>302.39999999999998</v>
      </c>
      <c r="L57" s="20">
        <f t="shared" si="20"/>
        <v>302.39999999999998</v>
      </c>
      <c r="M57" s="20">
        <f t="shared" si="20"/>
        <v>302.39999999999998</v>
      </c>
      <c r="N57" s="20">
        <f>SUM(B57:M57)</f>
        <v>3628.8000000000006</v>
      </c>
    </row>
    <row r="58" spans="1:14" s="19" customFormat="1" ht="12.75" customHeigh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>
      <c r="A59" s="393" t="s">
        <v>224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>
      <c r="A60" s="26" t="s">
        <v>16</v>
      </c>
      <c r="B60" s="27">
        <f>'TSAS Demand Revenues (7)'!B61</f>
        <v>160000</v>
      </c>
      <c r="C60" s="27">
        <f>'TSAS Demand Revenues (7)'!C61</f>
        <v>160000</v>
      </c>
      <c r="D60" s="27">
        <f>'TSAS Demand Revenues (7)'!D61</f>
        <v>160000</v>
      </c>
      <c r="E60" s="27">
        <f>'TSAS Demand Revenues (7)'!E61</f>
        <v>160000</v>
      </c>
      <c r="F60" s="27">
        <f>'TSAS Demand Revenues (7)'!F61</f>
        <v>160000</v>
      </c>
      <c r="G60" s="27">
        <f>'TSAS Demand Revenues (7)'!G61</f>
        <v>160000</v>
      </c>
      <c r="H60" s="27">
        <f>'TSAS Demand Revenues (7)'!H61</f>
        <v>160000</v>
      </c>
      <c r="I60" s="27">
        <f>'TSAS Demand Revenues (7)'!I61</f>
        <v>160000</v>
      </c>
      <c r="J60" s="27">
        <f>'TSAS Demand Revenues (7)'!J61</f>
        <v>160000</v>
      </c>
      <c r="K60" s="27">
        <f>'TSAS Demand Revenues (7)'!K61</f>
        <v>160000</v>
      </c>
      <c r="L60" s="27">
        <f>'TSAS Demand Revenues (7)'!L61</f>
        <v>160000</v>
      </c>
      <c r="M60" s="27">
        <f>'TSAS Demand Revenues (7)'!M61</f>
        <v>160000</v>
      </c>
      <c r="N60" s="27">
        <f>SUM(B60:M60)</f>
        <v>1920000</v>
      </c>
    </row>
    <row r="61" spans="1:14">
      <c r="A61" s="25" t="s">
        <v>20</v>
      </c>
      <c r="B61" s="265">
        <f>B56</f>
        <v>0.1008</v>
      </c>
      <c r="C61" s="265">
        <f t="shared" ref="C61:M61" si="21">C56</f>
        <v>0.1008</v>
      </c>
      <c r="D61" s="265">
        <f t="shared" si="21"/>
        <v>0.1008</v>
      </c>
      <c r="E61" s="265">
        <f t="shared" si="21"/>
        <v>0.1008</v>
      </c>
      <c r="F61" s="265">
        <f t="shared" si="21"/>
        <v>0.1008</v>
      </c>
      <c r="G61" s="265">
        <f t="shared" si="21"/>
        <v>0.1008</v>
      </c>
      <c r="H61" s="265">
        <f t="shared" si="21"/>
        <v>0.1008</v>
      </c>
      <c r="I61" s="265">
        <f t="shared" si="21"/>
        <v>0.1008</v>
      </c>
      <c r="J61" s="265">
        <f t="shared" si="21"/>
        <v>0.1008</v>
      </c>
      <c r="K61" s="265">
        <f t="shared" si="21"/>
        <v>0.1008</v>
      </c>
      <c r="L61" s="265">
        <f t="shared" si="21"/>
        <v>0.1008</v>
      </c>
      <c r="M61" s="265">
        <f t="shared" si="21"/>
        <v>0.1008</v>
      </c>
      <c r="N61" s="19"/>
    </row>
    <row r="62" spans="1:14">
      <c r="A62" s="25" t="s">
        <v>17</v>
      </c>
      <c r="B62" s="20">
        <f t="shared" ref="B62:M62" si="22">B60*B61</f>
        <v>16128</v>
      </c>
      <c r="C62" s="20">
        <f t="shared" si="22"/>
        <v>16128</v>
      </c>
      <c r="D62" s="20">
        <f t="shared" si="22"/>
        <v>16128</v>
      </c>
      <c r="E62" s="20">
        <f t="shared" si="22"/>
        <v>16128</v>
      </c>
      <c r="F62" s="20">
        <f t="shared" si="22"/>
        <v>16128</v>
      </c>
      <c r="G62" s="20">
        <f t="shared" si="22"/>
        <v>16128</v>
      </c>
      <c r="H62" s="20">
        <f t="shared" si="22"/>
        <v>16128</v>
      </c>
      <c r="I62" s="20">
        <f t="shared" si="22"/>
        <v>16128</v>
      </c>
      <c r="J62" s="20">
        <f t="shared" si="22"/>
        <v>16128</v>
      </c>
      <c r="K62" s="20">
        <f t="shared" si="22"/>
        <v>16128</v>
      </c>
      <c r="L62" s="20">
        <f t="shared" si="22"/>
        <v>16128</v>
      </c>
      <c r="M62" s="20">
        <f t="shared" si="22"/>
        <v>16128</v>
      </c>
      <c r="N62" s="20">
        <f>SUM(B62:M62)</f>
        <v>193536</v>
      </c>
    </row>
    <row r="63" spans="1:14" s="19" customFormat="1" ht="10.199999999999999">
      <c r="A63" s="25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s="19" customFormat="1" ht="10.199999999999999">
      <c r="A64" s="143" t="s">
        <v>25</v>
      </c>
      <c r="B64" s="142">
        <f t="shared" ref="B64:M64" si="23">B12+B17+B22+B27+B32+B42+B47+B37+B57+B52+B62</f>
        <v>49566.719999999994</v>
      </c>
      <c r="C64" s="142">
        <f t="shared" si="23"/>
        <v>49566.719999999994</v>
      </c>
      <c r="D64" s="142">
        <f t="shared" si="23"/>
        <v>49566.719999999994</v>
      </c>
      <c r="E64" s="142">
        <f t="shared" si="23"/>
        <v>49566.719999999994</v>
      </c>
      <c r="F64" s="142">
        <f t="shared" si="23"/>
        <v>49566.719999999994</v>
      </c>
      <c r="G64" s="142">
        <f t="shared" si="23"/>
        <v>49566.719999999994</v>
      </c>
      <c r="H64" s="142">
        <f t="shared" si="23"/>
        <v>49566.719999999994</v>
      </c>
      <c r="I64" s="142">
        <f t="shared" si="23"/>
        <v>49566.719999999994</v>
      </c>
      <c r="J64" s="142">
        <f t="shared" si="23"/>
        <v>49566.719999999994</v>
      </c>
      <c r="K64" s="142">
        <f t="shared" si="23"/>
        <v>49566.719999999994</v>
      </c>
      <c r="L64" s="142">
        <f t="shared" si="23"/>
        <v>49566.719999999994</v>
      </c>
      <c r="M64" s="142">
        <f t="shared" si="23"/>
        <v>49566.719999999994</v>
      </c>
      <c r="N64" s="142">
        <f>SUM(B64:M64)</f>
        <v>594800.63999999978</v>
      </c>
    </row>
    <row r="65" spans="1:15" s="19" customFormat="1" ht="10.199999999999999">
      <c r="A65" s="143" t="s">
        <v>59</v>
      </c>
      <c r="B65" s="142">
        <f t="shared" ref="B65:M65" si="24">B45+B30+B25+B20+B15+B10+B40+B35+B55+B50+B60</f>
        <v>503056</v>
      </c>
      <c r="C65" s="142">
        <f t="shared" si="24"/>
        <v>503056</v>
      </c>
      <c r="D65" s="142">
        <f t="shared" si="24"/>
        <v>503056</v>
      </c>
      <c r="E65" s="142">
        <f t="shared" si="24"/>
        <v>503056</v>
      </c>
      <c r="F65" s="142">
        <f t="shared" si="24"/>
        <v>503056</v>
      </c>
      <c r="G65" s="142">
        <f t="shared" si="24"/>
        <v>503056</v>
      </c>
      <c r="H65" s="142">
        <f t="shared" si="24"/>
        <v>503056</v>
      </c>
      <c r="I65" s="142">
        <f t="shared" si="24"/>
        <v>503056</v>
      </c>
      <c r="J65" s="142">
        <f t="shared" si="24"/>
        <v>503056</v>
      </c>
      <c r="K65" s="142">
        <f t="shared" si="24"/>
        <v>503056</v>
      </c>
      <c r="L65" s="142">
        <f t="shared" si="24"/>
        <v>503056</v>
      </c>
      <c r="M65" s="142">
        <f t="shared" si="24"/>
        <v>503056</v>
      </c>
      <c r="N65" s="142">
        <f>SUM(B65:M65)</f>
        <v>6036672</v>
      </c>
    </row>
    <row r="66" spans="1:15" s="19" customFormat="1" ht="10.199999999999999">
      <c r="A66" s="143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</row>
    <row r="67" spans="1:15" s="19" customFormat="1" ht="10.199999999999999">
      <c r="A67" s="24">
        <f>+A5+1</f>
        <v>2015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5" s="19" customFormat="1" ht="10.199999999999999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5" s="19" customFormat="1" ht="13.2">
      <c r="A69" s="22" t="s">
        <v>19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5" s="19" customFormat="1" ht="10.199999999999999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5" s="19" customFormat="1" ht="10.199999999999999">
      <c r="A71" s="393" t="s">
        <v>344</v>
      </c>
    </row>
    <row r="72" spans="1:15" s="28" customFormat="1">
      <c r="A72" s="26" t="s">
        <v>16</v>
      </c>
      <c r="B72" s="27">
        <f>'TSAS Scheduling Revenue (1)'!B72</f>
        <v>5000</v>
      </c>
      <c r="C72" s="27">
        <f>'TSAS Scheduling Revenue (1)'!C72</f>
        <v>5000</v>
      </c>
      <c r="D72" s="27">
        <f>'TSAS Scheduling Revenue (1)'!D72</f>
        <v>5000</v>
      </c>
      <c r="E72" s="27">
        <f>'TSAS Scheduling Revenue (1)'!E72</f>
        <v>5000</v>
      </c>
      <c r="F72" s="27">
        <f>'TSAS Scheduling Revenue (1)'!F72</f>
        <v>5000</v>
      </c>
      <c r="G72" s="27">
        <f>'TSAS Scheduling Revenue (1)'!G72</f>
        <v>5000</v>
      </c>
      <c r="H72" s="27">
        <f>'TSAS Scheduling Revenue (1)'!H72</f>
        <v>5000</v>
      </c>
      <c r="I72" s="27">
        <f>'TSAS Scheduling Revenue (1)'!I72</f>
        <v>5000</v>
      </c>
      <c r="J72" s="27">
        <f>'TSAS Scheduling Revenue (1)'!J72</f>
        <v>5000</v>
      </c>
      <c r="K72" s="27">
        <f>'TSAS Scheduling Revenue (1)'!K72</f>
        <v>5000</v>
      </c>
      <c r="L72" s="27">
        <f>'TSAS Scheduling Revenue (1)'!L72</f>
        <v>5000</v>
      </c>
      <c r="M72" s="27">
        <f>'TSAS Scheduling Revenue (1)'!M72</f>
        <v>5000</v>
      </c>
      <c r="N72" s="27">
        <f>SUM(B72:M72)</f>
        <v>60000</v>
      </c>
      <c r="O72" s="21"/>
    </row>
    <row r="73" spans="1:15" s="19" customFormat="1">
      <c r="A73" s="25" t="s">
        <v>20</v>
      </c>
      <c r="B73" s="31">
        <f>'charges (1 &amp; 2)'!D19</f>
        <v>0.1008</v>
      </c>
      <c r="C73" s="31">
        <f t="shared" ref="C73:M73" si="25">+$B$11</f>
        <v>0.1008</v>
      </c>
      <c r="D73" s="31">
        <f t="shared" si="25"/>
        <v>0.1008</v>
      </c>
      <c r="E73" s="31">
        <f t="shared" si="25"/>
        <v>0.1008</v>
      </c>
      <c r="F73" s="31">
        <f t="shared" si="25"/>
        <v>0.1008</v>
      </c>
      <c r="G73" s="31">
        <f t="shared" si="25"/>
        <v>0.1008</v>
      </c>
      <c r="H73" s="31">
        <f t="shared" si="25"/>
        <v>0.1008</v>
      </c>
      <c r="I73" s="31">
        <f t="shared" si="25"/>
        <v>0.1008</v>
      </c>
      <c r="J73" s="31">
        <f t="shared" si="25"/>
        <v>0.1008</v>
      </c>
      <c r="K73" s="31">
        <f t="shared" si="25"/>
        <v>0.1008</v>
      </c>
      <c r="L73" s="31">
        <f t="shared" si="25"/>
        <v>0.1008</v>
      </c>
      <c r="M73" s="31">
        <f t="shared" si="25"/>
        <v>0.1008</v>
      </c>
      <c r="O73" s="21"/>
    </row>
    <row r="74" spans="1:15" s="19" customFormat="1">
      <c r="A74" s="25" t="s">
        <v>17</v>
      </c>
      <c r="B74" s="20">
        <f t="shared" ref="B74:M74" si="26">B72*B73</f>
        <v>504</v>
      </c>
      <c r="C74" s="20">
        <f t="shared" si="26"/>
        <v>504</v>
      </c>
      <c r="D74" s="20">
        <f t="shared" si="26"/>
        <v>504</v>
      </c>
      <c r="E74" s="20">
        <f t="shared" si="26"/>
        <v>504</v>
      </c>
      <c r="F74" s="20">
        <f t="shared" si="26"/>
        <v>504</v>
      </c>
      <c r="G74" s="20">
        <f t="shared" si="26"/>
        <v>504</v>
      </c>
      <c r="H74" s="20">
        <f t="shared" si="26"/>
        <v>504</v>
      </c>
      <c r="I74" s="20">
        <f t="shared" si="26"/>
        <v>504</v>
      </c>
      <c r="J74" s="20">
        <f t="shared" si="26"/>
        <v>504</v>
      </c>
      <c r="K74" s="20">
        <f t="shared" si="26"/>
        <v>504</v>
      </c>
      <c r="L74" s="20">
        <f t="shared" si="26"/>
        <v>504</v>
      </c>
      <c r="M74" s="20">
        <f t="shared" si="26"/>
        <v>504</v>
      </c>
      <c r="N74" s="20">
        <f>SUM(B74:M74)</f>
        <v>6048</v>
      </c>
      <c r="O74" s="21"/>
    </row>
    <row r="75" spans="1:15" s="19" customFormat="1">
      <c r="O75" s="21"/>
    </row>
    <row r="76" spans="1:15" s="19" customFormat="1">
      <c r="A76" s="25" t="s">
        <v>21</v>
      </c>
      <c r="O76" s="21"/>
    </row>
    <row r="77" spans="1:15" s="28" customFormat="1">
      <c r="A77" s="26" t="s">
        <v>16</v>
      </c>
      <c r="B77" s="27">
        <f>'TSAS Scheduling Revenue (1)'!B77</f>
        <v>0</v>
      </c>
      <c r="C77" s="27">
        <f>'TSAS Scheduling Revenue (1)'!C77</f>
        <v>0</v>
      </c>
      <c r="D77" s="27">
        <f>'TSAS Scheduling Revenue (1)'!D77</f>
        <v>0</v>
      </c>
      <c r="E77" s="27">
        <f>'TSAS Scheduling Revenue (1)'!E77</f>
        <v>0</v>
      </c>
      <c r="F77" s="27">
        <f>'TSAS Scheduling Revenue (1)'!F77</f>
        <v>0</v>
      </c>
      <c r="G77" s="27">
        <f>'TSAS Scheduling Revenue (1)'!G77</f>
        <v>0</v>
      </c>
      <c r="H77" s="27">
        <f>'TSAS Scheduling Revenue (1)'!H77</f>
        <v>0</v>
      </c>
      <c r="I77" s="27">
        <f>'TSAS Scheduling Revenue (1)'!I77</f>
        <v>0</v>
      </c>
      <c r="J77" s="27">
        <f>'TSAS Scheduling Revenue (1)'!J77</f>
        <v>0</v>
      </c>
      <c r="K77" s="27">
        <f>'TSAS Scheduling Revenue (1)'!K77</f>
        <v>0</v>
      </c>
      <c r="L77" s="27">
        <f>'TSAS Scheduling Revenue (1)'!L77</f>
        <v>0</v>
      </c>
      <c r="M77" s="27">
        <f>'TSAS Scheduling Revenue (1)'!M77</f>
        <v>0</v>
      </c>
      <c r="N77" s="27">
        <f>SUM(B77:M77)</f>
        <v>0</v>
      </c>
      <c r="O77" s="21"/>
    </row>
    <row r="78" spans="1:15" s="19" customFormat="1">
      <c r="A78" s="25" t="s">
        <v>20</v>
      </c>
      <c r="B78" s="31">
        <f>'charges (1 &amp; 2)'!D10</f>
        <v>0.1008</v>
      </c>
      <c r="C78" s="31">
        <f t="shared" ref="C78:M78" si="27">+$B$16</f>
        <v>0.1008</v>
      </c>
      <c r="D78" s="31">
        <f t="shared" si="27"/>
        <v>0.1008</v>
      </c>
      <c r="E78" s="31">
        <f t="shared" si="27"/>
        <v>0.1008</v>
      </c>
      <c r="F78" s="31">
        <f t="shared" si="27"/>
        <v>0.1008</v>
      </c>
      <c r="G78" s="31">
        <f t="shared" si="27"/>
        <v>0.1008</v>
      </c>
      <c r="H78" s="31">
        <f t="shared" si="27"/>
        <v>0.1008</v>
      </c>
      <c r="I78" s="31">
        <f t="shared" si="27"/>
        <v>0.1008</v>
      </c>
      <c r="J78" s="31">
        <f t="shared" si="27"/>
        <v>0.1008</v>
      </c>
      <c r="K78" s="31">
        <f t="shared" si="27"/>
        <v>0.1008</v>
      </c>
      <c r="L78" s="31">
        <f t="shared" si="27"/>
        <v>0.1008</v>
      </c>
      <c r="M78" s="31">
        <f t="shared" si="27"/>
        <v>0.1008</v>
      </c>
      <c r="O78" s="21"/>
    </row>
    <row r="79" spans="1:15" s="19" customFormat="1">
      <c r="A79" s="25" t="s">
        <v>17</v>
      </c>
      <c r="B79" s="20">
        <f t="shared" ref="B79:M79" si="28">B77*B78</f>
        <v>0</v>
      </c>
      <c r="C79" s="20">
        <f t="shared" si="28"/>
        <v>0</v>
      </c>
      <c r="D79" s="20">
        <f t="shared" si="28"/>
        <v>0</v>
      </c>
      <c r="E79" s="20">
        <f t="shared" si="28"/>
        <v>0</v>
      </c>
      <c r="F79" s="20">
        <f t="shared" si="28"/>
        <v>0</v>
      </c>
      <c r="G79" s="20">
        <f t="shared" si="28"/>
        <v>0</v>
      </c>
      <c r="H79" s="20">
        <f t="shared" si="28"/>
        <v>0</v>
      </c>
      <c r="I79" s="20">
        <f t="shared" si="28"/>
        <v>0</v>
      </c>
      <c r="J79" s="20">
        <f t="shared" si="28"/>
        <v>0</v>
      </c>
      <c r="K79" s="20">
        <f t="shared" si="28"/>
        <v>0</v>
      </c>
      <c r="L79" s="20">
        <f t="shared" si="28"/>
        <v>0</v>
      </c>
      <c r="M79" s="20">
        <f t="shared" si="28"/>
        <v>0</v>
      </c>
      <c r="N79" s="20">
        <f>SUM(B79:M79)</f>
        <v>0</v>
      </c>
      <c r="O79" s="21"/>
    </row>
    <row r="80" spans="1:15" s="19" customFormat="1">
      <c r="B80" s="20"/>
      <c r="O80" s="21"/>
    </row>
    <row r="81" spans="1:15" s="19" customFormat="1">
      <c r="A81" s="25" t="s">
        <v>22</v>
      </c>
      <c r="O81" s="21"/>
    </row>
    <row r="82" spans="1:15" s="28" customFormat="1">
      <c r="A82" s="26" t="s">
        <v>16</v>
      </c>
      <c r="B82" s="27">
        <f>'TSAS Scheduling Revenue (1)'!B82</f>
        <v>0</v>
      </c>
      <c r="C82" s="27">
        <f>'TSAS Scheduling Revenue (1)'!C82</f>
        <v>0</v>
      </c>
      <c r="D82" s="27">
        <f>'TSAS Scheduling Revenue (1)'!D82</f>
        <v>0</v>
      </c>
      <c r="E82" s="27">
        <f>'TSAS Scheduling Revenue (1)'!E82</f>
        <v>0</v>
      </c>
      <c r="F82" s="27">
        <f>'TSAS Scheduling Revenue (1)'!F82</f>
        <v>0</v>
      </c>
      <c r="G82" s="27">
        <f>'TSAS Scheduling Revenue (1)'!G82</f>
        <v>0</v>
      </c>
      <c r="H82" s="27">
        <f>'TSAS Scheduling Revenue (1)'!H82</f>
        <v>0</v>
      </c>
      <c r="I82" s="27">
        <f>'TSAS Scheduling Revenue (1)'!I82</f>
        <v>0</v>
      </c>
      <c r="J82" s="27">
        <f>'TSAS Scheduling Revenue (1)'!J82</f>
        <v>0</v>
      </c>
      <c r="K82" s="27">
        <f>'TSAS Scheduling Revenue (1)'!K82</f>
        <v>0</v>
      </c>
      <c r="L82" s="27">
        <f>'TSAS Scheduling Revenue (1)'!L82</f>
        <v>0</v>
      </c>
      <c r="M82" s="27">
        <f>'TSAS Scheduling Revenue (1)'!M82</f>
        <v>0</v>
      </c>
      <c r="N82" s="27">
        <f>SUM(B82:M82)</f>
        <v>0</v>
      </c>
      <c r="O82" s="21"/>
    </row>
    <row r="83" spans="1:15" s="19" customFormat="1">
      <c r="A83" s="25" t="s">
        <v>20</v>
      </c>
      <c r="B83" s="32">
        <f>'charges (1 &amp; 2)'!D22</f>
        <v>0.1008</v>
      </c>
      <c r="C83" s="32">
        <f t="shared" ref="C83:M83" si="29">+$B$21</f>
        <v>0.1008</v>
      </c>
      <c r="D83" s="32">
        <f t="shared" si="29"/>
        <v>0.1008</v>
      </c>
      <c r="E83" s="32">
        <f t="shared" si="29"/>
        <v>0.1008</v>
      </c>
      <c r="F83" s="32">
        <f t="shared" si="29"/>
        <v>0.1008</v>
      </c>
      <c r="G83" s="32">
        <f t="shared" si="29"/>
        <v>0.1008</v>
      </c>
      <c r="H83" s="32">
        <f t="shared" si="29"/>
        <v>0.1008</v>
      </c>
      <c r="I83" s="32">
        <f t="shared" si="29"/>
        <v>0.1008</v>
      </c>
      <c r="J83" s="32">
        <f t="shared" si="29"/>
        <v>0.1008</v>
      </c>
      <c r="K83" s="32">
        <f t="shared" si="29"/>
        <v>0.1008</v>
      </c>
      <c r="L83" s="32">
        <f t="shared" si="29"/>
        <v>0.1008</v>
      </c>
      <c r="M83" s="32">
        <f t="shared" si="29"/>
        <v>0.1008</v>
      </c>
      <c r="O83" s="21"/>
    </row>
    <row r="84" spans="1:15" s="19" customFormat="1">
      <c r="A84" s="25" t="s">
        <v>17</v>
      </c>
      <c r="B84" s="20">
        <f t="shared" ref="B84:M84" si="30">B82*B83</f>
        <v>0</v>
      </c>
      <c r="C84" s="20">
        <f t="shared" si="30"/>
        <v>0</v>
      </c>
      <c r="D84" s="20">
        <f t="shared" si="30"/>
        <v>0</v>
      </c>
      <c r="E84" s="20">
        <f t="shared" si="30"/>
        <v>0</v>
      </c>
      <c r="F84" s="20">
        <f t="shared" si="30"/>
        <v>0</v>
      </c>
      <c r="G84" s="20">
        <f t="shared" si="30"/>
        <v>0</v>
      </c>
      <c r="H84" s="20">
        <f t="shared" si="30"/>
        <v>0</v>
      </c>
      <c r="I84" s="20">
        <f t="shared" si="30"/>
        <v>0</v>
      </c>
      <c r="J84" s="20">
        <f t="shared" si="30"/>
        <v>0</v>
      </c>
      <c r="K84" s="20">
        <f t="shared" si="30"/>
        <v>0</v>
      </c>
      <c r="L84" s="20">
        <f t="shared" si="30"/>
        <v>0</v>
      </c>
      <c r="M84" s="20">
        <f t="shared" si="30"/>
        <v>0</v>
      </c>
      <c r="N84" s="20">
        <f>SUM(B84:M84)</f>
        <v>0</v>
      </c>
      <c r="O84" s="21"/>
    </row>
    <row r="85" spans="1:15" s="19" customFormat="1">
      <c r="B85" s="20"/>
      <c r="O85" s="21"/>
    </row>
    <row r="86" spans="1:15" s="19" customFormat="1" ht="10.199999999999999">
      <c r="A86" s="393" t="s">
        <v>23</v>
      </c>
      <c r="O86" s="28"/>
    </row>
    <row r="87" spans="1:15" s="28" customFormat="1" ht="10.199999999999999">
      <c r="A87" s="26" t="s">
        <v>16</v>
      </c>
      <c r="B87" s="27">
        <f>'TSAS Scheduling Revenue (1)'!B87</f>
        <v>37056</v>
      </c>
      <c r="C87" s="27">
        <f>'TSAS Scheduling Revenue (1)'!C87</f>
        <v>37056</v>
      </c>
      <c r="D87" s="27">
        <f>'TSAS Scheduling Revenue (1)'!D87</f>
        <v>37056</v>
      </c>
      <c r="E87" s="27">
        <f>'TSAS Scheduling Revenue (1)'!E87</f>
        <v>37056</v>
      </c>
      <c r="F87" s="27">
        <f>'TSAS Scheduling Revenue (1)'!F87</f>
        <v>37056</v>
      </c>
      <c r="G87" s="27">
        <f>'TSAS Scheduling Revenue (1)'!G87</f>
        <v>37056</v>
      </c>
      <c r="H87" s="27">
        <f>'TSAS Scheduling Revenue (1)'!H87</f>
        <v>37056</v>
      </c>
      <c r="I87" s="27">
        <f>'TSAS Scheduling Revenue (1)'!I87</f>
        <v>37056</v>
      </c>
      <c r="J87" s="27">
        <f>'TSAS Scheduling Revenue (1)'!J87</f>
        <v>37056</v>
      </c>
      <c r="K87" s="27">
        <f>'TSAS Scheduling Revenue (1)'!K87</f>
        <v>37056</v>
      </c>
      <c r="L87" s="27">
        <f>'TSAS Scheduling Revenue (1)'!L87</f>
        <v>37056</v>
      </c>
      <c r="M87" s="27">
        <f>'TSAS Scheduling Revenue (1)'!M87</f>
        <v>37056</v>
      </c>
      <c r="N87" s="27">
        <f>SUM(B87:M87)</f>
        <v>444672</v>
      </c>
    </row>
    <row r="88" spans="1:15" s="19" customFormat="1" ht="10.199999999999999">
      <c r="A88" s="25" t="s">
        <v>20</v>
      </c>
      <c r="B88" s="32">
        <f>'charges (1 &amp; 2)'!D13</f>
        <v>7.0000000000000007E-2</v>
      </c>
      <c r="C88" s="32">
        <f t="shared" ref="C88:M88" si="31">+$B$26</f>
        <v>7.0000000000000007E-2</v>
      </c>
      <c r="D88" s="32">
        <f t="shared" si="31"/>
        <v>7.0000000000000007E-2</v>
      </c>
      <c r="E88" s="32">
        <f t="shared" si="31"/>
        <v>7.0000000000000007E-2</v>
      </c>
      <c r="F88" s="32">
        <f t="shared" si="31"/>
        <v>7.0000000000000007E-2</v>
      </c>
      <c r="G88" s="32">
        <f t="shared" si="31"/>
        <v>7.0000000000000007E-2</v>
      </c>
      <c r="H88" s="32">
        <f t="shared" si="31"/>
        <v>7.0000000000000007E-2</v>
      </c>
      <c r="I88" s="32">
        <f t="shared" si="31"/>
        <v>7.0000000000000007E-2</v>
      </c>
      <c r="J88" s="32">
        <f t="shared" si="31"/>
        <v>7.0000000000000007E-2</v>
      </c>
      <c r="K88" s="32">
        <f t="shared" si="31"/>
        <v>7.0000000000000007E-2</v>
      </c>
      <c r="L88" s="32">
        <f t="shared" si="31"/>
        <v>7.0000000000000007E-2</v>
      </c>
      <c r="M88" s="32">
        <f t="shared" si="31"/>
        <v>7.0000000000000007E-2</v>
      </c>
    </row>
    <row r="89" spans="1:15" s="19" customFormat="1" ht="10.199999999999999">
      <c r="A89" s="25" t="s">
        <v>17</v>
      </c>
      <c r="B89" s="20">
        <f t="shared" ref="B89:M89" si="32">B87*B88</f>
        <v>2593.92</v>
      </c>
      <c r="C89" s="20">
        <f t="shared" si="32"/>
        <v>2593.92</v>
      </c>
      <c r="D89" s="20">
        <f t="shared" si="32"/>
        <v>2593.92</v>
      </c>
      <c r="E89" s="20">
        <f t="shared" si="32"/>
        <v>2593.92</v>
      </c>
      <c r="F89" s="20">
        <f t="shared" si="32"/>
        <v>2593.92</v>
      </c>
      <c r="G89" s="20">
        <f t="shared" si="32"/>
        <v>2593.92</v>
      </c>
      <c r="H89" s="20">
        <f t="shared" si="32"/>
        <v>2593.92</v>
      </c>
      <c r="I89" s="20">
        <f t="shared" si="32"/>
        <v>2593.92</v>
      </c>
      <c r="J89" s="20">
        <f t="shared" si="32"/>
        <v>2593.92</v>
      </c>
      <c r="K89" s="20">
        <f t="shared" si="32"/>
        <v>2593.92</v>
      </c>
      <c r="L89" s="20">
        <f t="shared" si="32"/>
        <v>2593.92</v>
      </c>
      <c r="M89" s="20">
        <f t="shared" si="32"/>
        <v>2593.92</v>
      </c>
      <c r="N89" s="20">
        <f>SUM(B89:M89)</f>
        <v>31127.039999999994</v>
      </c>
    </row>
    <row r="90" spans="1:15" s="19" customFormat="1" ht="10.199999999999999">
      <c r="B90" s="20"/>
    </row>
    <row r="91" spans="1:15" s="19" customFormat="1" ht="10.199999999999999">
      <c r="A91" s="393" t="s">
        <v>24</v>
      </c>
    </row>
    <row r="92" spans="1:15" s="28" customFormat="1" ht="10.199999999999999">
      <c r="A92" s="26" t="s">
        <v>16</v>
      </c>
      <c r="B92" s="27">
        <f>'TSAS Scheduling Revenue (1)'!B92</f>
        <v>62000</v>
      </c>
      <c r="C92" s="27">
        <f>'TSAS Scheduling Revenue (1)'!C92</f>
        <v>62000</v>
      </c>
      <c r="D92" s="27">
        <f>'TSAS Scheduling Revenue (1)'!D92</f>
        <v>62000</v>
      </c>
      <c r="E92" s="27">
        <f>'TSAS Scheduling Revenue (1)'!E92</f>
        <v>62000</v>
      </c>
      <c r="F92" s="27">
        <f>'TSAS Scheduling Revenue (1)'!F92</f>
        <v>62000</v>
      </c>
      <c r="G92" s="27">
        <f>'TSAS Scheduling Revenue (1)'!G92</f>
        <v>62000</v>
      </c>
      <c r="H92" s="27">
        <f>'TSAS Scheduling Revenue (1)'!H92</f>
        <v>62000</v>
      </c>
      <c r="I92" s="27">
        <f>'TSAS Scheduling Revenue (1)'!I92</f>
        <v>62000</v>
      </c>
      <c r="J92" s="27">
        <f>'TSAS Scheduling Revenue (1)'!J92</f>
        <v>62000</v>
      </c>
      <c r="K92" s="27">
        <f>'TSAS Scheduling Revenue (1)'!K92</f>
        <v>62000</v>
      </c>
      <c r="L92" s="27">
        <f>'TSAS Scheduling Revenue (1)'!L92</f>
        <v>62000</v>
      </c>
      <c r="M92" s="27">
        <f>'TSAS Scheduling Revenue (1)'!M92</f>
        <v>62000</v>
      </c>
      <c r="N92" s="27">
        <f>SUM(B92:M92)</f>
        <v>744000</v>
      </c>
    </row>
    <row r="93" spans="1:15" s="19" customFormat="1" ht="10.199999999999999">
      <c r="A93" s="25" t="s">
        <v>20</v>
      </c>
      <c r="B93" s="32">
        <f>'charges (1 &amp; 2)'!D16</f>
        <v>0.1008</v>
      </c>
      <c r="C93" s="32">
        <f t="shared" ref="C93:M93" si="33">+$B$31</f>
        <v>0.1008</v>
      </c>
      <c r="D93" s="32">
        <f t="shared" si="33"/>
        <v>0.1008</v>
      </c>
      <c r="E93" s="32">
        <f t="shared" si="33"/>
        <v>0.1008</v>
      </c>
      <c r="F93" s="32">
        <f t="shared" si="33"/>
        <v>0.1008</v>
      </c>
      <c r="G93" s="32">
        <f t="shared" si="33"/>
        <v>0.1008</v>
      </c>
      <c r="H93" s="32">
        <f t="shared" si="33"/>
        <v>0.1008</v>
      </c>
      <c r="I93" s="32">
        <f t="shared" si="33"/>
        <v>0.1008</v>
      </c>
      <c r="J93" s="32">
        <f t="shared" si="33"/>
        <v>0.1008</v>
      </c>
      <c r="K93" s="32">
        <f t="shared" si="33"/>
        <v>0.1008</v>
      </c>
      <c r="L93" s="32">
        <f t="shared" si="33"/>
        <v>0.1008</v>
      </c>
      <c r="M93" s="32">
        <f t="shared" si="33"/>
        <v>0.1008</v>
      </c>
    </row>
    <row r="94" spans="1:15" s="19" customFormat="1" ht="10.199999999999999">
      <c r="A94" s="25" t="s">
        <v>17</v>
      </c>
      <c r="B94" s="20">
        <f t="shared" ref="B94:M94" si="34">B92*B93</f>
        <v>6249.6</v>
      </c>
      <c r="C94" s="20">
        <f t="shared" si="34"/>
        <v>6249.6</v>
      </c>
      <c r="D94" s="20">
        <f t="shared" si="34"/>
        <v>6249.6</v>
      </c>
      <c r="E94" s="20">
        <f t="shared" si="34"/>
        <v>6249.6</v>
      </c>
      <c r="F94" s="20">
        <f t="shared" si="34"/>
        <v>6249.6</v>
      </c>
      <c r="G94" s="20">
        <f t="shared" si="34"/>
        <v>6249.6</v>
      </c>
      <c r="H94" s="20">
        <f t="shared" si="34"/>
        <v>6249.6</v>
      </c>
      <c r="I94" s="20">
        <f t="shared" si="34"/>
        <v>6249.6</v>
      </c>
      <c r="J94" s="20">
        <f t="shared" si="34"/>
        <v>6249.6</v>
      </c>
      <c r="K94" s="20">
        <f t="shared" si="34"/>
        <v>6249.6</v>
      </c>
      <c r="L94" s="20">
        <f t="shared" si="34"/>
        <v>6249.6</v>
      </c>
      <c r="M94" s="20">
        <f t="shared" si="34"/>
        <v>6249.6</v>
      </c>
      <c r="N94" s="20">
        <f>SUM(B94:M94)</f>
        <v>74995.199999999997</v>
      </c>
    </row>
    <row r="95" spans="1:15" s="19" customFormat="1" ht="10.199999999999999">
      <c r="A95" s="25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5" s="19" customFormat="1" ht="10.199999999999999">
      <c r="A96" s="393" t="s">
        <v>111</v>
      </c>
    </row>
    <row r="97" spans="1:15" s="19" customFormat="1" ht="10.199999999999999">
      <c r="A97" s="26" t="s">
        <v>16</v>
      </c>
      <c r="B97" s="27">
        <f>'TSAS Scheduling Revenue (1)'!B97</f>
        <v>40000</v>
      </c>
      <c r="C97" s="27">
        <f>'TSAS Scheduling Revenue (1)'!C97</f>
        <v>40000</v>
      </c>
      <c r="D97" s="27">
        <f>'TSAS Scheduling Revenue (1)'!D97</f>
        <v>40000</v>
      </c>
      <c r="E97" s="27">
        <f>'TSAS Scheduling Revenue (1)'!E97</f>
        <v>40000</v>
      </c>
      <c r="F97" s="27">
        <f>'TSAS Scheduling Revenue (1)'!F97</f>
        <v>40000</v>
      </c>
      <c r="G97" s="27">
        <f>'TSAS Scheduling Revenue (1)'!G97</f>
        <v>40000</v>
      </c>
      <c r="H97" s="27">
        <f>'TSAS Scheduling Revenue (1)'!H97</f>
        <v>40000</v>
      </c>
      <c r="I97" s="27">
        <f>'TSAS Scheduling Revenue (1)'!I97</f>
        <v>40000</v>
      </c>
      <c r="J97" s="27">
        <f>'TSAS Scheduling Revenue (1)'!J97</f>
        <v>40000</v>
      </c>
      <c r="K97" s="27">
        <f>'TSAS Scheduling Revenue (1)'!K97</f>
        <v>40000</v>
      </c>
      <c r="L97" s="27">
        <f>'TSAS Scheduling Revenue (1)'!L97</f>
        <v>40000</v>
      </c>
      <c r="M97" s="27">
        <f>'TSAS Scheduling Revenue (1)'!M97</f>
        <v>40000</v>
      </c>
      <c r="N97" s="27">
        <f>SUM(B97:M97)</f>
        <v>480000</v>
      </c>
    </row>
    <row r="98" spans="1:15" s="19" customFormat="1" ht="10.199999999999999">
      <c r="A98" s="25" t="s">
        <v>20</v>
      </c>
      <c r="B98" s="32">
        <f t="shared" ref="B98:M98" si="35">+$B$31</f>
        <v>0.1008</v>
      </c>
      <c r="C98" s="32">
        <f t="shared" si="35"/>
        <v>0.1008</v>
      </c>
      <c r="D98" s="32">
        <f t="shared" si="35"/>
        <v>0.1008</v>
      </c>
      <c r="E98" s="32">
        <f t="shared" si="35"/>
        <v>0.1008</v>
      </c>
      <c r="F98" s="32">
        <f t="shared" si="35"/>
        <v>0.1008</v>
      </c>
      <c r="G98" s="32">
        <f t="shared" si="35"/>
        <v>0.1008</v>
      </c>
      <c r="H98" s="32">
        <f t="shared" si="35"/>
        <v>0.1008</v>
      </c>
      <c r="I98" s="32">
        <f t="shared" si="35"/>
        <v>0.1008</v>
      </c>
      <c r="J98" s="32">
        <f t="shared" si="35"/>
        <v>0.1008</v>
      </c>
      <c r="K98" s="32">
        <f t="shared" si="35"/>
        <v>0.1008</v>
      </c>
      <c r="L98" s="32">
        <f t="shared" si="35"/>
        <v>0.1008</v>
      </c>
      <c r="M98" s="32">
        <f t="shared" si="35"/>
        <v>0.1008</v>
      </c>
    </row>
    <row r="99" spans="1:15" s="19" customFormat="1" ht="10.199999999999999">
      <c r="A99" s="25" t="s">
        <v>17</v>
      </c>
      <c r="B99" s="20">
        <f t="shared" ref="B99:M99" si="36">B97*B98</f>
        <v>4032</v>
      </c>
      <c r="C99" s="20">
        <f t="shared" si="36"/>
        <v>4032</v>
      </c>
      <c r="D99" s="20">
        <f t="shared" si="36"/>
        <v>4032</v>
      </c>
      <c r="E99" s="20">
        <f t="shared" si="36"/>
        <v>4032</v>
      </c>
      <c r="F99" s="20">
        <f t="shared" si="36"/>
        <v>4032</v>
      </c>
      <c r="G99" s="20">
        <f t="shared" si="36"/>
        <v>4032</v>
      </c>
      <c r="H99" s="20">
        <f t="shared" si="36"/>
        <v>4032</v>
      </c>
      <c r="I99" s="20">
        <f t="shared" si="36"/>
        <v>4032</v>
      </c>
      <c r="J99" s="20">
        <f t="shared" si="36"/>
        <v>4032</v>
      </c>
      <c r="K99" s="20">
        <f t="shared" si="36"/>
        <v>4032</v>
      </c>
      <c r="L99" s="20">
        <f t="shared" si="36"/>
        <v>4032</v>
      </c>
      <c r="M99" s="20">
        <f t="shared" si="36"/>
        <v>4032</v>
      </c>
      <c r="N99" s="20">
        <f>SUM(B99:M99)</f>
        <v>48384</v>
      </c>
    </row>
    <row r="100" spans="1:15" s="19" customFormat="1" ht="10.199999999999999">
      <c r="A100" s="25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5" s="19" customFormat="1" ht="10.199999999999999">
      <c r="A101" s="393" t="s">
        <v>44</v>
      </c>
    </row>
    <row r="102" spans="1:15" s="19" customFormat="1" ht="10.199999999999999">
      <c r="A102" s="26" t="s">
        <v>16</v>
      </c>
      <c r="B102" s="27">
        <f>'TSAS Scheduling Revenue (1)'!B102</f>
        <v>25000</v>
      </c>
      <c r="C102" s="27">
        <f>'TSAS Scheduling Revenue (1)'!C102</f>
        <v>0</v>
      </c>
      <c r="D102" s="27">
        <f>'TSAS Scheduling Revenue (1)'!D102</f>
        <v>0</v>
      </c>
      <c r="E102" s="27">
        <f>'TSAS Scheduling Revenue (1)'!E102</f>
        <v>0</v>
      </c>
      <c r="F102" s="27">
        <f>'TSAS Scheduling Revenue (1)'!F102</f>
        <v>0</v>
      </c>
      <c r="G102" s="27">
        <f>'TSAS Scheduling Revenue (1)'!G102</f>
        <v>0</v>
      </c>
      <c r="H102" s="27">
        <f>'TSAS Scheduling Revenue (1)'!H102</f>
        <v>0</v>
      </c>
      <c r="I102" s="27">
        <f>'TSAS Scheduling Revenue (1)'!I102</f>
        <v>0</v>
      </c>
      <c r="J102" s="27">
        <f>'TSAS Scheduling Revenue (1)'!J102</f>
        <v>0</v>
      </c>
      <c r="K102" s="27">
        <f>'TSAS Scheduling Revenue (1)'!K102</f>
        <v>0</v>
      </c>
      <c r="L102" s="27">
        <f>'TSAS Scheduling Revenue (1)'!L102</f>
        <v>0</v>
      </c>
      <c r="M102" s="27">
        <f>'TSAS Scheduling Revenue (1)'!M102</f>
        <v>0</v>
      </c>
      <c r="N102" s="27">
        <f>SUM(B102:M102)</f>
        <v>25000</v>
      </c>
    </row>
    <row r="103" spans="1:15" s="19" customFormat="1" ht="10.199999999999999">
      <c r="A103" s="25" t="s">
        <v>20</v>
      </c>
      <c r="B103" s="32">
        <f t="shared" ref="B103:M103" si="37">+$B$31</f>
        <v>0.1008</v>
      </c>
      <c r="C103" s="32">
        <f t="shared" si="37"/>
        <v>0.1008</v>
      </c>
      <c r="D103" s="32">
        <f t="shared" si="37"/>
        <v>0.1008</v>
      </c>
      <c r="E103" s="32">
        <f t="shared" si="37"/>
        <v>0.1008</v>
      </c>
      <c r="F103" s="32">
        <f t="shared" si="37"/>
        <v>0.1008</v>
      </c>
      <c r="G103" s="32">
        <f t="shared" si="37"/>
        <v>0.1008</v>
      </c>
      <c r="H103" s="32">
        <f t="shared" si="37"/>
        <v>0.1008</v>
      </c>
      <c r="I103" s="32">
        <f t="shared" si="37"/>
        <v>0.1008</v>
      </c>
      <c r="J103" s="32">
        <f t="shared" si="37"/>
        <v>0.1008</v>
      </c>
      <c r="K103" s="32">
        <f t="shared" si="37"/>
        <v>0.1008</v>
      </c>
      <c r="L103" s="32">
        <f t="shared" si="37"/>
        <v>0.1008</v>
      </c>
      <c r="M103" s="32">
        <f t="shared" si="37"/>
        <v>0.1008</v>
      </c>
    </row>
    <row r="104" spans="1:15" s="19" customFormat="1" ht="10.199999999999999">
      <c r="A104" s="25" t="s">
        <v>17</v>
      </c>
      <c r="B104" s="20">
        <f t="shared" ref="B104:M104" si="38">B102*B103</f>
        <v>2520</v>
      </c>
      <c r="C104" s="20">
        <f t="shared" si="38"/>
        <v>0</v>
      </c>
      <c r="D104" s="20">
        <f t="shared" si="38"/>
        <v>0</v>
      </c>
      <c r="E104" s="20">
        <f t="shared" si="38"/>
        <v>0</v>
      </c>
      <c r="F104" s="20">
        <f t="shared" si="38"/>
        <v>0</v>
      </c>
      <c r="G104" s="20">
        <f t="shared" si="38"/>
        <v>0</v>
      </c>
      <c r="H104" s="20">
        <f t="shared" si="38"/>
        <v>0</v>
      </c>
      <c r="I104" s="20">
        <f t="shared" si="38"/>
        <v>0</v>
      </c>
      <c r="J104" s="20">
        <f t="shared" si="38"/>
        <v>0</v>
      </c>
      <c r="K104" s="20">
        <f t="shared" si="38"/>
        <v>0</v>
      </c>
      <c r="L104" s="20">
        <f t="shared" si="38"/>
        <v>0</v>
      </c>
      <c r="M104" s="20">
        <f t="shared" si="38"/>
        <v>0</v>
      </c>
      <c r="N104" s="20">
        <f>SUM(B104:M104)</f>
        <v>2520</v>
      </c>
    </row>
    <row r="105" spans="1:15" s="19" customFormat="1" ht="10.199999999999999">
      <c r="A105" s="25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5" s="19" customFormat="1" ht="10.199999999999999">
      <c r="A106" s="393" t="s">
        <v>165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5" s="19" customFormat="1" ht="10.199999999999999">
      <c r="A107" s="26" t="s">
        <v>16</v>
      </c>
      <c r="B107" s="20">
        <f>'TSAS Scheduling Revenue (1)'!B107</f>
        <v>4000</v>
      </c>
      <c r="C107" s="20">
        <f>'TSAS Scheduling Revenue (1)'!C107</f>
        <v>0</v>
      </c>
      <c r="D107" s="20">
        <f>'TSAS Scheduling Revenue (1)'!D107</f>
        <v>0</v>
      </c>
      <c r="E107" s="20">
        <f>'TSAS Scheduling Revenue (1)'!E107</f>
        <v>0</v>
      </c>
      <c r="F107" s="20">
        <f>'TSAS Scheduling Revenue (1)'!F107</f>
        <v>0</v>
      </c>
      <c r="G107" s="20">
        <f>'TSAS Scheduling Revenue (1)'!G107</f>
        <v>0</v>
      </c>
      <c r="H107" s="20">
        <f>'TSAS Scheduling Revenue (1)'!H107</f>
        <v>0</v>
      </c>
      <c r="I107" s="20">
        <f>'TSAS Scheduling Revenue (1)'!I107</f>
        <v>0</v>
      </c>
      <c r="J107" s="20">
        <f>'TSAS Scheduling Revenue (1)'!J107</f>
        <v>0</v>
      </c>
      <c r="K107" s="20">
        <f>'TSAS Scheduling Revenue (1)'!K107</f>
        <v>0</v>
      </c>
      <c r="L107" s="20">
        <f>'TSAS Scheduling Revenue (1)'!L107</f>
        <v>0</v>
      </c>
      <c r="M107" s="20">
        <f>'TSAS Scheduling Revenue (1)'!M107</f>
        <v>0</v>
      </c>
      <c r="N107" s="27">
        <f>SUM(B107:M107)</f>
        <v>4000</v>
      </c>
      <c r="O107" s="362" t="s">
        <v>265</v>
      </c>
    </row>
    <row r="108" spans="1:15" s="19" customFormat="1" ht="10.199999999999999">
      <c r="A108" s="25" t="s">
        <v>20</v>
      </c>
      <c r="B108" s="32">
        <f>B103</f>
        <v>0.1008</v>
      </c>
      <c r="C108" s="32">
        <f t="shared" ref="C108:M108" si="39">C103</f>
        <v>0.1008</v>
      </c>
      <c r="D108" s="32">
        <f t="shared" si="39"/>
        <v>0.1008</v>
      </c>
      <c r="E108" s="32">
        <f t="shared" si="39"/>
        <v>0.1008</v>
      </c>
      <c r="F108" s="32">
        <f t="shared" si="39"/>
        <v>0.1008</v>
      </c>
      <c r="G108" s="32">
        <f t="shared" si="39"/>
        <v>0.1008</v>
      </c>
      <c r="H108" s="32">
        <f t="shared" si="39"/>
        <v>0.1008</v>
      </c>
      <c r="I108" s="32">
        <f t="shared" si="39"/>
        <v>0.1008</v>
      </c>
      <c r="J108" s="32">
        <f t="shared" si="39"/>
        <v>0.1008</v>
      </c>
      <c r="K108" s="32">
        <f t="shared" si="39"/>
        <v>0.1008</v>
      </c>
      <c r="L108" s="32">
        <f t="shared" si="39"/>
        <v>0.1008</v>
      </c>
      <c r="M108" s="32">
        <f t="shared" si="39"/>
        <v>0.1008</v>
      </c>
    </row>
    <row r="109" spans="1:15" s="19" customFormat="1" ht="10.199999999999999">
      <c r="A109" s="25" t="s">
        <v>17</v>
      </c>
      <c r="B109" s="20">
        <f t="shared" ref="B109:M109" si="40">B107*B108</f>
        <v>403.2</v>
      </c>
      <c r="C109" s="20">
        <f t="shared" si="40"/>
        <v>0</v>
      </c>
      <c r="D109" s="20">
        <f t="shared" si="40"/>
        <v>0</v>
      </c>
      <c r="E109" s="20">
        <f t="shared" si="40"/>
        <v>0</v>
      </c>
      <c r="F109" s="20">
        <f t="shared" si="40"/>
        <v>0</v>
      </c>
      <c r="G109" s="20">
        <f t="shared" si="40"/>
        <v>0</v>
      </c>
      <c r="H109" s="20">
        <f t="shared" si="40"/>
        <v>0</v>
      </c>
      <c r="I109" s="20">
        <f t="shared" si="40"/>
        <v>0</v>
      </c>
      <c r="J109" s="20">
        <f t="shared" si="40"/>
        <v>0</v>
      </c>
      <c r="K109" s="20">
        <f t="shared" si="40"/>
        <v>0</v>
      </c>
      <c r="L109" s="20">
        <f t="shared" si="40"/>
        <v>0</v>
      </c>
      <c r="M109" s="20">
        <f t="shared" si="40"/>
        <v>0</v>
      </c>
      <c r="N109" s="20">
        <f>SUM(B109:M109)</f>
        <v>403.2</v>
      </c>
    </row>
    <row r="110" spans="1:15" s="19" customFormat="1" ht="10.199999999999999">
      <c r="A110" s="25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5" s="19" customFormat="1" ht="10.199999999999999">
      <c r="A111" s="393" t="s">
        <v>222</v>
      </c>
    </row>
    <row r="112" spans="1:15" s="19" customFormat="1" ht="10.199999999999999">
      <c r="A112" s="26" t="s">
        <v>16</v>
      </c>
      <c r="B112" s="27">
        <f>'TSAS Demand Revenues (7)'!B102</f>
        <v>4000</v>
      </c>
      <c r="C112" s="27">
        <f>'TSAS Demand Revenues (7)'!C102</f>
        <v>4000</v>
      </c>
      <c r="D112" s="27">
        <f>'TSAS Demand Revenues (7)'!D102</f>
        <v>4000</v>
      </c>
      <c r="E112" s="27">
        <f>'TSAS Demand Revenues (7)'!E102</f>
        <v>4000</v>
      </c>
      <c r="F112" s="27">
        <f>'TSAS Demand Revenues (7)'!F102</f>
        <v>4000</v>
      </c>
      <c r="G112" s="27">
        <f>'TSAS Demand Revenues (7)'!G102</f>
        <v>4000</v>
      </c>
      <c r="H112" s="27">
        <f>'TSAS Demand Revenues (7)'!H102</f>
        <v>4000</v>
      </c>
      <c r="I112" s="27">
        <f>'TSAS Demand Revenues (7)'!I102</f>
        <v>4000</v>
      </c>
      <c r="J112" s="27">
        <f>'TSAS Demand Revenues (7)'!J102</f>
        <v>4000</v>
      </c>
      <c r="K112" s="27">
        <f>'TSAS Demand Revenues (7)'!K102</f>
        <v>4000</v>
      </c>
      <c r="L112" s="27">
        <f>'TSAS Demand Revenues (7)'!L102</f>
        <v>4000</v>
      </c>
      <c r="M112" s="27">
        <f>'TSAS Demand Revenues (7)'!M102</f>
        <v>4000</v>
      </c>
      <c r="N112" s="27">
        <f>SUM(B112:M112)</f>
        <v>48000</v>
      </c>
    </row>
    <row r="113" spans="1:15" s="19" customFormat="1" ht="10.199999999999999">
      <c r="A113" s="25" t="s">
        <v>20</v>
      </c>
      <c r="B113" s="32">
        <f>B108</f>
        <v>0.1008</v>
      </c>
      <c r="C113" s="32">
        <f t="shared" ref="C113:M113" si="41">C108</f>
        <v>0.1008</v>
      </c>
      <c r="D113" s="32">
        <f t="shared" si="41"/>
        <v>0.1008</v>
      </c>
      <c r="E113" s="32">
        <f t="shared" si="41"/>
        <v>0.1008</v>
      </c>
      <c r="F113" s="32">
        <f t="shared" si="41"/>
        <v>0.1008</v>
      </c>
      <c r="G113" s="32">
        <f t="shared" si="41"/>
        <v>0.1008</v>
      </c>
      <c r="H113" s="32">
        <f t="shared" si="41"/>
        <v>0.1008</v>
      </c>
      <c r="I113" s="32">
        <f t="shared" si="41"/>
        <v>0.1008</v>
      </c>
      <c r="J113" s="32">
        <f t="shared" si="41"/>
        <v>0.1008</v>
      </c>
      <c r="K113" s="32">
        <f t="shared" si="41"/>
        <v>0.1008</v>
      </c>
      <c r="L113" s="32">
        <f t="shared" si="41"/>
        <v>0.1008</v>
      </c>
      <c r="M113" s="32">
        <f t="shared" si="41"/>
        <v>0.1008</v>
      </c>
    </row>
    <row r="114" spans="1:15" s="19" customFormat="1" ht="10.199999999999999">
      <c r="A114" s="25" t="s">
        <v>17</v>
      </c>
      <c r="B114" s="20">
        <f t="shared" ref="B114:M114" si="42">B112*B113</f>
        <v>403.2</v>
      </c>
      <c r="C114" s="20">
        <f t="shared" si="42"/>
        <v>403.2</v>
      </c>
      <c r="D114" s="20">
        <f t="shared" si="42"/>
        <v>403.2</v>
      </c>
      <c r="E114" s="20">
        <f t="shared" si="42"/>
        <v>403.2</v>
      </c>
      <c r="F114" s="20">
        <f t="shared" si="42"/>
        <v>403.2</v>
      </c>
      <c r="G114" s="20">
        <f t="shared" si="42"/>
        <v>403.2</v>
      </c>
      <c r="H114" s="20">
        <f t="shared" si="42"/>
        <v>403.2</v>
      </c>
      <c r="I114" s="20">
        <f t="shared" si="42"/>
        <v>403.2</v>
      </c>
      <c r="J114" s="20">
        <f t="shared" si="42"/>
        <v>403.2</v>
      </c>
      <c r="K114" s="20">
        <f t="shared" si="42"/>
        <v>403.2</v>
      </c>
      <c r="L114" s="20">
        <f t="shared" si="42"/>
        <v>403.2</v>
      </c>
      <c r="M114" s="20">
        <f t="shared" si="42"/>
        <v>403.2</v>
      </c>
      <c r="N114" s="20">
        <f>SUM(B114:M114)</f>
        <v>4838.3999999999987</v>
      </c>
    </row>
    <row r="115" spans="1:15" s="19" customFormat="1" ht="10.199999999999999">
      <c r="A115" s="25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5">
      <c r="A116" s="393" t="s">
        <v>173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5">
      <c r="A117" s="26" t="s">
        <v>16</v>
      </c>
      <c r="B117" s="27">
        <f>'TSAS Demand Revenues (7)'!B107</f>
        <v>0</v>
      </c>
      <c r="C117" s="27">
        <f>'TSAS Demand Revenues (7)'!C107</f>
        <v>0</v>
      </c>
      <c r="D117" s="27">
        <f>'TSAS Demand Revenues (7)'!D107</f>
        <v>0</v>
      </c>
      <c r="E117" s="27">
        <f>'TSAS Demand Revenues (7)'!E107</f>
        <v>0</v>
      </c>
      <c r="F117" s="27">
        <f>'TSAS Demand Revenues (7)'!F107</f>
        <v>0</v>
      </c>
      <c r="G117" s="27">
        <f>'TSAS Demand Revenues (7)'!G107</f>
        <v>0</v>
      </c>
      <c r="H117" s="27">
        <f>'TSAS Demand Revenues (7)'!H107</f>
        <v>0</v>
      </c>
      <c r="I117" s="27">
        <f>'TSAS Demand Revenues (7)'!I107</f>
        <v>0</v>
      </c>
      <c r="J117" s="27">
        <f>'TSAS Demand Revenues (7)'!J107</f>
        <v>0</v>
      </c>
      <c r="K117" s="27">
        <f>'TSAS Demand Revenues (7)'!K107</f>
        <v>0</v>
      </c>
      <c r="L117" s="27">
        <f>'TSAS Demand Revenues (7)'!L107</f>
        <v>0</v>
      </c>
      <c r="M117" s="27">
        <f>'TSAS Demand Revenues (7)'!M107</f>
        <v>0</v>
      </c>
      <c r="N117" s="27">
        <f>SUM(B117:M117)</f>
        <v>0</v>
      </c>
    </row>
    <row r="118" spans="1:15">
      <c r="A118" s="25" t="s">
        <v>20</v>
      </c>
      <c r="B118" s="32">
        <f>B113</f>
        <v>0.1008</v>
      </c>
      <c r="C118" s="32">
        <f t="shared" ref="C118:M118" si="43">C113</f>
        <v>0.1008</v>
      </c>
      <c r="D118" s="32">
        <f t="shared" si="43"/>
        <v>0.1008</v>
      </c>
      <c r="E118" s="32">
        <f t="shared" si="43"/>
        <v>0.1008</v>
      </c>
      <c r="F118" s="32">
        <f t="shared" si="43"/>
        <v>0.1008</v>
      </c>
      <c r="G118" s="32">
        <f t="shared" si="43"/>
        <v>0.1008</v>
      </c>
      <c r="H118" s="32">
        <f t="shared" si="43"/>
        <v>0.1008</v>
      </c>
      <c r="I118" s="32">
        <f t="shared" si="43"/>
        <v>0.1008</v>
      </c>
      <c r="J118" s="32">
        <f t="shared" si="43"/>
        <v>0.1008</v>
      </c>
      <c r="K118" s="32">
        <f t="shared" si="43"/>
        <v>0.1008</v>
      </c>
      <c r="L118" s="32">
        <f t="shared" si="43"/>
        <v>0.1008</v>
      </c>
      <c r="M118" s="32">
        <f t="shared" si="43"/>
        <v>0.1008</v>
      </c>
      <c r="N118" s="19"/>
    </row>
    <row r="119" spans="1:15">
      <c r="A119" s="25" t="s">
        <v>17</v>
      </c>
      <c r="B119" s="20">
        <f t="shared" ref="B119:M119" si="44">B117*B118</f>
        <v>0</v>
      </c>
      <c r="C119" s="20">
        <f t="shared" si="44"/>
        <v>0</v>
      </c>
      <c r="D119" s="20">
        <f t="shared" si="44"/>
        <v>0</v>
      </c>
      <c r="E119" s="20">
        <f t="shared" si="44"/>
        <v>0</v>
      </c>
      <c r="F119" s="20">
        <f t="shared" si="44"/>
        <v>0</v>
      </c>
      <c r="G119" s="20">
        <f t="shared" si="44"/>
        <v>0</v>
      </c>
      <c r="H119" s="20">
        <f t="shared" si="44"/>
        <v>0</v>
      </c>
      <c r="I119" s="20">
        <f t="shared" si="44"/>
        <v>0</v>
      </c>
      <c r="J119" s="20">
        <f t="shared" si="44"/>
        <v>0</v>
      </c>
      <c r="K119" s="20">
        <f t="shared" si="44"/>
        <v>0</v>
      </c>
      <c r="L119" s="20">
        <f t="shared" si="44"/>
        <v>0</v>
      </c>
      <c r="M119" s="20">
        <f t="shared" si="44"/>
        <v>0</v>
      </c>
      <c r="N119" s="20">
        <f>SUM(B119:M119)</f>
        <v>0</v>
      </c>
    </row>
    <row r="120" spans="1:15" s="19" customFormat="1" ht="10.199999999999999">
      <c r="A120" s="25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5">
      <c r="A121" s="393" t="s">
        <v>112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5">
      <c r="A122" s="26" t="s">
        <v>16</v>
      </c>
      <c r="B122" s="27">
        <f>'TSAS Scheduling Revenue (1)'!B122</f>
        <v>150000</v>
      </c>
      <c r="C122" s="27">
        <f>'TSAS Scheduling Revenue (1)'!C122</f>
        <v>150000</v>
      </c>
      <c r="D122" s="27">
        <f>'TSAS Scheduling Revenue (1)'!D122</f>
        <v>150000</v>
      </c>
      <c r="E122" s="27">
        <f>'TSAS Scheduling Revenue (1)'!E122</f>
        <v>150000</v>
      </c>
      <c r="F122" s="27">
        <f>'TSAS Scheduling Revenue (1)'!F122</f>
        <v>150000</v>
      </c>
      <c r="G122" s="27">
        <f>'TSAS Scheduling Revenue (1)'!G122</f>
        <v>150000</v>
      </c>
      <c r="H122" s="27">
        <f>'TSAS Scheduling Revenue (1)'!H122</f>
        <v>150000</v>
      </c>
      <c r="I122" s="27">
        <f>'TSAS Scheduling Revenue (1)'!I122</f>
        <v>150000</v>
      </c>
      <c r="J122" s="27">
        <f>'TSAS Scheduling Revenue (1)'!J122</f>
        <v>150000</v>
      </c>
      <c r="K122" s="27">
        <f>'TSAS Scheduling Revenue (1)'!K122</f>
        <v>150000</v>
      </c>
      <c r="L122" s="27">
        <f>'TSAS Scheduling Revenue (1)'!L122</f>
        <v>150000</v>
      </c>
      <c r="M122" s="27">
        <f>'TSAS Scheduling Revenue (1)'!M122</f>
        <v>150000</v>
      </c>
      <c r="N122" s="27">
        <f>SUM(B122:M122)</f>
        <v>1800000</v>
      </c>
      <c r="O122" s="363" t="s">
        <v>268</v>
      </c>
    </row>
    <row r="123" spans="1:15">
      <c r="A123" s="25" t="s">
        <v>20</v>
      </c>
      <c r="B123" s="32">
        <f>B118</f>
        <v>0.1008</v>
      </c>
      <c r="C123" s="32">
        <f t="shared" ref="C123:M123" si="45">C118</f>
        <v>0.1008</v>
      </c>
      <c r="D123" s="32">
        <f t="shared" si="45"/>
        <v>0.1008</v>
      </c>
      <c r="E123" s="32">
        <f t="shared" si="45"/>
        <v>0.1008</v>
      </c>
      <c r="F123" s="32">
        <f t="shared" si="45"/>
        <v>0.1008</v>
      </c>
      <c r="G123" s="32">
        <f t="shared" si="45"/>
        <v>0.1008</v>
      </c>
      <c r="H123" s="32">
        <f t="shared" si="45"/>
        <v>0.1008</v>
      </c>
      <c r="I123" s="32">
        <f t="shared" si="45"/>
        <v>0.1008</v>
      </c>
      <c r="J123" s="32">
        <f t="shared" si="45"/>
        <v>0.1008</v>
      </c>
      <c r="K123" s="32">
        <f t="shared" si="45"/>
        <v>0.1008</v>
      </c>
      <c r="L123" s="32">
        <f t="shared" si="45"/>
        <v>0.1008</v>
      </c>
      <c r="M123" s="32">
        <f t="shared" si="45"/>
        <v>0.1008</v>
      </c>
      <c r="N123" s="19"/>
    </row>
    <row r="124" spans="1:15">
      <c r="A124" s="25" t="s">
        <v>17</v>
      </c>
      <c r="B124" s="20">
        <f t="shared" ref="B124:M124" si="46">B122*B123</f>
        <v>15120</v>
      </c>
      <c r="C124" s="20">
        <f t="shared" si="46"/>
        <v>15120</v>
      </c>
      <c r="D124" s="20">
        <f t="shared" si="46"/>
        <v>15120</v>
      </c>
      <c r="E124" s="20">
        <f t="shared" si="46"/>
        <v>15120</v>
      </c>
      <c r="F124" s="20">
        <f t="shared" si="46"/>
        <v>15120</v>
      </c>
      <c r="G124" s="20">
        <f t="shared" si="46"/>
        <v>15120</v>
      </c>
      <c r="H124" s="20">
        <f t="shared" si="46"/>
        <v>15120</v>
      </c>
      <c r="I124" s="20">
        <f t="shared" si="46"/>
        <v>15120</v>
      </c>
      <c r="J124" s="20">
        <f t="shared" si="46"/>
        <v>15120</v>
      </c>
      <c r="K124" s="20">
        <f t="shared" si="46"/>
        <v>15120</v>
      </c>
      <c r="L124" s="20">
        <f t="shared" si="46"/>
        <v>15120</v>
      </c>
      <c r="M124" s="20">
        <f t="shared" si="46"/>
        <v>15120</v>
      </c>
      <c r="N124" s="20">
        <f>SUM(B124:M124)</f>
        <v>181440</v>
      </c>
    </row>
    <row r="125" spans="1:15">
      <c r="A125" s="25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5">
      <c r="A126" s="393" t="s">
        <v>224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5">
      <c r="A127" s="26" t="s">
        <v>16</v>
      </c>
      <c r="B127" s="27">
        <f>'TSAS Demand Revenues (7)'!B127</f>
        <v>160000</v>
      </c>
      <c r="C127" s="27">
        <f>'TSAS Demand Revenues (7)'!C127</f>
        <v>160000</v>
      </c>
      <c r="D127" s="27">
        <f>'TSAS Demand Revenues (7)'!D127</f>
        <v>160000</v>
      </c>
      <c r="E127" s="27">
        <f>'TSAS Demand Revenues (7)'!E127</f>
        <v>160000</v>
      </c>
      <c r="F127" s="27">
        <f>'TSAS Demand Revenues (7)'!F127</f>
        <v>160000</v>
      </c>
      <c r="G127" s="27">
        <f>'TSAS Demand Revenues (7)'!G127</f>
        <v>160000</v>
      </c>
      <c r="H127" s="27">
        <f>'TSAS Demand Revenues (7)'!H127</f>
        <v>160000</v>
      </c>
      <c r="I127" s="27">
        <f>'TSAS Demand Revenues (7)'!I127</f>
        <v>160000</v>
      </c>
      <c r="J127" s="27">
        <f>'TSAS Demand Revenues (7)'!J127</f>
        <v>160000</v>
      </c>
      <c r="K127" s="27">
        <f>'TSAS Demand Revenues (7)'!K127</f>
        <v>160000</v>
      </c>
      <c r="L127" s="27">
        <f>'TSAS Demand Revenues (7)'!L127</f>
        <v>160000</v>
      </c>
      <c r="M127" s="27">
        <f>'TSAS Demand Revenues (7)'!M127</f>
        <v>160000</v>
      </c>
      <c r="N127" s="27">
        <f>SUM(B127:M127)</f>
        <v>1920000</v>
      </c>
    </row>
    <row r="128" spans="1:15">
      <c r="A128" s="25" t="s">
        <v>20</v>
      </c>
      <c r="B128" s="265">
        <f>B123</f>
        <v>0.1008</v>
      </c>
      <c r="C128" s="265">
        <f t="shared" ref="C128:M128" si="47">C123</f>
        <v>0.1008</v>
      </c>
      <c r="D128" s="265">
        <f t="shared" si="47"/>
        <v>0.1008</v>
      </c>
      <c r="E128" s="265">
        <f t="shared" si="47"/>
        <v>0.1008</v>
      </c>
      <c r="F128" s="265">
        <f t="shared" si="47"/>
        <v>0.1008</v>
      </c>
      <c r="G128" s="265">
        <f t="shared" si="47"/>
        <v>0.1008</v>
      </c>
      <c r="H128" s="265">
        <f t="shared" si="47"/>
        <v>0.1008</v>
      </c>
      <c r="I128" s="265">
        <f t="shared" si="47"/>
        <v>0.1008</v>
      </c>
      <c r="J128" s="265">
        <f t="shared" si="47"/>
        <v>0.1008</v>
      </c>
      <c r="K128" s="265">
        <f t="shared" si="47"/>
        <v>0.1008</v>
      </c>
      <c r="L128" s="265">
        <f t="shared" si="47"/>
        <v>0.1008</v>
      </c>
      <c r="M128" s="265">
        <f t="shared" si="47"/>
        <v>0.1008</v>
      </c>
      <c r="N128" s="19"/>
    </row>
    <row r="129" spans="1:15">
      <c r="A129" s="25" t="s">
        <v>17</v>
      </c>
      <c r="B129" s="20">
        <f t="shared" ref="B129:M129" si="48">B127*B128</f>
        <v>16128</v>
      </c>
      <c r="C129" s="20">
        <f t="shared" si="48"/>
        <v>16128</v>
      </c>
      <c r="D129" s="20">
        <f t="shared" si="48"/>
        <v>16128</v>
      </c>
      <c r="E129" s="20">
        <f t="shared" si="48"/>
        <v>16128</v>
      </c>
      <c r="F129" s="20">
        <f t="shared" si="48"/>
        <v>16128</v>
      </c>
      <c r="G129" s="20">
        <f t="shared" si="48"/>
        <v>16128</v>
      </c>
      <c r="H129" s="20">
        <f t="shared" si="48"/>
        <v>16128</v>
      </c>
      <c r="I129" s="20">
        <f t="shared" si="48"/>
        <v>16128</v>
      </c>
      <c r="J129" s="20">
        <f t="shared" si="48"/>
        <v>16128</v>
      </c>
      <c r="K129" s="20">
        <f t="shared" si="48"/>
        <v>16128</v>
      </c>
      <c r="L129" s="20">
        <f t="shared" si="48"/>
        <v>16128</v>
      </c>
      <c r="M129" s="20">
        <f t="shared" si="48"/>
        <v>16128</v>
      </c>
      <c r="N129" s="20">
        <f>SUM(B129:M129)</f>
        <v>193536</v>
      </c>
    </row>
    <row r="130" spans="1:15">
      <c r="A130" s="25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5" s="19" customFormat="1" ht="10.199999999999999">
      <c r="A131" s="393" t="s">
        <v>287</v>
      </c>
      <c r="B131" s="20">
        <f>'TSAS Demand Revenues (7)'!B131</f>
        <v>20000</v>
      </c>
      <c r="C131" s="20">
        <f>'TSAS Demand Revenues (7)'!C131</f>
        <v>0</v>
      </c>
      <c r="D131" s="20">
        <f>'TSAS Demand Revenues (7)'!D131</f>
        <v>0</v>
      </c>
      <c r="E131" s="20">
        <f>'TSAS Demand Revenues (7)'!E131</f>
        <v>0</v>
      </c>
      <c r="F131" s="20">
        <f>'TSAS Demand Revenues (7)'!F131</f>
        <v>0</v>
      </c>
      <c r="G131" s="20">
        <f>'TSAS Demand Revenues (7)'!G131</f>
        <v>0</v>
      </c>
      <c r="H131" s="20">
        <f>'TSAS Demand Revenues (7)'!H131</f>
        <v>0</v>
      </c>
      <c r="I131" s="20">
        <f>'TSAS Demand Revenues (7)'!I131</f>
        <v>0</v>
      </c>
      <c r="J131" s="20">
        <f>'TSAS Demand Revenues (7)'!J131</f>
        <v>0</v>
      </c>
      <c r="K131" s="20">
        <f>'TSAS Demand Revenues (7)'!K131</f>
        <v>0</v>
      </c>
      <c r="L131" s="20">
        <f>'TSAS Demand Revenues (7)'!L131</f>
        <v>0</v>
      </c>
      <c r="M131" s="20">
        <f>'TSAS Demand Revenues (7)'!M131</f>
        <v>0</v>
      </c>
      <c r="N131" s="27">
        <f>SUM(B131:M131)</f>
        <v>20000</v>
      </c>
    </row>
    <row r="132" spans="1:15" s="19" customFormat="1" ht="10.199999999999999">
      <c r="A132" s="25" t="s">
        <v>20</v>
      </c>
      <c r="B132" s="265">
        <f>B128</f>
        <v>0.1008</v>
      </c>
      <c r="C132" s="265">
        <f t="shared" ref="C132:M132" si="49">C128</f>
        <v>0.1008</v>
      </c>
      <c r="D132" s="265">
        <f t="shared" si="49"/>
        <v>0.1008</v>
      </c>
      <c r="E132" s="265">
        <f t="shared" si="49"/>
        <v>0.1008</v>
      </c>
      <c r="F132" s="265">
        <f t="shared" si="49"/>
        <v>0.1008</v>
      </c>
      <c r="G132" s="265">
        <f t="shared" si="49"/>
        <v>0.1008</v>
      </c>
      <c r="H132" s="265">
        <f t="shared" si="49"/>
        <v>0.1008</v>
      </c>
      <c r="I132" s="265">
        <f t="shared" si="49"/>
        <v>0.1008</v>
      </c>
      <c r="J132" s="265">
        <f t="shared" si="49"/>
        <v>0.1008</v>
      </c>
      <c r="K132" s="265">
        <f t="shared" si="49"/>
        <v>0.1008</v>
      </c>
      <c r="L132" s="265">
        <f t="shared" si="49"/>
        <v>0.1008</v>
      </c>
      <c r="M132" s="265">
        <f t="shared" si="49"/>
        <v>0.1008</v>
      </c>
    </row>
    <row r="133" spans="1:15" s="19" customFormat="1" ht="10.199999999999999">
      <c r="A133" s="25" t="s">
        <v>17</v>
      </c>
      <c r="B133" s="20">
        <f t="shared" ref="B133:M133" si="50">B131*B132</f>
        <v>2016</v>
      </c>
      <c r="C133" s="20">
        <f t="shared" si="50"/>
        <v>0</v>
      </c>
      <c r="D133" s="20">
        <f t="shared" si="50"/>
        <v>0</v>
      </c>
      <c r="E133" s="20">
        <f t="shared" si="50"/>
        <v>0</v>
      </c>
      <c r="F133" s="20">
        <f t="shared" si="50"/>
        <v>0</v>
      </c>
      <c r="G133" s="20">
        <f t="shared" si="50"/>
        <v>0</v>
      </c>
      <c r="H133" s="20">
        <f t="shared" si="50"/>
        <v>0</v>
      </c>
      <c r="I133" s="20">
        <f t="shared" si="50"/>
        <v>0</v>
      </c>
      <c r="J133" s="20">
        <f t="shared" si="50"/>
        <v>0</v>
      </c>
      <c r="K133" s="20">
        <f t="shared" si="50"/>
        <v>0</v>
      </c>
      <c r="L133" s="20">
        <f t="shared" si="50"/>
        <v>0</v>
      </c>
      <c r="M133" s="20">
        <f t="shared" si="50"/>
        <v>0</v>
      </c>
      <c r="N133" s="20">
        <f>SUM(B133:M133)</f>
        <v>2016</v>
      </c>
    </row>
    <row r="134" spans="1:15">
      <c r="A134" s="25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5" s="19" customFormat="1" ht="10.199999999999999">
      <c r="A135" s="143" t="s">
        <v>25</v>
      </c>
      <c r="B135" s="142">
        <f>B74+B79+B84+B89+B94+B99+B104+B109+B114+B119+B124+B129+B133</f>
        <v>49969.919999999998</v>
      </c>
      <c r="C135" s="142">
        <f t="shared" ref="C135:M135" si="51">C74+C79+C84+C89+C94+C99+C104+C109+C114+C119+C124+C129+C133</f>
        <v>45030.720000000001</v>
      </c>
      <c r="D135" s="142">
        <f t="shared" si="51"/>
        <v>45030.720000000001</v>
      </c>
      <c r="E135" s="142">
        <f t="shared" si="51"/>
        <v>45030.720000000001</v>
      </c>
      <c r="F135" s="142">
        <f t="shared" si="51"/>
        <v>45030.720000000001</v>
      </c>
      <c r="G135" s="142">
        <f t="shared" si="51"/>
        <v>45030.720000000001</v>
      </c>
      <c r="H135" s="142">
        <f t="shared" si="51"/>
        <v>45030.720000000001</v>
      </c>
      <c r="I135" s="142">
        <f t="shared" si="51"/>
        <v>45030.720000000001</v>
      </c>
      <c r="J135" s="142">
        <f t="shared" si="51"/>
        <v>45030.720000000001</v>
      </c>
      <c r="K135" s="142">
        <f t="shared" si="51"/>
        <v>45030.720000000001</v>
      </c>
      <c r="L135" s="142">
        <f t="shared" si="51"/>
        <v>45030.720000000001</v>
      </c>
      <c r="M135" s="142">
        <f t="shared" si="51"/>
        <v>45030.720000000001</v>
      </c>
      <c r="N135" s="142">
        <f>SUM(B135:M135)</f>
        <v>545307.83999999985</v>
      </c>
    </row>
    <row r="136" spans="1:15" s="19" customFormat="1" ht="10.199999999999999">
      <c r="A136" s="143" t="str">
        <f>A65</f>
        <v>Total Monthly Demand</v>
      </c>
      <c r="B136" s="142">
        <f>B72+B77+B82+B87+B92+B102+B97+B107+B112+B117+B122+B127+B131</f>
        <v>507056</v>
      </c>
      <c r="C136" s="142">
        <f t="shared" ref="C136:M136" si="52">C72+C77+C82+C87+C92+C102+C97+C107+C112+C117+C122+C127+C131</f>
        <v>458056</v>
      </c>
      <c r="D136" s="142">
        <f t="shared" si="52"/>
        <v>458056</v>
      </c>
      <c r="E136" s="142">
        <f t="shared" si="52"/>
        <v>458056</v>
      </c>
      <c r="F136" s="142">
        <f t="shared" si="52"/>
        <v>458056</v>
      </c>
      <c r="G136" s="142">
        <f t="shared" si="52"/>
        <v>458056</v>
      </c>
      <c r="H136" s="142">
        <f t="shared" si="52"/>
        <v>458056</v>
      </c>
      <c r="I136" s="142">
        <f t="shared" si="52"/>
        <v>458056</v>
      </c>
      <c r="J136" s="142">
        <f t="shared" si="52"/>
        <v>458056</v>
      </c>
      <c r="K136" s="142">
        <f t="shared" si="52"/>
        <v>458056</v>
      </c>
      <c r="L136" s="142">
        <f t="shared" si="52"/>
        <v>458056</v>
      </c>
      <c r="M136" s="142">
        <f t="shared" si="52"/>
        <v>458056</v>
      </c>
      <c r="N136" s="142">
        <f>SUM(B136:M136)</f>
        <v>5545672</v>
      </c>
    </row>
    <row r="137" spans="1:15" s="19" customFormat="1" ht="10.199999999999999">
      <c r="A137" s="24">
        <f>+A67+1</f>
        <v>2016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5" s="19" customFormat="1" ht="13.2">
      <c r="A138" s="22" t="s">
        <v>19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5" s="19" customFormat="1" ht="10.199999999999999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1:15" s="19" customFormat="1" ht="10.199999999999999">
      <c r="A140" s="393" t="s">
        <v>344</v>
      </c>
    </row>
    <row r="141" spans="1:15" s="28" customFormat="1">
      <c r="A141" s="26" t="s">
        <v>16</v>
      </c>
      <c r="B141" s="27">
        <f>'TSAS Scheduling Revenue (1)'!B146</f>
        <v>5000</v>
      </c>
      <c r="C141" s="27">
        <f>'TSAS Scheduling Revenue (1)'!C146</f>
        <v>5000</v>
      </c>
      <c r="D141" s="27">
        <f>'TSAS Scheduling Revenue (1)'!D146</f>
        <v>5000</v>
      </c>
      <c r="E141" s="27">
        <f>'TSAS Scheduling Revenue (1)'!E146</f>
        <v>5000</v>
      </c>
      <c r="F141" s="27">
        <f>'TSAS Scheduling Revenue (1)'!F146</f>
        <v>5000</v>
      </c>
      <c r="G141" s="27">
        <f>'TSAS Scheduling Revenue (1)'!G146</f>
        <v>5000</v>
      </c>
      <c r="H141" s="27">
        <f>'TSAS Scheduling Revenue (1)'!H146</f>
        <v>5000</v>
      </c>
      <c r="I141" s="27">
        <f>'TSAS Scheduling Revenue (1)'!I146</f>
        <v>5000</v>
      </c>
      <c r="J141" s="27">
        <f>'TSAS Scheduling Revenue (1)'!J146</f>
        <v>5000</v>
      </c>
      <c r="K141" s="27">
        <f>'TSAS Scheduling Revenue (1)'!K146</f>
        <v>5000</v>
      </c>
      <c r="L141" s="27">
        <f>'TSAS Scheduling Revenue (1)'!L146</f>
        <v>5000</v>
      </c>
      <c r="M141" s="27">
        <f>'TSAS Scheduling Revenue (1)'!M146</f>
        <v>5000</v>
      </c>
      <c r="N141" s="27">
        <f>SUM(B141:M141)</f>
        <v>60000</v>
      </c>
      <c r="O141" s="21"/>
    </row>
    <row r="142" spans="1:15" s="19" customFormat="1">
      <c r="A142" s="25" t="s">
        <v>20</v>
      </c>
      <c r="B142" s="31">
        <f>'charges (1 &amp; 2)'!E19</f>
        <v>0.1008</v>
      </c>
      <c r="C142" s="31">
        <f t="shared" ref="C142:M142" si="53">+$B$11</f>
        <v>0.1008</v>
      </c>
      <c r="D142" s="31">
        <f t="shared" si="53"/>
        <v>0.1008</v>
      </c>
      <c r="E142" s="31">
        <f t="shared" si="53"/>
        <v>0.1008</v>
      </c>
      <c r="F142" s="31">
        <f t="shared" si="53"/>
        <v>0.1008</v>
      </c>
      <c r="G142" s="31">
        <f t="shared" si="53"/>
        <v>0.1008</v>
      </c>
      <c r="H142" s="31">
        <f t="shared" si="53"/>
        <v>0.1008</v>
      </c>
      <c r="I142" s="31">
        <f t="shared" si="53"/>
        <v>0.1008</v>
      </c>
      <c r="J142" s="31">
        <f t="shared" si="53"/>
        <v>0.1008</v>
      </c>
      <c r="K142" s="31">
        <f t="shared" si="53"/>
        <v>0.1008</v>
      </c>
      <c r="L142" s="31">
        <f t="shared" si="53"/>
        <v>0.1008</v>
      </c>
      <c r="M142" s="31">
        <f t="shared" si="53"/>
        <v>0.1008</v>
      </c>
      <c r="O142" s="21"/>
    </row>
    <row r="143" spans="1:15" s="19" customFormat="1">
      <c r="A143" s="25" t="s">
        <v>17</v>
      </c>
      <c r="B143" s="20">
        <f t="shared" ref="B143:M143" si="54">B141*B142</f>
        <v>504</v>
      </c>
      <c r="C143" s="20">
        <f t="shared" si="54"/>
        <v>504</v>
      </c>
      <c r="D143" s="20">
        <f t="shared" si="54"/>
        <v>504</v>
      </c>
      <c r="E143" s="20">
        <f t="shared" si="54"/>
        <v>504</v>
      </c>
      <c r="F143" s="20">
        <f t="shared" si="54"/>
        <v>504</v>
      </c>
      <c r="G143" s="20">
        <f t="shared" si="54"/>
        <v>504</v>
      </c>
      <c r="H143" s="20">
        <f t="shared" si="54"/>
        <v>504</v>
      </c>
      <c r="I143" s="20">
        <f t="shared" si="54"/>
        <v>504</v>
      </c>
      <c r="J143" s="20">
        <f t="shared" si="54"/>
        <v>504</v>
      </c>
      <c r="K143" s="20">
        <f t="shared" si="54"/>
        <v>504</v>
      </c>
      <c r="L143" s="20">
        <f t="shared" si="54"/>
        <v>504</v>
      </c>
      <c r="M143" s="20">
        <f t="shared" si="54"/>
        <v>504</v>
      </c>
      <c r="N143" s="20">
        <f>SUM(B143:M143)</f>
        <v>6048</v>
      </c>
      <c r="O143" s="21"/>
    </row>
    <row r="144" spans="1:15" s="19" customFormat="1">
      <c r="O144" s="21"/>
    </row>
    <row r="145" spans="1:15" s="19" customFormat="1">
      <c r="A145" s="25" t="s">
        <v>21</v>
      </c>
      <c r="O145" s="21"/>
    </row>
    <row r="146" spans="1:15" s="28" customFormat="1">
      <c r="A146" s="26" t="s">
        <v>16</v>
      </c>
      <c r="B146" s="27">
        <f>'TSAS Scheduling Revenue (1)'!B151</f>
        <v>0</v>
      </c>
      <c r="C146" s="27">
        <f>'TSAS Scheduling Revenue (1)'!C151</f>
        <v>0</v>
      </c>
      <c r="D146" s="27">
        <f>'TSAS Scheduling Revenue (1)'!D151</f>
        <v>0</v>
      </c>
      <c r="E146" s="27">
        <f>'TSAS Scheduling Revenue (1)'!E151</f>
        <v>0</v>
      </c>
      <c r="F146" s="27">
        <f>'TSAS Scheduling Revenue (1)'!F151</f>
        <v>0</v>
      </c>
      <c r="G146" s="27">
        <f>'TSAS Scheduling Revenue (1)'!G151</f>
        <v>0</v>
      </c>
      <c r="H146" s="27">
        <f>'TSAS Scheduling Revenue (1)'!H151</f>
        <v>0</v>
      </c>
      <c r="I146" s="27">
        <f>'TSAS Scheduling Revenue (1)'!I151</f>
        <v>0</v>
      </c>
      <c r="J146" s="27">
        <f>'TSAS Scheduling Revenue (1)'!J151</f>
        <v>0</v>
      </c>
      <c r="K146" s="27">
        <f>'TSAS Scheduling Revenue (1)'!K151</f>
        <v>0</v>
      </c>
      <c r="L146" s="27">
        <f>'TSAS Scheduling Revenue (1)'!L151</f>
        <v>0</v>
      </c>
      <c r="M146" s="27">
        <f>'TSAS Scheduling Revenue (1)'!M151</f>
        <v>0</v>
      </c>
      <c r="N146" s="27">
        <f>SUM(B146:M146)</f>
        <v>0</v>
      </c>
      <c r="O146" s="21"/>
    </row>
    <row r="147" spans="1:15" s="19" customFormat="1">
      <c r="A147" s="25" t="s">
        <v>20</v>
      </c>
      <c r="B147" s="31">
        <f>'charges (1 &amp; 2)'!E10</f>
        <v>0.1008</v>
      </c>
      <c r="C147" s="31">
        <f t="shared" ref="C147:M147" si="55">+$B$16</f>
        <v>0.1008</v>
      </c>
      <c r="D147" s="31">
        <f t="shared" si="55"/>
        <v>0.1008</v>
      </c>
      <c r="E147" s="31">
        <f t="shared" si="55"/>
        <v>0.1008</v>
      </c>
      <c r="F147" s="31">
        <f t="shared" si="55"/>
        <v>0.1008</v>
      </c>
      <c r="G147" s="31">
        <f t="shared" si="55"/>
        <v>0.1008</v>
      </c>
      <c r="H147" s="31">
        <f t="shared" si="55"/>
        <v>0.1008</v>
      </c>
      <c r="I147" s="31">
        <f t="shared" si="55"/>
        <v>0.1008</v>
      </c>
      <c r="J147" s="31">
        <f t="shared" si="55"/>
        <v>0.1008</v>
      </c>
      <c r="K147" s="31">
        <f t="shared" si="55"/>
        <v>0.1008</v>
      </c>
      <c r="L147" s="31">
        <f t="shared" si="55"/>
        <v>0.1008</v>
      </c>
      <c r="M147" s="31">
        <f t="shared" si="55"/>
        <v>0.1008</v>
      </c>
      <c r="O147" s="21"/>
    </row>
    <row r="148" spans="1:15" s="19" customFormat="1">
      <c r="A148" s="25" t="s">
        <v>17</v>
      </c>
      <c r="B148" s="20">
        <f t="shared" ref="B148:M148" si="56">B146*B147</f>
        <v>0</v>
      </c>
      <c r="C148" s="20">
        <f t="shared" si="56"/>
        <v>0</v>
      </c>
      <c r="D148" s="20">
        <f t="shared" si="56"/>
        <v>0</v>
      </c>
      <c r="E148" s="20">
        <f t="shared" si="56"/>
        <v>0</v>
      </c>
      <c r="F148" s="20">
        <f t="shared" si="56"/>
        <v>0</v>
      </c>
      <c r="G148" s="20">
        <f t="shared" si="56"/>
        <v>0</v>
      </c>
      <c r="H148" s="20">
        <f t="shared" si="56"/>
        <v>0</v>
      </c>
      <c r="I148" s="20">
        <f t="shared" si="56"/>
        <v>0</v>
      </c>
      <c r="J148" s="20">
        <f t="shared" si="56"/>
        <v>0</v>
      </c>
      <c r="K148" s="20">
        <f t="shared" si="56"/>
        <v>0</v>
      </c>
      <c r="L148" s="20">
        <f t="shared" si="56"/>
        <v>0</v>
      </c>
      <c r="M148" s="20">
        <f t="shared" si="56"/>
        <v>0</v>
      </c>
      <c r="N148" s="20">
        <f>SUM(B148:M148)</f>
        <v>0</v>
      </c>
      <c r="O148" s="21"/>
    </row>
    <row r="149" spans="1:15" s="19" customFormat="1">
      <c r="B149" s="20"/>
      <c r="O149" s="21"/>
    </row>
    <row r="150" spans="1:15" s="19" customFormat="1">
      <c r="A150" s="25" t="s">
        <v>22</v>
      </c>
      <c r="O150" s="21"/>
    </row>
    <row r="151" spans="1:15" s="28" customFormat="1">
      <c r="A151" s="26" t="s">
        <v>16</v>
      </c>
      <c r="B151" s="27">
        <f>'TSAS Scheduling Revenue (1)'!B156</f>
        <v>0</v>
      </c>
      <c r="C151" s="27">
        <f>'TSAS Scheduling Revenue (1)'!C156</f>
        <v>0</v>
      </c>
      <c r="D151" s="27">
        <f>'TSAS Scheduling Revenue (1)'!D156</f>
        <v>0</v>
      </c>
      <c r="E151" s="27">
        <f>'TSAS Scheduling Revenue (1)'!E156</f>
        <v>0</v>
      </c>
      <c r="F151" s="27">
        <f>'TSAS Scheduling Revenue (1)'!F156</f>
        <v>0</v>
      </c>
      <c r="G151" s="27">
        <f>'TSAS Scheduling Revenue (1)'!G156</f>
        <v>0</v>
      </c>
      <c r="H151" s="27">
        <f>'TSAS Scheduling Revenue (1)'!H156</f>
        <v>0</v>
      </c>
      <c r="I151" s="27">
        <f>'TSAS Scheduling Revenue (1)'!I156</f>
        <v>0</v>
      </c>
      <c r="J151" s="27">
        <f>'TSAS Scheduling Revenue (1)'!J156</f>
        <v>0</v>
      </c>
      <c r="K151" s="27">
        <f>'TSAS Scheduling Revenue (1)'!K156</f>
        <v>0</v>
      </c>
      <c r="L151" s="27">
        <f>'TSAS Scheduling Revenue (1)'!L156</f>
        <v>0</v>
      </c>
      <c r="M151" s="27">
        <f>'TSAS Scheduling Revenue (1)'!M156</f>
        <v>0</v>
      </c>
      <c r="N151" s="27">
        <f>SUM(B151:M151)</f>
        <v>0</v>
      </c>
      <c r="O151" s="21"/>
    </row>
    <row r="152" spans="1:15" s="19" customFormat="1">
      <c r="A152" s="25" t="s">
        <v>20</v>
      </c>
      <c r="B152" s="32">
        <f>'charges (1 &amp; 2)'!E22</f>
        <v>0.1008</v>
      </c>
      <c r="C152" s="32">
        <f t="shared" ref="C152:M152" si="57">+$B$21</f>
        <v>0.1008</v>
      </c>
      <c r="D152" s="32">
        <f t="shared" si="57"/>
        <v>0.1008</v>
      </c>
      <c r="E152" s="32">
        <f t="shared" si="57"/>
        <v>0.1008</v>
      </c>
      <c r="F152" s="32">
        <f t="shared" si="57"/>
        <v>0.1008</v>
      </c>
      <c r="G152" s="32">
        <f t="shared" si="57"/>
        <v>0.1008</v>
      </c>
      <c r="H152" s="32">
        <f t="shared" si="57"/>
        <v>0.1008</v>
      </c>
      <c r="I152" s="32">
        <f t="shared" si="57"/>
        <v>0.1008</v>
      </c>
      <c r="J152" s="32">
        <f t="shared" si="57"/>
        <v>0.1008</v>
      </c>
      <c r="K152" s="32">
        <f t="shared" si="57"/>
        <v>0.1008</v>
      </c>
      <c r="L152" s="32">
        <f t="shared" si="57"/>
        <v>0.1008</v>
      </c>
      <c r="M152" s="32">
        <f t="shared" si="57"/>
        <v>0.1008</v>
      </c>
      <c r="O152" s="21"/>
    </row>
    <row r="153" spans="1:15" s="19" customFormat="1">
      <c r="A153" s="25" t="s">
        <v>17</v>
      </c>
      <c r="B153" s="20">
        <f t="shared" ref="B153:M153" si="58">B151*B152</f>
        <v>0</v>
      </c>
      <c r="C153" s="20">
        <f t="shared" si="58"/>
        <v>0</v>
      </c>
      <c r="D153" s="20">
        <f t="shared" si="58"/>
        <v>0</v>
      </c>
      <c r="E153" s="20">
        <f t="shared" si="58"/>
        <v>0</v>
      </c>
      <c r="F153" s="20">
        <f t="shared" si="58"/>
        <v>0</v>
      </c>
      <c r="G153" s="20">
        <f t="shared" si="58"/>
        <v>0</v>
      </c>
      <c r="H153" s="20">
        <f t="shared" si="58"/>
        <v>0</v>
      </c>
      <c r="I153" s="20">
        <f t="shared" si="58"/>
        <v>0</v>
      </c>
      <c r="J153" s="20">
        <f t="shared" si="58"/>
        <v>0</v>
      </c>
      <c r="K153" s="20">
        <f t="shared" si="58"/>
        <v>0</v>
      </c>
      <c r="L153" s="20">
        <f t="shared" si="58"/>
        <v>0</v>
      </c>
      <c r="M153" s="20">
        <f t="shared" si="58"/>
        <v>0</v>
      </c>
      <c r="N153" s="20">
        <f>SUM(B153:M153)</f>
        <v>0</v>
      </c>
      <c r="O153" s="21"/>
    </row>
    <row r="154" spans="1:15" s="19" customFormat="1">
      <c r="B154" s="20"/>
      <c r="O154" s="21"/>
    </row>
    <row r="155" spans="1:15" s="19" customFormat="1" ht="10.199999999999999">
      <c r="A155" s="393" t="s">
        <v>23</v>
      </c>
      <c r="O155" s="28"/>
    </row>
    <row r="156" spans="1:15" s="28" customFormat="1" ht="10.199999999999999">
      <c r="A156" s="26" t="s">
        <v>16</v>
      </c>
      <c r="B156" s="27">
        <f>'TSAS Scheduling Revenue (1)'!B161</f>
        <v>37056</v>
      </c>
      <c r="C156" s="27">
        <f>'TSAS Scheduling Revenue (1)'!C161</f>
        <v>37056</v>
      </c>
      <c r="D156" s="27">
        <f>'TSAS Scheduling Revenue (1)'!D161</f>
        <v>37056</v>
      </c>
      <c r="E156" s="27">
        <f>'TSAS Scheduling Revenue (1)'!E161</f>
        <v>37056</v>
      </c>
      <c r="F156" s="27">
        <f>'TSAS Scheduling Revenue (1)'!F161</f>
        <v>37056</v>
      </c>
      <c r="G156" s="27">
        <f>'TSAS Scheduling Revenue (1)'!G161</f>
        <v>37056</v>
      </c>
      <c r="H156" s="27">
        <f>'TSAS Scheduling Revenue (1)'!H161</f>
        <v>37056</v>
      </c>
      <c r="I156" s="27">
        <f>'TSAS Scheduling Revenue (1)'!I161</f>
        <v>37056</v>
      </c>
      <c r="J156" s="27">
        <f>'TSAS Scheduling Revenue (1)'!J161</f>
        <v>37056</v>
      </c>
      <c r="K156" s="27">
        <f>'TSAS Scheduling Revenue (1)'!K161</f>
        <v>37056</v>
      </c>
      <c r="L156" s="27">
        <f>'TSAS Scheduling Revenue (1)'!L161</f>
        <v>37056</v>
      </c>
      <c r="M156" s="27">
        <f>'TSAS Scheduling Revenue (1)'!M161</f>
        <v>37056</v>
      </c>
      <c r="N156" s="27">
        <f>SUM(B156:M156)</f>
        <v>444672</v>
      </c>
    </row>
    <row r="157" spans="1:15" s="19" customFormat="1" ht="10.199999999999999">
      <c r="A157" s="25" t="s">
        <v>20</v>
      </c>
      <c r="B157" s="32">
        <f>'charges (1 &amp; 2)'!E13</f>
        <v>7.0000000000000007E-2</v>
      </c>
      <c r="C157" s="32">
        <f t="shared" ref="C157:M157" si="59">+$B$26</f>
        <v>7.0000000000000007E-2</v>
      </c>
      <c r="D157" s="32">
        <f t="shared" si="59"/>
        <v>7.0000000000000007E-2</v>
      </c>
      <c r="E157" s="32">
        <f t="shared" si="59"/>
        <v>7.0000000000000007E-2</v>
      </c>
      <c r="F157" s="32">
        <f t="shared" si="59"/>
        <v>7.0000000000000007E-2</v>
      </c>
      <c r="G157" s="32">
        <f t="shared" si="59"/>
        <v>7.0000000000000007E-2</v>
      </c>
      <c r="H157" s="32">
        <f t="shared" si="59"/>
        <v>7.0000000000000007E-2</v>
      </c>
      <c r="I157" s="32">
        <f t="shared" si="59"/>
        <v>7.0000000000000007E-2</v>
      </c>
      <c r="J157" s="32">
        <f t="shared" si="59"/>
        <v>7.0000000000000007E-2</v>
      </c>
      <c r="K157" s="32">
        <f t="shared" si="59"/>
        <v>7.0000000000000007E-2</v>
      </c>
      <c r="L157" s="32">
        <f t="shared" si="59"/>
        <v>7.0000000000000007E-2</v>
      </c>
      <c r="M157" s="32">
        <f t="shared" si="59"/>
        <v>7.0000000000000007E-2</v>
      </c>
    </row>
    <row r="158" spans="1:15" s="19" customFormat="1" ht="10.199999999999999">
      <c r="A158" s="25" t="s">
        <v>17</v>
      </c>
      <c r="B158" s="20">
        <f t="shared" ref="B158:M158" si="60">B156*B157</f>
        <v>2593.92</v>
      </c>
      <c r="C158" s="20">
        <f t="shared" si="60"/>
        <v>2593.92</v>
      </c>
      <c r="D158" s="20">
        <f t="shared" si="60"/>
        <v>2593.92</v>
      </c>
      <c r="E158" s="20">
        <f t="shared" si="60"/>
        <v>2593.92</v>
      </c>
      <c r="F158" s="20">
        <f t="shared" si="60"/>
        <v>2593.92</v>
      </c>
      <c r="G158" s="20">
        <f t="shared" si="60"/>
        <v>2593.92</v>
      </c>
      <c r="H158" s="20">
        <f t="shared" si="60"/>
        <v>2593.92</v>
      </c>
      <c r="I158" s="20">
        <f t="shared" si="60"/>
        <v>2593.92</v>
      </c>
      <c r="J158" s="20">
        <f t="shared" si="60"/>
        <v>2593.92</v>
      </c>
      <c r="K158" s="20">
        <f t="shared" si="60"/>
        <v>2593.92</v>
      </c>
      <c r="L158" s="20">
        <f t="shared" si="60"/>
        <v>2593.92</v>
      </c>
      <c r="M158" s="20">
        <f t="shared" si="60"/>
        <v>2593.92</v>
      </c>
      <c r="N158" s="20">
        <f>SUM(B158:M158)</f>
        <v>31127.039999999994</v>
      </c>
    </row>
    <row r="159" spans="1:15" s="19" customFormat="1" ht="10.199999999999999">
      <c r="B159" s="20"/>
    </row>
    <row r="160" spans="1:15" s="19" customFormat="1" ht="10.199999999999999">
      <c r="A160" s="393" t="s">
        <v>24</v>
      </c>
    </row>
    <row r="161" spans="1:14" s="28" customFormat="1" ht="10.199999999999999">
      <c r="A161" s="26" t="s">
        <v>16</v>
      </c>
      <c r="B161" s="27">
        <f>'TSAS Scheduling Revenue (1)'!B166</f>
        <v>62000</v>
      </c>
      <c r="C161" s="27">
        <f>'TSAS Scheduling Revenue (1)'!C166</f>
        <v>62000</v>
      </c>
      <c r="D161" s="27">
        <f>'TSAS Scheduling Revenue (1)'!D166</f>
        <v>62000</v>
      </c>
      <c r="E161" s="27">
        <f>'TSAS Scheduling Revenue (1)'!E166</f>
        <v>62000</v>
      </c>
      <c r="F161" s="27">
        <f>'TSAS Scheduling Revenue (1)'!F166</f>
        <v>62000</v>
      </c>
      <c r="G161" s="27">
        <f>'TSAS Scheduling Revenue (1)'!G166</f>
        <v>62000</v>
      </c>
      <c r="H161" s="27">
        <f>'TSAS Scheduling Revenue (1)'!H166</f>
        <v>62000</v>
      </c>
      <c r="I161" s="27">
        <f>'TSAS Scheduling Revenue (1)'!I166</f>
        <v>62000</v>
      </c>
      <c r="J161" s="27">
        <f>'TSAS Scheduling Revenue (1)'!J166</f>
        <v>62000</v>
      </c>
      <c r="K161" s="27">
        <f>'TSAS Scheduling Revenue (1)'!K166</f>
        <v>62000</v>
      </c>
      <c r="L161" s="27">
        <f>'TSAS Scheduling Revenue (1)'!L166</f>
        <v>62000</v>
      </c>
      <c r="M161" s="27">
        <f>'TSAS Scheduling Revenue (1)'!M166</f>
        <v>62000</v>
      </c>
      <c r="N161" s="27">
        <f>SUM(B161:M161)</f>
        <v>744000</v>
      </c>
    </row>
    <row r="162" spans="1:14" s="19" customFormat="1" ht="10.199999999999999">
      <c r="A162" s="25" t="s">
        <v>20</v>
      </c>
      <c r="B162" s="32">
        <f>'charges (1 &amp; 2)'!E16</f>
        <v>0.1008</v>
      </c>
      <c r="C162" s="32">
        <f t="shared" ref="C162:M162" si="61">+$B$31</f>
        <v>0.1008</v>
      </c>
      <c r="D162" s="32">
        <f t="shared" si="61"/>
        <v>0.1008</v>
      </c>
      <c r="E162" s="32">
        <f t="shared" si="61"/>
        <v>0.1008</v>
      </c>
      <c r="F162" s="32">
        <f t="shared" si="61"/>
        <v>0.1008</v>
      </c>
      <c r="G162" s="32">
        <f t="shared" si="61"/>
        <v>0.1008</v>
      </c>
      <c r="H162" s="32">
        <f t="shared" si="61"/>
        <v>0.1008</v>
      </c>
      <c r="I162" s="32">
        <f t="shared" si="61"/>
        <v>0.1008</v>
      </c>
      <c r="J162" s="32">
        <f t="shared" si="61"/>
        <v>0.1008</v>
      </c>
      <c r="K162" s="32">
        <f t="shared" si="61"/>
        <v>0.1008</v>
      </c>
      <c r="L162" s="32">
        <f t="shared" si="61"/>
        <v>0.1008</v>
      </c>
      <c r="M162" s="32">
        <f t="shared" si="61"/>
        <v>0.1008</v>
      </c>
    </row>
    <row r="163" spans="1:14" s="19" customFormat="1" ht="10.199999999999999">
      <c r="A163" s="25" t="s">
        <v>17</v>
      </c>
      <c r="B163" s="20">
        <f t="shared" ref="B163:M163" si="62">B161*B162</f>
        <v>6249.6</v>
      </c>
      <c r="C163" s="20">
        <f t="shared" si="62"/>
        <v>6249.6</v>
      </c>
      <c r="D163" s="20">
        <f t="shared" si="62"/>
        <v>6249.6</v>
      </c>
      <c r="E163" s="20">
        <f t="shared" si="62"/>
        <v>6249.6</v>
      </c>
      <c r="F163" s="20">
        <f t="shared" si="62"/>
        <v>6249.6</v>
      </c>
      <c r="G163" s="20">
        <f t="shared" si="62"/>
        <v>6249.6</v>
      </c>
      <c r="H163" s="20">
        <f t="shared" si="62"/>
        <v>6249.6</v>
      </c>
      <c r="I163" s="20">
        <f t="shared" si="62"/>
        <v>6249.6</v>
      </c>
      <c r="J163" s="20">
        <f t="shared" si="62"/>
        <v>6249.6</v>
      </c>
      <c r="K163" s="20">
        <f t="shared" si="62"/>
        <v>6249.6</v>
      </c>
      <c r="L163" s="20">
        <f t="shared" si="62"/>
        <v>6249.6</v>
      </c>
      <c r="M163" s="20">
        <f t="shared" si="62"/>
        <v>6249.6</v>
      </c>
      <c r="N163" s="20">
        <f>SUM(B163:M163)</f>
        <v>74995.199999999997</v>
      </c>
    </row>
    <row r="164" spans="1:14" s="19" customFormat="1" ht="10.199999999999999">
      <c r="A164" s="25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s="19" customFormat="1" ht="10.199999999999999">
      <c r="A165" s="393" t="s">
        <v>111</v>
      </c>
    </row>
    <row r="166" spans="1:14" s="19" customFormat="1" ht="10.199999999999999">
      <c r="A166" s="26" t="s">
        <v>16</v>
      </c>
      <c r="B166" s="27">
        <f>'TSAS Scheduling Revenue (1)'!B171</f>
        <v>40000</v>
      </c>
      <c r="C166" s="27">
        <f>'TSAS Scheduling Revenue (1)'!C171</f>
        <v>40000</v>
      </c>
      <c r="D166" s="27">
        <f>'TSAS Scheduling Revenue (1)'!D171</f>
        <v>40000</v>
      </c>
      <c r="E166" s="27">
        <f>'TSAS Scheduling Revenue (1)'!E171</f>
        <v>40000</v>
      </c>
      <c r="F166" s="27">
        <f>'TSAS Scheduling Revenue (1)'!F171</f>
        <v>40000</v>
      </c>
      <c r="G166" s="27">
        <f>'TSAS Scheduling Revenue (1)'!G171</f>
        <v>40000</v>
      </c>
      <c r="H166" s="27">
        <f>'TSAS Scheduling Revenue (1)'!H171</f>
        <v>40000</v>
      </c>
      <c r="I166" s="27">
        <f>'TSAS Scheduling Revenue (1)'!I171</f>
        <v>40000</v>
      </c>
      <c r="J166" s="27">
        <f>'TSAS Scheduling Revenue (1)'!J171</f>
        <v>40000</v>
      </c>
      <c r="K166" s="27">
        <f>'TSAS Scheduling Revenue (1)'!K171</f>
        <v>40000</v>
      </c>
      <c r="L166" s="27">
        <f>'TSAS Scheduling Revenue (1)'!L171</f>
        <v>40000</v>
      </c>
      <c r="M166" s="27">
        <f>'TSAS Scheduling Revenue (1)'!M171</f>
        <v>40000</v>
      </c>
      <c r="N166" s="27">
        <f>SUM(B166:M166)</f>
        <v>480000</v>
      </c>
    </row>
    <row r="167" spans="1:14" s="19" customFormat="1" ht="10.199999999999999">
      <c r="A167" s="25" t="s">
        <v>20</v>
      </c>
      <c r="B167" s="32">
        <f t="shared" ref="B167:M167" si="63">+$B$31</f>
        <v>0.1008</v>
      </c>
      <c r="C167" s="32">
        <f t="shared" si="63"/>
        <v>0.1008</v>
      </c>
      <c r="D167" s="32">
        <f t="shared" si="63"/>
        <v>0.1008</v>
      </c>
      <c r="E167" s="32">
        <f t="shared" si="63"/>
        <v>0.1008</v>
      </c>
      <c r="F167" s="32">
        <f t="shared" si="63"/>
        <v>0.1008</v>
      </c>
      <c r="G167" s="32">
        <f t="shared" si="63"/>
        <v>0.1008</v>
      </c>
      <c r="H167" s="32">
        <f t="shared" si="63"/>
        <v>0.1008</v>
      </c>
      <c r="I167" s="32">
        <f t="shared" si="63"/>
        <v>0.1008</v>
      </c>
      <c r="J167" s="32">
        <f t="shared" si="63"/>
        <v>0.1008</v>
      </c>
      <c r="K167" s="32">
        <f t="shared" si="63"/>
        <v>0.1008</v>
      </c>
      <c r="L167" s="32">
        <f t="shared" si="63"/>
        <v>0.1008</v>
      </c>
      <c r="M167" s="32">
        <f t="shared" si="63"/>
        <v>0.1008</v>
      </c>
    </row>
    <row r="168" spans="1:14" s="19" customFormat="1" ht="10.199999999999999">
      <c r="A168" s="25" t="s">
        <v>17</v>
      </c>
      <c r="B168" s="20">
        <f t="shared" ref="B168:M168" si="64">B166*B167</f>
        <v>4032</v>
      </c>
      <c r="C168" s="20">
        <f t="shared" si="64"/>
        <v>4032</v>
      </c>
      <c r="D168" s="20">
        <f t="shared" si="64"/>
        <v>4032</v>
      </c>
      <c r="E168" s="20">
        <f t="shared" si="64"/>
        <v>4032</v>
      </c>
      <c r="F168" s="20">
        <f t="shared" si="64"/>
        <v>4032</v>
      </c>
      <c r="G168" s="20">
        <f t="shared" si="64"/>
        <v>4032</v>
      </c>
      <c r="H168" s="20">
        <f t="shared" si="64"/>
        <v>4032</v>
      </c>
      <c r="I168" s="20">
        <f t="shared" si="64"/>
        <v>4032</v>
      </c>
      <c r="J168" s="20">
        <f t="shared" si="64"/>
        <v>4032</v>
      </c>
      <c r="K168" s="20">
        <f t="shared" si="64"/>
        <v>4032</v>
      </c>
      <c r="L168" s="20">
        <f t="shared" si="64"/>
        <v>4032</v>
      </c>
      <c r="M168" s="20">
        <f t="shared" si="64"/>
        <v>4032</v>
      </c>
      <c r="N168" s="20">
        <f>SUM(B168:M168)</f>
        <v>48384</v>
      </c>
    </row>
    <row r="169" spans="1:14" s="19" customFormat="1" ht="10.199999999999999">
      <c r="A169" s="25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</row>
    <row r="170" spans="1:14" s="19" customFormat="1" ht="10.199999999999999">
      <c r="A170" s="393" t="s">
        <v>222</v>
      </c>
    </row>
    <row r="171" spans="1:14" s="19" customFormat="1" ht="10.199999999999999">
      <c r="A171" s="26" t="s">
        <v>16</v>
      </c>
      <c r="B171" s="27">
        <f>'TSAS Scheduling Revenue (1)'!B176</f>
        <v>4000</v>
      </c>
      <c r="C171" s="27">
        <f>'TSAS Scheduling Revenue (1)'!C176</f>
        <v>4000</v>
      </c>
      <c r="D171" s="27">
        <f>'TSAS Scheduling Revenue (1)'!D176</f>
        <v>4000</v>
      </c>
      <c r="E171" s="27">
        <f>'TSAS Scheduling Revenue (1)'!E176</f>
        <v>4000</v>
      </c>
      <c r="F171" s="27">
        <f>'TSAS Scheduling Revenue (1)'!F176</f>
        <v>4000</v>
      </c>
      <c r="G171" s="27">
        <f>'TSAS Scheduling Revenue (1)'!G176</f>
        <v>4000</v>
      </c>
      <c r="H171" s="27">
        <f>'TSAS Scheduling Revenue (1)'!H176</f>
        <v>4000</v>
      </c>
      <c r="I171" s="27">
        <f>'TSAS Scheduling Revenue (1)'!I176</f>
        <v>4000</v>
      </c>
      <c r="J171" s="27">
        <f>'TSAS Scheduling Revenue (1)'!J176</f>
        <v>4000</v>
      </c>
      <c r="K171" s="27">
        <f>'TSAS Scheduling Revenue (1)'!K176</f>
        <v>4000</v>
      </c>
      <c r="L171" s="27">
        <f>'TSAS Scheduling Revenue (1)'!L176</f>
        <v>3000</v>
      </c>
      <c r="M171" s="27">
        <f>'TSAS Scheduling Revenue (1)'!M176</f>
        <v>3000</v>
      </c>
      <c r="N171" s="27">
        <f>SUM(B171:M171)</f>
        <v>46000</v>
      </c>
    </row>
    <row r="172" spans="1:14" s="19" customFormat="1" ht="12.75" customHeight="1">
      <c r="A172" s="25" t="s">
        <v>20</v>
      </c>
      <c r="B172" s="32">
        <f>B167</f>
        <v>0.1008</v>
      </c>
      <c r="C172" s="32">
        <f>B172</f>
        <v>0.1008</v>
      </c>
      <c r="D172" s="32">
        <f t="shared" ref="D172:M172" si="65">C172</f>
        <v>0.1008</v>
      </c>
      <c r="E172" s="32">
        <f t="shared" si="65"/>
        <v>0.1008</v>
      </c>
      <c r="F172" s="32">
        <f t="shared" si="65"/>
        <v>0.1008</v>
      </c>
      <c r="G172" s="32">
        <f t="shared" si="65"/>
        <v>0.1008</v>
      </c>
      <c r="H172" s="32">
        <f t="shared" si="65"/>
        <v>0.1008</v>
      </c>
      <c r="I172" s="32">
        <f t="shared" si="65"/>
        <v>0.1008</v>
      </c>
      <c r="J172" s="32">
        <f t="shared" si="65"/>
        <v>0.1008</v>
      </c>
      <c r="K172" s="32">
        <f t="shared" si="65"/>
        <v>0.1008</v>
      </c>
      <c r="L172" s="32">
        <f t="shared" si="65"/>
        <v>0.1008</v>
      </c>
      <c r="M172" s="32">
        <f t="shared" si="65"/>
        <v>0.1008</v>
      </c>
    </row>
    <row r="173" spans="1:14" s="19" customFormat="1" ht="12.75" customHeight="1">
      <c r="A173" s="25" t="s">
        <v>17</v>
      </c>
      <c r="B173" s="20">
        <f t="shared" ref="B173:M173" si="66">B171*B172</f>
        <v>403.2</v>
      </c>
      <c r="C173" s="20">
        <f t="shared" si="66"/>
        <v>403.2</v>
      </c>
      <c r="D173" s="20">
        <f t="shared" si="66"/>
        <v>403.2</v>
      </c>
      <c r="E173" s="20">
        <f t="shared" si="66"/>
        <v>403.2</v>
      </c>
      <c r="F173" s="20">
        <f t="shared" si="66"/>
        <v>403.2</v>
      </c>
      <c r="G173" s="20">
        <f t="shared" si="66"/>
        <v>403.2</v>
      </c>
      <c r="H173" s="20">
        <f t="shared" si="66"/>
        <v>403.2</v>
      </c>
      <c r="I173" s="20">
        <f t="shared" si="66"/>
        <v>403.2</v>
      </c>
      <c r="J173" s="20">
        <f t="shared" si="66"/>
        <v>403.2</v>
      </c>
      <c r="K173" s="20">
        <f t="shared" si="66"/>
        <v>403.2</v>
      </c>
      <c r="L173" s="20">
        <f t="shared" si="66"/>
        <v>302.39999999999998</v>
      </c>
      <c r="M173" s="20">
        <f t="shared" si="66"/>
        <v>302.39999999999998</v>
      </c>
      <c r="N173" s="20">
        <f>SUM(B173:M173)</f>
        <v>4636.7999999999984</v>
      </c>
    </row>
    <row r="174" spans="1:14" s="19" customFormat="1" ht="6.75" customHeight="1">
      <c r="A174" s="25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</row>
    <row r="175" spans="1:14">
      <c r="A175" s="393" t="s">
        <v>173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>
      <c r="A176" s="26" t="s">
        <v>16</v>
      </c>
      <c r="B176" s="27">
        <f>'TSAS Scheduling Revenue (1)'!B181</f>
        <v>0</v>
      </c>
      <c r="C176" s="27">
        <f>'TSAS Scheduling Revenue (1)'!C181</f>
        <v>0</v>
      </c>
      <c r="D176" s="27">
        <f>'TSAS Scheduling Revenue (1)'!D181</f>
        <v>0</v>
      </c>
      <c r="E176" s="27">
        <f>'TSAS Scheduling Revenue (1)'!E181</f>
        <v>0</v>
      </c>
      <c r="F176" s="27">
        <f>'TSAS Scheduling Revenue (1)'!F181</f>
        <v>0</v>
      </c>
      <c r="G176" s="27">
        <f>'TSAS Scheduling Revenue (1)'!G181</f>
        <v>0</v>
      </c>
      <c r="H176" s="27">
        <f>'TSAS Scheduling Revenue (1)'!H181</f>
        <v>0</v>
      </c>
      <c r="I176" s="27">
        <f>'TSAS Scheduling Revenue (1)'!I181</f>
        <v>0</v>
      </c>
      <c r="J176" s="27">
        <f>'TSAS Scheduling Revenue (1)'!J181</f>
        <v>0</v>
      </c>
      <c r="K176" s="27">
        <f>'TSAS Scheduling Revenue (1)'!K181</f>
        <v>0</v>
      </c>
      <c r="L176" s="27">
        <f>'TSAS Scheduling Revenue (1)'!L181</f>
        <v>0</v>
      </c>
      <c r="M176" s="27">
        <f>'TSAS Scheduling Revenue (1)'!M181</f>
        <v>0</v>
      </c>
      <c r="N176" s="27">
        <f>SUM(B176:M176)</f>
        <v>0</v>
      </c>
    </row>
    <row r="177" spans="1:14">
      <c r="A177" s="25" t="s">
        <v>20</v>
      </c>
      <c r="B177" s="32">
        <f>B167</f>
        <v>0.1008</v>
      </c>
      <c r="C177" s="32">
        <f t="shared" ref="C177:M177" si="67">C167</f>
        <v>0.1008</v>
      </c>
      <c r="D177" s="32">
        <f t="shared" si="67"/>
        <v>0.1008</v>
      </c>
      <c r="E177" s="32">
        <f t="shared" si="67"/>
        <v>0.1008</v>
      </c>
      <c r="F177" s="32">
        <f t="shared" si="67"/>
        <v>0.1008</v>
      </c>
      <c r="G177" s="32">
        <f t="shared" si="67"/>
        <v>0.1008</v>
      </c>
      <c r="H177" s="32">
        <f t="shared" si="67"/>
        <v>0.1008</v>
      </c>
      <c r="I177" s="32">
        <f t="shared" si="67"/>
        <v>0.1008</v>
      </c>
      <c r="J177" s="32">
        <f t="shared" si="67"/>
        <v>0.1008</v>
      </c>
      <c r="K177" s="32">
        <f t="shared" si="67"/>
        <v>0.1008</v>
      </c>
      <c r="L177" s="32">
        <f t="shared" si="67"/>
        <v>0.1008</v>
      </c>
      <c r="M177" s="32">
        <f t="shared" si="67"/>
        <v>0.1008</v>
      </c>
      <c r="N177" s="19"/>
    </row>
    <row r="178" spans="1:14">
      <c r="A178" s="25" t="s">
        <v>17</v>
      </c>
      <c r="B178" s="20">
        <f t="shared" ref="B178:M178" si="68">B176*B177</f>
        <v>0</v>
      </c>
      <c r="C178" s="20">
        <f t="shared" si="68"/>
        <v>0</v>
      </c>
      <c r="D178" s="20">
        <f t="shared" si="68"/>
        <v>0</v>
      </c>
      <c r="E178" s="20">
        <f t="shared" si="68"/>
        <v>0</v>
      </c>
      <c r="F178" s="20">
        <f t="shared" si="68"/>
        <v>0</v>
      </c>
      <c r="G178" s="20">
        <f t="shared" si="68"/>
        <v>0</v>
      </c>
      <c r="H178" s="20">
        <f t="shared" si="68"/>
        <v>0</v>
      </c>
      <c r="I178" s="20">
        <f t="shared" si="68"/>
        <v>0</v>
      </c>
      <c r="J178" s="20">
        <f t="shared" si="68"/>
        <v>0</v>
      </c>
      <c r="K178" s="20">
        <f t="shared" si="68"/>
        <v>0</v>
      </c>
      <c r="L178" s="20">
        <f t="shared" si="68"/>
        <v>0</v>
      </c>
      <c r="M178" s="20">
        <f t="shared" si="68"/>
        <v>0</v>
      </c>
      <c r="N178" s="20">
        <f>SUM(B178:M178)</f>
        <v>0</v>
      </c>
    </row>
    <row r="179" spans="1:14" s="19" customFormat="1" ht="10.199999999999999">
      <c r="A179" s="25"/>
    </row>
    <row r="180" spans="1:14">
      <c r="A180" s="393" t="s">
        <v>112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>
      <c r="A181" s="26" t="s">
        <v>16</v>
      </c>
      <c r="B181" s="27">
        <f>'TSAS Scheduling Revenue (1)'!B186</f>
        <v>150000</v>
      </c>
      <c r="C181" s="27">
        <f>'TSAS Scheduling Revenue (1)'!C186</f>
        <v>150000</v>
      </c>
      <c r="D181" s="27">
        <f>'TSAS Scheduling Revenue (1)'!D186</f>
        <v>150000</v>
      </c>
      <c r="E181" s="27">
        <f>'TSAS Scheduling Revenue (1)'!E186</f>
        <v>150000</v>
      </c>
      <c r="F181" s="27">
        <f>'TSAS Scheduling Revenue (1)'!F186</f>
        <v>150000</v>
      </c>
      <c r="G181" s="27">
        <f>'TSAS Scheduling Revenue (1)'!G186</f>
        <v>150000</v>
      </c>
      <c r="H181" s="27">
        <f>'TSAS Scheduling Revenue (1)'!H186</f>
        <v>150000</v>
      </c>
      <c r="I181" s="27">
        <f>'TSAS Scheduling Revenue (1)'!I186</f>
        <v>150000</v>
      </c>
      <c r="J181" s="27">
        <f>'TSAS Scheduling Revenue (1)'!J186</f>
        <v>150000</v>
      </c>
      <c r="K181" s="27">
        <f>'TSAS Scheduling Revenue (1)'!K186</f>
        <v>150000</v>
      </c>
      <c r="L181" s="27">
        <f>'TSAS Scheduling Revenue (1)'!L186</f>
        <v>150000</v>
      </c>
      <c r="M181" s="27">
        <f>'TSAS Scheduling Revenue (1)'!M186</f>
        <v>150000</v>
      </c>
      <c r="N181" s="27">
        <f>SUM(B181:M181)</f>
        <v>1800000</v>
      </c>
    </row>
    <row r="182" spans="1:14">
      <c r="A182" s="25" t="s">
        <v>20</v>
      </c>
      <c r="B182" s="32">
        <f>B177</f>
        <v>0.1008</v>
      </c>
      <c r="C182" s="32">
        <f t="shared" ref="C182:M182" si="69">C177</f>
        <v>0.1008</v>
      </c>
      <c r="D182" s="32">
        <f t="shared" si="69"/>
        <v>0.1008</v>
      </c>
      <c r="E182" s="32">
        <f t="shared" si="69"/>
        <v>0.1008</v>
      </c>
      <c r="F182" s="32">
        <f t="shared" si="69"/>
        <v>0.1008</v>
      </c>
      <c r="G182" s="32">
        <f t="shared" si="69"/>
        <v>0.1008</v>
      </c>
      <c r="H182" s="32">
        <f t="shared" si="69"/>
        <v>0.1008</v>
      </c>
      <c r="I182" s="32">
        <f t="shared" si="69"/>
        <v>0.1008</v>
      </c>
      <c r="J182" s="32">
        <f t="shared" si="69"/>
        <v>0.1008</v>
      </c>
      <c r="K182" s="32">
        <f t="shared" si="69"/>
        <v>0.1008</v>
      </c>
      <c r="L182" s="32">
        <f t="shared" si="69"/>
        <v>0.1008</v>
      </c>
      <c r="M182" s="32">
        <f t="shared" si="69"/>
        <v>0.1008</v>
      </c>
      <c r="N182" s="19"/>
    </row>
    <row r="183" spans="1:14">
      <c r="A183" s="25" t="s">
        <v>17</v>
      </c>
      <c r="B183" s="20">
        <f t="shared" ref="B183:M183" si="70">B181*B182</f>
        <v>15120</v>
      </c>
      <c r="C183" s="20">
        <f t="shared" si="70"/>
        <v>15120</v>
      </c>
      <c r="D183" s="20">
        <f t="shared" si="70"/>
        <v>15120</v>
      </c>
      <c r="E183" s="20">
        <f t="shared" si="70"/>
        <v>15120</v>
      </c>
      <c r="F183" s="20">
        <f t="shared" si="70"/>
        <v>15120</v>
      </c>
      <c r="G183" s="20">
        <f t="shared" si="70"/>
        <v>15120</v>
      </c>
      <c r="H183" s="20">
        <f t="shared" si="70"/>
        <v>15120</v>
      </c>
      <c r="I183" s="20">
        <f t="shared" si="70"/>
        <v>15120</v>
      </c>
      <c r="J183" s="20">
        <f t="shared" si="70"/>
        <v>15120</v>
      </c>
      <c r="K183" s="20">
        <f t="shared" si="70"/>
        <v>15120</v>
      </c>
      <c r="L183" s="20">
        <f t="shared" si="70"/>
        <v>15120</v>
      </c>
      <c r="M183" s="20">
        <f t="shared" si="70"/>
        <v>15120</v>
      </c>
      <c r="N183" s="20">
        <f>SUM(B183:M183)</f>
        <v>181440</v>
      </c>
    </row>
    <row r="184" spans="1:14">
      <c r="A184" s="25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s="19" customFormat="1" ht="10.199999999999999">
      <c r="A185" s="393" t="s">
        <v>44</v>
      </c>
    </row>
    <row r="186" spans="1:14" s="19" customFormat="1" ht="10.199999999999999">
      <c r="A186" s="26" t="s">
        <v>16</v>
      </c>
      <c r="B186" s="27">
        <f>'TSAS Scheduling Revenue (1)'!B191</f>
        <v>0</v>
      </c>
      <c r="C186" s="27">
        <f>'TSAS Scheduling Revenue (1)'!C191</f>
        <v>0</v>
      </c>
      <c r="D186" s="27">
        <f>'TSAS Scheduling Revenue (1)'!D191</f>
        <v>0</v>
      </c>
      <c r="E186" s="27">
        <f>'TSAS Scheduling Revenue (1)'!E191</f>
        <v>0</v>
      </c>
      <c r="F186" s="27">
        <f>'TSAS Scheduling Revenue (1)'!F191</f>
        <v>0</v>
      </c>
      <c r="G186" s="27">
        <f>'TSAS Scheduling Revenue (1)'!G191</f>
        <v>0</v>
      </c>
      <c r="H186" s="27">
        <f>'TSAS Scheduling Revenue (1)'!H191</f>
        <v>0</v>
      </c>
      <c r="I186" s="27">
        <f>'TSAS Scheduling Revenue (1)'!I191</f>
        <v>0</v>
      </c>
      <c r="J186" s="27">
        <f>'TSAS Scheduling Revenue (1)'!J191</f>
        <v>0</v>
      </c>
      <c r="K186" s="27">
        <f>'TSAS Scheduling Revenue (1)'!K191</f>
        <v>0</v>
      </c>
      <c r="L186" s="27">
        <f>'TSAS Scheduling Revenue (1)'!L191</f>
        <v>0</v>
      </c>
      <c r="M186" s="27">
        <f>'TSAS Scheduling Revenue (1)'!M191</f>
        <v>0</v>
      </c>
      <c r="N186" s="27">
        <f>SUM(B186:M186)</f>
        <v>0</v>
      </c>
    </row>
    <row r="187" spans="1:14" s="19" customFormat="1" ht="10.199999999999999">
      <c r="A187" s="25" t="s">
        <v>20</v>
      </c>
      <c r="B187" s="32">
        <f t="shared" ref="B187:M187" si="71">+$B$31</f>
        <v>0.1008</v>
      </c>
      <c r="C187" s="32">
        <f t="shared" si="71"/>
        <v>0.1008</v>
      </c>
      <c r="D187" s="32">
        <f t="shared" si="71"/>
        <v>0.1008</v>
      </c>
      <c r="E187" s="32">
        <f t="shared" si="71"/>
        <v>0.1008</v>
      </c>
      <c r="F187" s="32">
        <f t="shared" si="71"/>
        <v>0.1008</v>
      </c>
      <c r="G187" s="32">
        <f t="shared" si="71"/>
        <v>0.1008</v>
      </c>
      <c r="H187" s="32">
        <f t="shared" si="71"/>
        <v>0.1008</v>
      </c>
      <c r="I187" s="32">
        <f t="shared" si="71"/>
        <v>0.1008</v>
      </c>
      <c r="J187" s="32">
        <f t="shared" si="71"/>
        <v>0.1008</v>
      </c>
      <c r="K187" s="32">
        <f t="shared" si="71"/>
        <v>0.1008</v>
      </c>
      <c r="L187" s="32">
        <f t="shared" si="71"/>
        <v>0.1008</v>
      </c>
      <c r="M187" s="32">
        <f t="shared" si="71"/>
        <v>0.1008</v>
      </c>
    </row>
    <row r="188" spans="1:14" s="19" customFormat="1" ht="10.199999999999999">
      <c r="A188" s="25" t="s">
        <v>17</v>
      </c>
      <c r="B188" s="20">
        <f t="shared" ref="B188:M188" si="72">B186*B187</f>
        <v>0</v>
      </c>
      <c r="C188" s="20">
        <f t="shared" si="72"/>
        <v>0</v>
      </c>
      <c r="D188" s="20">
        <f t="shared" si="72"/>
        <v>0</v>
      </c>
      <c r="E188" s="20">
        <f t="shared" si="72"/>
        <v>0</v>
      </c>
      <c r="F188" s="20">
        <f t="shared" si="72"/>
        <v>0</v>
      </c>
      <c r="G188" s="20">
        <f t="shared" si="72"/>
        <v>0</v>
      </c>
      <c r="H188" s="20">
        <f t="shared" si="72"/>
        <v>0</v>
      </c>
      <c r="I188" s="20">
        <f t="shared" si="72"/>
        <v>0</v>
      </c>
      <c r="J188" s="20">
        <f t="shared" si="72"/>
        <v>0</v>
      </c>
      <c r="K188" s="20">
        <f t="shared" si="72"/>
        <v>0</v>
      </c>
      <c r="L188" s="20">
        <f t="shared" si="72"/>
        <v>0</v>
      </c>
      <c r="M188" s="20">
        <f t="shared" si="72"/>
        <v>0</v>
      </c>
      <c r="N188" s="20">
        <f>SUM(B188:M188)</f>
        <v>0</v>
      </c>
    </row>
    <row r="189" spans="1:14" s="19" customFormat="1" ht="10.199999999999999">
      <c r="A189" s="25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</row>
    <row r="190" spans="1:14" s="19" customFormat="1" ht="10.199999999999999">
      <c r="A190" s="25" t="s">
        <v>165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s="19" customFormat="1" ht="10.199999999999999">
      <c r="A191" s="26" t="s">
        <v>16</v>
      </c>
      <c r="B191" s="20">
        <f>'TSAS Demand Revenues (7)'!B191</f>
        <v>0</v>
      </c>
      <c r="C191" s="20">
        <f>'TSAS Demand Revenues (7)'!C191</f>
        <v>0</v>
      </c>
      <c r="D191" s="20">
        <f>'TSAS Demand Revenues (7)'!D191</f>
        <v>0</v>
      </c>
      <c r="E191" s="20">
        <f>'TSAS Demand Revenues (7)'!E191</f>
        <v>0</v>
      </c>
      <c r="F191" s="20">
        <f>'TSAS Demand Revenues (7)'!F191</f>
        <v>0</v>
      </c>
      <c r="G191" s="20">
        <f>'TSAS Demand Revenues (7)'!G191</f>
        <v>0</v>
      </c>
      <c r="H191" s="20">
        <f>'TSAS Demand Revenues (7)'!H191</f>
        <v>0</v>
      </c>
      <c r="I191" s="20">
        <f>'TSAS Demand Revenues (7)'!I191</f>
        <v>0</v>
      </c>
      <c r="J191" s="20">
        <f>'TSAS Demand Revenues (7)'!J191</f>
        <v>0</v>
      </c>
      <c r="K191" s="20">
        <f>'TSAS Demand Revenues (7)'!K191</f>
        <v>0</v>
      </c>
      <c r="L191" s="20">
        <f>'TSAS Demand Revenues (7)'!L191</f>
        <v>0</v>
      </c>
      <c r="M191" s="20">
        <f>'TSAS Demand Revenues (7)'!M191</f>
        <v>0</v>
      </c>
      <c r="N191" s="27">
        <f>SUM(B191:M191)</f>
        <v>0</v>
      </c>
    </row>
    <row r="192" spans="1:14" s="19" customFormat="1" ht="10.199999999999999">
      <c r="A192" s="25" t="s">
        <v>20</v>
      </c>
      <c r="B192" s="32">
        <f>B187</f>
        <v>0.1008</v>
      </c>
      <c r="C192" s="32">
        <f t="shared" ref="C192:M192" si="73">C187</f>
        <v>0.1008</v>
      </c>
      <c r="D192" s="32">
        <f t="shared" si="73"/>
        <v>0.1008</v>
      </c>
      <c r="E192" s="32">
        <f t="shared" si="73"/>
        <v>0.1008</v>
      </c>
      <c r="F192" s="32">
        <f t="shared" si="73"/>
        <v>0.1008</v>
      </c>
      <c r="G192" s="32">
        <f t="shared" si="73"/>
        <v>0.1008</v>
      </c>
      <c r="H192" s="32">
        <f t="shared" si="73"/>
        <v>0.1008</v>
      </c>
      <c r="I192" s="32">
        <f t="shared" si="73"/>
        <v>0.1008</v>
      </c>
      <c r="J192" s="32">
        <f t="shared" si="73"/>
        <v>0.1008</v>
      </c>
      <c r="K192" s="32">
        <f t="shared" si="73"/>
        <v>0.1008</v>
      </c>
      <c r="L192" s="32">
        <f t="shared" si="73"/>
        <v>0.1008</v>
      </c>
      <c r="M192" s="32">
        <f t="shared" si="73"/>
        <v>0.1008</v>
      </c>
      <c r="N192" s="20"/>
    </row>
    <row r="193" spans="1:14" s="19" customFormat="1" ht="10.199999999999999">
      <c r="A193" s="25" t="s">
        <v>17</v>
      </c>
      <c r="B193" s="20">
        <f t="shared" ref="B193:M193" si="74">B191*B192</f>
        <v>0</v>
      </c>
      <c r="C193" s="20">
        <f t="shared" si="74"/>
        <v>0</v>
      </c>
      <c r="D193" s="20">
        <f t="shared" si="74"/>
        <v>0</v>
      </c>
      <c r="E193" s="20">
        <f t="shared" si="74"/>
        <v>0</v>
      </c>
      <c r="F193" s="20">
        <f t="shared" si="74"/>
        <v>0</v>
      </c>
      <c r="G193" s="20">
        <f t="shared" si="74"/>
        <v>0</v>
      </c>
      <c r="H193" s="20">
        <f t="shared" si="74"/>
        <v>0</v>
      </c>
      <c r="I193" s="20">
        <f t="shared" si="74"/>
        <v>0</v>
      </c>
      <c r="J193" s="20">
        <f t="shared" si="74"/>
        <v>0</v>
      </c>
      <c r="K193" s="20">
        <f t="shared" si="74"/>
        <v>0</v>
      </c>
      <c r="L193" s="20">
        <f t="shared" si="74"/>
        <v>0</v>
      </c>
      <c r="M193" s="20">
        <f t="shared" si="74"/>
        <v>0</v>
      </c>
      <c r="N193" s="20">
        <f>SUM(B193:M193)</f>
        <v>0</v>
      </c>
    </row>
    <row r="194" spans="1:14" s="19" customFormat="1" ht="10.199999999999999">
      <c r="A194" s="25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</row>
    <row r="195" spans="1:14">
      <c r="A195" s="393" t="s">
        <v>224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>
      <c r="A196" s="26" t="s">
        <v>16</v>
      </c>
      <c r="B196" s="27">
        <f>'TSAS Demand Revenues (7)'!B196</f>
        <v>160000</v>
      </c>
      <c r="C196" s="27">
        <f>'TSAS Demand Revenues (7)'!C196</f>
        <v>160000</v>
      </c>
      <c r="D196" s="27">
        <f>'TSAS Demand Revenues (7)'!D196</f>
        <v>0</v>
      </c>
      <c r="E196" s="27">
        <f>'TSAS Demand Revenues (7)'!E196</f>
        <v>0</v>
      </c>
      <c r="F196" s="27">
        <f>'TSAS Demand Revenues (7)'!F196</f>
        <v>0</v>
      </c>
      <c r="G196" s="27">
        <f>'TSAS Demand Revenues (7)'!G196</f>
        <v>0</v>
      </c>
      <c r="H196" s="27">
        <f>'TSAS Demand Revenues (7)'!H196</f>
        <v>0</v>
      </c>
      <c r="I196" s="27">
        <f>'TSAS Demand Revenues (7)'!I196</f>
        <v>0</v>
      </c>
      <c r="J196" s="27">
        <f>'TSAS Demand Revenues (7)'!J196</f>
        <v>0</v>
      </c>
      <c r="K196" s="27">
        <f>'TSAS Demand Revenues (7)'!K196</f>
        <v>0</v>
      </c>
      <c r="L196" s="27">
        <f>'TSAS Demand Revenues (7)'!L196</f>
        <v>0</v>
      </c>
      <c r="M196" s="27">
        <f>'TSAS Demand Revenues (7)'!M196</f>
        <v>0</v>
      </c>
      <c r="N196" s="27">
        <f>SUM(B196:M196)</f>
        <v>320000</v>
      </c>
    </row>
    <row r="197" spans="1:14">
      <c r="A197" s="25" t="s">
        <v>20</v>
      </c>
      <c r="B197" s="265">
        <f>B192</f>
        <v>0.1008</v>
      </c>
      <c r="C197" s="265">
        <f t="shared" ref="C197:M197" si="75">C192</f>
        <v>0.1008</v>
      </c>
      <c r="D197" s="265">
        <f t="shared" si="75"/>
        <v>0.1008</v>
      </c>
      <c r="E197" s="265">
        <f t="shared" si="75"/>
        <v>0.1008</v>
      </c>
      <c r="F197" s="265">
        <f t="shared" si="75"/>
        <v>0.1008</v>
      </c>
      <c r="G197" s="265">
        <f t="shared" si="75"/>
        <v>0.1008</v>
      </c>
      <c r="H197" s="265">
        <f t="shared" si="75"/>
        <v>0.1008</v>
      </c>
      <c r="I197" s="265">
        <f t="shared" si="75"/>
        <v>0.1008</v>
      </c>
      <c r="J197" s="265">
        <f t="shared" si="75"/>
        <v>0.1008</v>
      </c>
      <c r="K197" s="265">
        <f t="shared" si="75"/>
        <v>0.1008</v>
      </c>
      <c r="L197" s="265">
        <f t="shared" si="75"/>
        <v>0.1008</v>
      </c>
      <c r="M197" s="265">
        <f t="shared" si="75"/>
        <v>0.1008</v>
      </c>
      <c r="N197" s="19"/>
    </row>
    <row r="198" spans="1:14">
      <c r="A198" s="25" t="s">
        <v>17</v>
      </c>
      <c r="B198" s="20">
        <f t="shared" ref="B198:M198" si="76">B196*B197</f>
        <v>16128</v>
      </c>
      <c r="C198" s="20">
        <f t="shared" si="76"/>
        <v>16128</v>
      </c>
      <c r="D198" s="20">
        <f t="shared" si="76"/>
        <v>0</v>
      </c>
      <c r="E198" s="20">
        <f t="shared" si="76"/>
        <v>0</v>
      </c>
      <c r="F198" s="20">
        <f t="shared" si="76"/>
        <v>0</v>
      </c>
      <c r="G198" s="20">
        <f t="shared" si="76"/>
        <v>0</v>
      </c>
      <c r="H198" s="20">
        <f t="shared" si="76"/>
        <v>0</v>
      </c>
      <c r="I198" s="20">
        <f t="shared" si="76"/>
        <v>0</v>
      </c>
      <c r="J198" s="20">
        <f t="shared" si="76"/>
        <v>0</v>
      </c>
      <c r="K198" s="20">
        <f t="shared" si="76"/>
        <v>0</v>
      </c>
      <c r="L198" s="20">
        <f t="shared" si="76"/>
        <v>0</v>
      </c>
      <c r="M198" s="20">
        <f t="shared" si="76"/>
        <v>0</v>
      </c>
      <c r="N198" s="20">
        <f>SUM(B198:M198)</f>
        <v>32256</v>
      </c>
    </row>
    <row r="199" spans="1:14">
      <c r="A199" s="25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s="19" customFormat="1" ht="10.199999999999999">
      <c r="A200" s="328"/>
      <c r="B200" s="20"/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7">
        <f>SUM(B200:M200)</f>
        <v>0</v>
      </c>
    </row>
    <row r="201" spans="1:14" s="19" customFormat="1" ht="10.199999999999999">
      <c r="A201" s="25" t="s">
        <v>20</v>
      </c>
      <c r="B201" s="265">
        <f>B197</f>
        <v>0.1008</v>
      </c>
      <c r="C201" s="265">
        <f t="shared" ref="C201:M201" si="77">C197</f>
        <v>0.1008</v>
      </c>
      <c r="D201" s="265">
        <f t="shared" si="77"/>
        <v>0.1008</v>
      </c>
      <c r="E201" s="265">
        <f t="shared" si="77"/>
        <v>0.1008</v>
      </c>
      <c r="F201" s="265">
        <f t="shared" si="77"/>
        <v>0.1008</v>
      </c>
      <c r="G201" s="265">
        <f t="shared" si="77"/>
        <v>0.1008</v>
      </c>
      <c r="H201" s="265">
        <f t="shared" si="77"/>
        <v>0.1008</v>
      </c>
      <c r="I201" s="265">
        <f t="shared" si="77"/>
        <v>0.1008</v>
      </c>
      <c r="J201" s="265">
        <f t="shared" si="77"/>
        <v>0.1008</v>
      </c>
      <c r="K201" s="265">
        <f t="shared" si="77"/>
        <v>0.1008</v>
      </c>
      <c r="L201" s="265">
        <f t="shared" si="77"/>
        <v>0.1008</v>
      </c>
      <c r="M201" s="265">
        <f t="shared" si="77"/>
        <v>0.1008</v>
      </c>
    </row>
    <row r="202" spans="1:14" s="19" customFormat="1" ht="10.199999999999999">
      <c r="A202" s="25" t="s">
        <v>17</v>
      </c>
      <c r="B202" s="20">
        <f t="shared" ref="B202:M202" si="78">B200*B201</f>
        <v>0</v>
      </c>
      <c r="C202" s="20">
        <f t="shared" si="78"/>
        <v>0</v>
      </c>
      <c r="D202" s="20">
        <f t="shared" si="78"/>
        <v>0</v>
      </c>
      <c r="E202" s="20">
        <f t="shared" si="78"/>
        <v>0</v>
      </c>
      <c r="F202" s="20">
        <f t="shared" si="78"/>
        <v>0</v>
      </c>
      <c r="G202" s="20">
        <f t="shared" si="78"/>
        <v>0</v>
      </c>
      <c r="H202" s="20">
        <f t="shared" si="78"/>
        <v>0</v>
      </c>
      <c r="I202" s="20">
        <f t="shared" si="78"/>
        <v>0</v>
      </c>
      <c r="J202" s="20">
        <f t="shared" si="78"/>
        <v>0</v>
      </c>
      <c r="K202" s="20">
        <f t="shared" si="78"/>
        <v>0</v>
      </c>
      <c r="L202" s="20">
        <f t="shared" si="78"/>
        <v>0</v>
      </c>
      <c r="M202" s="20">
        <f t="shared" si="78"/>
        <v>0</v>
      </c>
      <c r="N202" s="20">
        <f>SUM(B202:M202)</f>
        <v>0</v>
      </c>
    </row>
    <row r="203" spans="1:14">
      <c r="A203" s="25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>
      <c r="A204" s="25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s="19" customFormat="1" ht="10.199999999999999">
      <c r="A205" s="143" t="s">
        <v>25</v>
      </c>
      <c r="B205" s="142">
        <f>B143+B148+B153+B158+B163+B168+B188+B173+B193+B178+B183+B198+B202</f>
        <v>45030.720000000001</v>
      </c>
      <c r="C205" s="142">
        <f t="shared" ref="C205:M205" si="79">C143+C148+C153+C158+C163+C168+C188+C173+C193+C178+C183+C198+C202</f>
        <v>45030.720000000001</v>
      </c>
      <c r="D205" s="142">
        <f t="shared" si="79"/>
        <v>28902.720000000001</v>
      </c>
      <c r="E205" s="142">
        <f t="shared" si="79"/>
        <v>28902.720000000001</v>
      </c>
      <c r="F205" s="142">
        <f t="shared" si="79"/>
        <v>28902.720000000001</v>
      </c>
      <c r="G205" s="142">
        <f t="shared" si="79"/>
        <v>28902.720000000001</v>
      </c>
      <c r="H205" s="142">
        <f t="shared" si="79"/>
        <v>28902.720000000001</v>
      </c>
      <c r="I205" s="142">
        <f t="shared" si="79"/>
        <v>28902.720000000001</v>
      </c>
      <c r="J205" s="142">
        <f t="shared" si="79"/>
        <v>28902.720000000001</v>
      </c>
      <c r="K205" s="142">
        <f t="shared" si="79"/>
        <v>28902.720000000001</v>
      </c>
      <c r="L205" s="142">
        <f t="shared" si="79"/>
        <v>28801.919999999998</v>
      </c>
      <c r="M205" s="142">
        <f t="shared" si="79"/>
        <v>28801.919999999998</v>
      </c>
      <c r="N205" s="142">
        <f>SUM(B205:M205)</f>
        <v>378887.03999999992</v>
      </c>
    </row>
    <row r="206" spans="1:14" s="19" customFormat="1" ht="10.199999999999999">
      <c r="A206" s="143" t="str">
        <f>A136</f>
        <v>Total Monthly Demand</v>
      </c>
      <c r="B206" s="142">
        <f>B141+B146+B151+B156+B161+B186+B166+B171+B191+B176+B181+B196+B200</f>
        <v>458056</v>
      </c>
      <c r="C206" s="142">
        <f t="shared" ref="C206:M206" si="80">C141+C146+C151+C156+C161+C186+C166+C171+C191+C176+C181+C196+C200</f>
        <v>458056</v>
      </c>
      <c r="D206" s="142">
        <f t="shared" si="80"/>
        <v>298056</v>
      </c>
      <c r="E206" s="142">
        <f t="shared" si="80"/>
        <v>298056</v>
      </c>
      <c r="F206" s="142">
        <f t="shared" si="80"/>
        <v>298056</v>
      </c>
      <c r="G206" s="142">
        <f t="shared" si="80"/>
        <v>298056</v>
      </c>
      <c r="H206" s="142">
        <f t="shared" si="80"/>
        <v>298056</v>
      </c>
      <c r="I206" s="142">
        <f t="shared" si="80"/>
        <v>298056</v>
      </c>
      <c r="J206" s="142">
        <f t="shared" si="80"/>
        <v>298056</v>
      </c>
      <c r="K206" s="142">
        <f t="shared" si="80"/>
        <v>298056</v>
      </c>
      <c r="L206" s="142">
        <f t="shared" si="80"/>
        <v>297056</v>
      </c>
      <c r="M206" s="142">
        <f t="shared" si="80"/>
        <v>297056</v>
      </c>
      <c r="N206" s="142">
        <f>SUM(B206:M206)</f>
        <v>3894672</v>
      </c>
    </row>
    <row r="207" spans="1:14" s="19" customFormat="1" ht="10.199999999999999">
      <c r="A207" s="24">
        <f>+A137+1</f>
        <v>2017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s="19" customFormat="1" ht="13.2">
      <c r="A208" s="22" t="s">
        <v>19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1:15" s="19" customFormat="1" ht="10.199999999999999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</row>
    <row r="210" spans="1:15" s="19" customFormat="1" ht="10.199999999999999">
      <c r="A210" s="393" t="s">
        <v>344</v>
      </c>
    </row>
    <row r="211" spans="1:15" s="28" customFormat="1">
      <c r="A211" s="26" t="s">
        <v>16</v>
      </c>
      <c r="B211" s="27">
        <f>'TSAS Scheduling Revenue (1)'!B212</f>
        <v>5000</v>
      </c>
      <c r="C211" s="27">
        <f>'TSAS Scheduling Revenue (1)'!C212</f>
        <v>5000</v>
      </c>
      <c r="D211" s="27">
        <f>'TSAS Scheduling Revenue (1)'!D212</f>
        <v>5000</v>
      </c>
      <c r="E211" s="27">
        <f>'TSAS Scheduling Revenue (1)'!E212</f>
        <v>5000</v>
      </c>
      <c r="F211" s="27">
        <f>'TSAS Scheduling Revenue (1)'!F212</f>
        <v>5000</v>
      </c>
      <c r="G211" s="27">
        <f>'TSAS Scheduling Revenue (1)'!G212</f>
        <v>5000</v>
      </c>
      <c r="H211" s="27">
        <f>'TSAS Scheduling Revenue (1)'!H212</f>
        <v>5000</v>
      </c>
      <c r="I211" s="27">
        <f>'TSAS Scheduling Revenue (1)'!I212</f>
        <v>5000</v>
      </c>
      <c r="J211" s="27">
        <f>'TSAS Scheduling Revenue (1)'!J212</f>
        <v>5000</v>
      </c>
      <c r="K211" s="27">
        <f>'TSAS Scheduling Revenue (1)'!K212</f>
        <v>5000</v>
      </c>
      <c r="L211" s="27">
        <f>'TSAS Scheduling Revenue (1)'!L212</f>
        <v>5000</v>
      </c>
      <c r="M211" s="27">
        <f>'TSAS Scheduling Revenue (1)'!M212</f>
        <v>5000</v>
      </c>
      <c r="N211" s="27">
        <f>SUM(B211:M211)</f>
        <v>60000</v>
      </c>
      <c r="O211" s="21"/>
    </row>
    <row r="212" spans="1:15" s="19" customFormat="1">
      <c r="A212" s="25" t="s">
        <v>20</v>
      </c>
      <c r="B212" s="31">
        <f>'charges (1 &amp; 2)'!F19</f>
        <v>0.1008</v>
      </c>
      <c r="C212" s="31">
        <f t="shared" ref="C212:M212" si="81">+$B$11</f>
        <v>0.1008</v>
      </c>
      <c r="D212" s="31">
        <f t="shared" si="81"/>
        <v>0.1008</v>
      </c>
      <c r="E212" s="31">
        <f t="shared" si="81"/>
        <v>0.1008</v>
      </c>
      <c r="F212" s="31">
        <f t="shared" si="81"/>
        <v>0.1008</v>
      </c>
      <c r="G212" s="31">
        <f t="shared" si="81"/>
        <v>0.1008</v>
      </c>
      <c r="H212" s="31">
        <f t="shared" si="81"/>
        <v>0.1008</v>
      </c>
      <c r="I212" s="31">
        <f t="shared" si="81"/>
        <v>0.1008</v>
      </c>
      <c r="J212" s="31">
        <f t="shared" si="81"/>
        <v>0.1008</v>
      </c>
      <c r="K212" s="31">
        <f t="shared" si="81"/>
        <v>0.1008</v>
      </c>
      <c r="L212" s="31">
        <f t="shared" si="81"/>
        <v>0.1008</v>
      </c>
      <c r="M212" s="31">
        <f t="shared" si="81"/>
        <v>0.1008</v>
      </c>
      <c r="O212" s="21"/>
    </row>
    <row r="213" spans="1:15" s="19" customFormat="1">
      <c r="A213" s="25" t="s">
        <v>17</v>
      </c>
      <c r="B213" s="20">
        <f t="shared" ref="B213:M213" si="82">B211*B212</f>
        <v>504</v>
      </c>
      <c r="C213" s="20">
        <f t="shared" si="82"/>
        <v>504</v>
      </c>
      <c r="D213" s="20">
        <f t="shared" si="82"/>
        <v>504</v>
      </c>
      <c r="E213" s="20">
        <f t="shared" si="82"/>
        <v>504</v>
      </c>
      <c r="F213" s="20">
        <f t="shared" si="82"/>
        <v>504</v>
      </c>
      <c r="G213" s="20">
        <f t="shared" si="82"/>
        <v>504</v>
      </c>
      <c r="H213" s="20">
        <f t="shared" si="82"/>
        <v>504</v>
      </c>
      <c r="I213" s="20">
        <f t="shared" si="82"/>
        <v>504</v>
      </c>
      <c r="J213" s="20">
        <f t="shared" si="82"/>
        <v>504</v>
      </c>
      <c r="K213" s="20">
        <f t="shared" si="82"/>
        <v>504</v>
      </c>
      <c r="L213" s="20">
        <f t="shared" si="82"/>
        <v>504</v>
      </c>
      <c r="M213" s="20">
        <f t="shared" si="82"/>
        <v>504</v>
      </c>
      <c r="N213" s="20">
        <f>SUM(B213:M213)</f>
        <v>6048</v>
      </c>
      <c r="O213" s="21"/>
    </row>
    <row r="214" spans="1:15" s="19" customFormat="1" ht="6" customHeight="1">
      <c r="O214" s="21"/>
    </row>
    <row r="215" spans="1:15" s="19" customFormat="1">
      <c r="A215" s="25" t="s">
        <v>21</v>
      </c>
      <c r="O215" s="21"/>
    </row>
    <row r="216" spans="1:15" s="28" customFormat="1">
      <c r="A216" s="26" t="s">
        <v>16</v>
      </c>
      <c r="B216" s="27">
        <f>'TSAS Scheduling Revenue (1)'!B217</f>
        <v>0</v>
      </c>
      <c r="C216" s="27">
        <f>'TSAS Scheduling Revenue (1)'!C217</f>
        <v>0</v>
      </c>
      <c r="D216" s="27">
        <f>'TSAS Scheduling Revenue (1)'!D217</f>
        <v>0</v>
      </c>
      <c r="E216" s="27">
        <f>'TSAS Scheduling Revenue (1)'!E217</f>
        <v>0</v>
      </c>
      <c r="F216" s="27">
        <f>'TSAS Scheduling Revenue (1)'!F217</f>
        <v>0</v>
      </c>
      <c r="G216" s="27">
        <f>'TSAS Scheduling Revenue (1)'!G217</f>
        <v>0</v>
      </c>
      <c r="H216" s="27">
        <f>'TSAS Scheduling Revenue (1)'!H217</f>
        <v>0</v>
      </c>
      <c r="I216" s="27">
        <f>'TSAS Scheduling Revenue (1)'!I217</f>
        <v>0</v>
      </c>
      <c r="J216" s="27">
        <f>'TSAS Scheduling Revenue (1)'!J217</f>
        <v>0</v>
      </c>
      <c r="K216" s="27">
        <f>'TSAS Scheduling Revenue (1)'!K217</f>
        <v>0</v>
      </c>
      <c r="L216" s="27">
        <f>'TSAS Scheduling Revenue (1)'!L217</f>
        <v>0</v>
      </c>
      <c r="M216" s="27">
        <f>'TSAS Scheduling Revenue (1)'!M217</f>
        <v>0</v>
      </c>
      <c r="N216" s="27">
        <f>SUM(B216:M216)</f>
        <v>0</v>
      </c>
      <c r="O216" s="21"/>
    </row>
    <row r="217" spans="1:15" s="19" customFormat="1">
      <c r="A217" s="25" t="s">
        <v>20</v>
      </c>
      <c r="B217" s="31">
        <f>'charges (1 &amp; 2)'!F10</f>
        <v>0.1008</v>
      </c>
      <c r="C217" s="31">
        <f t="shared" ref="C217:M217" si="83">+$B$16</f>
        <v>0.1008</v>
      </c>
      <c r="D217" s="31">
        <f t="shared" si="83"/>
        <v>0.1008</v>
      </c>
      <c r="E217" s="31">
        <f t="shared" si="83"/>
        <v>0.1008</v>
      </c>
      <c r="F217" s="31">
        <f t="shared" si="83"/>
        <v>0.1008</v>
      </c>
      <c r="G217" s="31">
        <f t="shared" si="83"/>
        <v>0.1008</v>
      </c>
      <c r="H217" s="31">
        <f t="shared" si="83"/>
        <v>0.1008</v>
      </c>
      <c r="I217" s="31">
        <f t="shared" si="83"/>
        <v>0.1008</v>
      </c>
      <c r="J217" s="31">
        <f t="shared" si="83"/>
        <v>0.1008</v>
      </c>
      <c r="K217" s="31">
        <f t="shared" si="83"/>
        <v>0.1008</v>
      </c>
      <c r="L217" s="31">
        <f t="shared" si="83"/>
        <v>0.1008</v>
      </c>
      <c r="M217" s="31">
        <f t="shared" si="83"/>
        <v>0.1008</v>
      </c>
      <c r="O217" s="21"/>
    </row>
    <row r="218" spans="1:15" s="19" customFormat="1">
      <c r="A218" s="25" t="s">
        <v>17</v>
      </c>
      <c r="B218" s="20">
        <f t="shared" ref="B218:M218" si="84">B216*B217</f>
        <v>0</v>
      </c>
      <c r="C218" s="20">
        <f t="shared" si="84"/>
        <v>0</v>
      </c>
      <c r="D218" s="20">
        <f t="shared" si="84"/>
        <v>0</v>
      </c>
      <c r="E218" s="20">
        <f t="shared" si="84"/>
        <v>0</v>
      </c>
      <c r="F218" s="20">
        <f t="shared" si="84"/>
        <v>0</v>
      </c>
      <c r="G218" s="20">
        <f t="shared" si="84"/>
        <v>0</v>
      </c>
      <c r="H218" s="20">
        <f t="shared" si="84"/>
        <v>0</v>
      </c>
      <c r="I218" s="20">
        <f t="shared" si="84"/>
        <v>0</v>
      </c>
      <c r="J218" s="20">
        <f t="shared" si="84"/>
        <v>0</v>
      </c>
      <c r="K218" s="20">
        <f t="shared" si="84"/>
        <v>0</v>
      </c>
      <c r="L218" s="20">
        <f t="shared" si="84"/>
        <v>0</v>
      </c>
      <c r="M218" s="20">
        <f t="shared" si="84"/>
        <v>0</v>
      </c>
      <c r="N218" s="20">
        <f>SUM(B218:M218)</f>
        <v>0</v>
      </c>
      <c r="O218" s="21"/>
    </row>
    <row r="219" spans="1:15" s="19" customFormat="1" ht="6" customHeight="1">
      <c r="B219" s="20"/>
      <c r="O219" s="21"/>
    </row>
    <row r="220" spans="1:15" s="19" customFormat="1">
      <c r="A220" s="25" t="s">
        <v>22</v>
      </c>
      <c r="O220" s="21"/>
    </row>
    <row r="221" spans="1:15" s="28" customFormat="1">
      <c r="A221" s="26" t="s">
        <v>16</v>
      </c>
      <c r="B221" s="27">
        <f>'TSAS Scheduling Revenue (1)'!B222</f>
        <v>0</v>
      </c>
      <c r="C221" s="27">
        <f>'TSAS Scheduling Revenue (1)'!C222</f>
        <v>0</v>
      </c>
      <c r="D221" s="27">
        <f>'TSAS Scheduling Revenue (1)'!D222</f>
        <v>0</v>
      </c>
      <c r="E221" s="27">
        <f>'TSAS Scheduling Revenue (1)'!E222</f>
        <v>0</v>
      </c>
      <c r="F221" s="27">
        <f>'TSAS Scheduling Revenue (1)'!F222</f>
        <v>0</v>
      </c>
      <c r="G221" s="27">
        <f>'TSAS Scheduling Revenue (1)'!G222</f>
        <v>0</v>
      </c>
      <c r="H221" s="27">
        <f>'TSAS Scheduling Revenue (1)'!H222</f>
        <v>0</v>
      </c>
      <c r="I221" s="27">
        <f>'TSAS Scheduling Revenue (1)'!I222</f>
        <v>0</v>
      </c>
      <c r="J221" s="27">
        <f>'TSAS Scheduling Revenue (1)'!J222</f>
        <v>0</v>
      </c>
      <c r="K221" s="27">
        <f>'TSAS Scheduling Revenue (1)'!K222</f>
        <v>0</v>
      </c>
      <c r="L221" s="27">
        <f>'TSAS Scheduling Revenue (1)'!L222</f>
        <v>0</v>
      </c>
      <c r="M221" s="27">
        <f>'TSAS Scheduling Revenue (1)'!M222</f>
        <v>0</v>
      </c>
      <c r="N221" s="27">
        <f>SUM(B221:M221)</f>
        <v>0</v>
      </c>
      <c r="O221" s="21"/>
    </row>
    <row r="222" spans="1:15" s="19" customFormat="1">
      <c r="A222" s="25" t="s">
        <v>20</v>
      </c>
      <c r="B222" s="32">
        <f>'charges (1 &amp; 2)'!F22</f>
        <v>0.1008</v>
      </c>
      <c r="C222" s="32">
        <f t="shared" ref="C222:M222" si="85">+$B$21</f>
        <v>0.1008</v>
      </c>
      <c r="D222" s="32">
        <f t="shared" si="85"/>
        <v>0.1008</v>
      </c>
      <c r="E222" s="32">
        <f t="shared" si="85"/>
        <v>0.1008</v>
      </c>
      <c r="F222" s="32">
        <f t="shared" si="85"/>
        <v>0.1008</v>
      </c>
      <c r="G222" s="32">
        <f t="shared" si="85"/>
        <v>0.1008</v>
      </c>
      <c r="H222" s="32">
        <f t="shared" si="85"/>
        <v>0.1008</v>
      </c>
      <c r="I222" s="32">
        <f t="shared" si="85"/>
        <v>0.1008</v>
      </c>
      <c r="J222" s="32">
        <f t="shared" si="85"/>
        <v>0.1008</v>
      </c>
      <c r="K222" s="32">
        <f t="shared" si="85"/>
        <v>0.1008</v>
      </c>
      <c r="L222" s="32">
        <f t="shared" si="85"/>
        <v>0.1008</v>
      </c>
      <c r="M222" s="32">
        <f t="shared" si="85"/>
        <v>0.1008</v>
      </c>
      <c r="O222" s="21"/>
    </row>
    <row r="223" spans="1:15" s="19" customFormat="1">
      <c r="A223" s="25" t="s">
        <v>17</v>
      </c>
      <c r="B223" s="20">
        <f t="shared" ref="B223:M223" si="86">B221*B222</f>
        <v>0</v>
      </c>
      <c r="C223" s="20">
        <f t="shared" si="86"/>
        <v>0</v>
      </c>
      <c r="D223" s="20">
        <f t="shared" si="86"/>
        <v>0</v>
      </c>
      <c r="E223" s="20">
        <f t="shared" si="86"/>
        <v>0</v>
      </c>
      <c r="F223" s="20">
        <f t="shared" si="86"/>
        <v>0</v>
      </c>
      <c r="G223" s="20">
        <f t="shared" si="86"/>
        <v>0</v>
      </c>
      <c r="H223" s="20">
        <f t="shared" si="86"/>
        <v>0</v>
      </c>
      <c r="I223" s="20">
        <f t="shared" si="86"/>
        <v>0</v>
      </c>
      <c r="J223" s="20">
        <f t="shared" si="86"/>
        <v>0</v>
      </c>
      <c r="K223" s="20">
        <f t="shared" si="86"/>
        <v>0</v>
      </c>
      <c r="L223" s="20">
        <f t="shared" si="86"/>
        <v>0</v>
      </c>
      <c r="M223" s="20">
        <f t="shared" si="86"/>
        <v>0</v>
      </c>
      <c r="N223" s="20">
        <f>SUM(B223:M223)</f>
        <v>0</v>
      </c>
      <c r="O223" s="21"/>
    </row>
    <row r="224" spans="1:15" s="19" customFormat="1" ht="6.75" customHeight="1">
      <c r="B224" s="20"/>
      <c r="O224" s="21"/>
    </row>
    <row r="225" spans="1:15" s="19" customFormat="1" ht="10.199999999999999">
      <c r="A225" s="393" t="s">
        <v>23</v>
      </c>
      <c r="O225" s="28"/>
    </row>
    <row r="226" spans="1:15" s="28" customFormat="1" ht="10.199999999999999">
      <c r="A226" s="26" t="s">
        <v>16</v>
      </c>
      <c r="B226" s="27">
        <f>'TSAS Scheduling Revenue (1)'!B227</f>
        <v>37056</v>
      </c>
      <c r="C226" s="27">
        <f>'TSAS Scheduling Revenue (1)'!C227</f>
        <v>37056</v>
      </c>
      <c r="D226" s="27">
        <f>'TSAS Scheduling Revenue (1)'!D227</f>
        <v>37056</v>
      </c>
      <c r="E226" s="27">
        <f>'TSAS Scheduling Revenue (1)'!E227</f>
        <v>37056</v>
      </c>
      <c r="F226" s="27">
        <f>'TSAS Scheduling Revenue (1)'!F227</f>
        <v>37056</v>
      </c>
      <c r="G226" s="27">
        <f>'TSAS Scheduling Revenue (1)'!G227</f>
        <v>37056</v>
      </c>
      <c r="H226" s="27">
        <f>'TSAS Scheduling Revenue (1)'!H227</f>
        <v>37056</v>
      </c>
      <c r="I226" s="27">
        <f>'TSAS Scheduling Revenue (1)'!I227</f>
        <v>37056</v>
      </c>
      <c r="J226" s="27">
        <f>'TSAS Scheduling Revenue (1)'!J227</f>
        <v>37056</v>
      </c>
      <c r="K226" s="27">
        <f>'TSAS Scheduling Revenue (1)'!K227</f>
        <v>37056</v>
      </c>
      <c r="L226" s="27">
        <f>'TSAS Scheduling Revenue (1)'!L227</f>
        <v>37056</v>
      </c>
      <c r="M226" s="27">
        <f>'TSAS Scheduling Revenue (1)'!M227</f>
        <v>37056</v>
      </c>
      <c r="N226" s="27">
        <f>SUM(B226:M226)</f>
        <v>444672</v>
      </c>
    </row>
    <row r="227" spans="1:15" s="19" customFormat="1" ht="10.199999999999999">
      <c r="A227" s="25" t="s">
        <v>20</v>
      </c>
      <c r="B227" s="32">
        <f>'charges (1 &amp; 2)'!F13</f>
        <v>7.0000000000000007E-2</v>
      </c>
      <c r="C227" s="32">
        <f t="shared" ref="C227:M227" si="87">+$B$26</f>
        <v>7.0000000000000007E-2</v>
      </c>
      <c r="D227" s="32">
        <f t="shared" si="87"/>
        <v>7.0000000000000007E-2</v>
      </c>
      <c r="E227" s="32">
        <f t="shared" si="87"/>
        <v>7.0000000000000007E-2</v>
      </c>
      <c r="F227" s="32">
        <f t="shared" si="87"/>
        <v>7.0000000000000007E-2</v>
      </c>
      <c r="G227" s="32">
        <f t="shared" si="87"/>
        <v>7.0000000000000007E-2</v>
      </c>
      <c r="H227" s="32">
        <f t="shared" si="87"/>
        <v>7.0000000000000007E-2</v>
      </c>
      <c r="I227" s="32">
        <f t="shared" si="87"/>
        <v>7.0000000000000007E-2</v>
      </c>
      <c r="J227" s="32">
        <f t="shared" si="87"/>
        <v>7.0000000000000007E-2</v>
      </c>
      <c r="K227" s="32">
        <f t="shared" si="87"/>
        <v>7.0000000000000007E-2</v>
      </c>
      <c r="L227" s="32">
        <f t="shared" si="87"/>
        <v>7.0000000000000007E-2</v>
      </c>
      <c r="M227" s="32">
        <f t="shared" si="87"/>
        <v>7.0000000000000007E-2</v>
      </c>
    </row>
    <row r="228" spans="1:15" s="19" customFormat="1" ht="10.199999999999999">
      <c r="A228" s="25" t="s">
        <v>17</v>
      </c>
      <c r="B228" s="20">
        <f t="shared" ref="B228:M228" si="88">B226*B227</f>
        <v>2593.92</v>
      </c>
      <c r="C228" s="20">
        <f t="shared" si="88"/>
        <v>2593.92</v>
      </c>
      <c r="D228" s="20">
        <f t="shared" si="88"/>
        <v>2593.92</v>
      </c>
      <c r="E228" s="20">
        <f t="shared" si="88"/>
        <v>2593.92</v>
      </c>
      <c r="F228" s="20">
        <f t="shared" si="88"/>
        <v>2593.92</v>
      </c>
      <c r="G228" s="20">
        <f t="shared" si="88"/>
        <v>2593.92</v>
      </c>
      <c r="H228" s="20">
        <f t="shared" si="88"/>
        <v>2593.92</v>
      </c>
      <c r="I228" s="20">
        <f t="shared" si="88"/>
        <v>2593.92</v>
      </c>
      <c r="J228" s="20">
        <f t="shared" si="88"/>
        <v>2593.92</v>
      </c>
      <c r="K228" s="20">
        <f t="shared" si="88"/>
        <v>2593.92</v>
      </c>
      <c r="L228" s="20">
        <f t="shared" si="88"/>
        <v>2593.92</v>
      </c>
      <c r="M228" s="20">
        <f t="shared" si="88"/>
        <v>2593.92</v>
      </c>
      <c r="N228" s="20">
        <f>SUM(B228:M228)</f>
        <v>31127.039999999994</v>
      </c>
    </row>
    <row r="229" spans="1:15" s="19" customFormat="1" ht="6.75" customHeight="1">
      <c r="B229" s="20"/>
    </row>
    <row r="230" spans="1:15" s="19" customFormat="1" ht="10.199999999999999">
      <c r="A230" s="393" t="s">
        <v>24</v>
      </c>
    </row>
    <row r="231" spans="1:15" s="28" customFormat="1" ht="10.199999999999999">
      <c r="A231" s="26" t="s">
        <v>16</v>
      </c>
      <c r="B231" s="27">
        <f>'TSAS Scheduling Revenue (1)'!B232</f>
        <v>62000</v>
      </c>
      <c r="C231" s="27">
        <f>'TSAS Scheduling Revenue (1)'!C232</f>
        <v>62000</v>
      </c>
      <c r="D231" s="27">
        <f>'TSAS Scheduling Revenue (1)'!D232</f>
        <v>62000</v>
      </c>
      <c r="E231" s="27">
        <f>'TSAS Scheduling Revenue (1)'!E232</f>
        <v>62000</v>
      </c>
      <c r="F231" s="27">
        <f>'TSAS Scheduling Revenue (1)'!F232</f>
        <v>62000</v>
      </c>
      <c r="G231" s="27">
        <f>'TSAS Scheduling Revenue (1)'!G232</f>
        <v>62000</v>
      </c>
      <c r="H231" s="27">
        <f>'TSAS Scheduling Revenue (1)'!H232</f>
        <v>62000</v>
      </c>
      <c r="I231" s="27">
        <f>'TSAS Scheduling Revenue (1)'!I232</f>
        <v>62000</v>
      </c>
      <c r="J231" s="27">
        <f>'TSAS Scheduling Revenue (1)'!J232</f>
        <v>62000</v>
      </c>
      <c r="K231" s="27">
        <f>'TSAS Scheduling Revenue (1)'!K232</f>
        <v>62000</v>
      </c>
      <c r="L231" s="27">
        <f>'TSAS Scheduling Revenue (1)'!L232</f>
        <v>62000</v>
      </c>
      <c r="M231" s="27">
        <f>'TSAS Scheduling Revenue (1)'!M232</f>
        <v>62000</v>
      </c>
      <c r="N231" s="27">
        <f>SUM(B231:M231)</f>
        <v>744000</v>
      </c>
    </row>
    <row r="232" spans="1:15" s="19" customFormat="1" ht="10.199999999999999">
      <c r="A232" s="25" t="s">
        <v>20</v>
      </c>
      <c r="B232" s="32">
        <f>'charges (1 &amp; 2)'!F16</f>
        <v>0.1008</v>
      </c>
      <c r="C232" s="32">
        <f t="shared" ref="C232:M232" si="89">+$B$31</f>
        <v>0.1008</v>
      </c>
      <c r="D232" s="32">
        <f t="shared" si="89"/>
        <v>0.1008</v>
      </c>
      <c r="E232" s="32">
        <f t="shared" si="89"/>
        <v>0.1008</v>
      </c>
      <c r="F232" s="32">
        <f t="shared" si="89"/>
        <v>0.1008</v>
      </c>
      <c r="G232" s="32">
        <f t="shared" si="89"/>
        <v>0.1008</v>
      </c>
      <c r="H232" s="32">
        <f t="shared" si="89"/>
        <v>0.1008</v>
      </c>
      <c r="I232" s="32">
        <f t="shared" si="89"/>
        <v>0.1008</v>
      </c>
      <c r="J232" s="32">
        <f t="shared" si="89"/>
        <v>0.1008</v>
      </c>
      <c r="K232" s="32">
        <f t="shared" si="89"/>
        <v>0.1008</v>
      </c>
      <c r="L232" s="32">
        <f t="shared" si="89"/>
        <v>0.1008</v>
      </c>
      <c r="M232" s="32">
        <f t="shared" si="89"/>
        <v>0.1008</v>
      </c>
    </row>
    <row r="233" spans="1:15" s="19" customFormat="1" ht="10.199999999999999">
      <c r="A233" s="25" t="s">
        <v>17</v>
      </c>
      <c r="B233" s="20">
        <f t="shared" ref="B233:M233" si="90">B231*B232</f>
        <v>6249.6</v>
      </c>
      <c r="C233" s="20">
        <f t="shared" si="90"/>
        <v>6249.6</v>
      </c>
      <c r="D233" s="20">
        <f t="shared" si="90"/>
        <v>6249.6</v>
      </c>
      <c r="E233" s="20">
        <f t="shared" si="90"/>
        <v>6249.6</v>
      </c>
      <c r="F233" s="20">
        <f t="shared" si="90"/>
        <v>6249.6</v>
      </c>
      <c r="G233" s="20">
        <f t="shared" si="90"/>
        <v>6249.6</v>
      </c>
      <c r="H233" s="20">
        <f t="shared" si="90"/>
        <v>6249.6</v>
      </c>
      <c r="I233" s="20">
        <f t="shared" si="90"/>
        <v>6249.6</v>
      </c>
      <c r="J233" s="20">
        <f t="shared" si="90"/>
        <v>6249.6</v>
      </c>
      <c r="K233" s="20">
        <f t="shared" si="90"/>
        <v>6249.6</v>
      </c>
      <c r="L233" s="20">
        <f t="shared" si="90"/>
        <v>6249.6</v>
      </c>
      <c r="M233" s="20">
        <f t="shared" si="90"/>
        <v>6249.6</v>
      </c>
      <c r="N233" s="20">
        <f>SUM(B233:M233)</f>
        <v>74995.199999999997</v>
      </c>
    </row>
    <row r="234" spans="1:15" s="19" customFormat="1" ht="6" customHeight="1">
      <c r="A234" s="25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5" s="19" customFormat="1" ht="10.199999999999999">
      <c r="A235" s="393" t="s">
        <v>111</v>
      </c>
    </row>
    <row r="236" spans="1:15" s="19" customFormat="1" ht="10.199999999999999">
      <c r="A236" s="26" t="s">
        <v>16</v>
      </c>
      <c r="B236" s="27">
        <f>'TSAS Scheduling Revenue (1)'!B237</f>
        <v>40000</v>
      </c>
      <c r="C236" s="27">
        <f>'TSAS Scheduling Revenue (1)'!C237</f>
        <v>40000</v>
      </c>
      <c r="D236" s="27">
        <f>'TSAS Scheduling Revenue (1)'!D237</f>
        <v>40000</v>
      </c>
      <c r="E236" s="27">
        <f>'TSAS Scheduling Revenue (1)'!E237</f>
        <v>40000</v>
      </c>
      <c r="F236" s="27">
        <f>'TSAS Scheduling Revenue (1)'!F237</f>
        <v>40000</v>
      </c>
      <c r="G236" s="27">
        <f>'TSAS Scheduling Revenue (1)'!G237</f>
        <v>40000</v>
      </c>
      <c r="H236" s="27">
        <f>'TSAS Scheduling Revenue (1)'!H237</f>
        <v>40000</v>
      </c>
      <c r="I236" s="27">
        <f>'TSAS Scheduling Revenue (1)'!I237</f>
        <v>40000</v>
      </c>
      <c r="J236" s="27">
        <f>'TSAS Scheduling Revenue (1)'!J237</f>
        <v>40000</v>
      </c>
      <c r="K236" s="27">
        <f>'TSAS Scheduling Revenue (1)'!K237</f>
        <v>40000</v>
      </c>
      <c r="L236" s="27">
        <f>'TSAS Scheduling Revenue (1)'!L237</f>
        <v>40000</v>
      </c>
      <c r="M236" s="27">
        <f>'TSAS Scheduling Revenue (1)'!M237</f>
        <v>40000</v>
      </c>
      <c r="N236" s="27">
        <f>SUM(B236:M236)</f>
        <v>480000</v>
      </c>
    </row>
    <row r="237" spans="1:15" s="19" customFormat="1" ht="10.199999999999999">
      <c r="A237" s="25" t="s">
        <v>20</v>
      </c>
      <c r="B237" s="32">
        <f t="shared" ref="B237:M237" si="91">+$B$31</f>
        <v>0.1008</v>
      </c>
      <c r="C237" s="32">
        <f t="shared" si="91"/>
        <v>0.1008</v>
      </c>
      <c r="D237" s="32">
        <f t="shared" si="91"/>
        <v>0.1008</v>
      </c>
      <c r="E237" s="32">
        <f t="shared" si="91"/>
        <v>0.1008</v>
      </c>
      <c r="F237" s="32">
        <f t="shared" si="91"/>
        <v>0.1008</v>
      </c>
      <c r="G237" s="32">
        <f t="shared" si="91"/>
        <v>0.1008</v>
      </c>
      <c r="H237" s="32">
        <f t="shared" si="91"/>
        <v>0.1008</v>
      </c>
      <c r="I237" s="32">
        <f t="shared" si="91"/>
        <v>0.1008</v>
      </c>
      <c r="J237" s="32">
        <f t="shared" si="91"/>
        <v>0.1008</v>
      </c>
      <c r="K237" s="32">
        <f t="shared" si="91"/>
        <v>0.1008</v>
      </c>
      <c r="L237" s="32">
        <f t="shared" si="91"/>
        <v>0.1008</v>
      </c>
      <c r="M237" s="32">
        <f t="shared" si="91"/>
        <v>0.1008</v>
      </c>
    </row>
    <row r="238" spans="1:15" s="19" customFormat="1" ht="10.199999999999999">
      <c r="A238" s="25" t="s">
        <v>17</v>
      </c>
      <c r="B238" s="20">
        <f t="shared" ref="B238:M238" si="92">B236*B237</f>
        <v>4032</v>
      </c>
      <c r="C238" s="20">
        <f t="shared" si="92"/>
        <v>4032</v>
      </c>
      <c r="D238" s="20">
        <f t="shared" si="92"/>
        <v>4032</v>
      </c>
      <c r="E238" s="20">
        <f t="shared" si="92"/>
        <v>4032</v>
      </c>
      <c r="F238" s="20">
        <f t="shared" si="92"/>
        <v>4032</v>
      </c>
      <c r="G238" s="20">
        <f t="shared" si="92"/>
        <v>4032</v>
      </c>
      <c r="H238" s="20">
        <f t="shared" si="92"/>
        <v>4032</v>
      </c>
      <c r="I238" s="20">
        <f t="shared" si="92"/>
        <v>4032</v>
      </c>
      <c r="J238" s="20">
        <f t="shared" si="92"/>
        <v>4032</v>
      </c>
      <c r="K238" s="20">
        <f t="shared" si="92"/>
        <v>4032</v>
      </c>
      <c r="L238" s="20">
        <f t="shared" si="92"/>
        <v>4032</v>
      </c>
      <c r="M238" s="20">
        <f t="shared" si="92"/>
        <v>4032</v>
      </c>
      <c r="N238" s="20">
        <f>SUM(B238:M238)</f>
        <v>48384</v>
      </c>
    </row>
    <row r="239" spans="1:15" s="19" customFormat="1" ht="7.5" customHeight="1">
      <c r="A239" s="25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5" s="19" customFormat="1" ht="10.199999999999999">
      <c r="A240" s="393" t="s">
        <v>222</v>
      </c>
    </row>
    <row r="241" spans="1:14" s="19" customFormat="1" ht="10.199999999999999">
      <c r="A241" s="26" t="s">
        <v>16</v>
      </c>
      <c r="B241" s="27">
        <f>'TSAS Scheduling Revenue (1)'!B242</f>
        <v>3000</v>
      </c>
      <c r="C241" s="27">
        <f>'TSAS Scheduling Revenue (1)'!C242</f>
        <v>3000</v>
      </c>
      <c r="D241" s="27">
        <f>'TSAS Scheduling Revenue (1)'!D242</f>
        <v>3000</v>
      </c>
      <c r="E241" s="27">
        <f>'TSAS Scheduling Revenue (1)'!E242</f>
        <v>3000</v>
      </c>
      <c r="F241" s="27">
        <f>'TSAS Scheduling Revenue (1)'!F242</f>
        <v>3000</v>
      </c>
      <c r="G241" s="27">
        <f>'TSAS Scheduling Revenue (1)'!G242</f>
        <v>3000</v>
      </c>
      <c r="H241" s="27">
        <f>'TSAS Scheduling Revenue (1)'!H242</f>
        <v>3000</v>
      </c>
      <c r="I241" s="27">
        <f>'TSAS Scheduling Revenue (1)'!I242</f>
        <v>3000</v>
      </c>
      <c r="J241" s="27">
        <f>'TSAS Scheduling Revenue (1)'!J242</f>
        <v>3000</v>
      </c>
      <c r="K241" s="27">
        <f>'TSAS Scheduling Revenue (1)'!K242</f>
        <v>3000</v>
      </c>
      <c r="L241" s="27">
        <f>'TSAS Scheduling Revenue (1)'!L242</f>
        <v>3000</v>
      </c>
      <c r="M241" s="27">
        <f>'TSAS Scheduling Revenue (1)'!M242</f>
        <v>3000</v>
      </c>
      <c r="N241" s="27">
        <f>SUM(B241:M241)</f>
        <v>36000</v>
      </c>
    </row>
    <row r="242" spans="1:14" s="19" customFormat="1" ht="10.199999999999999">
      <c r="A242" s="25" t="s">
        <v>20</v>
      </c>
      <c r="B242" s="32">
        <f t="shared" ref="B242:M242" si="93">+$B$31</f>
        <v>0.1008</v>
      </c>
      <c r="C242" s="32">
        <f t="shared" si="93"/>
        <v>0.1008</v>
      </c>
      <c r="D242" s="32">
        <f t="shared" si="93"/>
        <v>0.1008</v>
      </c>
      <c r="E242" s="32">
        <f t="shared" si="93"/>
        <v>0.1008</v>
      </c>
      <c r="F242" s="32">
        <f t="shared" si="93"/>
        <v>0.1008</v>
      </c>
      <c r="G242" s="32">
        <f t="shared" si="93"/>
        <v>0.1008</v>
      </c>
      <c r="H242" s="32">
        <f t="shared" si="93"/>
        <v>0.1008</v>
      </c>
      <c r="I242" s="32">
        <f t="shared" si="93"/>
        <v>0.1008</v>
      </c>
      <c r="J242" s="32">
        <f t="shared" si="93"/>
        <v>0.1008</v>
      </c>
      <c r="K242" s="32">
        <f t="shared" si="93"/>
        <v>0.1008</v>
      </c>
      <c r="L242" s="32">
        <f t="shared" si="93"/>
        <v>0.1008</v>
      </c>
      <c r="M242" s="32">
        <f t="shared" si="93"/>
        <v>0.1008</v>
      </c>
    </row>
    <row r="243" spans="1:14" s="19" customFormat="1" ht="10.199999999999999">
      <c r="A243" s="25" t="s">
        <v>17</v>
      </c>
      <c r="B243" s="20">
        <f t="shared" ref="B243:M243" si="94">B241*B242</f>
        <v>302.39999999999998</v>
      </c>
      <c r="C243" s="20">
        <f t="shared" si="94"/>
        <v>302.39999999999998</v>
      </c>
      <c r="D243" s="20">
        <f t="shared" si="94"/>
        <v>302.39999999999998</v>
      </c>
      <c r="E243" s="20">
        <f t="shared" si="94"/>
        <v>302.39999999999998</v>
      </c>
      <c r="F243" s="20">
        <f t="shared" si="94"/>
        <v>302.39999999999998</v>
      </c>
      <c r="G243" s="20">
        <f t="shared" si="94"/>
        <v>302.39999999999998</v>
      </c>
      <c r="H243" s="20">
        <f t="shared" si="94"/>
        <v>302.39999999999998</v>
      </c>
      <c r="I243" s="20">
        <f t="shared" si="94"/>
        <v>302.39999999999998</v>
      </c>
      <c r="J243" s="20">
        <f t="shared" si="94"/>
        <v>302.39999999999998</v>
      </c>
      <c r="K243" s="20">
        <f t="shared" si="94"/>
        <v>302.39999999999998</v>
      </c>
      <c r="L243" s="20">
        <f t="shared" si="94"/>
        <v>302.39999999999998</v>
      </c>
      <c r="M243" s="20">
        <f t="shared" si="94"/>
        <v>302.39999999999998</v>
      </c>
      <c r="N243" s="20">
        <f>SUM(B243:M243)</f>
        <v>3628.8000000000006</v>
      </c>
    </row>
    <row r="244" spans="1:14" s="19" customFormat="1" ht="6.75" customHeight="1">
      <c r="A244" s="25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>
      <c r="A245" s="393" t="s">
        <v>173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>
      <c r="A246" s="26" t="s">
        <v>16</v>
      </c>
      <c r="B246" s="27">
        <f>'TSAS Scheduling Revenue (1)'!B247</f>
        <v>0</v>
      </c>
      <c r="C246" s="27">
        <f>'TSAS Scheduling Revenue (1)'!C247</f>
        <v>0</v>
      </c>
      <c r="D246" s="27">
        <f>'TSAS Scheduling Revenue (1)'!D247</f>
        <v>0</v>
      </c>
      <c r="E246" s="27">
        <f>'TSAS Scheduling Revenue (1)'!E247</f>
        <v>0</v>
      </c>
      <c r="F246" s="27">
        <f>'TSAS Scheduling Revenue (1)'!F247</f>
        <v>0</v>
      </c>
      <c r="G246" s="27">
        <f>'TSAS Scheduling Revenue (1)'!G247</f>
        <v>0</v>
      </c>
      <c r="H246" s="27">
        <f>'TSAS Scheduling Revenue (1)'!H247</f>
        <v>0</v>
      </c>
      <c r="I246" s="27">
        <f>'TSAS Scheduling Revenue (1)'!I247</f>
        <v>0</v>
      </c>
      <c r="J246" s="27">
        <f>'TSAS Scheduling Revenue (1)'!J247</f>
        <v>0</v>
      </c>
      <c r="K246" s="27">
        <f>'TSAS Scheduling Revenue (1)'!K247</f>
        <v>0</v>
      </c>
      <c r="L246" s="27">
        <f>'TSAS Scheduling Revenue (1)'!L247</f>
        <v>0</v>
      </c>
      <c r="M246" s="27">
        <f>'TSAS Scheduling Revenue (1)'!M247</f>
        <v>0</v>
      </c>
      <c r="N246" s="27">
        <f>SUM(B246:M246)</f>
        <v>0</v>
      </c>
    </row>
    <row r="247" spans="1:14">
      <c r="A247" s="25" t="s">
        <v>20</v>
      </c>
      <c r="B247" s="265">
        <f>B237</f>
        <v>0.1008</v>
      </c>
      <c r="C247" s="265">
        <f t="shared" ref="C247:M247" si="95">C237</f>
        <v>0.1008</v>
      </c>
      <c r="D247" s="265">
        <f t="shared" si="95"/>
        <v>0.1008</v>
      </c>
      <c r="E247" s="265">
        <f t="shared" si="95"/>
        <v>0.1008</v>
      </c>
      <c r="F247" s="265">
        <f t="shared" si="95"/>
        <v>0.1008</v>
      </c>
      <c r="G247" s="265">
        <f t="shared" si="95"/>
        <v>0.1008</v>
      </c>
      <c r="H247" s="265">
        <f t="shared" si="95"/>
        <v>0.1008</v>
      </c>
      <c r="I247" s="265">
        <f t="shared" si="95"/>
        <v>0.1008</v>
      </c>
      <c r="J247" s="265">
        <f t="shared" si="95"/>
        <v>0.1008</v>
      </c>
      <c r="K247" s="265">
        <f t="shared" si="95"/>
        <v>0.1008</v>
      </c>
      <c r="L247" s="265">
        <f t="shared" si="95"/>
        <v>0.1008</v>
      </c>
      <c r="M247" s="265">
        <f t="shared" si="95"/>
        <v>0.1008</v>
      </c>
      <c r="N247" s="19"/>
    </row>
    <row r="248" spans="1:14">
      <c r="A248" s="25" t="s">
        <v>17</v>
      </c>
      <c r="B248" s="20">
        <f t="shared" ref="B248:M248" si="96">B246*B247</f>
        <v>0</v>
      </c>
      <c r="C248" s="20">
        <f t="shared" si="96"/>
        <v>0</v>
      </c>
      <c r="D248" s="20">
        <f t="shared" si="96"/>
        <v>0</v>
      </c>
      <c r="E248" s="20">
        <f t="shared" si="96"/>
        <v>0</v>
      </c>
      <c r="F248" s="20">
        <f t="shared" si="96"/>
        <v>0</v>
      </c>
      <c r="G248" s="20">
        <f t="shared" si="96"/>
        <v>0</v>
      </c>
      <c r="H248" s="20">
        <f t="shared" si="96"/>
        <v>0</v>
      </c>
      <c r="I248" s="20">
        <f t="shared" si="96"/>
        <v>0</v>
      </c>
      <c r="J248" s="20">
        <f t="shared" si="96"/>
        <v>0</v>
      </c>
      <c r="K248" s="20">
        <f t="shared" si="96"/>
        <v>0</v>
      </c>
      <c r="L248" s="20">
        <f t="shared" si="96"/>
        <v>0</v>
      </c>
      <c r="M248" s="20">
        <f t="shared" si="96"/>
        <v>0</v>
      </c>
      <c r="N248" s="20">
        <f>SUM(B248:M248)</f>
        <v>0</v>
      </c>
    </row>
    <row r="249" spans="1:14">
      <c r="A249" s="25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>
      <c r="A250" s="393" t="s">
        <v>112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>
      <c r="A251" s="26" t="s">
        <v>16</v>
      </c>
      <c r="B251" s="27">
        <f>'TSAS Scheduling Revenue (1)'!B252</f>
        <v>150000</v>
      </c>
      <c r="C251" s="27">
        <f>'TSAS Scheduling Revenue (1)'!C252</f>
        <v>150000</v>
      </c>
      <c r="D251" s="27">
        <f>'TSAS Scheduling Revenue (1)'!D252</f>
        <v>150000</v>
      </c>
      <c r="E251" s="27">
        <f>'TSAS Scheduling Revenue (1)'!E252</f>
        <v>150000</v>
      </c>
      <c r="F251" s="27">
        <f>'TSAS Scheduling Revenue (1)'!F252</f>
        <v>150000</v>
      </c>
      <c r="G251" s="27">
        <f>'TSAS Scheduling Revenue (1)'!G252</f>
        <v>150000</v>
      </c>
      <c r="H251" s="27">
        <f>'TSAS Scheduling Revenue (1)'!H252</f>
        <v>150000</v>
      </c>
      <c r="I251" s="27">
        <f>'TSAS Scheduling Revenue (1)'!I252</f>
        <v>150000</v>
      </c>
      <c r="J251" s="27">
        <f>'TSAS Scheduling Revenue (1)'!J252</f>
        <v>150000</v>
      </c>
      <c r="K251" s="27">
        <f>'TSAS Scheduling Revenue (1)'!K252</f>
        <v>150000</v>
      </c>
      <c r="L251" s="27">
        <f>'TSAS Scheduling Revenue (1)'!L252</f>
        <v>150000</v>
      </c>
      <c r="M251" s="27">
        <f>'TSAS Scheduling Revenue (1)'!M252</f>
        <v>150000</v>
      </c>
      <c r="N251" s="27">
        <f>SUM(B251:M251)</f>
        <v>1800000</v>
      </c>
    </row>
    <row r="252" spans="1:14">
      <c r="A252" s="25" t="s">
        <v>20</v>
      </c>
      <c r="B252" s="265">
        <f>B247</f>
        <v>0.1008</v>
      </c>
      <c r="C252" s="265">
        <f t="shared" ref="C252:M252" si="97">C247</f>
        <v>0.1008</v>
      </c>
      <c r="D252" s="265">
        <f t="shared" si="97"/>
        <v>0.1008</v>
      </c>
      <c r="E252" s="265">
        <f t="shared" si="97"/>
        <v>0.1008</v>
      </c>
      <c r="F252" s="265">
        <f t="shared" si="97"/>
        <v>0.1008</v>
      </c>
      <c r="G252" s="265">
        <f t="shared" si="97"/>
        <v>0.1008</v>
      </c>
      <c r="H252" s="265">
        <f t="shared" si="97"/>
        <v>0.1008</v>
      </c>
      <c r="I252" s="265">
        <f t="shared" si="97"/>
        <v>0.1008</v>
      </c>
      <c r="J252" s="265">
        <f t="shared" si="97"/>
        <v>0.1008</v>
      </c>
      <c r="K252" s="265">
        <f t="shared" si="97"/>
        <v>0.1008</v>
      </c>
      <c r="L252" s="265">
        <f t="shared" si="97"/>
        <v>0.1008</v>
      </c>
      <c r="M252" s="265">
        <f t="shared" si="97"/>
        <v>0.1008</v>
      </c>
      <c r="N252" s="19"/>
    </row>
    <row r="253" spans="1:14">
      <c r="A253" s="25" t="s">
        <v>17</v>
      </c>
      <c r="B253" s="20">
        <f t="shared" ref="B253:M253" si="98">B251*B252</f>
        <v>15120</v>
      </c>
      <c r="C253" s="20">
        <f t="shared" si="98"/>
        <v>15120</v>
      </c>
      <c r="D253" s="20">
        <f t="shared" si="98"/>
        <v>15120</v>
      </c>
      <c r="E253" s="20">
        <f t="shared" si="98"/>
        <v>15120</v>
      </c>
      <c r="F253" s="20">
        <f t="shared" si="98"/>
        <v>15120</v>
      </c>
      <c r="G253" s="20">
        <f t="shared" si="98"/>
        <v>15120</v>
      </c>
      <c r="H253" s="20">
        <f t="shared" si="98"/>
        <v>15120</v>
      </c>
      <c r="I253" s="20">
        <f t="shared" si="98"/>
        <v>15120</v>
      </c>
      <c r="J253" s="20">
        <f t="shared" si="98"/>
        <v>15120</v>
      </c>
      <c r="K253" s="20">
        <f t="shared" si="98"/>
        <v>15120</v>
      </c>
      <c r="L253" s="20">
        <f t="shared" si="98"/>
        <v>15120</v>
      </c>
      <c r="M253" s="20">
        <f t="shared" si="98"/>
        <v>15120</v>
      </c>
      <c r="N253" s="20">
        <f>SUM(B253:M253)</f>
        <v>181440</v>
      </c>
    </row>
    <row r="254" spans="1:14">
      <c r="A254" s="25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s="19" customFormat="1" ht="10.199999999999999">
      <c r="A255" s="393" t="s">
        <v>44</v>
      </c>
    </row>
    <row r="256" spans="1:14" s="19" customFormat="1" ht="10.199999999999999">
      <c r="A256" s="26" t="s">
        <v>16</v>
      </c>
      <c r="B256" s="27">
        <f>'TSAS Scheduling Revenue (1)'!B257</f>
        <v>0</v>
      </c>
      <c r="C256" s="27">
        <f>'TSAS Scheduling Revenue (1)'!C257</f>
        <v>0</v>
      </c>
      <c r="D256" s="27">
        <f>'TSAS Scheduling Revenue (1)'!D257</f>
        <v>0</v>
      </c>
      <c r="E256" s="27">
        <f>'TSAS Scheduling Revenue (1)'!E257</f>
        <v>0</v>
      </c>
      <c r="F256" s="27">
        <f>'TSAS Scheduling Revenue (1)'!F257</f>
        <v>0</v>
      </c>
      <c r="G256" s="27">
        <f>'TSAS Scheduling Revenue (1)'!G257</f>
        <v>0</v>
      </c>
      <c r="H256" s="27">
        <f>'TSAS Scheduling Revenue (1)'!H257</f>
        <v>0</v>
      </c>
      <c r="I256" s="27">
        <f>'TSAS Scheduling Revenue (1)'!I257</f>
        <v>0</v>
      </c>
      <c r="J256" s="27">
        <f>'TSAS Scheduling Revenue (1)'!J257</f>
        <v>0</v>
      </c>
      <c r="K256" s="27">
        <f>'TSAS Scheduling Revenue (1)'!K257</f>
        <v>0</v>
      </c>
      <c r="L256" s="27">
        <f>'TSAS Scheduling Revenue (1)'!L257</f>
        <v>0</v>
      </c>
      <c r="M256" s="27">
        <f>'TSAS Scheduling Revenue (1)'!M257</f>
        <v>0</v>
      </c>
      <c r="N256" s="27">
        <f>SUM(B256:M256)</f>
        <v>0</v>
      </c>
    </row>
    <row r="257" spans="1:14" s="19" customFormat="1" ht="10.199999999999999">
      <c r="A257" s="25" t="s">
        <v>20</v>
      </c>
      <c r="B257" s="32">
        <f t="shared" ref="B257:M257" si="99">+$B$31</f>
        <v>0.1008</v>
      </c>
      <c r="C257" s="32">
        <f t="shared" si="99"/>
        <v>0.1008</v>
      </c>
      <c r="D257" s="32">
        <f t="shared" si="99"/>
        <v>0.1008</v>
      </c>
      <c r="E257" s="32">
        <f t="shared" si="99"/>
        <v>0.1008</v>
      </c>
      <c r="F257" s="32">
        <f t="shared" si="99"/>
        <v>0.1008</v>
      </c>
      <c r="G257" s="32">
        <f t="shared" si="99"/>
        <v>0.1008</v>
      </c>
      <c r="H257" s="32">
        <f t="shared" si="99"/>
        <v>0.1008</v>
      </c>
      <c r="I257" s="32">
        <f t="shared" si="99"/>
        <v>0.1008</v>
      </c>
      <c r="J257" s="32">
        <f t="shared" si="99"/>
        <v>0.1008</v>
      </c>
      <c r="K257" s="32">
        <f t="shared" si="99"/>
        <v>0.1008</v>
      </c>
      <c r="L257" s="32">
        <f t="shared" si="99"/>
        <v>0.1008</v>
      </c>
      <c r="M257" s="32">
        <f t="shared" si="99"/>
        <v>0.1008</v>
      </c>
    </row>
    <row r="258" spans="1:14" s="19" customFormat="1" ht="10.199999999999999">
      <c r="A258" s="25" t="s">
        <v>17</v>
      </c>
      <c r="B258" s="20">
        <f t="shared" ref="B258:M258" si="100">B256*B257</f>
        <v>0</v>
      </c>
      <c r="C258" s="20">
        <f t="shared" si="100"/>
        <v>0</v>
      </c>
      <c r="D258" s="20">
        <f t="shared" si="100"/>
        <v>0</v>
      </c>
      <c r="E258" s="20">
        <f t="shared" si="100"/>
        <v>0</v>
      </c>
      <c r="F258" s="20">
        <f t="shared" si="100"/>
        <v>0</v>
      </c>
      <c r="G258" s="20">
        <f t="shared" si="100"/>
        <v>0</v>
      </c>
      <c r="H258" s="20">
        <f t="shared" si="100"/>
        <v>0</v>
      </c>
      <c r="I258" s="20">
        <f t="shared" si="100"/>
        <v>0</v>
      </c>
      <c r="J258" s="20">
        <f t="shared" si="100"/>
        <v>0</v>
      </c>
      <c r="K258" s="20">
        <f t="shared" si="100"/>
        <v>0</v>
      </c>
      <c r="L258" s="20">
        <f t="shared" si="100"/>
        <v>0</v>
      </c>
      <c r="M258" s="20">
        <f t="shared" si="100"/>
        <v>0</v>
      </c>
      <c r="N258" s="20">
        <f>SUM(B258:M258)</f>
        <v>0</v>
      </c>
    </row>
    <row r="259" spans="1:14" s="19" customFormat="1" ht="10.199999999999999">
      <c r="A259" s="25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s="19" customFormat="1" ht="10.199999999999999">
      <c r="A260" s="25" t="s">
        <v>165</v>
      </c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s="19" customFormat="1" ht="10.199999999999999">
      <c r="A261" s="26" t="s">
        <v>16</v>
      </c>
      <c r="B261" s="20">
        <f>'TSAS Scheduling Revenue (1)'!B262</f>
        <v>0</v>
      </c>
      <c r="C261" s="20">
        <f>'TSAS Scheduling Revenue (1)'!C262</f>
        <v>0</v>
      </c>
      <c r="D261" s="20">
        <f>'TSAS Scheduling Revenue (1)'!D262</f>
        <v>0</v>
      </c>
      <c r="E261" s="20">
        <f>'TSAS Scheduling Revenue (1)'!E262</f>
        <v>0</v>
      </c>
      <c r="F261" s="20">
        <f>'TSAS Scheduling Revenue (1)'!F262</f>
        <v>0</v>
      </c>
      <c r="G261" s="20">
        <f>'TSAS Scheduling Revenue (1)'!G262</f>
        <v>0</v>
      </c>
      <c r="H261" s="20">
        <f>'TSAS Scheduling Revenue (1)'!H262</f>
        <v>0</v>
      </c>
      <c r="I261" s="20">
        <f>'TSAS Scheduling Revenue (1)'!I262</f>
        <v>0</v>
      </c>
      <c r="J261" s="20">
        <f>'TSAS Scheduling Revenue (1)'!J262</f>
        <v>0</v>
      </c>
      <c r="K261" s="20">
        <f>'TSAS Scheduling Revenue (1)'!K262</f>
        <v>0</v>
      </c>
      <c r="L261" s="20">
        <f>'TSAS Scheduling Revenue (1)'!L262</f>
        <v>0</v>
      </c>
      <c r="M261" s="20">
        <f>'TSAS Scheduling Revenue (1)'!M262</f>
        <v>0</v>
      </c>
      <c r="N261" s="27">
        <f>SUM(B261:M261)</f>
        <v>0</v>
      </c>
    </row>
    <row r="262" spans="1:14" s="19" customFormat="1" ht="10.199999999999999">
      <c r="A262" s="25" t="s">
        <v>20</v>
      </c>
      <c r="B262" s="32">
        <f>B257</f>
        <v>0.1008</v>
      </c>
      <c r="C262" s="32">
        <f t="shared" ref="C262:M262" si="101">C257</f>
        <v>0.1008</v>
      </c>
      <c r="D262" s="32">
        <f t="shared" si="101"/>
        <v>0.1008</v>
      </c>
      <c r="E262" s="32">
        <f t="shared" si="101"/>
        <v>0.1008</v>
      </c>
      <c r="F262" s="32">
        <f t="shared" si="101"/>
        <v>0.1008</v>
      </c>
      <c r="G262" s="32">
        <f t="shared" si="101"/>
        <v>0.1008</v>
      </c>
      <c r="H262" s="32">
        <f t="shared" si="101"/>
        <v>0.1008</v>
      </c>
      <c r="I262" s="32">
        <f t="shared" si="101"/>
        <v>0.1008</v>
      </c>
      <c r="J262" s="32">
        <f t="shared" si="101"/>
        <v>0.1008</v>
      </c>
      <c r="K262" s="32">
        <f t="shared" si="101"/>
        <v>0.1008</v>
      </c>
      <c r="L262" s="32">
        <f t="shared" si="101"/>
        <v>0.1008</v>
      </c>
      <c r="M262" s="32">
        <f t="shared" si="101"/>
        <v>0.1008</v>
      </c>
    </row>
    <row r="263" spans="1:14" s="19" customFormat="1" ht="10.199999999999999">
      <c r="A263" s="25" t="s">
        <v>17</v>
      </c>
      <c r="B263" s="20">
        <f t="shared" ref="B263:M263" si="102">B261*B262</f>
        <v>0</v>
      </c>
      <c r="C263" s="20">
        <f t="shared" si="102"/>
        <v>0</v>
      </c>
      <c r="D263" s="20">
        <f t="shared" si="102"/>
        <v>0</v>
      </c>
      <c r="E263" s="20">
        <f t="shared" si="102"/>
        <v>0</v>
      </c>
      <c r="F263" s="20">
        <f t="shared" si="102"/>
        <v>0</v>
      </c>
      <c r="G263" s="20">
        <f t="shared" si="102"/>
        <v>0</v>
      </c>
      <c r="H263" s="20">
        <f t="shared" si="102"/>
        <v>0</v>
      </c>
      <c r="I263" s="20">
        <f t="shared" si="102"/>
        <v>0</v>
      </c>
      <c r="J263" s="20">
        <f t="shared" si="102"/>
        <v>0</v>
      </c>
      <c r="K263" s="20">
        <f t="shared" si="102"/>
        <v>0</v>
      </c>
      <c r="L263" s="20">
        <f t="shared" si="102"/>
        <v>0</v>
      </c>
      <c r="M263" s="20">
        <f t="shared" si="102"/>
        <v>0</v>
      </c>
      <c r="N263" s="20">
        <f>SUM(B263:M263)</f>
        <v>0</v>
      </c>
    </row>
    <row r="264" spans="1:14" s="19" customFormat="1" ht="10.199999999999999">
      <c r="A264" s="25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s="19" customFormat="1" ht="10.199999999999999">
      <c r="A265" s="143" t="s">
        <v>25</v>
      </c>
      <c r="B265" s="142">
        <f>B213+B218+B223+B228+B233+B238+B258+B243+B263+B248+B253</f>
        <v>28801.919999999998</v>
      </c>
      <c r="C265" s="142">
        <f>C213+C218+C223+C228+C233+C238+C258+C243+C263+C248+C253</f>
        <v>28801.919999999998</v>
      </c>
      <c r="D265" s="142">
        <f t="shared" ref="D265:M265" si="103">D213+D218+D223+D228+D233+D238+D258+D243+D263+D248+D253</f>
        <v>28801.919999999998</v>
      </c>
      <c r="E265" s="142">
        <f t="shared" si="103"/>
        <v>28801.919999999998</v>
      </c>
      <c r="F265" s="142">
        <f t="shared" si="103"/>
        <v>28801.919999999998</v>
      </c>
      <c r="G265" s="142">
        <f t="shared" si="103"/>
        <v>28801.919999999998</v>
      </c>
      <c r="H265" s="142">
        <f t="shared" si="103"/>
        <v>28801.919999999998</v>
      </c>
      <c r="I265" s="142">
        <f t="shared" si="103"/>
        <v>28801.919999999998</v>
      </c>
      <c r="J265" s="142">
        <f t="shared" si="103"/>
        <v>28801.919999999998</v>
      </c>
      <c r="K265" s="142">
        <f t="shared" si="103"/>
        <v>28801.919999999998</v>
      </c>
      <c r="L265" s="142">
        <f t="shared" si="103"/>
        <v>28801.919999999998</v>
      </c>
      <c r="M265" s="142">
        <f t="shared" si="103"/>
        <v>28801.919999999998</v>
      </c>
      <c r="N265" s="142">
        <f>SUM(B265:M265)</f>
        <v>345623.03999999986</v>
      </c>
    </row>
    <row r="266" spans="1:14">
      <c r="A266" s="145" t="str">
        <f>A206</f>
        <v>Total Monthly Demand</v>
      </c>
      <c r="B266" s="144">
        <f>B211+B216+B221+B226+B231+B256+B241+B236+B261+B246+B251</f>
        <v>297056</v>
      </c>
      <c r="C266" s="144">
        <f>C211+C216+C221+C226+C231+C256+C241+C236+C261+C246+C251</f>
        <v>297056</v>
      </c>
      <c r="D266" s="144">
        <f t="shared" ref="D266:M266" si="104">D211+D216+D221+D226+D231+D256+D241+D236+D261+D246+D251</f>
        <v>297056</v>
      </c>
      <c r="E266" s="144">
        <f t="shared" si="104"/>
        <v>297056</v>
      </c>
      <c r="F266" s="144">
        <f t="shared" si="104"/>
        <v>297056</v>
      </c>
      <c r="G266" s="144">
        <f t="shared" si="104"/>
        <v>297056</v>
      </c>
      <c r="H266" s="144">
        <f t="shared" si="104"/>
        <v>297056</v>
      </c>
      <c r="I266" s="144">
        <f t="shared" si="104"/>
        <v>297056</v>
      </c>
      <c r="J266" s="144">
        <f t="shared" si="104"/>
        <v>297056</v>
      </c>
      <c r="K266" s="144">
        <f t="shared" si="104"/>
        <v>297056</v>
      </c>
      <c r="L266" s="144">
        <f t="shared" si="104"/>
        <v>297056</v>
      </c>
      <c r="M266" s="144">
        <f t="shared" si="104"/>
        <v>297056</v>
      </c>
      <c r="N266" s="142">
        <f>SUM(B266:M266)</f>
        <v>3564672</v>
      </c>
    </row>
    <row r="267" spans="1:14">
      <c r="A267" s="24">
        <f>+A207+1</f>
        <v>2018</v>
      </c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.2">
      <c r="A268" s="22" t="s">
        <v>19</v>
      </c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1:14" ht="5.25" customHeight="1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</row>
    <row r="270" spans="1:14">
      <c r="A270" s="393" t="s">
        <v>344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>
      <c r="A271" s="26" t="s">
        <v>16</v>
      </c>
      <c r="B271" s="27">
        <f>'TSAS Scheduling Revenue (1)'!B272</f>
        <v>5000</v>
      </c>
      <c r="C271" s="27">
        <f>'TSAS Scheduling Revenue (1)'!C272</f>
        <v>5000</v>
      </c>
      <c r="D271" s="27">
        <f>'TSAS Scheduling Revenue (1)'!D272</f>
        <v>5000</v>
      </c>
      <c r="E271" s="27">
        <f>'TSAS Scheduling Revenue (1)'!E272</f>
        <v>5000</v>
      </c>
      <c r="F271" s="27">
        <f>'TSAS Scheduling Revenue (1)'!F272</f>
        <v>5000</v>
      </c>
      <c r="G271" s="27">
        <f>'TSAS Scheduling Revenue (1)'!G272</f>
        <v>5000</v>
      </c>
      <c r="H271" s="27">
        <f>'TSAS Scheduling Revenue (1)'!H272</f>
        <v>5000</v>
      </c>
      <c r="I271" s="27">
        <f>'TSAS Scheduling Revenue (1)'!I272</f>
        <v>5000</v>
      </c>
      <c r="J271" s="27">
        <f>'TSAS Scheduling Revenue (1)'!J272</f>
        <v>5000</v>
      </c>
      <c r="K271" s="27">
        <f>'TSAS Scheduling Revenue (1)'!K272</f>
        <v>5000</v>
      </c>
      <c r="L271" s="27">
        <f>'TSAS Scheduling Revenue (1)'!L272</f>
        <v>5000</v>
      </c>
      <c r="M271" s="27">
        <f>'TSAS Scheduling Revenue (1)'!M272</f>
        <v>5000</v>
      </c>
      <c r="N271" s="27">
        <f>SUM(B271:M271)</f>
        <v>60000</v>
      </c>
    </row>
    <row r="272" spans="1:14">
      <c r="A272" s="25" t="s">
        <v>20</v>
      </c>
      <c r="B272" s="31">
        <f>'charges (1 &amp; 2)'!G19</f>
        <v>0.1008</v>
      </c>
      <c r="C272" s="31">
        <f t="shared" ref="C272:M272" si="105">+$B$11</f>
        <v>0.1008</v>
      </c>
      <c r="D272" s="31">
        <f t="shared" si="105"/>
        <v>0.1008</v>
      </c>
      <c r="E272" s="31">
        <f t="shared" si="105"/>
        <v>0.1008</v>
      </c>
      <c r="F272" s="31">
        <f t="shared" si="105"/>
        <v>0.1008</v>
      </c>
      <c r="G272" s="31">
        <f t="shared" si="105"/>
        <v>0.1008</v>
      </c>
      <c r="H272" s="31">
        <f t="shared" si="105"/>
        <v>0.1008</v>
      </c>
      <c r="I272" s="31">
        <f t="shared" si="105"/>
        <v>0.1008</v>
      </c>
      <c r="J272" s="31">
        <f t="shared" si="105"/>
        <v>0.1008</v>
      </c>
      <c r="K272" s="31">
        <f t="shared" si="105"/>
        <v>0.1008</v>
      </c>
      <c r="L272" s="31">
        <f t="shared" si="105"/>
        <v>0.1008</v>
      </c>
      <c r="M272" s="31">
        <f t="shared" si="105"/>
        <v>0.1008</v>
      </c>
      <c r="N272" s="19"/>
    </row>
    <row r="273" spans="1:14">
      <c r="A273" s="25" t="s">
        <v>17</v>
      </c>
      <c r="B273" s="20">
        <f t="shared" ref="B273:M273" si="106">B271*B272</f>
        <v>504</v>
      </c>
      <c r="C273" s="20">
        <f t="shared" si="106"/>
        <v>504</v>
      </c>
      <c r="D273" s="20">
        <f t="shared" si="106"/>
        <v>504</v>
      </c>
      <c r="E273" s="20">
        <f t="shared" si="106"/>
        <v>504</v>
      </c>
      <c r="F273" s="20">
        <f t="shared" si="106"/>
        <v>504</v>
      </c>
      <c r="G273" s="20">
        <f t="shared" si="106"/>
        <v>504</v>
      </c>
      <c r="H273" s="20">
        <f t="shared" si="106"/>
        <v>504</v>
      </c>
      <c r="I273" s="20">
        <f t="shared" si="106"/>
        <v>504</v>
      </c>
      <c r="J273" s="20">
        <f t="shared" si="106"/>
        <v>504</v>
      </c>
      <c r="K273" s="20">
        <f t="shared" si="106"/>
        <v>504</v>
      </c>
      <c r="L273" s="20">
        <f t="shared" si="106"/>
        <v>504</v>
      </c>
      <c r="M273" s="20">
        <f t="shared" si="106"/>
        <v>504</v>
      </c>
      <c r="N273" s="20">
        <f>SUM(B273:M273)</f>
        <v>6048</v>
      </c>
    </row>
    <row r="274" spans="1:14" ht="5.2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ht="11.25" customHeight="1">
      <c r="A275" s="25" t="s">
        <v>21</v>
      </c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ht="11.25" customHeight="1">
      <c r="A276" s="26" t="s">
        <v>16</v>
      </c>
      <c r="B276" s="27">
        <f>'TSAS Scheduling Revenue (1)'!B277</f>
        <v>0</v>
      </c>
      <c r="C276" s="27">
        <f>'TSAS Scheduling Revenue (1)'!C277</f>
        <v>0</v>
      </c>
      <c r="D276" s="27">
        <f>'TSAS Scheduling Revenue (1)'!D277</f>
        <v>0</v>
      </c>
      <c r="E276" s="27">
        <f>'TSAS Scheduling Revenue (1)'!E277</f>
        <v>0</v>
      </c>
      <c r="F276" s="27">
        <f>'TSAS Scheduling Revenue (1)'!F277</f>
        <v>0</v>
      </c>
      <c r="G276" s="27">
        <f>'TSAS Scheduling Revenue (1)'!G277</f>
        <v>0</v>
      </c>
      <c r="H276" s="27">
        <f>'TSAS Scheduling Revenue (1)'!H277</f>
        <v>0</v>
      </c>
      <c r="I276" s="27">
        <f>'TSAS Scheduling Revenue (1)'!I277</f>
        <v>0</v>
      </c>
      <c r="J276" s="27">
        <f>'TSAS Scheduling Revenue (1)'!J277</f>
        <v>0</v>
      </c>
      <c r="K276" s="27">
        <f>'TSAS Scheduling Revenue (1)'!K277</f>
        <v>0</v>
      </c>
      <c r="L276" s="27">
        <f>'TSAS Scheduling Revenue (1)'!L277</f>
        <v>0</v>
      </c>
      <c r="M276" s="27">
        <f>'TSAS Scheduling Revenue (1)'!M277</f>
        <v>0</v>
      </c>
      <c r="N276" s="27">
        <f>SUM(B276:M276)</f>
        <v>0</v>
      </c>
    </row>
    <row r="277" spans="1:14" ht="11.25" customHeight="1">
      <c r="A277" s="25" t="s">
        <v>20</v>
      </c>
      <c r="B277" s="31">
        <f>'charges (1 &amp; 2)'!G10</f>
        <v>0.1008</v>
      </c>
      <c r="C277" s="31">
        <f t="shared" ref="C277:M277" si="107">+$B$16</f>
        <v>0.1008</v>
      </c>
      <c r="D277" s="31">
        <f t="shared" si="107"/>
        <v>0.1008</v>
      </c>
      <c r="E277" s="31">
        <f t="shared" si="107"/>
        <v>0.1008</v>
      </c>
      <c r="F277" s="31">
        <f t="shared" si="107"/>
        <v>0.1008</v>
      </c>
      <c r="G277" s="31">
        <f t="shared" si="107"/>
        <v>0.1008</v>
      </c>
      <c r="H277" s="31">
        <f t="shared" si="107"/>
        <v>0.1008</v>
      </c>
      <c r="I277" s="31">
        <f t="shared" si="107"/>
        <v>0.1008</v>
      </c>
      <c r="J277" s="31">
        <f t="shared" si="107"/>
        <v>0.1008</v>
      </c>
      <c r="K277" s="31">
        <f t="shared" si="107"/>
        <v>0.1008</v>
      </c>
      <c r="L277" s="31">
        <f t="shared" si="107"/>
        <v>0.1008</v>
      </c>
      <c r="M277" s="31">
        <f t="shared" si="107"/>
        <v>0.1008</v>
      </c>
      <c r="N277" s="19"/>
    </row>
    <row r="278" spans="1:14" ht="10.5" customHeight="1">
      <c r="A278" s="25" t="s">
        <v>17</v>
      </c>
      <c r="B278" s="20">
        <f t="shared" ref="B278:M278" si="108">B276*B277</f>
        <v>0</v>
      </c>
      <c r="C278" s="20">
        <f t="shared" si="108"/>
        <v>0</v>
      </c>
      <c r="D278" s="20">
        <f t="shared" si="108"/>
        <v>0</v>
      </c>
      <c r="E278" s="20">
        <f t="shared" si="108"/>
        <v>0</v>
      </c>
      <c r="F278" s="20">
        <f t="shared" si="108"/>
        <v>0</v>
      </c>
      <c r="G278" s="20">
        <f t="shared" si="108"/>
        <v>0</v>
      </c>
      <c r="H278" s="20">
        <f t="shared" si="108"/>
        <v>0</v>
      </c>
      <c r="I278" s="20">
        <f t="shared" si="108"/>
        <v>0</v>
      </c>
      <c r="J278" s="20">
        <f t="shared" si="108"/>
        <v>0</v>
      </c>
      <c r="K278" s="20">
        <f t="shared" si="108"/>
        <v>0</v>
      </c>
      <c r="L278" s="20">
        <f t="shared" si="108"/>
        <v>0</v>
      </c>
      <c r="M278" s="20">
        <f t="shared" si="108"/>
        <v>0</v>
      </c>
      <c r="N278" s="20">
        <f>SUM(B278:M278)</f>
        <v>0</v>
      </c>
    </row>
    <row r="279" spans="1:14" ht="5.25" customHeight="1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ht="9.75" customHeight="1">
      <c r="A280" s="25" t="s">
        <v>22</v>
      </c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>
      <c r="A281" s="26" t="s">
        <v>16</v>
      </c>
      <c r="B281" s="27">
        <f>'TSAS Scheduling Revenue (1)'!B282</f>
        <v>0</v>
      </c>
      <c r="C281" s="27">
        <f>'TSAS Scheduling Revenue (1)'!C282</f>
        <v>0</v>
      </c>
      <c r="D281" s="27">
        <f>'TSAS Scheduling Revenue (1)'!D282</f>
        <v>0</v>
      </c>
      <c r="E281" s="27">
        <f>'TSAS Scheduling Revenue (1)'!E282</f>
        <v>0</v>
      </c>
      <c r="F281" s="27">
        <f>'TSAS Scheduling Revenue (1)'!F282</f>
        <v>0</v>
      </c>
      <c r="G281" s="27">
        <f>'TSAS Scheduling Revenue (1)'!G282</f>
        <v>0</v>
      </c>
      <c r="H281" s="27">
        <f>'TSAS Scheduling Revenue (1)'!H282</f>
        <v>0</v>
      </c>
      <c r="I281" s="27">
        <f>'TSAS Scheduling Revenue (1)'!I282</f>
        <v>0</v>
      </c>
      <c r="J281" s="27">
        <f>'TSAS Scheduling Revenue (1)'!J282</f>
        <v>0</v>
      </c>
      <c r="K281" s="27">
        <f>'TSAS Scheduling Revenue (1)'!K282</f>
        <v>0</v>
      </c>
      <c r="L281" s="27">
        <f>'TSAS Scheduling Revenue (1)'!L282</f>
        <v>0</v>
      </c>
      <c r="M281" s="27">
        <f>'TSAS Scheduling Revenue (1)'!M282</f>
        <v>0</v>
      </c>
      <c r="N281" s="27">
        <f>SUM(B281:M281)</f>
        <v>0</v>
      </c>
    </row>
    <row r="282" spans="1:14">
      <c r="A282" s="25" t="s">
        <v>20</v>
      </c>
      <c r="B282" s="32">
        <f>'charges (1 &amp; 2)'!G22</f>
        <v>0.1008</v>
      </c>
      <c r="C282" s="32">
        <f t="shared" ref="C282:M282" si="109">+$B$21</f>
        <v>0.1008</v>
      </c>
      <c r="D282" s="32">
        <f t="shared" si="109"/>
        <v>0.1008</v>
      </c>
      <c r="E282" s="32">
        <f t="shared" si="109"/>
        <v>0.1008</v>
      </c>
      <c r="F282" s="32">
        <f t="shared" si="109"/>
        <v>0.1008</v>
      </c>
      <c r="G282" s="32">
        <f t="shared" si="109"/>
        <v>0.1008</v>
      </c>
      <c r="H282" s="32">
        <f t="shared" si="109"/>
        <v>0.1008</v>
      </c>
      <c r="I282" s="32">
        <f t="shared" si="109"/>
        <v>0.1008</v>
      </c>
      <c r="J282" s="32">
        <f t="shared" si="109"/>
        <v>0.1008</v>
      </c>
      <c r="K282" s="32">
        <f t="shared" si="109"/>
        <v>0.1008</v>
      </c>
      <c r="L282" s="32">
        <f t="shared" si="109"/>
        <v>0.1008</v>
      </c>
      <c r="M282" s="32">
        <f t="shared" si="109"/>
        <v>0.1008</v>
      </c>
      <c r="N282" s="19"/>
    </row>
    <row r="283" spans="1:14" ht="10.5" customHeight="1">
      <c r="A283" s="25" t="s">
        <v>17</v>
      </c>
      <c r="B283" s="20">
        <f t="shared" ref="B283:M283" si="110">B281*B282</f>
        <v>0</v>
      </c>
      <c r="C283" s="20">
        <f t="shared" si="110"/>
        <v>0</v>
      </c>
      <c r="D283" s="20">
        <f t="shared" si="110"/>
        <v>0</v>
      </c>
      <c r="E283" s="20">
        <f t="shared" si="110"/>
        <v>0</v>
      </c>
      <c r="F283" s="20">
        <f t="shared" si="110"/>
        <v>0</v>
      </c>
      <c r="G283" s="20">
        <f t="shared" si="110"/>
        <v>0</v>
      </c>
      <c r="H283" s="20">
        <f t="shared" si="110"/>
        <v>0</v>
      </c>
      <c r="I283" s="20">
        <f t="shared" si="110"/>
        <v>0</v>
      </c>
      <c r="J283" s="20">
        <f t="shared" si="110"/>
        <v>0</v>
      </c>
      <c r="K283" s="20">
        <f t="shared" si="110"/>
        <v>0</v>
      </c>
      <c r="L283" s="20">
        <f t="shared" si="110"/>
        <v>0</v>
      </c>
      <c r="M283" s="20">
        <f t="shared" si="110"/>
        <v>0</v>
      </c>
      <c r="N283" s="20">
        <f>SUM(B283:M283)</f>
        <v>0</v>
      </c>
    </row>
    <row r="284" spans="1:14" ht="6.75" customHeight="1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1:14">
      <c r="A285" s="393" t="s">
        <v>23</v>
      </c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1:14" ht="10.5" customHeight="1">
      <c r="A286" s="26" t="s">
        <v>16</v>
      </c>
      <c r="B286" s="27">
        <f>'TSAS Scheduling Revenue (1)'!B287</f>
        <v>37056</v>
      </c>
      <c r="C286" s="27">
        <f>'TSAS Scheduling Revenue (1)'!C287</f>
        <v>37056</v>
      </c>
      <c r="D286" s="27">
        <f>'TSAS Scheduling Revenue (1)'!D287</f>
        <v>37056</v>
      </c>
      <c r="E286" s="27">
        <f>'TSAS Scheduling Revenue (1)'!E287</f>
        <v>37056</v>
      </c>
      <c r="F286" s="27">
        <f>'TSAS Scheduling Revenue (1)'!F287</f>
        <v>37056</v>
      </c>
      <c r="G286" s="27">
        <f>'TSAS Scheduling Revenue (1)'!G287</f>
        <v>37056</v>
      </c>
      <c r="H286" s="27">
        <f>'TSAS Scheduling Revenue (1)'!H287</f>
        <v>37056</v>
      </c>
      <c r="I286" s="27">
        <f>'TSAS Scheduling Revenue (1)'!I287</f>
        <v>37056</v>
      </c>
      <c r="J286" s="27">
        <f>'TSAS Scheduling Revenue (1)'!J287</f>
        <v>37056</v>
      </c>
      <c r="K286" s="27">
        <f>'TSAS Scheduling Revenue (1)'!K287</f>
        <v>37056</v>
      </c>
      <c r="L286" s="27">
        <f>'TSAS Scheduling Revenue (1)'!L287</f>
        <v>37056</v>
      </c>
      <c r="M286" s="27">
        <f>'TSAS Scheduling Revenue (1)'!M287</f>
        <v>37056</v>
      </c>
      <c r="N286" s="27">
        <f>SUM(B286:M286)</f>
        <v>444672</v>
      </c>
    </row>
    <row r="287" spans="1:14" ht="11.25" customHeight="1">
      <c r="A287" s="25" t="s">
        <v>20</v>
      </c>
      <c r="B287" s="32">
        <f>'charges (1 &amp; 2)'!G13</f>
        <v>7.0000000000000007E-2</v>
      </c>
      <c r="C287" s="32">
        <f t="shared" ref="C287:M287" si="111">+$B$26</f>
        <v>7.0000000000000007E-2</v>
      </c>
      <c r="D287" s="32">
        <f t="shared" si="111"/>
        <v>7.0000000000000007E-2</v>
      </c>
      <c r="E287" s="32">
        <f t="shared" si="111"/>
        <v>7.0000000000000007E-2</v>
      </c>
      <c r="F287" s="32">
        <f t="shared" si="111"/>
        <v>7.0000000000000007E-2</v>
      </c>
      <c r="G287" s="32">
        <f t="shared" si="111"/>
        <v>7.0000000000000007E-2</v>
      </c>
      <c r="H287" s="32">
        <f t="shared" si="111"/>
        <v>7.0000000000000007E-2</v>
      </c>
      <c r="I287" s="32">
        <f t="shared" si="111"/>
        <v>7.0000000000000007E-2</v>
      </c>
      <c r="J287" s="32">
        <f t="shared" si="111"/>
        <v>7.0000000000000007E-2</v>
      </c>
      <c r="K287" s="32">
        <f t="shared" si="111"/>
        <v>7.0000000000000007E-2</v>
      </c>
      <c r="L287" s="32">
        <f t="shared" si="111"/>
        <v>7.0000000000000007E-2</v>
      </c>
      <c r="M287" s="32">
        <f t="shared" si="111"/>
        <v>7.0000000000000007E-2</v>
      </c>
      <c r="N287" s="19"/>
    </row>
    <row r="288" spans="1:14" ht="9.75" customHeight="1">
      <c r="A288" s="25" t="s">
        <v>17</v>
      </c>
      <c r="B288" s="20">
        <f t="shared" ref="B288:M288" si="112">B286*B287</f>
        <v>2593.92</v>
      </c>
      <c r="C288" s="20">
        <f t="shared" si="112"/>
        <v>2593.92</v>
      </c>
      <c r="D288" s="20">
        <f t="shared" si="112"/>
        <v>2593.92</v>
      </c>
      <c r="E288" s="20">
        <f t="shared" si="112"/>
        <v>2593.92</v>
      </c>
      <c r="F288" s="20">
        <f t="shared" si="112"/>
        <v>2593.92</v>
      </c>
      <c r="G288" s="20">
        <f t="shared" si="112"/>
        <v>2593.92</v>
      </c>
      <c r="H288" s="20">
        <f t="shared" si="112"/>
        <v>2593.92</v>
      </c>
      <c r="I288" s="20">
        <f t="shared" si="112"/>
        <v>2593.92</v>
      </c>
      <c r="J288" s="20">
        <f t="shared" si="112"/>
        <v>2593.92</v>
      </c>
      <c r="K288" s="20">
        <f t="shared" si="112"/>
        <v>2593.92</v>
      </c>
      <c r="L288" s="20">
        <f t="shared" si="112"/>
        <v>2593.92</v>
      </c>
      <c r="M288" s="20">
        <f t="shared" si="112"/>
        <v>2593.92</v>
      </c>
      <c r="N288" s="20">
        <f>SUM(B288:M288)</f>
        <v>31127.039999999994</v>
      </c>
    </row>
    <row r="289" spans="1:14" ht="6" customHeight="1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10.5" customHeight="1">
      <c r="A290" s="393" t="s">
        <v>24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</row>
    <row r="291" spans="1:14" ht="11.25" customHeight="1">
      <c r="A291" s="26" t="s">
        <v>16</v>
      </c>
      <c r="B291" s="27">
        <f>'TSAS Scheduling Revenue (1)'!B292</f>
        <v>62000</v>
      </c>
      <c r="C291" s="27">
        <f>'TSAS Scheduling Revenue (1)'!C292</f>
        <v>62000</v>
      </c>
      <c r="D291" s="27">
        <f>'TSAS Scheduling Revenue (1)'!D292</f>
        <v>62000</v>
      </c>
      <c r="E291" s="27">
        <f>'TSAS Scheduling Revenue (1)'!E292</f>
        <v>62000</v>
      </c>
      <c r="F291" s="27">
        <f>'TSAS Scheduling Revenue (1)'!F292</f>
        <v>62000</v>
      </c>
      <c r="G291" s="27">
        <f>'TSAS Scheduling Revenue (1)'!G292</f>
        <v>62000</v>
      </c>
      <c r="H291" s="27">
        <f>'TSAS Scheduling Revenue (1)'!H292</f>
        <v>62000</v>
      </c>
      <c r="I291" s="27">
        <f>'TSAS Scheduling Revenue (1)'!I292</f>
        <v>62000</v>
      </c>
      <c r="J291" s="27">
        <f>'TSAS Scheduling Revenue (1)'!J292</f>
        <v>62000</v>
      </c>
      <c r="K291" s="27">
        <f>'TSAS Scheduling Revenue (1)'!K292</f>
        <v>62000</v>
      </c>
      <c r="L291" s="27">
        <f>'TSAS Scheduling Revenue (1)'!L292</f>
        <v>62000</v>
      </c>
      <c r="M291" s="27">
        <f>'TSAS Scheduling Revenue (1)'!M292</f>
        <v>62000</v>
      </c>
      <c r="N291" s="27">
        <f>SUM(B291:M291)</f>
        <v>744000</v>
      </c>
    </row>
    <row r="292" spans="1:14" ht="12" customHeight="1">
      <c r="A292" s="25" t="s">
        <v>20</v>
      </c>
      <c r="B292" s="32">
        <f>'charges (1 &amp; 2)'!G16</f>
        <v>0.1008</v>
      </c>
      <c r="C292" s="32">
        <f t="shared" ref="C292:M292" si="113">+$B$31</f>
        <v>0.1008</v>
      </c>
      <c r="D292" s="32">
        <f t="shared" si="113"/>
        <v>0.1008</v>
      </c>
      <c r="E292" s="32">
        <f t="shared" si="113"/>
        <v>0.1008</v>
      </c>
      <c r="F292" s="32">
        <f t="shared" si="113"/>
        <v>0.1008</v>
      </c>
      <c r="G292" s="32">
        <f t="shared" si="113"/>
        <v>0.1008</v>
      </c>
      <c r="H292" s="32">
        <f t="shared" si="113"/>
        <v>0.1008</v>
      </c>
      <c r="I292" s="32">
        <f t="shared" si="113"/>
        <v>0.1008</v>
      </c>
      <c r="J292" s="32">
        <f t="shared" si="113"/>
        <v>0.1008</v>
      </c>
      <c r="K292" s="32">
        <f t="shared" si="113"/>
        <v>0.1008</v>
      </c>
      <c r="L292" s="32">
        <f t="shared" si="113"/>
        <v>0.1008</v>
      </c>
      <c r="M292" s="32">
        <f t="shared" si="113"/>
        <v>0.1008</v>
      </c>
      <c r="N292" s="19"/>
    </row>
    <row r="293" spans="1:14" ht="11.25" customHeight="1">
      <c r="A293" s="25" t="s">
        <v>17</v>
      </c>
      <c r="B293" s="20">
        <f t="shared" ref="B293:M293" si="114">B291*B292</f>
        <v>6249.6</v>
      </c>
      <c r="C293" s="20">
        <f t="shared" si="114"/>
        <v>6249.6</v>
      </c>
      <c r="D293" s="20">
        <f t="shared" si="114"/>
        <v>6249.6</v>
      </c>
      <c r="E293" s="20">
        <f t="shared" si="114"/>
        <v>6249.6</v>
      </c>
      <c r="F293" s="20">
        <f t="shared" si="114"/>
        <v>6249.6</v>
      </c>
      <c r="G293" s="20">
        <f t="shared" si="114"/>
        <v>6249.6</v>
      </c>
      <c r="H293" s="20">
        <f t="shared" si="114"/>
        <v>6249.6</v>
      </c>
      <c r="I293" s="20">
        <f t="shared" si="114"/>
        <v>6249.6</v>
      </c>
      <c r="J293" s="20">
        <f t="shared" si="114"/>
        <v>6249.6</v>
      </c>
      <c r="K293" s="20">
        <f t="shared" si="114"/>
        <v>6249.6</v>
      </c>
      <c r="L293" s="20">
        <f t="shared" si="114"/>
        <v>6249.6</v>
      </c>
      <c r="M293" s="20">
        <f t="shared" si="114"/>
        <v>6249.6</v>
      </c>
      <c r="N293" s="20">
        <f>SUM(B293:M293)</f>
        <v>74995.199999999997</v>
      </c>
    </row>
    <row r="294" spans="1:14" ht="4.5" customHeight="1">
      <c r="A294" s="25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0.5" customHeight="1">
      <c r="A295" s="393" t="s">
        <v>111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</row>
    <row r="296" spans="1:14" ht="10.5" customHeight="1">
      <c r="A296" s="26" t="s">
        <v>16</v>
      </c>
      <c r="B296" s="27">
        <f>'TSAS Scheduling Revenue (1)'!B297</f>
        <v>40000</v>
      </c>
      <c r="C296" s="27">
        <f>'TSAS Scheduling Revenue (1)'!C297</f>
        <v>40000</v>
      </c>
      <c r="D296" s="27">
        <f>'TSAS Scheduling Revenue (1)'!D297</f>
        <v>40000</v>
      </c>
      <c r="E296" s="27">
        <f>'TSAS Scheduling Revenue (1)'!E297</f>
        <v>40000</v>
      </c>
      <c r="F296" s="27">
        <f>'TSAS Scheduling Revenue (1)'!F297</f>
        <v>40000</v>
      </c>
      <c r="G296" s="27">
        <f>'TSAS Scheduling Revenue (1)'!G297</f>
        <v>40000</v>
      </c>
      <c r="H296" s="27">
        <f>'TSAS Scheduling Revenue (1)'!H297</f>
        <v>40000</v>
      </c>
      <c r="I296" s="27">
        <f>'TSAS Scheduling Revenue (1)'!I297</f>
        <v>40000</v>
      </c>
      <c r="J296" s="27">
        <f>'TSAS Scheduling Revenue (1)'!J297</f>
        <v>40000</v>
      </c>
      <c r="K296" s="27">
        <f>'TSAS Scheduling Revenue (1)'!K297</f>
        <v>40000</v>
      </c>
      <c r="L296" s="27">
        <f>'TSAS Scheduling Revenue (1)'!L297</f>
        <v>40000</v>
      </c>
      <c r="M296" s="27">
        <f>'TSAS Scheduling Revenue (1)'!M297</f>
        <v>40000</v>
      </c>
      <c r="N296" s="27">
        <f>SUM(B296:M296)</f>
        <v>480000</v>
      </c>
    </row>
    <row r="297" spans="1:14" ht="10.5" customHeight="1">
      <c r="A297" s="25" t="s">
        <v>20</v>
      </c>
      <c r="B297" s="32">
        <f>B292</f>
        <v>0.1008</v>
      </c>
      <c r="C297" s="32">
        <f>C292</f>
        <v>0.1008</v>
      </c>
      <c r="D297" s="32">
        <f t="shared" ref="D297:M297" si="115">C297</f>
        <v>0.1008</v>
      </c>
      <c r="E297" s="32">
        <f t="shared" si="115"/>
        <v>0.1008</v>
      </c>
      <c r="F297" s="32">
        <f t="shared" si="115"/>
        <v>0.1008</v>
      </c>
      <c r="G297" s="32">
        <f t="shared" si="115"/>
        <v>0.1008</v>
      </c>
      <c r="H297" s="32">
        <f t="shared" si="115"/>
        <v>0.1008</v>
      </c>
      <c r="I297" s="32">
        <f t="shared" si="115"/>
        <v>0.1008</v>
      </c>
      <c r="J297" s="32">
        <f t="shared" si="115"/>
        <v>0.1008</v>
      </c>
      <c r="K297" s="32">
        <f t="shared" si="115"/>
        <v>0.1008</v>
      </c>
      <c r="L297" s="32">
        <f t="shared" si="115"/>
        <v>0.1008</v>
      </c>
      <c r="M297" s="32">
        <f t="shared" si="115"/>
        <v>0.1008</v>
      </c>
      <c r="N297" s="19"/>
    </row>
    <row r="298" spans="1:14" ht="11.25" customHeight="1">
      <c r="A298" s="25" t="s">
        <v>17</v>
      </c>
      <c r="B298" s="20">
        <f t="shared" ref="B298:M298" si="116">B296*B297</f>
        <v>4032</v>
      </c>
      <c r="C298" s="20">
        <f t="shared" si="116"/>
        <v>4032</v>
      </c>
      <c r="D298" s="20">
        <f t="shared" si="116"/>
        <v>4032</v>
      </c>
      <c r="E298" s="20">
        <f t="shared" si="116"/>
        <v>4032</v>
      </c>
      <c r="F298" s="20">
        <f t="shared" si="116"/>
        <v>4032</v>
      </c>
      <c r="G298" s="20">
        <f t="shared" si="116"/>
        <v>4032</v>
      </c>
      <c r="H298" s="20">
        <f t="shared" si="116"/>
        <v>4032</v>
      </c>
      <c r="I298" s="20">
        <f t="shared" si="116"/>
        <v>4032</v>
      </c>
      <c r="J298" s="20">
        <f t="shared" si="116"/>
        <v>4032</v>
      </c>
      <c r="K298" s="20">
        <f t="shared" si="116"/>
        <v>4032</v>
      </c>
      <c r="L298" s="20">
        <f t="shared" si="116"/>
        <v>4032</v>
      </c>
      <c r="M298" s="20">
        <f t="shared" si="116"/>
        <v>4032</v>
      </c>
      <c r="N298" s="20">
        <f>SUM(B298:M298)</f>
        <v>48384</v>
      </c>
    </row>
    <row r="299" spans="1:14" ht="6" customHeight="1">
      <c r="A299" s="25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>
      <c r="A300" s="393" t="s">
        <v>222</v>
      </c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  <row r="301" spans="1:14">
      <c r="A301" s="26" t="s">
        <v>16</v>
      </c>
      <c r="B301" s="27">
        <f>'TSAS Scheduling Revenue (1)'!B302</f>
        <v>3000</v>
      </c>
      <c r="C301" s="27">
        <f>'TSAS Scheduling Revenue (1)'!C302</f>
        <v>3000</v>
      </c>
      <c r="D301" s="27">
        <f>'TSAS Scheduling Revenue (1)'!D302</f>
        <v>3000</v>
      </c>
      <c r="E301" s="27">
        <f>'TSAS Scheduling Revenue (1)'!E302</f>
        <v>3000</v>
      </c>
      <c r="F301" s="27">
        <f>'TSAS Scheduling Revenue (1)'!F302</f>
        <v>3000</v>
      </c>
      <c r="G301" s="27">
        <f>'TSAS Scheduling Revenue (1)'!G302</f>
        <v>3000</v>
      </c>
      <c r="H301" s="27">
        <f>'TSAS Scheduling Revenue (1)'!H302</f>
        <v>3000</v>
      </c>
      <c r="I301" s="27">
        <f>'TSAS Scheduling Revenue (1)'!I302</f>
        <v>3000</v>
      </c>
      <c r="J301" s="27">
        <f>'TSAS Scheduling Revenue (1)'!J302</f>
        <v>3000</v>
      </c>
      <c r="K301" s="27">
        <f>'TSAS Scheduling Revenue (1)'!K302</f>
        <v>3000</v>
      </c>
      <c r="L301" s="27">
        <f>'TSAS Scheduling Revenue (1)'!L302</f>
        <v>3000</v>
      </c>
      <c r="M301" s="27">
        <f>'TSAS Scheduling Revenue (1)'!M302</f>
        <v>3000</v>
      </c>
      <c r="N301" s="27">
        <f>SUM(B301:M301)</f>
        <v>36000</v>
      </c>
    </row>
    <row r="302" spans="1:14">
      <c r="A302" s="25" t="s">
        <v>20</v>
      </c>
      <c r="B302" s="32">
        <f>B297</f>
        <v>0.1008</v>
      </c>
      <c r="C302" s="32">
        <f>C297</f>
        <v>0.1008</v>
      </c>
      <c r="D302" s="32">
        <f t="shared" ref="D302:M302" si="117">C302</f>
        <v>0.1008</v>
      </c>
      <c r="E302" s="32">
        <f t="shared" si="117"/>
        <v>0.1008</v>
      </c>
      <c r="F302" s="32">
        <f t="shared" si="117"/>
        <v>0.1008</v>
      </c>
      <c r="G302" s="32">
        <f t="shared" si="117"/>
        <v>0.1008</v>
      </c>
      <c r="H302" s="32">
        <f t="shared" si="117"/>
        <v>0.1008</v>
      </c>
      <c r="I302" s="32">
        <f t="shared" si="117"/>
        <v>0.1008</v>
      </c>
      <c r="J302" s="32">
        <f t="shared" si="117"/>
        <v>0.1008</v>
      </c>
      <c r="K302" s="32">
        <f t="shared" si="117"/>
        <v>0.1008</v>
      </c>
      <c r="L302" s="32">
        <f t="shared" si="117"/>
        <v>0.1008</v>
      </c>
      <c r="M302" s="32">
        <f t="shared" si="117"/>
        <v>0.1008</v>
      </c>
      <c r="N302" s="19"/>
    </row>
    <row r="303" spans="1:14">
      <c r="A303" s="25" t="s">
        <v>17</v>
      </c>
      <c r="B303" s="20">
        <f t="shared" ref="B303:M303" si="118">B301*B302</f>
        <v>302.39999999999998</v>
      </c>
      <c r="C303" s="20">
        <f t="shared" si="118"/>
        <v>302.39999999999998</v>
      </c>
      <c r="D303" s="20">
        <f t="shared" si="118"/>
        <v>302.39999999999998</v>
      </c>
      <c r="E303" s="20">
        <f t="shared" si="118"/>
        <v>302.39999999999998</v>
      </c>
      <c r="F303" s="20">
        <f t="shared" si="118"/>
        <v>302.39999999999998</v>
      </c>
      <c r="G303" s="20">
        <f t="shared" si="118"/>
        <v>302.39999999999998</v>
      </c>
      <c r="H303" s="20">
        <f t="shared" si="118"/>
        <v>302.39999999999998</v>
      </c>
      <c r="I303" s="20">
        <f t="shared" si="118"/>
        <v>302.39999999999998</v>
      </c>
      <c r="J303" s="20">
        <f t="shared" si="118"/>
        <v>302.39999999999998</v>
      </c>
      <c r="K303" s="20">
        <f t="shared" si="118"/>
        <v>302.39999999999998</v>
      </c>
      <c r="L303" s="20">
        <f t="shared" si="118"/>
        <v>302.39999999999998</v>
      </c>
      <c r="M303" s="20">
        <f t="shared" si="118"/>
        <v>302.39999999999998</v>
      </c>
      <c r="N303" s="20">
        <f>SUM(B303:M303)</f>
        <v>3628.8000000000006</v>
      </c>
    </row>
    <row r="304" spans="1:14" ht="6" customHeight="1">
      <c r="A304" s="25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>
      <c r="A305" s="393" t="s">
        <v>173</v>
      </c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>
      <c r="A306" s="26" t="s">
        <v>16</v>
      </c>
      <c r="B306" s="27">
        <f>'TSAS Scheduling Revenue (1)'!B307</f>
        <v>0</v>
      </c>
      <c r="C306" s="27">
        <f>'TSAS Scheduling Revenue (1)'!C307</f>
        <v>0</v>
      </c>
      <c r="D306" s="27">
        <f>'TSAS Scheduling Revenue (1)'!D307</f>
        <v>0</v>
      </c>
      <c r="E306" s="27">
        <f>'TSAS Scheduling Revenue (1)'!E307</f>
        <v>0</v>
      </c>
      <c r="F306" s="27">
        <f>'TSAS Scheduling Revenue (1)'!F307</f>
        <v>0</v>
      </c>
      <c r="G306" s="27">
        <f>'TSAS Scheduling Revenue (1)'!G307</f>
        <v>0</v>
      </c>
      <c r="H306" s="27">
        <f>'TSAS Scheduling Revenue (1)'!H307</f>
        <v>0</v>
      </c>
      <c r="I306" s="27">
        <f>'TSAS Scheduling Revenue (1)'!I307</f>
        <v>0</v>
      </c>
      <c r="J306" s="27">
        <f>'TSAS Scheduling Revenue (1)'!J307</f>
        <v>0</v>
      </c>
      <c r="K306" s="27">
        <f>'TSAS Scheduling Revenue (1)'!K307</f>
        <v>0</v>
      </c>
      <c r="L306" s="27">
        <f>'TSAS Scheduling Revenue (1)'!L307</f>
        <v>0</v>
      </c>
      <c r="M306" s="27">
        <f>'TSAS Scheduling Revenue (1)'!M307</f>
        <v>0</v>
      </c>
      <c r="N306" s="27">
        <f>SUM(B306:M306)</f>
        <v>0</v>
      </c>
    </row>
    <row r="307" spans="1:14">
      <c r="A307" s="25" t="s">
        <v>20</v>
      </c>
      <c r="B307" s="32">
        <f>B297</f>
        <v>0.1008</v>
      </c>
      <c r="C307" s="32">
        <f t="shared" ref="C307:M307" si="119">C297</f>
        <v>0.1008</v>
      </c>
      <c r="D307" s="32">
        <f t="shared" si="119"/>
        <v>0.1008</v>
      </c>
      <c r="E307" s="32">
        <f t="shared" si="119"/>
        <v>0.1008</v>
      </c>
      <c r="F307" s="32">
        <f t="shared" si="119"/>
        <v>0.1008</v>
      </c>
      <c r="G307" s="32">
        <f t="shared" si="119"/>
        <v>0.1008</v>
      </c>
      <c r="H307" s="32">
        <f t="shared" si="119"/>
        <v>0.1008</v>
      </c>
      <c r="I307" s="32">
        <f t="shared" si="119"/>
        <v>0.1008</v>
      </c>
      <c r="J307" s="32">
        <f t="shared" si="119"/>
        <v>0.1008</v>
      </c>
      <c r="K307" s="32">
        <f t="shared" si="119"/>
        <v>0.1008</v>
      </c>
      <c r="L307" s="32">
        <f t="shared" si="119"/>
        <v>0.1008</v>
      </c>
      <c r="M307" s="32">
        <f t="shared" si="119"/>
        <v>0.1008</v>
      </c>
      <c r="N307" s="19"/>
    </row>
    <row r="308" spans="1:14">
      <c r="A308" s="25" t="s">
        <v>17</v>
      </c>
      <c r="B308" s="20">
        <f t="shared" ref="B308:M308" si="120">B306*B307</f>
        <v>0</v>
      </c>
      <c r="C308" s="20">
        <f t="shared" si="120"/>
        <v>0</v>
      </c>
      <c r="D308" s="20">
        <f t="shared" si="120"/>
        <v>0</v>
      </c>
      <c r="E308" s="20">
        <f t="shared" si="120"/>
        <v>0</v>
      </c>
      <c r="F308" s="20">
        <f t="shared" si="120"/>
        <v>0</v>
      </c>
      <c r="G308" s="20">
        <f t="shared" si="120"/>
        <v>0</v>
      </c>
      <c r="H308" s="20">
        <f t="shared" si="120"/>
        <v>0</v>
      </c>
      <c r="I308" s="20">
        <f t="shared" si="120"/>
        <v>0</v>
      </c>
      <c r="J308" s="20">
        <f t="shared" si="120"/>
        <v>0</v>
      </c>
      <c r="K308" s="20">
        <f t="shared" si="120"/>
        <v>0</v>
      </c>
      <c r="L308" s="20">
        <f t="shared" si="120"/>
        <v>0</v>
      </c>
      <c r="M308" s="20">
        <f t="shared" si="120"/>
        <v>0</v>
      </c>
      <c r="N308" s="20">
        <f>SUM(B308:M308)</f>
        <v>0</v>
      </c>
    </row>
    <row r="309" spans="1:14" ht="7.5" customHeight="1">
      <c r="A309" s="25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1.25" customHeight="1">
      <c r="A310" s="393" t="s">
        <v>112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1:14" ht="11.25" customHeight="1">
      <c r="A311" s="26" t="s">
        <v>16</v>
      </c>
      <c r="B311" s="27">
        <f>'TSAS Scheduling Revenue (1)'!B317</f>
        <v>150000</v>
      </c>
      <c r="C311" s="27">
        <f>'TSAS Scheduling Revenue (1)'!C317</f>
        <v>100000</v>
      </c>
      <c r="D311" s="27">
        <f>'TSAS Scheduling Revenue (1)'!D317</f>
        <v>100000</v>
      </c>
      <c r="E311" s="27">
        <f>'TSAS Scheduling Revenue (1)'!E317</f>
        <v>100000</v>
      </c>
      <c r="F311" s="27">
        <f>'TSAS Scheduling Revenue (1)'!F317</f>
        <v>100000</v>
      </c>
      <c r="G311" s="27">
        <f>'TSAS Scheduling Revenue (1)'!G317</f>
        <v>100000</v>
      </c>
      <c r="H311" s="27">
        <f>'TSAS Scheduling Revenue (1)'!H317</f>
        <v>100000</v>
      </c>
      <c r="I311" s="27">
        <f>'TSAS Scheduling Revenue (1)'!I317</f>
        <v>100000</v>
      </c>
      <c r="J311" s="27">
        <f>'TSAS Scheduling Revenue (1)'!J317</f>
        <v>100000</v>
      </c>
      <c r="K311" s="27">
        <f>'TSAS Scheduling Revenue (1)'!K317</f>
        <v>100000</v>
      </c>
      <c r="L311" s="27">
        <f>'TSAS Scheduling Revenue (1)'!L317</f>
        <v>100000</v>
      </c>
      <c r="M311" s="27">
        <f>'TSAS Scheduling Revenue (1)'!M317</f>
        <v>100000</v>
      </c>
      <c r="N311" s="27">
        <f>SUM(B311:M311)</f>
        <v>1250000</v>
      </c>
    </row>
    <row r="312" spans="1:14">
      <c r="A312" s="25" t="s">
        <v>20</v>
      </c>
      <c r="B312" s="32">
        <f t="shared" ref="B312:M312" si="121">+$B$31</f>
        <v>0.1008</v>
      </c>
      <c r="C312" s="32">
        <f t="shared" si="121"/>
        <v>0.1008</v>
      </c>
      <c r="D312" s="32">
        <f t="shared" si="121"/>
        <v>0.1008</v>
      </c>
      <c r="E312" s="32">
        <f t="shared" si="121"/>
        <v>0.1008</v>
      </c>
      <c r="F312" s="32">
        <f t="shared" si="121"/>
        <v>0.1008</v>
      </c>
      <c r="G312" s="32">
        <f t="shared" si="121"/>
        <v>0.1008</v>
      </c>
      <c r="H312" s="32">
        <f t="shared" si="121"/>
        <v>0.1008</v>
      </c>
      <c r="I312" s="32">
        <f t="shared" si="121"/>
        <v>0.1008</v>
      </c>
      <c r="J312" s="32">
        <f t="shared" si="121"/>
        <v>0.1008</v>
      </c>
      <c r="K312" s="32">
        <f t="shared" si="121"/>
        <v>0.1008</v>
      </c>
      <c r="L312" s="32">
        <f t="shared" si="121"/>
        <v>0.1008</v>
      </c>
      <c r="M312" s="32">
        <f t="shared" si="121"/>
        <v>0.1008</v>
      </c>
      <c r="N312" s="19"/>
    </row>
    <row r="313" spans="1:14">
      <c r="A313" s="25" t="s">
        <v>17</v>
      </c>
      <c r="B313" s="20">
        <f t="shared" ref="B313:M313" si="122">B311*B312</f>
        <v>15120</v>
      </c>
      <c r="C313" s="20">
        <f t="shared" si="122"/>
        <v>10080</v>
      </c>
      <c r="D313" s="20">
        <f t="shared" si="122"/>
        <v>10080</v>
      </c>
      <c r="E313" s="20">
        <f t="shared" si="122"/>
        <v>10080</v>
      </c>
      <c r="F313" s="20">
        <f t="shared" si="122"/>
        <v>10080</v>
      </c>
      <c r="G313" s="20">
        <f t="shared" si="122"/>
        <v>10080</v>
      </c>
      <c r="H313" s="20">
        <f t="shared" si="122"/>
        <v>10080</v>
      </c>
      <c r="I313" s="20">
        <f t="shared" si="122"/>
        <v>10080</v>
      </c>
      <c r="J313" s="20">
        <f t="shared" si="122"/>
        <v>10080</v>
      </c>
      <c r="K313" s="20">
        <f t="shared" si="122"/>
        <v>10080</v>
      </c>
      <c r="L313" s="20">
        <f t="shared" si="122"/>
        <v>10080</v>
      </c>
      <c r="M313" s="20">
        <f t="shared" si="122"/>
        <v>10080</v>
      </c>
      <c r="N313" s="20">
        <f>SUM(B313:M313)</f>
        <v>126000</v>
      </c>
    </row>
    <row r="314" spans="1:14">
      <c r="A314" s="25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>
      <c r="A315" s="393" t="s">
        <v>269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7"/>
    </row>
    <row r="316" spans="1:14">
      <c r="A316" s="26" t="s">
        <v>16</v>
      </c>
      <c r="B316" s="20">
        <f>'TSAS Demand Revenues (7)'!B310</f>
        <v>0</v>
      </c>
      <c r="C316" s="20">
        <f>'TSAS Demand Revenues (7)'!C310</f>
        <v>0</v>
      </c>
      <c r="D316" s="20">
        <f>'TSAS Demand Revenues (7)'!D310</f>
        <v>0</v>
      </c>
      <c r="E316" s="20">
        <f>'TSAS Demand Revenues (7)'!E310</f>
        <v>0</v>
      </c>
      <c r="F316" s="20">
        <f>'TSAS Demand Revenues (7)'!F310</f>
        <v>0</v>
      </c>
      <c r="G316" s="20">
        <f>'TSAS Demand Revenues (7)'!G310</f>
        <v>0</v>
      </c>
      <c r="H316" s="20">
        <f>'TSAS Demand Revenues (7)'!H310</f>
        <v>0</v>
      </c>
      <c r="I316" s="20">
        <f>'TSAS Demand Revenues (7)'!I310</f>
        <v>0</v>
      </c>
      <c r="J316" s="20">
        <f>'TSAS Demand Revenues (7)'!J310</f>
        <v>0</v>
      </c>
      <c r="K316" s="20">
        <f>'TSAS Demand Revenues (7)'!K310</f>
        <v>0</v>
      </c>
      <c r="L316" s="20">
        <f>'TSAS Demand Revenues (7)'!L310</f>
        <v>0</v>
      </c>
      <c r="M316" s="20">
        <f>'TSAS Demand Revenues (7)'!M310</f>
        <v>0</v>
      </c>
      <c r="N316" s="27">
        <f>SUM(B316:M316)</f>
        <v>0</v>
      </c>
    </row>
    <row r="317" spans="1:14">
      <c r="A317" s="25" t="s">
        <v>20</v>
      </c>
      <c r="B317" s="32">
        <f>B312</f>
        <v>0.1008</v>
      </c>
      <c r="C317" s="32">
        <f t="shared" ref="C317:M317" si="123">C312</f>
        <v>0.1008</v>
      </c>
      <c r="D317" s="32">
        <f t="shared" si="123"/>
        <v>0.1008</v>
      </c>
      <c r="E317" s="32">
        <f t="shared" si="123"/>
        <v>0.1008</v>
      </c>
      <c r="F317" s="32">
        <f t="shared" si="123"/>
        <v>0.1008</v>
      </c>
      <c r="G317" s="32">
        <f t="shared" si="123"/>
        <v>0.1008</v>
      </c>
      <c r="H317" s="32">
        <f t="shared" si="123"/>
        <v>0.1008</v>
      </c>
      <c r="I317" s="32">
        <f t="shared" si="123"/>
        <v>0.1008</v>
      </c>
      <c r="J317" s="32">
        <f t="shared" si="123"/>
        <v>0.1008</v>
      </c>
      <c r="K317" s="32">
        <f t="shared" si="123"/>
        <v>0.1008</v>
      </c>
      <c r="L317" s="32">
        <f t="shared" si="123"/>
        <v>0.1008</v>
      </c>
      <c r="M317" s="32">
        <f t="shared" si="123"/>
        <v>0.1008</v>
      </c>
      <c r="N317" s="19"/>
    </row>
    <row r="318" spans="1:14">
      <c r="A318" s="25" t="s">
        <v>17</v>
      </c>
      <c r="B318" s="20">
        <f t="shared" ref="B318:M318" si="124">B316*B317</f>
        <v>0</v>
      </c>
      <c r="C318" s="20">
        <f t="shared" si="124"/>
        <v>0</v>
      </c>
      <c r="D318" s="20">
        <f t="shared" si="124"/>
        <v>0</v>
      </c>
      <c r="E318" s="20">
        <f t="shared" si="124"/>
        <v>0</v>
      </c>
      <c r="F318" s="20">
        <f t="shared" si="124"/>
        <v>0</v>
      </c>
      <c r="G318" s="20">
        <f t="shared" si="124"/>
        <v>0</v>
      </c>
      <c r="H318" s="20">
        <f t="shared" si="124"/>
        <v>0</v>
      </c>
      <c r="I318" s="20">
        <f t="shared" si="124"/>
        <v>0</v>
      </c>
      <c r="J318" s="20">
        <f t="shared" si="124"/>
        <v>0</v>
      </c>
      <c r="K318" s="20">
        <f t="shared" si="124"/>
        <v>0</v>
      </c>
      <c r="L318" s="20">
        <f t="shared" si="124"/>
        <v>0</v>
      </c>
      <c r="M318" s="20">
        <f t="shared" si="124"/>
        <v>0</v>
      </c>
      <c r="N318" s="20">
        <f>SUM(B318:M318)</f>
        <v>0</v>
      </c>
    </row>
    <row r="319" spans="1:14" ht="8.25" customHeight="1">
      <c r="A319" s="25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>
      <c r="A320" s="143" t="s">
        <v>25</v>
      </c>
      <c r="B320" s="142">
        <f>B273+B278+B283+B288+B293+B298+B308+B303+B313+B318</f>
        <v>28801.919999999998</v>
      </c>
      <c r="C320" s="142">
        <f t="shared" ref="C320:M320" si="125">C273+C278+C283+C288+C293+C298+C308+C303+C313+C318</f>
        <v>23761.919999999998</v>
      </c>
      <c r="D320" s="142">
        <f t="shared" si="125"/>
        <v>23761.919999999998</v>
      </c>
      <c r="E320" s="142">
        <f t="shared" si="125"/>
        <v>23761.919999999998</v>
      </c>
      <c r="F320" s="142">
        <f t="shared" si="125"/>
        <v>23761.919999999998</v>
      </c>
      <c r="G320" s="142">
        <f t="shared" si="125"/>
        <v>23761.919999999998</v>
      </c>
      <c r="H320" s="142">
        <f t="shared" si="125"/>
        <v>23761.919999999998</v>
      </c>
      <c r="I320" s="142">
        <f t="shared" si="125"/>
        <v>23761.919999999998</v>
      </c>
      <c r="J320" s="142">
        <f t="shared" si="125"/>
        <v>23761.919999999998</v>
      </c>
      <c r="K320" s="142">
        <f t="shared" si="125"/>
        <v>23761.919999999998</v>
      </c>
      <c r="L320" s="142">
        <f t="shared" si="125"/>
        <v>23761.919999999998</v>
      </c>
      <c r="M320" s="142">
        <f t="shared" si="125"/>
        <v>23761.919999999998</v>
      </c>
      <c r="N320" s="142">
        <f>SUM(B320:M320)</f>
        <v>290183.03999999992</v>
      </c>
    </row>
    <row r="321" spans="1:14">
      <c r="A321" s="145" t="str">
        <f>A266</f>
        <v>Total Monthly Demand</v>
      </c>
      <c r="B321" s="144">
        <f>B271+B276+B281+B286+B291+B296+B301+B306+B311+B316</f>
        <v>297056</v>
      </c>
      <c r="C321" s="144">
        <f t="shared" ref="C321:M321" si="126">C271+C276+C281+C286+C291+C296+C301+C306+C311+C316</f>
        <v>247056</v>
      </c>
      <c r="D321" s="144">
        <f t="shared" si="126"/>
        <v>247056</v>
      </c>
      <c r="E321" s="144">
        <f t="shared" si="126"/>
        <v>247056</v>
      </c>
      <c r="F321" s="144">
        <f t="shared" si="126"/>
        <v>247056</v>
      </c>
      <c r="G321" s="144">
        <f t="shared" si="126"/>
        <v>247056</v>
      </c>
      <c r="H321" s="144">
        <f t="shared" si="126"/>
        <v>247056</v>
      </c>
      <c r="I321" s="144">
        <f t="shared" si="126"/>
        <v>247056</v>
      </c>
      <c r="J321" s="144">
        <f t="shared" si="126"/>
        <v>247056</v>
      </c>
      <c r="K321" s="144">
        <f t="shared" si="126"/>
        <v>247056</v>
      </c>
      <c r="L321" s="144">
        <f t="shared" si="126"/>
        <v>247056</v>
      </c>
      <c r="M321" s="144">
        <f t="shared" si="126"/>
        <v>247056</v>
      </c>
      <c r="N321" s="142">
        <f>SUM(B321:M321)</f>
        <v>3014672</v>
      </c>
    </row>
    <row r="322" spans="1:14">
      <c r="A322" s="24">
        <f>A267+1</f>
        <v>2019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.2">
      <c r="A323" s="22" t="s">
        <v>19</v>
      </c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ht="5.25" customHeight="1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</row>
    <row r="325" spans="1:14">
      <c r="A325" s="393" t="s">
        <v>344</v>
      </c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</row>
    <row r="326" spans="1:14">
      <c r="A326" s="26" t="s">
        <v>16</v>
      </c>
      <c r="B326" s="27">
        <f>'TSAS Demand Revenues (7)'!B325</f>
        <v>5000</v>
      </c>
      <c r="C326" s="27">
        <f>'TSAS Demand Revenues (7)'!C325</f>
        <v>5000</v>
      </c>
      <c r="D326" s="27">
        <f>'TSAS Demand Revenues (7)'!D325</f>
        <v>5000</v>
      </c>
      <c r="E326" s="27">
        <f>'TSAS Demand Revenues (7)'!E325</f>
        <v>5000</v>
      </c>
      <c r="F326" s="27">
        <f>'TSAS Demand Revenues (7)'!F325</f>
        <v>5000</v>
      </c>
      <c r="G326" s="27">
        <f>'TSAS Demand Revenues (7)'!G325</f>
        <v>5000</v>
      </c>
      <c r="H326" s="27">
        <f>'TSAS Demand Revenues (7)'!H325</f>
        <v>5000</v>
      </c>
      <c r="I326" s="27">
        <f>'TSAS Demand Revenues (7)'!I325</f>
        <v>5000</v>
      </c>
      <c r="J326" s="27">
        <f>'TSAS Demand Revenues (7)'!J325</f>
        <v>5000</v>
      </c>
      <c r="K326" s="27">
        <f>'TSAS Demand Revenues (7)'!K325</f>
        <v>5000</v>
      </c>
      <c r="L326" s="27">
        <f>'TSAS Demand Revenues (7)'!L325</f>
        <v>5000</v>
      </c>
      <c r="M326" s="27">
        <f>'TSAS Demand Revenues (7)'!M325</f>
        <v>5000</v>
      </c>
      <c r="N326" s="27">
        <f>SUM(B326:M326)</f>
        <v>60000</v>
      </c>
    </row>
    <row r="327" spans="1:14">
      <c r="A327" s="25" t="s">
        <v>20</v>
      </c>
      <c r="B327" s="31">
        <f t="shared" ref="B327:M327" si="127">+$B$11</f>
        <v>0.1008</v>
      </c>
      <c r="C327" s="31">
        <f t="shared" si="127"/>
        <v>0.1008</v>
      </c>
      <c r="D327" s="31">
        <f t="shared" si="127"/>
        <v>0.1008</v>
      </c>
      <c r="E327" s="31">
        <f t="shared" si="127"/>
        <v>0.1008</v>
      </c>
      <c r="F327" s="31">
        <f t="shared" si="127"/>
        <v>0.1008</v>
      </c>
      <c r="G327" s="31">
        <f t="shared" si="127"/>
        <v>0.1008</v>
      </c>
      <c r="H327" s="31">
        <f t="shared" si="127"/>
        <v>0.1008</v>
      </c>
      <c r="I327" s="31">
        <f t="shared" si="127"/>
        <v>0.1008</v>
      </c>
      <c r="J327" s="31">
        <f t="shared" si="127"/>
        <v>0.1008</v>
      </c>
      <c r="K327" s="31">
        <f t="shared" si="127"/>
        <v>0.1008</v>
      </c>
      <c r="L327" s="31">
        <f t="shared" si="127"/>
        <v>0.1008</v>
      </c>
      <c r="M327" s="31">
        <f t="shared" si="127"/>
        <v>0.1008</v>
      </c>
      <c r="N327" s="19"/>
    </row>
    <row r="328" spans="1:14">
      <c r="A328" s="25" t="s">
        <v>17</v>
      </c>
      <c r="B328" s="20">
        <f t="shared" ref="B328:M328" si="128">B326*B327</f>
        <v>504</v>
      </c>
      <c r="C328" s="20">
        <f t="shared" si="128"/>
        <v>504</v>
      </c>
      <c r="D328" s="20">
        <f t="shared" si="128"/>
        <v>504</v>
      </c>
      <c r="E328" s="20">
        <f t="shared" si="128"/>
        <v>504</v>
      </c>
      <c r="F328" s="20">
        <f t="shared" si="128"/>
        <v>504</v>
      </c>
      <c r="G328" s="20">
        <f t="shared" si="128"/>
        <v>504</v>
      </c>
      <c r="H328" s="20">
        <f t="shared" si="128"/>
        <v>504</v>
      </c>
      <c r="I328" s="20">
        <f t="shared" si="128"/>
        <v>504</v>
      </c>
      <c r="J328" s="20">
        <f t="shared" si="128"/>
        <v>504</v>
      </c>
      <c r="K328" s="20">
        <f t="shared" si="128"/>
        <v>504</v>
      </c>
      <c r="L328" s="20">
        <f t="shared" si="128"/>
        <v>504</v>
      </c>
      <c r="M328" s="20">
        <f t="shared" si="128"/>
        <v>504</v>
      </c>
      <c r="N328" s="20">
        <f>SUM(B328:M328)</f>
        <v>6048</v>
      </c>
    </row>
    <row r="329" spans="1:14" ht="5.2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</row>
    <row r="330" spans="1:14" ht="11.25" customHeight="1">
      <c r="A330" s="25" t="s">
        <v>21</v>
      </c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</row>
    <row r="331" spans="1:14" ht="11.25" customHeight="1">
      <c r="A331" s="26" t="s">
        <v>16</v>
      </c>
      <c r="B331" s="27">
        <f>'TSAS Demand Revenues (7)'!B330</f>
        <v>0</v>
      </c>
      <c r="C331" s="27">
        <f>'TSAS Demand Revenues (7)'!C330</f>
        <v>0</v>
      </c>
      <c r="D331" s="27">
        <f>'TSAS Demand Revenues (7)'!D330</f>
        <v>0</v>
      </c>
      <c r="E331" s="27">
        <f>'TSAS Demand Revenues (7)'!E330</f>
        <v>0</v>
      </c>
      <c r="F331" s="27">
        <f>'TSAS Demand Revenues (7)'!F330</f>
        <v>0</v>
      </c>
      <c r="G331" s="27">
        <f>'TSAS Demand Revenues (7)'!G330</f>
        <v>0</v>
      </c>
      <c r="H331" s="27">
        <f>'TSAS Demand Revenues (7)'!H330</f>
        <v>0</v>
      </c>
      <c r="I331" s="27">
        <f>'TSAS Demand Revenues (7)'!I330</f>
        <v>0</v>
      </c>
      <c r="J331" s="27">
        <f>'TSAS Demand Revenues (7)'!J330</f>
        <v>0</v>
      </c>
      <c r="K331" s="27">
        <f>'TSAS Demand Revenues (7)'!K330</f>
        <v>0</v>
      </c>
      <c r="L331" s="27">
        <f>'TSAS Demand Revenues (7)'!L330</f>
        <v>0</v>
      </c>
      <c r="M331" s="27">
        <f>'TSAS Demand Revenues (7)'!M330</f>
        <v>0</v>
      </c>
      <c r="N331" s="27">
        <f>SUM(B331:M331)</f>
        <v>0</v>
      </c>
    </row>
    <row r="332" spans="1:14" ht="11.25" customHeight="1">
      <c r="A332" s="25" t="s">
        <v>20</v>
      </c>
      <c r="B332" s="31">
        <f t="shared" ref="B332:M332" si="129">+$B$16</f>
        <v>0.1008</v>
      </c>
      <c r="C332" s="31">
        <f t="shared" si="129"/>
        <v>0.1008</v>
      </c>
      <c r="D332" s="31">
        <f t="shared" si="129"/>
        <v>0.1008</v>
      </c>
      <c r="E332" s="31">
        <f t="shared" si="129"/>
        <v>0.1008</v>
      </c>
      <c r="F332" s="31">
        <f t="shared" si="129"/>
        <v>0.1008</v>
      </c>
      <c r="G332" s="31">
        <f t="shared" si="129"/>
        <v>0.1008</v>
      </c>
      <c r="H332" s="31">
        <f t="shared" si="129"/>
        <v>0.1008</v>
      </c>
      <c r="I332" s="31">
        <f t="shared" si="129"/>
        <v>0.1008</v>
      </c>
      <c r="J332" s="31">
        <f t="shared" si="129"/>
        <v>0.1008</v>
      </c>
      <c r="K332" s="31">
        <f t="shared" si="129"/>
        <v>0.1008</v>
      </c>
      <c r="L332" s="31">
        <f t="shared" si="129"/>
        <v>0.1008</v>
      </c>
      <c r="M332" s="31">
        <f t="shared" si="129"/>
        <v>0.1008</v>
      </c>
      <c r="N332" s="19"/>
    </row>
    <row r="333" spans="1:14" ht="10.5" customHeight="1">
      <c r="A333" s="25" t="s">
        <v>17</v>
      </c>
      <c r="B333" s="20">
        <f t="shared" ref="B333:M333" si="130">B331*B332</f>
        <v>0</v>
      </c>
      <c r="C333" s="20">
        <f t="shared" si="130"/>
        <v>0</v>
      </c>
      <c r="D333" s="20">
        <f t="shared" si="130"/>
        <v>0</v>
      </c>
      <c r="E333" s="20">
        <f t="shared" si="130"/>
        <v>0</v>
      </c>
      <c r="F333" s="20">
        <f t="shared" si="130"/>
        <v>0</v>
      </c>
      <c r="G333" s="20">
        <f t="shared" si="130"/>
        <v>0</v>
      </c>
      <c r="H333" s="20">
        <f t="shared" si="130"/>
        <v>0</v>
      </c>
      <c r="I333" s="20">
        <f t="shared" si="130"/>
        <v>0</v>
      </c>
      <c r="J333" s="20">
        <f t="shared" si="130"/>
        <v>0</v>
      </c>
      <c r="K333" s="20">
        <f t="shared" si="130"/>
        <v>0</v>
      </c>
      <c r="L333" s="20">
        <f t="shared" si="130"/>
        <v>0</v>
      </c>
      <c r="M333" s="20">
        <f t="shared" si="130"/>
        <v>0</v>
      </c>
      <c r="N333" s="20">
        <f>SUM(B333:M333)</f>
        <v>0</v>
      </c>
    </row>
    <row r="334" spans="1:14" ht="5.25" customHeight="1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</row>
    <row r="335" spans="1:14" ht="9.75" customHeight="1">
      <c r="A335" s="25" t="s">
        <v>22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</row>
    <row r="336" spans="1:14">
      <c r="A336" s="26" t="s">
        <v>16</v>
      </c>
      <c r="B336" s="27">
        <f>'TSAS Demand Revenues (7)'!B335</f>
        <v>0</v>
      </c>
      <c r="C336" s="27">
        <f>'TSAS Demand Revenues (7)'!C335</f>
        <v>0</v>
      </c>
      <c r="D336" s="27">
        <f>'TSAS Demand Revenues (7)'!D335</f>
        <v>0</v>
      </c>
      <c r="E336" s="27">
        <f>'TSAS Demand Revenues (7)'!E335</f>
        <v>0</v>
      </c>
      <c r="F336" s="27">
        <f>'TSAS Demand Revenues (7)'!F335</f>
        <v>0</v>
      </c>
      <c r="G336" s="27">
        <f>'TSAS Demand Revenues (7)'!G335</f>
        <v>0</v>
      </c>
      <c r="H336" s="27">
        <f>'TSAS Demand Revenues (7)'!H335</f>
        <v>0</v>
      </c>
      <c r="I336" s="27">
        <f>'TSAS Demand Revenues (7)'!I335</f>
        <v>0</v>
      </c>
      <c r="J336" s="27">
        <f>'TSAS Demand Revenues (7)'!J335</f>
        <v>0</v>
      </c>
      <c r="K336" s="27">
        <f>'TSAS Demand Revenues (7)'!K335</f>
        <v>0</v>
      </c>
      <c r="L336" s="27">
        <f>'TSAS Demand Revenues (7)'!L335</f>
        <v>0</v>
      </c>
      <c r="M336" s="27">
        <f>'TSAS Demand Revenues (7)'!M335</f>
        <v>0</v>
      </c>
      <c r="N336" s="27">
        <f>SUM(B336:M336)</f>
        <v>0</v>
      </c>
    </row>
    <row r="337" spans="1:14">
      <c r="A337" s="25" t="s">
        <v>20</v>
      </c>
      <c r="B337" s="32">
        <f t="shared" ref="B337:M337" si="131">+$B$21</f>
        <v>0.1008</v>
      </c>
      <c r="C337" s="32">
        <f t="shared" si="131"/>
        <v>0.1008</v>
      </c>
      <c r="D337" s="32">
        <f t="shared" si="131"/>
        <v>0.1008</v>
      </c>
      <c r="E337" s="32">
        <f t="shared" si="131"/>
        <v>0.1008</v>
      </c>
      <c r="F337" s="32">
        <f t="shared" si="131"/>
        <v>0.1008</v>
      </c>
      <c r="G337" s="32">
        <f t="shared" si="131"/>
        <v>0.1008</v>
      </c>
      <c r="H337" s="32">
        <f t="shared" si="131"/>
        <v>0.1008</v>
      </c>
      <c r="I337" s="32">
        <f t="shared" si="131"/>
        <v>0.1008</v>
      </c>
      <c r="J337" s="32">
        <f t="shared" si="131"/>
        <v>0.1008</v>
      </c>
      <c r="K337" s="32">
        <f t="shared" si="131"/>
        <v>0.1008</v>
      </c>
      <c r="L337" s="32">
        <f t="shared" si="131"/>
        <v>0.1008</v>
      </c>
      <c r="M337" s="32">
        <f t="shared" si="131"/>
        <v>0.1008</v>
      </c>
      <c r="N337" s="19"/>
    </row>
    <row r="338" spans="1:14" ht="10.5" customHeight="1">
      <c r="A338" s="25" t="s">
        <v>17</v>
      </c>
      <c r="B338" s="20">
        <f t="shared" ref="B338:M338" si="132">B336*B337</f>
        <v>0</v>
      </c>
      <c r="C338" s="20">
        <f t="shared" si="132"/>
        <v>0</v>
      </c>
      <c r="D338" s="20">
        <f t="shared" si="132"/>
        <v>0</v>
      </c>
      <c r="E338" s="20">
        <f t="shared" si="132"/>
        <v>0</v>
      </c>
      <c r="F338" s="20">
        <f t="shared" si="132"/>
        <v>0</v>
      </c>
      <c r="G338" s="20">
        <f t="shared" si="132"/>
        <v>0</v>
      </c>
      <c r="H338" s="20">
        <f t="shared" si="132"/>
        <v>0</v>
      </c>
      <c r="I338" s="20">
        <f t="shared" si="132"/>
        <v>0</v>
      </c>
      <c r="J338" s="20">
        <f t="shared" si="132"/>
        <v>0</v>
      </c>
      <c r="K338" s="20">
        <f t="shared" si="132"/>
        <v>0</v>
      </c>
      <c r="L338" s="20">
        <f t="shared" si="132"/>
        <v>0</v>
      </c>
      <c r="M338" s="20">
        <f t="shared" si="132"/>
        <v>0</v>
      </c>
      <c r="N338" s="20">
        <f>SUM(B338:M338)</f>
        <v>0</v>
      </c>
    </row>
    <row r="339" spans="1:14" ht="6.75" customHeight="1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</row>
    <row r="340" spans="1:14">
      <c r="A340" s="393" t="s">
        <v>23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</row>
    <row r="341" spans="1:14" ht="10.5" customHeight="1">
      <c r="A341" s="26" t="s">
        <v>16</v>
      </c>
      <c r="B341" s="27">
        <f>'TSAS Demand Revenues (7)'!B340</f>
        <v>37056</v>
      </c>
      <c r="C341" s="27">
        <f>'TSAS Demand Revenues (7)'!C340</f>
        <v>37056</v>
      </c>
      <c r="D341" s="27">
        <f>'TSAS Demand Revenues (7)'!D340</f>
        <v>37056</v>
      </c>
      <c r="E341" s="27">
        <f>'TSAS Demand Revenues (7)'!E340</f>
        <v>37056</v>
      </c>
      <c r="F341" s="27">
        <f>'TSAS Demand Revenues (7)'!F340</f>
        <v>37056</v>
      </c>
      <c r="G341" s="27">
        <f>'TSAS Demand Revenues (7)'!G340</f>
        <v>37056</v>
      </c>
      <c r="H341" s="27">
        <f>'TSAS Demand Revenues (7)'!H340</f>
        <v>37056</v>
      </c>
      <c r="I341" s="27">
        <f>'TSAS Demand Revenues (7)'!I340</f>
        <v>37056</v>
      </c>
      <c r="J341" s="27">
        <f>'TSAS Demand Revenues (7)'!J340</f>
        <v>37056</v>
      </c>
      <c r="K341" s="27">
        <f>'TSAS Demand Revenues (7)'!K340</f>
        <v>37056</v>
      </c>
      <c r="L341" s="27">
        <f>'TSAS Demand Revenues (7)'!L340</f>
        <v>37056</v>
      </c>
      <c r="M341" s="27">
        <f>'TSAS Demand Revenues (7)'!M340</f>
        <v>37056</v>
      </c>
      <c r="N341" s="27">
        <f>SUM(B341:M341)</f>
        <v>444672</v>
      </c>
    </row>
    <row r="342" spans="1:14" ht="11.25" customHeight="1">
      <c r="A342" s="25" t="s">
        <v>20</v>
      </c>
      <c r="B342" s="32">
        <f t="shared" ref="B342:M342" si="133">+$B$26</f>
        <v>7.0000000000000007E-2</v>
      </c>
      <c r="C342" s="32">
        <f t="shared" si="133"/>
        <v>7.0000000000000007E-2</v>
      </c>
      <c r="D342" s="32">
        <f t="shared" si="133"/>
        <v>7.0000000000000007E-2</v>
      </c>
      <c r="E342" s="32">
        <f t="shared" si="133"/>
        <v>7.0000000000000007E-2</v>
      </c>
      <c r="F342" s="32">
        <f t="shared" si="133"/>
        <v>7.0000000000000007E-2</v>
      </c>
      <c r="G342" s="32">
        <f t="shared" si="133"/>
        <v>7.0000000000000007E-2</v>
      </c>
      <c r="H342" s="32">
        <f t="shared" si="133"/>
        <v>7.0000000000000007E-2</v>
      </c>
      <c r="I342" s="32">
        <f t="shared" si="133"/>
        <v>7.0000000000000007E-2</v>
      </c>
      <c r="J342" s="32">
        <f t="shared" si="133"/>
        <v>7.0000000000000007E-2</v>
      </c>
      <c r="K342" s="32">
        <f t="shared" si="133"/>
        <v>7.0000000000000007E-2</v>
      </c>
      <c r="L342" s="32">
        <f t="shared" si="133"/>
        <v>7.0000000000000007E-2</v>
      </c>
      <c r="M342" s="32">
        <f t="shared" si="133"/>
        <v>7.0000000000000007E-2</v>
      </c>
      <c r="N342" s="19"/>
    </row>
    <row r="343" spans="1:14" ht="9.75" customHeight="1">
      <c r="A343" s="25" t="s">
        <v>17</v>
      </c>
      <c r="B343" s="20">
        <f t="shared" ref="B343:M343" si="134">B341*B342</f>
        <v>2593.92</v>
      </c>
      <c r="C343" s="20">
        <f t="shared" si="134"/>
        <v>2593.92</v>
      </c>
      <c r="D343" s="20">
        <f t="shared" si="134"/>
        <v>2593.92</v>
      </c>
      <c r="E343" s="20">
        <f t="shared" si="134"/>
        <v>2593.92</v>
      </c>
      <c r="F343" s="20">
        <f t="shared" si="134"/>
        <v>2593.92</v>
      </c>
      <c r="G343" s="20">
        <f t="shared" si="134"/>
        <v>2593.92</v>
      </c>
      <c r="H343" s="20">
        <f t="shared" si="134"/>
        <v>2593.92</v>
      </c>
      <c r="I343" s="20">
        <f t="shared" si="134"/>
        <v>2593.92</v>
      </c>
      <c r="J343" s="20">
        <f t="shared" si="134"/>
        <v>2593.92</v>
      </c>
      <c r="K343" s="20">
        <f t="shared" si="134"/>
        <v>2593.92</v>
      </c>
      <c r="L343" s="20">
        <f t="shared" si="134"/>
        <v>2593.92</v>
      </c>
      <c r="M343" s="20">
        <f t="shared" si="134"/>
        <v>2593.92</v>
      </c>
      <c r="N343" s="20">
        <f>SUM(B343:M343)</f>
        <v>31127.039999999994</v>
      </c>
    </row>
    <row r="344" spans="1:14" ht="6" customHeight="1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</row>
    <row r="345" spans="1:14" ht="10.5" customHeight="1">
      <c r="A345" s="393" t="s">
        <v>24</v>
      </c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</row>
    <row r="346" spans="1:14" ht="11.25" customHeight="1">
      <c r="A346" s="26" t="s">
        <v>16</v>
      </c>
      <c r="B346" s="27">
        <f>'TSAS Demand Revenues (7)'!B345</f>
        <v>62000</v>
      </c>
      <c r="C346" s="27">
        <f>'TSAS Demand Revenues (7)'!C345</f>
        <v>62000</v>
      </c>
      <c r="D346" s="27">
        <f>'TSAS Demand Revenues (7)'!D345</f>
        <v>62000</v>
      </c>
      <c r="E346" s="27">
        <f>'TSAS Demand Revenues (7)'!E345</f>
        <v>62000</v>
      </c>
      <c r="F346" s="27">
        <f>'TSAS Demand Revenues (7)'!F345</f>
        <v>62000</v>
      </c>
      <c r="G346" s="27">
        <f>'TSAS Demand Revenues (7)'!G345</f>
        <v>62000</v>
      </c>
      <c r="H346" s="27">
        <f>'TSAS Demand Revenues (7)'!H345</f>
        <v>62000</v>
      </c>
      <c r="I346" s="27">
        <f>'TSAS Demand Revenues (7)'!I345</f>
        <v>62000</v>
      </c>
      <c r="J346" s="27">
        <f>'TSAS Demand Revenues (7)'!J345</f>
        <v>62000</v>
      </c>
      <c r="K346" s="27">
        <f>'TSAS Demand Revenues (7)'!K345</f>
        <v>62000</v>
      </c>
      <c r="L346" s="27">
        <f>'TSAS Demand Revenues (7)'!L345</f>
        <v>62000</v>
      </c>
      <c r="M346" s="27">
        <f>'TSAS Demand Revenues (7)'!M345</f>
        <v>62000</v>
      </c>
      <c r="N346" s="27">
        <f>SUM(B346:M346)</f>
        <v>744000</v>
      </c>
    </row>
    <row r="347" spans="1:14" ht="12" customHeight="1">
      <c r="A347" s="25" t="s">
        <v>20</v>
      </c>
      <c r="B347" s="32">
        <f t="shared" ref="B347:M347" si="135">+$B$31</f>
        <v>0.1008</v>
      </c>
      <c r="C347" s="32">
        <f t="shared" si="135"/>
        <v>0.1008</v>
      </c>
      <c r="D347" s="32">
        <f t="shared" si="135"/>
        <v>0.1008</v>
      </c>
      <c r="E347" s="32">
        <f t="shared" si="135"/>
        <v>0.1008</v>
      </c>
      <c r="F347" s="32">
        <f t="shared" si="135"/>
        <v>0.1008</v>
      </c>
      <c r="G347" s="32">
        <f t="shared" si="135"/>
        <v>0.1008</v>
      </c>
      <c r="H347" s="32">
        <f t="shared" si="135"/>
        <v>0.1008</v>
      </c>
      <c r="I347" s="32">
        <f t="shared" si="135"/>
        <v>0.1008</v>
      </c>
      <c r="J347" s="32">
        <f t="shared" si="135"/>
        <v>0.1008</v>
      </c>
      <c r="K347" s="32">
        <f t="shared" si="135"/>
        <v>0.1008</v>
      </c>
      <c r="L347" s="32">
        <f t="shared" si="135"/>
        <v>0.1008</v>
      </c>
      <c r="M347" s="32">
        <f t="shared" si="135"/>
        <v>0.1008</v>
      </c>
      <c r="N347" s="19"/>
    </row>
    <row r="348" spans="1:14" ht="11.25" customHeight="1">
      <c r="A348" s="25" t="s">
        <v>17</v>
      </c>
      <c r="B348" s="20">
        <f t="shared" ref="B348:M348" si="136">B346*B347</f>
        <v>6249.6</v>
      </c>
      <c r="C348" s="20">
        <f t="shared" si="136"/>
        <v>6249.6</v>
      </c>
      <c r="D348" s="20">
        <f t="shared" si="136"/>
        <v>6249.6</v>
      </c>
      <c r="E348" s="20">
        <f t="shared" si="136"/>
        <v>6249.6</v>
      </c>
      <c r="F348" s="20">
        <f t="shared" si="136"/>
        <v>6249.6</v>
      </c>
      <c r="G348" s="20">
        <f t="shared" si="136"/>
        <v>6249.6</v>
      </c>
      <c r="H348" s="20">
        <f t="shared" si="136"/>
        <v>6249.6</v>
      </c>
      <c r="I348" s="20">
        <f t="shared" si="136"/>
        <v>6249.6</v>
      </c>
      <c r="J348" s="20">
        <f t="shared" si="136"/>
        <v>6249.6</v>
      </c>
      <c r="K348" s="20">
        <f t="shared" si="136"/>
        <v>6249.6</v>
      </c>
      <c r="L348" s="20">
        <f t="shared" si="136"/>
        <v>6249.6</v>
      </c>
      <c r="M348" s="20">
        <f t="shared" si="136"/>
        <v>6249.6</v>
      </c>
      <c r="N348" s="20">
        <f>SUM(B348:M348)</f>
        <v>74995.199999999997</v>
      </c>
    </row>
    <row r="349" spans="1:14" ht="4.5" customHeight="1">
      <c r="A349" s="25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0.5" customHeight="1">
      <c r="A350" s="393" t="s">
        <v>111</v>
      </c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</row>
    <row r="351" spans="1:14" ht="10.5" customHeight="1">
      <c r="A351" s="26" t="s">
        <v>16</v>
      </c>
      <c r="B351" s="27">
        <f>'TSAS Demand Revenues (7)'!B350</f>
        <v>40000</v>
      </c>
      <c r="C351" s="27">
        <f>'TSAS Demand Revenues (7)'!C350</f>
        <v>40000</v>
      </c>
      <c r="D351" s="27">
        <f>'TSAS Demand Revenues (7)'!D350</f>
        <v>40000</v>
      </c>
      <c r="E351" s="27">
        <f>'TSAS Demand Revenues (7)'!E350</f>
        <v>40000</v>
      </c>
      <c r="F351" s="27">
        <f>'TSAS Demand Revenues (7)'!F350</f>
        <v>40000</v>
      </c>
      <c r="G351" s="27">
        <f>'TSAS Demand Revenues (7)'!G350</f>
        <v>40000</v>
      </c>
      <c r="H351" s="27">
        <f>'TSAS Demand Revenues (7)'!H350</f>
        <v>40000</v>
      </c>
      <c r="I351" s="27">
        <f>'TSAS Demand Revenues (7)'!I350</f>
        <v>40000</v>
      </c>
      <c r="J351" s="27">
        <f>'TSAS Demand Revenues (7)'!J350</f>
        <v>40000</v>
      </c>
      <c r="K351" s="27">
        <f>'TSAS Demand Revenues (7)'!K350</f>
        <v>40000</v>
      </c>
      <c r="L351" s="27">
        <f>'TSAS Demand Revenues (7)'!L350</f>
        <v>40000</v>
      </c>
      <c r="M351" s="27">
        <f>'TSAS Demand Revenues (7)'!M350</f>
        <v>40000</v>
      </c>
      <c r="N351" s="27">
        <f>SUM(B351:M351)</f>
        <v>480000</v>
      </c>
    </row>
    <row r="352" spans="1:14" ht="10.5" customHeight="1">
      <c r="A352" s="25" t="s">
        <v>20</v>
      </c>
      <c r="B352" s="32">
        <f>B347</f>
        <v>0.1008</v>
      </c>
      <c r="C352" s="32">
        <f>C347</f>
        <v>0.1008</v>
      </c>
      <c r="D352" s="32">
        <f t="shared" ref="D352" si="137">C352</f>
        <v>0.1008</v>
      </c>
      <c r="E352" s="32">
        <f t="shared" ref="E352" si="138">D352</f>
        <v>0.1008</v>
      </c>
      <c r="F352" s="32">
        <f t="shared" ref="F352" si="139">E352</f>
        <v>0.1008</v>
      </c>
      <c r="G352" s="32">
        <f t="shared" ref="G352" si="140">F352</f>
        <v>0.1008</v>
      </c>
      <c r="H352" s="32">
        <f t="shared" ref="H352" si="141">G352</f>
        <v>0.1008</v>
      </c>
      <c r="I352" s="32">
        <f t="shared" ref="I352" si="142">H352</f>
        <v>0.1008</v>
      </c>
      <c r="J352" s="32">
        <f t="shared" ref="J352" si="143">I352</f>
        <v>0.1008</v>
      </c>
      <c r="K352" s="32">
        <f t="shared" ref="K352" si="144">J352</f>
        <v>0.1008</v>
      </c>
      <c r="L352" s="32">
        <f t="shared" ref="L352" si="145">K352</f>
        <v>0.1008</v>
      </c>
      <c r="M352" s="32">
        <f t="shared" ref="M352" si="146">L352</f>
        <v>0.1008</v>
      </c>
      <c r="N352" s="19"/>
    </row>
    <row r="353" spans="1:14" ht="11.25" customHeight="1">
      <c r="A353" s="25" t="s">
        <v>17</v>
      </c>
      <c r="B353" s="20">
        <f t="shared" ref="B353:M353" si="147">B351*B352</f>
        <v>4032</v>
      </c>
      <c r="C353" s="20">
        <f t="shared" si="147"/>
        <v>4032</v>
      </c>
      <c r="D353" s="20">
        <f t="shared" si="147"/>
        <v>4032</v>
      </c>
      <c r="E353" s="20">
        <f t="shared" si="147"/>
        <v>4032</v>
      </c>
      <c r="F353" s="20">
        <f t="shared" si="147"/>
        <v>4032</v>
      </c>
      <c r="G353" s="20">
        <f t="shared" si="147"/>
        <v>4032</v>
      </c>
      <c r="H353" s="20">
        <f t="shared" si="147"/>
        <v>4032</v>
      </c>
      <c r="I353" s="20">
        <f t="shared" si="147"/>
        <v>4032</v>
      </c>
      <c r="J353" s="20">
        <f t="shared" si="147"/>
        <v>4032</v>
      </c>
      <c r="K353" s="20">
        <f t="shared" si="147"/>
        <v>4032</v>
      </c>
      <c r="L353" s="20">
        <f t="shared" si="147"/>
        <v>4032</v>
      </c>
      <c r="M353" s="20">
        <f t="shared" si="147"/>
        <v>4032</v>
      </c>
      <c r="N353" s="20">
        <f>SUM(B353:M353)</f>
        <v>48384</v>
      </c>
    </row>
    <row r="354" spans="1:14" ht="6" customHeight="1">
      <c r="A354" s="25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>
      <c r="A355" s="393" t="s">
        <v>222</v>
      </c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</row>
    <row r="356" spans="1:14">
      <c r="A356" s="26" t="s">
        <v>16</v>
      </c>
      <c r="B356" s="27">
        <f>'TSAS Demand Revenues (7)'!B355</f>
        <v>3000</v>
      </c>
      <c r="C356" s="27">
        <f>'TSAS Demand Revenues (7)'!C355</f>
        <v>3000</v>
      </c>
      <c r="D356" s="27">
        <f>'TSAS Demand Revenues (7)'!D355</f>
        <v>3000</v>
      </c>
      <c r="E356" s="27">
        <f>'TSAS Demand Revenues (7)'!E355</f>
        <v>3000</v>
      </c>
      <c r="F356" s="27">
        <f>'TSAS Demand Revenues (7)'!F355</f>
        <v>3000</v>
      </c>
      <c r="G356" s="27">
        <f>'TSAS Demand Revenues (7)'!G355</f>
        <v>3000</v>
      </c>
      <c r="H356" s="27">
        <f>'TSAS Demand Revenues (7)'!H355</f>
        <v>3000</v>
      </c>
      <c r="I356" s="27">
        <f>'TSAS Demand Revenues (7)'!I355</f>
        <v>3000</v>
      </c>
      <c r="J356" s="27">
        <f>'TSAS Demand Revenues (7)'!J355</f>
        <v>3000</v>
      </c>
      <c r="K356" s="27">
        <f>'TSAS Demand Revenues (7)'!K355</f>
        <v>3000</v>
      </c>
      <c r="L356" s="27">
        <f>'TSAS Demand Revenues (7)'!L355</f>
        <v>3000</v>
      </c>
      <c r="M356" s="27">
        <f>'TSAS Demand Revenues (7)'!M355</f>
        <v>3000</v>
      </c>
      <c r="N356" s="27">
        <f>SUM(B356:M356)</f>
        <v>36000</v>
      </c>
    </row>
    <row r="357" spans="1:14">
      <c r="A357" s="25" t="s">
        <v>20</v>
      </c>
      <c r="B357" s="32">
        <f>B352</f>
        <v>0.1008</v>
      </c>
      <c r="C357" s="32">
        <f>C352</f>
        <v>0.1008</v>
      </c>
      <c r="D357" s="32">
        <f t="shared" ref="D357" si="148">C357</f>
        <v>0.1008</v>
      </c>
      <c r="E357" s="32">
        <f t="shared" ref="E357" si="149">D357</f>
        <v>0.1008</v>
      </c>
      <c r="F357" s="32">
        <f t="shared" ref="F357" si="150">E357</f>
        <v>0.1008</v>
      </c>
      <c r="G357" s="32">
        <f t="shared" ref="G357" si="151">F357</f>
        <v>0.1008</v>
      </c>
      <c r="H357" s="32">
        <f t="shared" ref="H357" si="152">G357</f>
        <v>0.1008</v>
      </c>
      <c r="I357" s="32">
        <f t="shared" ref="I357" si="153">H357</f>
        <v>0.1008</v>
      </c>
      <c r="J357" s="32">
        <f t="shared" ref="J357" si="154">I357</f>
        <v>0.1008</v>
      </c>
      <c r="K357" s="32">
        <f t="shared" ref="K357" si="155">J357</f>
        <v>0.1008</v>
      </c>
      <c r="L357" s="32">
        <f t="shared" ref="L357" si="156">K357</f>
        <v>0.1008</v>
      </c>
      <c r="M357" s="32">
        <f t="shared" ref="M357" si="157">L357</f>
        <v>0.1008</v>
      </c>
      <c r="N357" s="19"/>
    </row>
    <row r="358" spans="1:14">
      <c r="A358" s="25" t="s">
        <v>17</v>
      </c>
      <c r="B358" s="20">
        <f t="shared" ref="B358:M358" si="158">B356*B357</f>
        <v>302.39999999999998</v>
      </c>
      <c r="C358" s="20">
        <f t="shared" si="158"/>
        <v>302.39999999999998</v>
      </c>
      <c r="D358" s="20">
        <f t="shared" si="158"/>
        <v>302.39999999999998</v>
      </c>
      <c r="E358" s="20">
        <f t="shared" si="158"/>
        <v>302.39999999999998</v>
      </c>
      <c r="F358" s="20">
        <f t="shared" si="158"/>
        <v>302.39999999999998</v>
      </c>
      <c r="G358" s="20">
        <f t="shared" si="158"/>
        <v>302.39999999999998</v>
      </c>
      <c r="H358" s="20">
        <f t="shared" si="158"/>
        <v>302.39999999999998</v>
      </c>
      <c r="I358" s="20">
        <f t="shared" si="158"/>
        <v>302.39999999999998</v>
      </c>
      <c r="J358" s="20">
        <f t="shared" si="158"/>
        <v>302.39999999999998</v>
      </c>
      <c r="K358" s="20">
        <f t="shared" si="158"/>
        <v>302.39999999999998</v>
      </c>
      <c r="L358" s="20">
        <f t="shared" si="158"/>
        <v>302.39999999999998</v>
      </c>
      <c r="M358" s="20">
        <f t="shared" si="158"/>
        <v>302.39999999999998</v>
      </c>
      <c r="N358" s="20">
        <f>SUM(B358:M358)</f>
        <v>3628.8000000000006</v>
      </c>
    </row>
    <row r="359" spans="1:14" ht="6" customHeight="1">
      <c r="A359" s="25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>
      <c r="A360" s="393" t="s">
        <v>173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</row>
    <row r="361" spans="1:14">
      <c r="A361" s="26" t="s">
        <v>16</v>
      </c>
      <c r="B361" s="27">
        <f>'TSAS Demand Revenues (7)'!B360</f>
        <v>0</v>
      </c>
      <c r="C361" s="27">
        <f>'TSAS Demand Revenues (7)'!C360</f>
        <v>0</v>
      </c>
      <c r="D361" s="27">
        <f>'TSAS Demand Revenues (7)'!D360</f>
        <v>0</v>
      </c>
      <c r="E361" s="27">
        <f>'TSAS Demand Revenues (7)'!E360</f>
        <v>0</v>
      </c>
      <c r="F361" s="27">
        <f>'TSAS Demand Revenues (7)'!F360</f>
        <v>0</v>
      </c>
      <c r="G361" s="27">
        <f>'TSAS Demand Revenues (7)'!G360</f>
        <v>0</v>
      </c>
      <c r="H361" s="27">
        <f>'TSAS Demand Revenues (7)'!H360</f>
        <v>0</v>
      </c>
      <c r="I361" s="27">
        <f>'TSAS Demand Revenues (7)'!I360</f>
        <v>0</v>
      </c>
      <c r="J361" s="27">
        <f>'TSAS Demand Revenues (7)'!J360</f>
        <v>0</v>
      </c>
      <c r="K361" s="27">
        <f>'TSAS Demand Revenues (7)'!K360</f>
        <v>0</v>
      </c>
      <c r="L361" s="27">
        <f>'TSAS Demand Revenues (7)'!L360</f>
        <v>0</v>
      </c>
      <c r="M361" s="27">
        <f>'TSAS Demand Revenues (7)'!M360</f>
        <v>0</v>
      </c>
      <c r="N361" s="27">
        <f>SUM(B361:M361)</f>
        <v>0</v>
      </c>
    </row>
    <row r="362" spans="1:14">
      <c r="A362" s="25" t="s">
        <v>20</v>
      </c>
      <c r="B362" s="32">
        <f>B352</f>
        <v>0.1008</v>
      </c>
      <c r="C362" s="32">
        <f t="shared" ref="C362:M362" si="159">C352</f>
        <v>0.1008</v>
      </c>
      <c r="D362" s="32">
        <f t="shared" si="159"/>
        <v>0.1008</v>
      </c>
      <c r="E362" s="32">
        <f t="shared" si="159"/>
        <v>0.1008</v>
      </c>
      <c r="F362" s="32">
        <f t="shared" si="159"/>
        <v>0.1008</v>
      </c>
      <c r="G362" s="32">
        <f t="shared" si="159"/>
        <v>0.1008</v>
      </c>
      <c r="H362" s="32">
        <f t="shared" si="159"/>
        <v>0.1008</v>
      </c>
      <c r="I362" s="32">
        <f t="shared" si="159"/>
        <v>0.1008</v>
      </c>
      <c r="J362" s="32">
        <f t="shared" si="159"/>
        <v>0.1008</v>
      </c>
      <c r="K362" s="32">
        <f t="shared" si="159"/>
        <v>0.1008</v>
      </c>
      <c r="L362" s="32">
        <f t="shared" si="159"/>
        <v>0.1008</v>
      </c>
      <c r="M362" s="32">
        <f t="shared" si="159"/>
        <v>0.1008</v>
      </c>
      <c r="N362" s="19"/>
    </row>
    <row r="363" spans="1:14">
      <c r="A363" s="25" t="s">
        <v>17</v>
      </c>
      <c r="B363" s="20">
        <f t="shared" ref="B363:M363" si="160">B361*B362</f>
        <v>0</v>
      </c>
      <c r="C363" s="20">
        <f t="shared" si="160"/>
        <v>0</v>
      </c>
      <c r="D363" s="20">
        <f t="shared" si="160"/>
        <v>0</v>
      </c>
      <c r="E363" s="20">
        <f t="shared" si="160"/>
        <v>0</v>
      </c>
      <c r="F363" s="20">
        <f t="shared" si="160"/>
        <v>0</v>
      </c>
      <c r="G363" s="20">
        <f t="shared" si="160"/>
        <v>0</v>
      </c>
      <c r="H363" s="20">
        <f t="shared" si="160"/>
        <v>0</v>
      </c>
      <c r="I363" s="20">
        <f t="shared" si="160"/>
        <v>0</v>
      </c>
      <c r="J363" s="20">
        <f t="shared" si="160"/>
        <v>0</v>
      </c>
      <c r="K363" s="20">
        <f t="shared" si="160"/>
        <v>0</v>
      </c>
      <c r="L363" s="20">
        <f t="shared" si="160"/>
        <v>0</v>
      </c>
      <c r="M363" s="20">
        <f t="shared" si="160"/>
        <v>0</v>
      </c>
      <c r="N363" s="20">
        <f>SUM(B363:M363)</f>
        <v>0</v>
      </c>
    </row>
    <row r="364" spans="1:14" ht="7.5" customHeight="1">
      <c r="A364" s="25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1.25" customHeight="1">
      <c r="A365" s="393" t="s">
        <v>112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</row>
    <row r="366" spans="1:14" ht="11.25" customHeight="1">
      <c r="A366" s="26" t="s">
        <v>16</v>
      </c>
      <c r="B366" s="27">
        <f>'TSAS Demand Revenues (7)'!B370</f>
        <v>100000</v>
      </c>
      <c r="C366" s="27">
        <f>'TSAS Demand Revenues (7)'!C370</f>
        <v>100000</v>
      </c>
      <c r="D366" s="27">
        <f>'TSAS Demand Revenues (7)'!D370</f>
        <v>100000</v>
      </c>
      <c r="E366" s="27">
        <f>'TSAS Demand Revenues (7)'!E370</f>
        <v>100000</v>
      </c>
      <c r="F366" s="27">
        <f>'TSAS Demand Revenues (7)'!F370</f>
        <v>100000</v>
      </c>
      <c r="G366" s="27">
        <f>'TSAS Demand Revenues (7)'!G370</f>
        <v>100000</v>
      </c>
      <c r="H366" s="27">
        <f>'TSAS Demand Revenues (7)'!H370</f>
        <v>100000</v>
      </c>
      <c r="I366" s="27">
        <f>'TSAS Demand Revenues (7)'!I370</f>
        <v>100000</v>
      </c>
      <c r="J366" s="27">
        <f>'TSAS Demand Revenues (7)'!J370</f>
        <v>100000</v>
      </c>
      <c r="K366" s="27">
        <f>'TSAS Demand Revenues (7)'!K370</f>
        <v>100000</v>
      </c>
      <c r="L366" s="27">
        <f>'TSAS Demand Revenues (7)'!L370</f>
        <v>100000</v>
      </c>
      <c r="M366" s="27">
        <f>'TSAS Demand Revenues (7)'!M370</f>
        <v>100000</v>
      </c>
      <c r="N366" s="27">
        <f>SUM(B366:M366)</f>
        <v>1200000</v>
      </c>
    </row>
    <row r="367" spans="1:14">
      <c r="A367" s="25" t="s">
        <v>20</v>
      </c>
      <c r="B367" s="32">
        <f t="shared" ref="B367:M367" si="161">+$B$31</f>
        <v>0.1008</v>
      </c>
      <c r="C367" s="32">
        <f t="shared" si="161"/>
        <v>0.1008</v>
      </c>
      <c r="D367" s="32">
        <f t="shared" si="161"/>
        <v>0.1008</v>
      </c>
      <c r="E367" s="32">
        <f t="shared" si="161"/>
        <v>0.1008</v>
      </c>
      <c r="F367" s="32">
        <f t="shared" si="161"/>
        <v>0.1008</v>
      </c>
      <c r="G367" s="32">
        <f t="shared" si="161"/>
        <v>0.1008</v>
      </c>
      <c r="H367" s="32">
        <f t="shared" si="161"/>
        <v>0.1008</v>
      </c>
      <c r="I367" s="32">
        <f t="shared" si="161"/>
        <v>0.1008</v>
      </c>
      <c r="J367" s="32">
        <f t="shared" si="161"/>
        <v>0.1008</v>
      </c>
      <c r="K367" s="32">
        <f t="shared" si="161"/>
        <v>0.1008</v>
      </c>
      <c r="L367" s="32">
        <f t="shared" si="161"/>
        <v>0.1008</v>
      </c>
      <c r="M367" s="32">
        <f t="shared" si="161"/>
        <v>0.1008</v>
      </c>
      <c r="N367" s="19"/>
    </row>
    <row r="368" spans="1:14">
      <c r="A368" s="25" t="s">
        <v>17</v>
      </c>
      <c r="B368" s="20">
        <f t="shared" ref="B368:M368" si="162">B366*B367</f>
        <v>10080</v>
      </c>
      <c r="C368" s="20">
        <f t="shared" si="162"/>
        <v>10080</v>
      </c>
      <c r="D368" s="20">
        <f t="shared" si="162"/>
        <v>10080</v>
      </c>
      <c r="E368" s="20">
        <f t="shared" si="162"/>
        <v>10080</v>
      </c>
      <c r="F368" s="20">
        <f t="shared" si="162"/>
        <v>10080</v>
      </c>
      <c r="G368" s="20">
        <f t="shared" si="162"/>
        <v>10080</v>
      </c>
      <c r="H368" s="20">
        <f t="shared" si="162"/>
        <v>10080</v>
      </c>
      <c r="I368" s="20">
        <f t="shared" si="162"/>
        <v>10080</v>
      </c>
      <c r="J368" s="20">
        <f t="shared" si="162"/>
        <v>10080</v>
      </c>
      <c r="K368" s="20">
        <f t="shared" si="162"/>
        <v>10080</v>
      </c>
      <c r="L368" s="20">
        <f t="shared" si="162"/>
        <v>10080</v>
      </c>
      <c r="M368" s="20">
        <f t="shared" si="162"/>
        <v>10080</v>
      </c>
      <c r="N368" s="20">
        <f>SUM(B368:M368)</f>
        <v>120960</v>
      </c>
    </row>
    <row r="369" spans="1:14">
      <c r="A369" s="25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>
      <c r="A370" s="393" t="s">
        <v>270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7"/>
    </row>
    <row r="371" spans="1:14">
      <c r="A371" s="26" t="s">
        <v>16</v>
      </c>
      <c r="B371" s="20">
        <f>'TSAS Demand Revenues (7)'!B365</f>
        <v>0</v>
      </c>
      <c r="C371" s="20">
        <f>'TSAS Demand Revenues (7)'!C365</f>
        <v>0</v>
      </c>
      <c r="D371" s="20">
        <f>'TSAS Demand Revenues (7)'!D365</f>
        <v>0</v>
      </c>
      <c r="E371" s="20">
        <f>'TSAS Demand Revenues (7)'!E365</f>
        <v>0</v>
      </c>
      <c r="F371" s="20">
        <f>'TSAS Demand Revenues (7)'!F365</f>
        <v>0</v>
      </c>
      <c r="G371" s="20">
        <f>'TSAS Demand Revenues (7)'!G365</f>
        <v>0</v>
      </c>
      <c r="H371" s="20">
        <f>'TSAS Demand Revenues (7)'!H365</f>
        <v>0</v>
      </c>
      <c r="I371" s="20">
        <f>'TSAS Demand Revenues (7)'!I365</f>
        <v>0</v>
      </c>
      <c r="J371" s="20">
        <f>'TSAS Demand Revenues (7)'!J365</f>
        <v>0</v>
      </c>
      <c r="K371" s="20">
        <f>'TSAS Demand Revenues (7)'!K365</f>
        <v>0</v>
      </c>
      <c r="L371" s="20">
        <f>'TSAS Demand Revenues (7)'!L365</f>
        <v>0</v>
      </c>
      <c r="M371" s="20">
        <f>'TSAS Demand Revenues (7)'!M365</f>
        <v>0</v>
      </c>
      <c r="N371" s="27">
        <f>SUM(B371:M371)</f>
        <v>0</v>
      </c>
    </row>
    <row r="372" spans="1:14">
      <c r="A372" s="25" t="s">
        <v>20</v>
      </c>
      <c r="B372" s="32">
        <f>B367</f>
        <v>0.1008</v>
      </c>
      <c r="C372" s="32">
        <f t="shared" ref="C372:M372" si="163">C367</f>
        <v>0.1008</v>
      </c>
      <c r="D372" s="32">
        <f t="shared" si="163"/>
        <v>0.1008</v>
      </c>
      <c r="E372" s="32">
        <f t="shared" si="163"/>
        <v>0.1008</v>
      </c>
      <c r="F372" s="32">
        <f t="shared" si="163"/>
        <v>0.1008</v>
      </c>
      <c r="G372" s="32">
        <f t="shared" si="163"/>
        <v>0.1008</v>
      </c>
      <c r="H372" s="32">
        <f t="shared" si="163"/>
        <v>0.1008</v>
      </c>
      <c r="I372" s="32">
        <f t="shared" si="163"/>
        <v>0.1008</v>
      </c>
      <c r="J372" s="32">
        <f t="shared" si="163"/>
        <v>0.1008</v>
      </c>
      <c r="K372" s="32">
        <f t="shared" si="163"/>
        <v>0.1008</v>
      </c>
      <c r="L372" s="32">
        <f t="shared" si="163"/>
        <v>0.1008</v>
      </c>
      <c r="M372" s="32">
        <f t="shared" si="163"/>
        <v>0.1008</v>
      </c>
      <c r="N372" s="19"/>
    </row>
    <row r="373" spans="1:14">
      <c r="A373" s="25" t="s">
        <v>17</v>
      </c>
      <c r="B373" s="20">
        <f t="shared" ref="B373:M373" si="164">B371*B372</f>
        <v>0</v>
      </c>
      <c r="C373" s="20">
        <f t="shared" si="164"/>
        <v>0</v>
      </c>
      <c r="D373" s="20">
        <f t="shared" si="164"/>
        <v>0</v>
      </c>
      <c r="E373" s="20">
        <f t="shared" si="164"/>
        <v>0</v>
      </c>
      <c r="F373" s="20">
        <f t="shared" si="164"/>
        <v>0</v>
      </c>
      <c r="G373" s="20">
        <f t="shared" si="164"/>
        <v>0</v>
      </c>
      <c r="H373" s="20">
        <f t="shared" si="164"/>
        <v>0</v>
      </c>
      <c r="I373" s="20">
        <f t="shared" si="164"/>
        <v>0</v>
      </c>
      <c r="J373" s="20">
        <f t="shared" si="164"/>
        <v>0</v>
      </c>
      <c r="K373" s="20">
        <f t="shared" si="164"/>
        <v>0</v>
      </c>
      <c r="L373" s="20">
        <f t="shared" si="164"/>
        <v>0</v>
      </c>
      <c r="M373" s="20">
        <f t="shared" si="164"/>
        <v>0</v>
      </c>
      <c r="N373" s="20">
        <f>SUM(B373:M373)</f>
        <v>0</v>
      </c>
    </row>
    <row r="374" spans="1:14" ht="8.25" customHeight="1">
      <c r="A374" s="25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>
      <c r="A375" s="143" t="s">
        <v>25</v>
      </c>
      <c r="B375" s="142">
        <f>B328+B333+B338+B343+B348+B353+B363+B358+B368+B373</f>
        <v>23761.919999999998</v>
      </c>
      <c r="C375" s="142">
        <f t="shared" ref="C375:M375" si="165">C328+C333+C338+C343+C348+C353+C363+C358+C368+C373</f>
        <v>23761.919999999998</v>
      </c>
      <c r="D375" s="142">
        <f t="shared" si="165"/>
        <v>23761.919999999998</v>
      </c>
      <c r="E375" s="142">
        <f t="shared" si="165"/>
        <v>23761.919999999998</v>
      </c>
      <c r="F375" s="142">
        <f t="shared" si="165"/>
        <v>23761.919999999998</v>
      </c>
      <c r="G375" s="142">
        <f t="shared" si="165"/>
        <v>23761.919999999998</v>
      </c>
      <c r="H375" s="142">
        <f t="shared" si="165"/>
        <v>23761.919999999998</v>
      </c>
      <c r="I375" s="142">
        <f t="shared" si="165"/>
        <v>23761.919999999998</v>
      </c>
      <c r="J375" s="142">
        <f t="shared" si="165"/>
        <v>23761.919999999998</v>
      </c>
      <c r="K375" s="142">
        <f t="shared" si="165"/>
        <v>23761.919999999998</v>
      </c>
      <c r="L375" s="142">
        <f t="shared" si="165"/>
        <v>23761.919999999998</v>
      </c>
      <c r="M375" s="142">
        <f t="shared" si="165"/>
        <v>23761.919999999998</v>
      </c>
      <c r="N375" s="142">
        <f>SUM(B375:M375)</f>
        <v>285143.03999999992</v>
      </c>
    </row>
    <row r="376" spans="1:14">
      <c r="A376" s="145" t="str">
        <f>A321</f>
        <v>Total Monthly Demand</v>
      </c>
      <c r="B376" s="144">
        <f>B326+B331+B336+B341+B346+B351+B356+B361+B366+B371</f>
        <v>247056</v>
      </c>
      <c r="C376" s="144">
        <f t="shared" ref="C376:M376" si="166">C326+C331+C336+C341+C346+C351+C356+C361+C366+C371</f>
        <v>247056</v>
      </c>
      <c r="D376" s="144">
        <f t="shared" si="166"/>
        <v>247056</v>
      </c>
      <c r="E376" s="144">
        <f t="shared" si="166"/>
        <v>247056</v>
      </c>
      <c r="F376" s="144">
        <f t="shared" si="166"/>
        <v>247056</v>
      </c>
      <c r="G376" s="144">
        <f t="shared" si="166"/>
        <v>247056</v>
      </c>
      <c r="H376" s="144">
        <f t="shared" si="166"/>
        <v>247056</v>
      </c>
      <c r="I376" s="144">
        <f t="shared" si="166"/>
        <v>247056</v>
      </c>
      <c r="J376" s="144">
        <f t="shared" si="166"/>
        <v>247056</v>
      </c>
      <c r="K376" s="144">
        <f t="shared" si="166"/>
        <v>247056</v>
      </c>
      <c r="L376" s="144">
        <f t="shared" si="166"/>
        <v>247056</v>
      </c>
      <c r="M376" s="144">
        <f t="shared" si="166"/>
        <v>247056</v>
      </c>
      <c r="N376" s="142">
        <f>SUM(B376:M376)</f>
        <v>2964672</v>
      </c>
    </row>
    <row r="377" spans="1:14">
      <c r="A377" s="24">
        <f>A322+1</f>
        <v>2020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.2">
      <c r="A378" s="22" t="s">
        <v>19</v>
      </c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0" spans="1:14">
      <c r="A380" s="393" t="s">
        <v>344</v>
      </c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</row>
    <row r="381" spans="1:14">
      <c r="A381" s="26" t="s">
        <v>16</v>
      </c>
      <c r="B381" s="27">
        <f>'TSAS Demand Revenues (7)'!B380</f>
        <v>5000</v>
      </c>
      <c r="C381" s="27">
        <f>'TSAS Demand Revenues (7)'!C380</f>
        <v>5000</v>
      </c>
      <c r="D381" s="27">
        <f>'TSAS Demand Revenues (7)'!D380</f>
        <v>5000</v>
      </c>
      <c r="E381" s="27">
        <f>'TSAS Demand Revenues (7)'!E380</f>
        <v>5000</v>
      </c>
      <c r="F381" s="27">
        <f>'TSAS Demand Revenues (7)'!F380</f>
        <v>5000</v>
      </c>
      <c r="G381" s="27">
        <f>'TSAS Demand Revenues (7)'!G380</f>
        <v>5000</v>
      </c>
      <c r="H381" s="27">
        <f>'TSAS Demand Revenues (7)'!H380</f>
        <v>5000</v>
      </c>
      <c r="I381" s="27">
        <f>'TSAS Demand Revenues (7)'!I380</f>
        <v>5000</v>
      </c>
      <c r="J381" s="27">
        <f>'TSAS Demand Revenues (7)'!J380</f>
        <v>5000</v>
      </c>
      <c r="K381" s="27">
        <f>'TSAS Demand Revenues (7)'!K380</f>
        <v>5000</v>
      </c>
      <c r="L381" s="27">
        <f>'TSAS Demand Revenues (7)'!L380</f>
        <v>5000</v>
      </c>
      <c r="M381" s="27">
        <f>'TSAS Demand Revenues (7)'!M380</f>
        <v>5000</v>
      </c>
      <c r="N381" s="27">
        <f>SUM(B381:M381)</f>
        <v>60000</v>
      </c>
    </row>
    <row r="382" spans="1:14">
      <c r="A382" s="25" t="s">
        <v>20</v>
      </c>
      <c r="B382" s="31">
        <f t="shared" ref="B382:M382" si="167">+$B$11</f>
        <v>0.1008</v>
      </c>
      <c r="C382" s="31">
        <f t="shared" si="167"/>
        <v>0.1008</v>
      </c>
      <c r="D382" s="31">
        <f t="shared" si="167"/>
        <v>0.1008</v>
      </c>
      <c r="E382" s="31">
        <f t="shared" si="167"/>
        <v>0.1008</v>
      </c>
      <c r="F382" s="31">
        <f t="shared" si="167"/>
        <v>0.1008</v>
      </c>
      <c r="G382" s="31">
        <f t="shared" si="167"/>
        <v>0.1008</v>
      </c>
      <c r="H382" s="31">
        <f t="shared" si="167"/>
        <v>0.1008</v>
      </c>
      <c r="I382" s="31">
        <f t="shared" si="167"/>
        <v>0.1008</v>
      </c>
      <c r="J382" s="31">
        <f t="shared" si="167"/>
        <v>0.1008</v>
      </c>
      <c r="K382" s="31">
        <f t="shared" si="167"/>
        <v>0.1008</v>
      </c>
      <c r="L382" s="31">
        <f t="shared" si="167"/>
        <v>0.1008</v>
      </c>
      <c r="M382" s="31">
        <f t="shared" si="167"/>
        <v>0.1008</v>
      </c>
      <c r="N382" s="19"/>
    </row>
    <row r="383" spans="1:14">
      <c r="A383" s="25" t="s">
        <v>17</v>
      </c>
      <c r="B383" s="20">
        <f t="shared" ref="B383:M383" si="168">B381*B382</f>
        <v>504</v>
      </c>
      <c r="C383" s="20">
        <f t="shared" si="168"/>
        <v>504</v>
      </c>
      <c r="D383" s="20">
        <f t="shared" si="168"/>
        <v>504</v>
      </c>
      <c r="E383" s="20">
        <f t="shared" si="168"/>
        <v>504</v>
      </c>
      <c r="F383" s="20">
        <f t="shared" si="168"/>
        <v>504</v>
      </c>
      <c r="G383" s="20">
        <f t="shared" si="168"/>
        <v>504</v>
      </c>
      <c r="H383" s="20">
        <f t="shared" si="168"/>
        <v>504</v>
      </c>
      <c r="I383" s="20">
        <f t="shared" si="168"/>
        <v>504</v>
      </c>
      <c r="J383" s="20">
        <f t="shared" si="168"/>
        <v>504</v>
      </c>
      <c r="K383" s="20">
        <f t="shared" si="168"/>
        <v>504</v>
      </c>
      <c r="L383" s="20">
        <f t="shared" si="168"/>
        <v>504</v>
      </c>
      <c r="M383" s="20">
        <f t="shared" si="168"/>
        <v>504</v>
      </c>
      <c r="N383" s="20">
        <f>SUM(B383:M383)</f>
        <v>6048</v>
      </c>
    </row>
    <row r="384" spans="1:14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</row>
    <row r="385" spans="1:14">
      <c r="A385" s="25" t="s">
        <v>21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</row>
    <row r="386" spans="1:14">
      <c r="A386" s="26" t="s">
        <v>16</v>
      </c>
      <c r="B386" s="27">
        <f>'TSAS Demand Revenues (7)'!B385</f>
        <v>0</v>
      </c>
      <c r="C386" s="27">
        <f>'TSAS Demand Revenues (7)'!C385</f>
        <v>0</v>
      </c>
      <c r="D386" s="27">
        <f>'TSAS Demand Revenues (7)'!D385</f>
        <v>0</v>
      </c>
      <c r="E386" s="27">
        <f>'TSAS Demand Revenues (7)'!E385</f>
        <v>0</v>
      </c>
      <c r="F386" s="27">
        <f>'TSAS Demand Revenues (7)'!F385</f>
        <v>0</v>
      </c>
      <c r="G386" s="27">
        <f>'TSAS Demand Revenues (7)'!G385</f>
        <v>0</v>
      </c>
      <c r="H386" s="27">
        <f>'TSAS Demand Revenues (7)'!H385</f>
        <v>0</v>
      </c>
      <c r="I386" s="27">
        <f>'TSAS Demand Revenues (7)'!I385</f>
        <v>0</v>
      </c>
      <c r="J386" s="27">
        <f>'TSAS Demand Revenues (7)'!J385</f>
        <v>0</v>
      </c>
      <c r="K386" s="27">
        <f>'TSAS Demand Revenues (7)'!K385</f>
        <v>0</v>
      </c>
      <c r="L386" s="27">
        <f>'TSAS Demand Revenues (7)'!L385</f>
        <v>0</v>
      </c>
      <c r="M386" s="27">
        <f>'TSAS Demand Revenues (7)'!M385</f>
        <v>0</v>
      </c>
      <c r="N386" s="27">
        <f>SUM(B386:M386)</f>
        <v>0</v>
      </c>
    </row>
    <row r="387" spans="1:14">
      <c r="A387" s="25" t="s">
        <v>20</v>
      </c>
      <c r="B387" s="31">
        <f t="shared" ref="B387:M387" si="169">+$B$16</f>
        <v>0.1008</v>
      </c>
      <c r="C387" s="31">
        <f t="shared" si="169"/>
        <v>0.1008</v>
      </c>
      <c r="D387" s="31">
        <f t="shared" si="169"/>
        <v>0.1008</v>
      </c>
      <c r="E387" s="31">
        <f t="shared" si="169"/>
        <v>0.1008</v>
      </c>
      <c r="F387" s="31">
        <f t="shared" si="169"/>
        <v>0.1008</v>
      </c>
      <c r="G387" s="31">
        <f t="shared" si="169"/>
        <v>0.1008</v>
      </c>
      <c r="H387" s="31">
        <f t="shared" si="169"/>
        <v>0.1008</v>
      </c>
      <c r="I387" s="31">
        <f t="shared" si="169"/>
        <v>0.1008</v>
      </c>
      <c r="J387" s="31">
        <f t="shared" si="169"/>
        <v>0.1008</v>
      </c>
      <c r="K387" s="31">
        <f t="shared" si="169"/>
        <v>0.1008</v>
      </c>
      <c r="L387" s="31">
        <f t="shared" si="169"/>
        <v>0.1008</v>
      </c>
      <c r="M387" s="31">
        <f t="shared" si="169"/>
        <v>0.1008</v>
      </c>
      <c r="N387" s="19"/>
    </row>
    <row r="388" spans="1:14">
      <c r="A388" s="25" t="s">
        <v>17</v>
      </c>
      <c r="B388" s="20">
        <f t="shared" ref="B388:M388" si="170">B386*B387</f>
        <v>0</v>
      </c>
      <c r="C388" s="20">
        <f t="shared" si="170"/>
        <v>0</v>
      </c>
      <c r="D388" s="20">
        <f t="shared" si="170"/>
        <v>0</v>
      </c>
      <c r="E388" s="20">
        <f t="shared" si="170"/>
        <v>0</v>
      </c>
      <c r="F388" s="20">
        <f t="shared" si="170"/>
        <v>0</v>
      </c>
      <c r="G388" s="20">
        <f t="shared" si="170"/>
        <v>0</v>
      </c>
      <c r="H388" s="20">
        <f t="shared" si="170"/>
        <v>0</v>
      </c>
      <c r="I388" s="20">
        <f t="shared" si="170"/>
        <v>0</v>
      </c>
      <c r="J388" s="20">
        <f t="shared" si="170"/>
        <v>0</v>
      </c>
      <c r="K388" s="20">
        <f t="shared" si="170"/>
        <v>0</v>
      </c>
      <c r="L388" s="20">
        <f t="shared" si="170"/>
        <v>0</v>
      </c>
      <c r="M388" s="20">
        <f t="shared" si="170"/>
        <v>0</v>
      </c>
      <c r="N388" s="20">
        <f>SUM(B388:M388)</f>
        <v>0</v>
      </c>
    </row>
    <row r="389" spans="1:14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</row>
    <row r="390" spans="1:14">
      <c r="A390" s="25" t="s">
        <v>22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</row>
    <row r="391" spans="1:14">
      <c r="A391" s="26" t="s">
        <v>16</v>
      </c>
      <c r="B391" s="27">
        <f>'TSAS Demand Revenues (7)'!B390</f>
        <v>0</v>
      </c>
      <c r="C391" s="27">
        <f>'TSAS Demand Revenues (7)'!C390</f>
        <v>0</v>
      </c>
      <c r="D391" s="27">
        <f>'TSAS Demand Revenues (7)'!D390</f>
        <v>0</v>
      </c>
      <c r="E391" s="27">
        <f>'TSAS Demand Revenues (7)'!E390</f>
        <v>0</v>
      </c>
      <c r="F391" s="27">
        <f>'TSAS Demand Revenues (7)'!F390</f>
        <v>0</v>
      </c>
      <c r="G391" s="27">
        <f>'TSAS Demand Revenues (7)'!G390</f>
        <v>0</v>
      </c>
      <c r="H391" s="27">
        <f>'TSAS Demand Revenues (7)'!H390</f>
        <v>0</v>
      </c>
      <c r="I391" s="27">
        <f>'TSAS Demand Revenues (7)'!I390</f>
        <v>0</v>
      </c>
      <c r="J391" s="27">
        <f>'TSAS Demand Revenues (7)'!J390</f>
        <v>0</v>
      </c>
      <c r="K391" s="27">
        <f>'TSAS Demand Revenues (7)'!K390</f>
        <v>0</v>
      </c>
      <c r="L391" s="27">
        <f>'TSAS Demand Revenues (7)'!L390</f>
        <v>0</v>
      </c>
      <c r="M391" s="27">
        <f>'TSAS Demand Revenues (7)'!M390</f>
        <v>0</v>
      </c>
      <c r="N391" s="27">
        <f>SUM(B391:M391)</f>
        <v>0</v>
      </c>
    </row>
    <row r="392" spans="1:14">
      <c r="A392" s="25" t="s">
        <v>20</v>
      </c>
      <c r="B392" s="32">
        <f t="shared" ref="B392:M392" si="171">+$B$21</f>
        <v>0.1008</v>
      </c>
      <c r="C392" s="32">
        <f t="shared" si="171"/>
        <v>0.1008</v>
      </c>
      <c r="D392" s="32">
        <f t="shared" si="171"/>
        <v>0.1008</v>
      </c>
      <c r="E392" s="32">
        <f t="shared" si="171"/>
        <v>0.1008</v>
      </c>
      <c r="F392" s="32">
        <f t="shared" si="171"/>
        <v>0.1008</v>
      </c>
      <c r="G392" s="32">
        <f t="shared" si="171"/>
        <v>0.1008</v>
      </c>
      <c r="H392" s="32">
        <f t="shared" si="171"/>
        <v>0.1008</v>
      </c>
      <c r="I392" s="32">
        <f t="shared" si="171"/>
        <v>0.1008</v>
      </c>
      <c r="J392" s="32">
        <f t="shared" si="171"/>
        <v>0.1008</v>
      </c>
      <c r="K392" s="32">
        <f t="shared" si="171"/>
        <v>0.1008</v>
      </c>
      <c r="L392" s="32">
        <f t="shared" si="171"/>
        <v>0.1008</v>
      </c>
      <c r="M392" s="32">
        <f t="shared" si="171"/>
        <v>0.1008</v>
      </c>
      <c r="N392" s="19"/>
    </row>
    <row r="393" spans="1:14">
      <c r="A393" s="25" t="s">
        <v>17</v>
      </c>
      <c r="B393" s="20">
        <f t="shared" ref="B393:M393" si="172">B391*B392</f>
        <v>0</v>
      </c>
      <c r="C393" s="20">
        <f t="shared" si="172"/>
        <v>0</v>
      </c>
      <c r="D393" s="20">
        <f t="shared" si="172"/>
        <v>0</v>
      </c>
      <c r="E393" s="20">
        <f t="shared" si="172"/>
        <v>0</v>
      </c>
      <c r="F393" s="20">
        <f t="shared" si="172"/>
        <v>0</v>
      </c>
      <c r="G393" s="20">
        <f t="shared" si="172"/>
        <v>0</v>
      </c>
      <c r="H393" s="20">
        <f t="shared" si="172"/>
        <v>0</v>
      </c>
      <c r="I393" s="20">
        <f t="shared" si="172"/>
        <v>0</v>
      </c>
      <c r="J393" s="20">
        <f t="shared" si="172"/>
        <v>0</v>
      </c>
      <c r="K393" s="20">
        <f t="shared" si="172"/>
        <v>0</v>
      </c>
      <c r="L393" s="20">
        <f t="shared" si="172"/>
        <v>0</v>
      </c>
      <c r="M393" s="20">
        <f t="shared" si="172"/>
        <v>0</v>
      </c>
      <c r="N393" s="20">
        <f>SUM(B393:M393)</f>
        <v>0</v>
      </c>
    </row>
    <row r="394" spans="1:14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</row>
    <row r="395" spans="1:14">
      <c r="A395" s="393" t="s">
        <v>23</v>
      </c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</row>
    <row r="396" spans="1:14">
      <c r="A396" s="26" t="s">
        <v>16</v>
      </c>
      <c r="B396" s="27">
        <f>'TSAS Demand Revenues (7)'!B395</f>
        <v>37056</v>
      </c>
      <c r="C396" s="27">
        <f>'TSAS Demand Revenues (7)'!C395</f>
        <v>37056</v>
      </c>
      <c r="D396" s="27">
        <f>'TSAS Demand Revenues (7)'!D395</f>
        <v>37056</v>
      </c>
      <c r="E396" s="27">
        <f>'TSAS Demand Revenues (7)'!E395</f>
        <v>37056</v>
      </c>
      <c r="F396" s="27">
        <f>'TSAS Demand Revenues (7)'!F395</f>
        <v>37056</v>
      </c>
      <c r="G396" s="27">
        <f>'TSAS Demand Revenues (7)'!G395</f>
        <v>37056</v>
      </c>
      <c r="H396" s="27">
        <f>'TSAS Demand Revenues (7)'!H395</f>
        <v>37056</v>
      </c>
      <c r="I396" s="27">
        <f>'TSAS Demand Revenues (7)'!I395</f>
        <v>37056</v>
      </c>
      <c r="J396" s="27">
        <f>'TSAS Demand Revenues (7)'!J395</f>
        <v>37056</v>
      </c>
      <c r="K396" s="27">
        <f>'TSAS Demand Revenues (7)'!K395</f>
        <v>37056</v>
      </c>
      <c r="L396" s="27">
        <f>'TSAS Demand Revenues (7)'!L395</f>
        <v>37056</v>
      </c>
      <c r="M396" s="27">
        <f>'TSAS Demand Revenues (7)'!M395</f>
        <v>37056</v>
      </c>
      <c r="N396" s="27">
        <f>SUM(B396:M396)</f>
        <v>444672</v>
      </c>
    </row>
    <row r="397" spans="1:14">
      <c r="A397" s="25" t="s">
        <v>20</v>
      </c>
      <c r="B397" s="32">
        <f t="shared" ref="B397:M397" si="173">+$B$26</f>
        <v>7.0000000000000007E-2</v>
      </c>
      <c r="C397" s="32">
        <f t="shared" si="173"/>
        <v>7.0000000000000007E-2</v>
      </c>
      <c r="D397" s="32">
        <f t="shared" si="173"/>
        <v>7.0000000000000007E-2</v>
      </c>
      <c r="E397" s="32">
        <f t="shared" si="173"/>
        <v>7.0000000000000007E-2</v>
      </c>
      <c r="F397" s="32">
        <f t="shared" si="173"/>
        <v>7.0000000000000007E-2</v>
      </c>
      <c r="G397" s="32">
        <f t="shared" si="173"/>
        <v>7.0000000000000007E-2</v>
      </c>
      <c r="H397" s="32">
        <f t="shared" si="173"/>
        <v>7.0000000000000007E-2</v>
      </c>
      <c r="I397" s="32">
        <f t="shared" si="173"/>
        <v>7.0000000000000007E-2</v>
      </c>
      <c r="J397" s="32">
        <f t="shared" si="173"/>
        <v>7.0000000000000007E-2</v>
      </c>
      <c r="K397" s="32">
        <f t="shared" si="173"/>
        <v>7.0000000000000007E-2</v>
      </c>
      <c r="L397" s="32">
        <f t="shared" si="173"/>
        <v>7.0000000000000007E-2</v>
      </c>
      <c r="M397" s="32">
        <f t="shared" si="173"/>
        <v>7.0000000000000007E-2</v>
      </c>
      <c r="N397" s="19"/>
    </row>
    <row r="398" spans="1:14">
      <c r="A398" s="25" t="s">
        <v>17</v>
      </c>
      <c r="B398" s="20">
        <f t="shared" ref="B398:M398" si="174">B396*B397</f>
        <v>2593.92</v>
      </c>
      <c r="C398" s="20">
        <f t="shared" si="174"/>
        <v>2593.92</v>
      </c>
      <c r="D398" s="20">
        <f t="shared" si="174"/>
        <v>2593.92</v>
      </c>
      <c r="E398" s="20">
        <f t="shared" si="174"/>
        <v>2593.92</v>
      </c>
      <c r="F398" s="20">
        <f t="shared" si="174"/>
        <v>2593.92</v>
      </c>
      <c r="G398" s="20">
        <f t="shared" si="174"/>
        <v>2593.92</v>
      </c>
      <c r="H398" s="20">
        <f t="shared" si="174"/>
        <v>2593.92</v>
      </c>
      <c r="I398" s="20">
        <f t="shared" si="174"/>
        <v>2593.92</v>
      </c>
      <c r="J398" s="20">
        <f t="shared" si="174"/>
        <v>2593.92</v>
      </c>
      <c r="K398" s="20">
        <f t="shared" si="174"/>
        <v>2593.92</v>
      </c>
      <c r="L398" s="20">
        <f t="shared" si="174"/>
        <v>2593.92</v>
      </c>
      <c r="M398" s="20">
        <f t="shared" si="174"/>
        <v>2593.92</v>
      </c>
      <c r="N398" s="20">
        <f>SUM(B398:M398)</f>
        <v>31127.039999999994</v>
      </c>
    </row>
    <row r="399" spans="1:14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</row>
    <row r="400" spans="1:14">
      <c r="A400" s="393" t="s">
        <v>24</v>
      </c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</row>
    <row r="401" spans="1:14">
      <c r="A401" s="26" t="s">
        <v>16</v>
      </c>
      <c r="B401" s="27">
        <f>'TSAS Demand Revenues (7)'!B400</f>
        <v>62000</v>
      </c>
      <c r="C401" s="27">
        <f>'TSAS Demand Revenues (7)'!C400</f>
        <v>62000</v>
      </c>
      <c r="D401" s="27">
        <f>'TSAS Demand Revenues (7)'!D400</f>
        <v>62000</v>
      </c>
      <c r="E401" s="27">
        <f>'TSAS Demand Revenues (7)'!E400</f>
        <v>62000</v>
      </c>
      <c r="F401" s="27">
        <f>'TSAS Demand Revenues (7)'!F400</f>
        <v>62000</v>
      </c>
      <c r="G401" s="27">
        <f>'TSAS Demand Revenues (7)'!G400</f>
        <v>62000</v>
      </c>
      <c r="H401" s="27">
        <f>'TSAS Demand Revenues (7)'!H400</f>
        <v>62000</v>
      </c>
      <c r="I401" s="27">
        <f>'TSAS Demand Revenues (7)'!I400</f>
        <v>62000</v>
      </c>
      <c r="J401" s="27">
        <f>'TSAS Demand Revenues (7)'!J400</f>
        <v>62000</v>
      </c>
      <c r="K401" s="27">
        <f>'TSAS Demand Revenues (7)'!K400</f>
        <v>62000</v>
      </c>
      <c r="L401" s="27">
        <f>'TSAS Demand Revenues (7)'!L400</f>
        <v>62000</v>
      </c>
      <c r="M401" s="27">
        <f>'TSAS Demand Revenues (7)'!M400</f>
        <v>62000</v>
      </c>
      <c r="N401" s="27">
        <f>SUM(B401:M401)</f>
        <v>744000</v>
      </c>
    </row>
    <row r="402" spans="1:14">
      <c r="A402" s="25" t="s">
        <v>20</v>
      </c>
      <c r="B402" s="32">
        <f t="shared" ref="B402:M402" si="175">+$B$31</f>
        <v>0.1008</v>
      </c>
      <c r="C402" s="32">
        <f t="shared" si="175"/>
        <v>0.1008</v>
      </c>
      <c r="D402" s="32">
        <f t="shared" si="175"/>
        <v>0.1008</v>
      </c>
      <c r="E402" s="32">
        <f t="shared" si="175"/>
        <v>0.1008</v>
      </c>
      <c r="F402" s="32">
        <f t="shared" si="175"/>
        <v>0.1008</v>
      </c>
      <c r="G402" s="32">
        <f t="shared" si="175"/>
        <v>0.1008</v>
      </c>
      <c r="H402" s="32">
        <f t="shared" si="175"/>
        <v>0.1008</v>
      </c>
      <c r="I402" s="32">
        <f t="shared" si="175"/>
        <v>0.1008</v>
      </c>
      <c r="J402" s="32">
        <f t="shared" si="175"/>
        <v>0.1008</v>
      </c>
      <c r="K402" s="32">
        <f t="shared" si="175"/>
        <v>0.1008</v>
      </c>
      <c r="L402" s="32">
        <f t="shared" si="175"/>
        <v>0.1008</v>
      </c>
      <c r="M402" s="32">
        <f t="shared" si="175"/>
        <v>0.1008</v>
      </c>
      <c r="N402" s="19"/>
    </row>
    <row r="403" spans="1:14">
      <c r="A403" s="25" t="s">
        <v>17</v>
      </c>
      <c r="B403" s="20">
        <f t="shared" ref="B403:M403" si="176">B401*B402</f>
        <v>6249.6</v>
      </c>
      <c r="C403" s="20">
        <f t="shared" si="176"/>
        <v>6249.6</v>
      </c>
      <c r="D403" s="20">
        <f t="shared" si="176"/>
        <v>6249.6</v>
      </c>
      <c r="E403" s="20">
        <f t="shared" si="176"/>
        <v>6249.6</v>
      </c>
      <c r="F403" s="20">
        <f t="shared" si="176"/>
        <v>6249.6</v>
      </c>
      <c r="G403" s="20">
        <f t="shared" si="176"/>
        <v>6249.6</v>
      </c>
      <c r="H403" s="20">
        <f t="shared" si="176"/>
        <v>6249.6</v>
      </c>
      <c r="I403" s="20">
        <f t="shared" si="176"/>
        <v>6249.6</v>
      </c>
      <c r="J403" s="20">
        <f t="shared" si="176"/>
        <v>6249.6</v>
      </c>
      <c r="K403" s="20">
        <f t="shared" si="176"/>
        <v>6249.6</v>
      </c>
      <c r="L403" s="20">
        <f t="shared" si="176"/>
        <v>6249.6</v>
      </c>
      <c r="M403" s="20">
        <f t="shared" si="176"/>
        <v>6249.6</v>
      </c>
      <c r="N403" s="20">
        <f>SUM(B403:M403)</f>
        <v>74995.199999999997</v>
      </c>
    </row>
    <row r="404" spans="1:14">
      <c r="A404" s="25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>
      <c r="A405" s="393" t="s">
        <v>111</v>
      </c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</row>
    <row r="406" spans="1:14">
      <c r="A406" s="26" t="s">
        <v>16</v>
      </c>
      <c r="B406" s="27">
        <f>'TSAS Demand Revenues (7)'!B405</f>
        <v>40000</v>
      </c>
      <c r="C406" s="27">
        <f>'TSAS Demand Revenues (7)'!C405</f>
        <v>0</v>
      </c>
      <c r="D406" s="27">
        <f>'TSAS Demand Revenues (7)'!D405</f>
        <v>0</v>
      </c>
      <c r="E406" s="27">
        <f>'TSAS Demand Revenues (7)'!E405</f>
        <v>0</v>
      </c>
      <c r="F406" s="27">
        <f>'TSAS Demand Revenues (7)'!F405</f>
        <v>0</v>
      </c>
      <c r="G406" s="27">
        <f>'TSAS Demand Revenues (7)'!G405</f>
        <v>0</v>
      </c>
      <c r="H406" s="27">
        <f>'TSAS Demand Revenues (7)'!H405</f>
        <v>0</v>
      </c>
      <c r="I406" s="27">
        <f>'TSAS Demand Revenues (7)'!I405</f>
        <v>0</v>
      </c>
      <c r="J406" s="27">
        <f>'TSAS Demand Revenues (7)'!J405</f>
        <v>0</v>
      </c>
      <c r="K406" s="27">
        <f>'TSAS Demand Revenues (7)'!K405</f>
        <v>0</v>
      </c>
      <c r="L406" s="27">
        <f>'TSAS Demand Revenues (7)'!L405</f>
        <v>0</v>
      </c>
      <c r="M406" s="27">
        <f>'TSAS Demand Revenues (7)'!M405</f>
        <v>0</v>
      </c>
      <c r="N406" s="27">
        <f>SUM(B406:M406)</f>
        <v>40000</v>
      </c>
    </row>
    <row r="407" spans="1:14">
      <c r="A407" s="25" t="s">
        <v>20</v>
      </c>
      <c r="B407" s="32">
        <f>B402</f>
        <v>0.1008</v>
      </c>
      <c r="C407" s="32">
        <f>C402</f>
        <v>0.1008</v>
      </c>
      <c r="D407" s="32">
        <f t="shared" ref="D407" si="177">C407</f>
        <v>0.1008</v>
      </c>
      <c r="E407" s="32">
        <f t="shared" ref="E407" si="178">D407</f>
        <v>0.1008</v>
      </c>
      <c r="F407" s="32">
        <f t="shared" ref="F407" si="179">E407</f>
        <v>0.1008</v>
      </c>
      <c r="G407" s="32">
        <f t="shared" ref="G407" si="180">F407</f>
        <v>0.1008</v>
      </c>
      <c r="H407" s="32">
        <f t="shared" ref="H407" si="181">G407</f>
        <v>0.1008</v>
      </c>
      <c r="I407" s="32">
        <f t="shared" ref="I407" si="182">H407</f>
        <v>0.1008</v>
      </c>
      <c r="J407" s="32">
        <f t="shared" ref="J407" si="183">I407</f>
        <v>0.1008</v>
      </c>
      <c r="K407" s="32">
        <f t="shared" ref="K407" si="184">J407</f>
        <v>0.1008</v>
      </c>
      <c r="L407" s="32">
        <f t="shared" ref="L407" si="185">K407</f>
        <v>0.1008</v>
      </c>
      <c r="M407" s="32">
        <f t="shared" ref="M407" si="186">L407</f>
        <v>0.1008</v>
      </c>
      <c r="N407" s="19"/>
    </row>
    <row r="408" spans="1:14">
      <c r="A408" s="25" t="s">
        <v>17</v>
      </c>
      <c r="B408" s="20">
        <f t="shared" ref="B408:M408" si="187">B406*B407</f>
        <v>4032</v>
      </c>
      <c r="C408" s="20">
        <f t="shared" si="187"/>
        <v>0</v>
      </c>
      <c r="D408" s="20">
        <f t="shared" si="187"/>
        <v>0</v>
      </c>
      <c r="E408" s="20">
        <f t="shared" si="187"/>
        <v>0</v>
      </c>
      <c r="F408" s="20">
        <f t="shared" si="187"/>
        <v>0</v>
      </c>
      <c r="G408" s="20">
        <f t="shared" si="187"/>
        <v>0</v>
      </c>
      <c r="H408" s="20">
        <f t="shared" si="187"/>
        <v>0</v>
      </c>
      <c r="I408" s="20">
        <f t="shared" si="187"/>
        <v>0</v>
      </c>
      <c r="J408" s="20">
        <f t="shared" si="187"/>
        <v>0</v>
      </c>
      <c r="K408" s="20">
        <f t="shared" si="187"/>
        <v>0</v>
      </c>
      <c r="L408" s="20">
        <f t="shared" si="187"/>
        <v>0</v>
      </c>
      <c r="M408" s="20">
        <f t="shared" si="187"/>
        <v>0</v>
      </c>
      <c r="N408" s="20">
        <f>SUM(B408:M408)</f>
        <v>4032</v>
      </c>
    </row>
    <row r="409" spans="1:14">
      <c r="A409" s="25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>
      <c r="A410" s="393" t="s">
        <v>222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</row>
    <row r="411" spans="1:14">
      <c r="A411" s="26" t="s">
        <v>16</v>
      </c>
      <c r="B411" s="27">
        <f>'TSAS Demand Revenues (7)'!B410</f>
        <v>3000</v>
      </c>
      <c r="C411" s="27">
        <f>'TSAS Demand Revenues (7)'!C410</f>
        <v>3000</v>
      </c>
      <c r="D411" s="27">
        <f>'TSAS Demand Revenues (7)'!D410</f>
        <v>3000</v>
      </c>
      <c r="E411" s="27">
        <f>'TSAS Demand Revenues (7)'!E410</f>
        <v>3000</v>
      </c>
      <c r="F411" s="27">
        <f>'TSAS Demand Revenues (7)'!F410</f>
        <v>3000</v>
      </c>
      <c r="G411" s="27">
        <f>'TSAS Demand Revenues (7)'!G410</f>
        <v>3000</v>
      </c>
      <c r="H411" s="27">
        <f>'TSAS Demand Revenues (7)'!H410</f>
        <v>3000</v>
      </c>
      <c r="I411" s="27">
        <f>'TSAS Demand Revenues (7)'!I410</f>
        <v>3000</v>
      </c>
      <c r="J411" s="27">
        <f>'TSAS Demand Revenues (7)'!J410</f>
        <v>3000</v>
      </c>
      <c r="K411" s="27">
        <f>'TSAS Demand Revenues (7)'!K410</f>
        <v>3000</v>
      </c>
      <c r="L411" s="27">
        <f>'TSAS Demand Revenues (7)'!L410</f>
        <v>3000</v>
      </c>
      <c r="M411" s="27">
        <f>'TSAS Demand Revenues (7)'!M410</f>
        <v>3000</v>
      </c>
      <c r="N411" s="27">
        <f>SUM(B411:M411)</f>
        <v>36000</v>
      </c>
    </row>
    <row r="412" spans="1:14">
      <c r="A412" s="25" t="s">
        <v>20</v>
      </c>
      <c r="B412" s="32">
        <f>B407</f>
        <v>0.1008</v>
      </c>
      <c r="C412" s="32">
        <f>C407</f>
        <v>0.1008</v>
      </c>
      <c r="D412" s="32">
        <f t="shared" ref="D412" si="188">C412</f>
        <v>0.1008</v>
      </c>
      <c r="E412" s="32">
        <f t="shared" ref="E412" si="189">D412</f>
        <v>0.1008</v>
      </c>
      <c r="F412" s="32">
        <f t="shared" ref="F412" si="190">E412</f>
        <v>0.1008</v>
      </c>
      <c r="G412" s="32">
        <f t="shared" ref="G412" si="191">F412</f>
        <v>0.1008</v>
      </c>
      <c r="H412" s="32">
        <f t="shared" ref="H412" si="192">G412</f>
        <v>0.1008</v>
      </c>
      <c r="I412" s="32">
        <f t="shared" ref="I412" si="193">H412</f>
        <v>0.1008</v>
      </c>
      <c r="J412" s="32">
        <f t="shared" ref="J412" si="194">I412</f>
        <v>0.1008</v>
      </c>
      <c r="K412" s="32">
        <f t="shared" ref="K412" si="195">J412</f>
        <v>0.1008</v>
      </c>
      <c r="L412" s="32">
        <f t="shared" ref="L412" si="196">K412</f>
        <v>0.1008</v>
      </c>
      <c r="M412" s="32">
        <f t="shared" ref="M412" si="197">L412</f>
        <v>0.1008</v>
      </c>
      <c r="N412" s="19"/>
    </row>
    <row r="413" spans="1:14">
      <c r="A413" s="25" t="s">
        <v>17</v>
      </c>
      <c r="B413" s="20">
        <f t="shared" ref="B413:M413" si="198">B411*B412</f>
        <v>302.39999999999998</v>
      </c>
      <c r="C413" s="20">
        <f t="shared" si="198"/>
        <v>302.39999999999998</v>
      </c>
      <c r="D413" s="20">
        <f t="shared" si="198"/>
        <v>302.39999999999998</v>
      </c>
      <c r="E413" s="20">
        <f t="shared" si="198"/>
        <v>302.39999999999998</v>
      </c>
      <c r="F413" s="20">
        <f t="shared" si="198"/>
        <v>302.39999999999998</v>
      </c>
      <c r="G413" s="20">
        <f t="shared" si="198"/>
        <v>302.39999999999998</v>
      </c>
      <c r="H413" s="20">
        <f t="shared" si="198"/>
        <v>302.39999999999998</v>
      </c>
      <c r="I413" s="20">
        <f t="shared" si="198"/>
        <v>302.39999999999998</v>
      </c>
      <c r="J413" s="20">
        <f t="shared" si="198"/>
        <v>302.39999999999998</v>
      </c>
      <c r="K413" s="20">
        <f t="shared" si="198"/>
        <v>302.39999999999998</v>
      </c>
      <c r="L413" s="20">
        <f t="shared" si="198"/>
        <v>302.39999999999998</v>
      </c>
      <c r="M413" s="20">
        <f t="shared" si="198"/>
        <v>302.39999999999998</v>
      </c>
      <c r="N413" s="20">
        <f>SUM(B413:M413)</f>
        <v>3628.8000000000006</v>
      </c>
    </row>
    <row r="414" spans="1:14">
      <c r="A414" s="25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>
      <c r="A415" s="393" t="s">
        <v>173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</row>
    <row r="416" spans="1:14">
      <c r="A416" s="26" t="s">
        <v>16</v>
      </c>
      <c r="B416" s="27">
        <f>'TSAS Demand Revenues (7)'!B415</f>
        <v>0</v>
      </c>
      <c r="C416" s="27">
        <f>'TSAS Demand Revenues (7)'!C415</f>
        <v>0</v>
      </c>
      <c r="D416" s="27">
        <f>'TSAS Demand Revenues (7)'!D415</f>
        <v>0</v>
      </c>
      <c r="E416" s="27">
        <f>'TSAS Demand Revenues (7)'!E415</f>
        <v>0</v>
      </c>
      <c r="F416" s="27">
        <f>'TSAS Demand Revenues (7)'!F415</f>
        <v>0</v>
      </c>
      <c r="G416" s="27">
        <f>'TSAS Demand Revenues (7)'!G415</f>
        <v>0</v>
      </c>
      <c r="H416" s="27">
        <f>'TSAS Demand Revenues (7)'!H415</f>
        <v>0</v>
      </c>
      <c r="I416" s="27">
        <f>'TSAS Demand Revenues (7)'!I415</f>
        <v>0</v>
      </c>
      <c r="J416" s="27">
        <f>'TSAS Demand Revenues (7)'!J415</f>
        <v>0</v>
      </c>
      <c r="K416" s="27">
        <f>'TSAS Demand Revenues (7)'!K415</f>
        <v>0</v>
      </c>
      <c r="L416" s="27">
        <f>'TSAS Demand Revenues (7)'!L415</f>
        <v>0</v>
      </c>
      <c r="M416" s="27">
        <f>'TSAS Demand Revenues (7)'!M415</f>
        <v>0</v>
      </c>
      <c r="N416" s="27">
        <f>SUM(B416:M416)</f>
        <v>0</v>
      </c>
    </row>
    <row r="417" spans="1:14">
      <c r="A417" s="25" t="s">
        <v>20</v>
      </c>
      <c r="B417" s="32">
        <f>B407</f>
        <v>0.1008</v>
      </c>
      <c r="C417" s="32">
        <f t="shared" ref="C417:M417" si="199">C407</f>
        <v>0.1008</v>
      </c>
      <c r="D417" s="32">
        <f t="shared" si="199"/>
        <v>0.1008</v>
      </c>
      <c r="E417" s="32">
        <f t="shared" si="199"/>
        <v>0.1008</v>
      </c>
      <c r="F417" s="32">
        <f t="shared" si="199"/>
        <v>0.1008</v>
      </c>
      <c r="G417" s="32">
        <f t="shared" si="199"/>
        <v>0.1008</v>
      </c>
      <c r="H417" s="32">
        <f t="shared" si="199"/>
        <v>0.1008</v>
      </c>
      <c r="I417" s="32">
        <f t="shared" si="199"/>
        <v>0.1008</v>
      </c>
      <c r="J417" s="32">
        <f t="shared" si="199"/>
        <v>0.1008</v>
      </c>
      <c r="K417" s="32">
        <f t="shared" si="199"/>
        <v>0.1008</v>
      </c>
      <c r="L417" s="32">
        <f t="shared" si="199"/>
        <v>0.1008</v>
      </c>
      <c r="M417" s="32">
        <f t="shared" si="199"/>
        <v>0.1008</v>
      </c>
      <c r="N417" s="19"/>
    </row>
    <row r="418" spans="1:14">
      <c r="A418" s="25" t="s">
        <v>17</v>
      </c>
      <c r="B418" s="20">
        <f t="shared" ref="B418:M418" si="200">B416*B417</f>
        <v>0</v>
      </c>
      <c r="C418" s="20">
        <f t="shared" si="200"/>
        <v>0</v>
      </c>
      <c r="D418" s="20">
        <f t="shared" si="200"/>
        <v>0</v>
      </c>
      <c r="E418" s="20">
        <f t="shared" si="200"/>
        <v>0</v>
      </c>
      <c r="F418" s="20">
        <f t="shared" si="200"/>
        <v>0</v>
      </c>
      <c r="G418" s="20">
        <f t="shared" si="200"/>
        <v>0</v>
      </c>
      <c r="H418" s="20">
        <f t="shared" si="200"/>
        <v>0</v>
      </c>
      <c r="I418" s="20">
        <f t="shared" si="200"/>
        <v>0</v>
      </c>
      <c r="J418" s="20">
        <f t="shared" si="200"/>
        <v>0</v>
      </c>
      <c r="K418" s="20">
        <f t="shared" si="200"/>
        <v>0</v>
      </c>
      <c r="L418" s="20">
        <f t="shared" si="200"/>
        <v>0</v>
      </c>
      <c r="M418" s="20">
        <f t="shared" si="200"/>
        <v>0</v>
      </c>
      <c r="N418" s="20">
        <f>SUM(B418:M418)</f>
        <v>0</v>
      </c>
    </row>
    <row r="419" spans="1:14">
      <c r="A419" s="25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>
      <c r="A420" s="393" t="s">
        <v>112</v>
      </c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</row>
    <row r="421" spans="1:14">
      <c r="A421" s="26" t="s">
        <v>16</v>
      </c>
      <c r="B421" s="27">
        <f>'TSAS Demand Revenues (7)'!B425</f>
        <v>100000</v>
      </c>
      <c r="C421" s="27">
        <f>'TSAS Demand Revenues (7)'!C425</f>
        <v>100000</v>
      </c>
      <c r="D421" s="27">
        <f>'TSAS Demand Revenues (7)'!D425</f>
        <v>100000</v>
      </c>
      <c r="E421" s="27">
        <f>'TSAS Demand Revenues (7)'!E425</f>
        <v>100000</v>
      </c>
      <c r="F421" s="27">
        <f>'TSAS Demand Revenues (7)'!F425</f>
        <v>100000</v>
      </c>
      <c r="G421" s="27">
        <f>'TSAS Demand Revenues (7)'!G425</f>
        <v>100000</v>
      </c>
      <c r="H421" s="27">
        <f>'TSAS Demand Revenues (7)'!H425</f>
        <v>100000</v>
      </c>
      <c r="I421" s="27">
        <f>'TSAS Demand Revenues (7)'!I425</f>
        <v>100000</v>
      </c>
      <c r="J421" s="27">
        <f>'TSAS Demand Revenues (7)'!J425</f>
        <v>100000</v>
      </c>
      <c r="K421" s="27">
        <f>'TSAS Demand Revenues (7)'!K425</f>
        <v>100000</v>
      </c>
      <c r="L421" s="27">
        <f>'TSAS Demand Revenues (7)'!L425</f>
        <v>100000</v>
      </c>
      <c r="M421" s="27">
        <f>'TSAS Demand Revenues (7)'!M425</f>
        <v>100000</v>
      </c>
      <c r="N421" s="27">
        <f>SUM(B421:M421)</f>
        <v>1200000</v>
      </c>
    </row>
    <row r="422" spans="1:14">
      <c r="A422" s="25" t="s">
        <v>20</v>
      </c>
      <c r="B422" s="32">
        <f t="shared" ref="B422:M422" si="201">+$B$31</f>
        <v>0.1008</v>
      </c>
      <c r="C422" s="32">
        <f t="shared" si="201"/>
        <v>0.1008</v>
      </c>
      <c r="D422" s="32">
        <f t="shared" si="201"/>
        <v>0.1008</v>
      </c>
      <c r="E422" s="32">
        <f t="shared" si="201"/>
        <v>0.1008</v>
      </c>
      <c r="F422" s="32">
        <f t="shared" si="201"/>
        <v>0.1008</v>
      </c>
      <c r="G422" s="32">
        <f t="shared" si="201"/>
        <v>0.1008</v>
      </c>
      <c r="H422" s="32">
        <f t="shared" si="201"/>
        <v>0.1008</v>
      </c>
      <c r="I422" s="32">
        <f t="shared" si="201"/>
        <v>0.1008</v>
      </c>
      <c r="J422" s="32">
        <f t="shared" si="201"/>
        <v>0.1008</v>
      </c>
      <c r="K422" s="32">
        <f t="shared" si="201"/>
        <v>0.1008</v>
      </c>
      <c r="L422" s="32">
        <f t="shared" si="201"/>
        <v>0.1008</v>
      </c>
      <c r="M422" s="32">
        <f t="shared" si="201"/>
        <v>0.1008</v>
      </c>
      <c r="N422" s="19"/>
    </row>
    <row r="423" spans="1:14">
      <c r="A423" s="25" t="s">
        <v>17</v>
      </c>
      <c r="B423" s="20">
        <f t="shared" ref="B423:M423" si="202">B421*B422</f>
        <v>10080</v>
      </c>
      <c r="C423" s="20">
        <f t="shared" si="202"/>
        <v>10080</v>
      </c>
      <c r="D423" s="20">
        <f t="shared" si="202"/>
        <v>10080</v>
      </c>
      <c r="E423" s="20">
        <f t="shared" si="202"/>
        <v>10080</v>
      </c>
      <c r="F423" s="20">
        <f t="shared" si="202"/>
        <v>10080</v>
      </c>
      <c r="G423" s="20">
        <f t="shared" si="202"/>
        <v>10080</v>
      </c>
      <c r="H423" s="20">
        <f t="shared" si="202"/>
        <v>10080</v>
      </c>
      <c r="I423" s="20">
        <f t="shared" si="202"/>
        <v>10080</v>
      </c>
      <c r="J423" s="20">
        <f t="shared" si="202"/>
        <v>10080</v>
      </c>
      <c r="K423" s="20">
        <f t="shared" si="202"/>
        <v>10080</v>
      </c>
      <c r="L423" s="20">
        <f t="shared" si="202"/>
        <v>10080</v>
      </c>
      <c r="M423" s="20">
        <f t="shared" si="202"/>
        <v>10080</v>
      </c>
      <c r="N423" s="20">
        <f>SUM(B423:M423)</f>
        <v>120960</v>
      </c>
    </row>
    <row r="424" spans="1:14">
      <c r="A424" s="25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>
      <c r="A425" s="393" t="s">
        <v>270</v>
      </c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7"/>
    </row>
    <row r="426" spans="1:14">
      <c r="A426" s="26" t="s">
        <v>16</v>
      </c>
      <c r="B426" s="20">
        <f>'TSAS Demand Revenues (7)'!B420</f>
        <v>0</v>
      </c>
      <c r="C426" s="20">
        <f>'TSAS Demand Revenues (7)'!C420</f>
        <v>0</v>
      </c>
      <c r="D426" s="20">
        <f>'TSAS Demand Revenues (7)'!D420</f>
        <v>0</v>
      </c>
      <c r="E426" s="20">
        <f>'TSAS Demand Revenues (7)'!E420</f>
        <v>0</v>
      </c>
      <c r="F426" s="20">
        <f>'TSAS Demand Revenues (7)'!F420</f>
        <v>0</v>
      </c>
      <c r="G426" s="20">
        <f>'TSAS Demand Revenues (7)'!G420</f>
        <v>0</v>
      </c>
      <c r="H426" s="20">
        <f>'TSAS Demand Revenues (7)'!H420</f>
        <v>0</v>
      </c>
      <c r="I426" s="20">
        <f>'TSAS Demand Revenues (7)'!I420</f>
        <v>0</v>
      </c>
      <c r="J426" s="20">
        <f>'TSAS Demand Revenues (7)'!J420</f>
        <v>0</v>
      </c>
      <c r="K426" s="20">
        <f>'TSAS Demand Revenues (7)'!K420</f>
        <v>0</v>
      </c>
      <c r="L426" s="20">
        <f>'TSAS Demand Revenues (7)'!L420</f>
        <v>0</v>
      </c>
      <c r="M426" s="20">
        <f>'TSAS Demand Revenues (7)'!M420</f>
        <v>0</v>
      </c>
      <c r="N426" s="27">
        <f>SUM(B426:M426)</f>
        <v>0</v>
      </c>
    </row>
    <row r="427" spans="1:14">
      <c r="A427" s="25" t="s">
        <v>20</v>
      </c>
      <c r="B427" s="32">
        <f>B422</f>
        <v>0.1008</v>
      </c>
      <c r="C427" s="32">
        <f t="shared" ref="C427:M427" si="203">C422</f>
        <v>0.1008</v>
      </c>
      <c r="D427" s="32">
        <f t="shared" si="203"/>
        <v>0.1008</v>
      </c>
      <c r="E427" s="32">
        <f t="shared" si="203"/>
        <v>0.1008</v>
      </c>
      <c r="F427" s="32">
        <f t="shared" si="203"/>
        <v>0.1008</v>
      </c>
      <c r="G427" s="32">
        <f t="shared" si="203"/>
        <v>0.1008</v>
      </c>
      <c r="H427" s="32">
        <f t="shared" si="203"/>
        <v>0.1008</v>
      </c>
      <c r="I427" s="32">
        <f t="shared" si="203"/>
        <v>0.1008</v>
      </c>
      <c r="J427" s="32">
        <f t="shared" si="203"/>
        <v>0.1008</v>
      </c>
      <c r="K427" s="32">
        <f t="shared" si="203"/>
        <v>0.1008</v>
      </c>
      <c r="L427" s="32">
        <f t="shared" si="203"/>
        <v>0.1008</v>
      </c>
      <c r="M427" s="32">
        <f t="shared" si="203"/>
        <v>0.1008</v>
      </c>
      <c r="N427" s="19"/>
    </row>
    <row r="428" spans="1:14">
      <c r="A428" s="25" t="s">
        <v>17</v>
      </c>
      <c r="B428" s="20">
        <f t="shared" ref="B428:M428" si="204">B426*B427</f>
        <v>0</v>
      </c>
      <c r="C428" s="20">
        <f t="shared" si="204"/>
        <v>0</v>
      </c>
      <c r="D428" s="20">
        <f t="shared" si="204"/>
        <v>0</v>
      </c>
      <c r="E428" s="20">
        <f t="shared" si="204"/>
        <v>0</v>
      </c>
      <c r="F428" s="20">
        <f t="shared" si="204"/>
        <v>0</v>
      </c>
      <c r="G428" s="20">
        <f t="shared" si="204"/>
        <v>0</v>
      </c>
      <c r="H428" s="20">
        <f t="shared" si="204"/>
        <v>0</v>
      </c>
      <c r="I428" s="20">
        <f t="shared" si="204"/>
        <v>0</v>
      </c>
      <c r="J428" s="20">
        <f t="shared" si="204"/>
        <v>0</v>
      </c>
      <c r="K428" s="20">
        <f t="shared" si="204"/>
        <v>0</v>
      </c>
      <c r="L428" s="20">
        <f t="shared" si="204"/>
        <v>0</v>
      </c>
      <c r="M428" s="20">
        <f t="shared" si="204"/>
        <v>0</v>
      </c>
      <c r="N428" s="20">
        <f>SUM(B428:M428)</f>
        <v>0</v>
      </c>
    </row>
    <row r="429" spans="1:14">
      <c r="A429" s="25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>
      <c r="A430" s="143" t="s">
        <v>25</v>
      </c>
      <c r="B430" s="142">
        <f>B383+B388+B393+B398+B403+B408+B418+B413+B423+B428</f>
        <v>23761.919999999998</v>
      </c>
      <c r="C430" s="142">
        <f t="shared" ref="C430:M430" si="205">C383+C388+C393+C398+C403+C408+C418+C413+C423+C428</f>
        <v>19729.919999999998</v>
      </c>
      <c r="D430" s="142">
        <f t="shared" si="205"/>
        <v>19729.919999999998</v>
      </c>
      <c r="E430" s="142">
        <f t="shared" si="205"/>
        <v>19729.919999999998</v>
      </c>
      <c r="F430" s="142">
        <f t="shared" si="205"/>
        <v>19729.919999999998</v>
      </c>
      <c r="G430" s="142">
        <f t="shared" si="205"/>
        <v>19729.919999999998</v>
      </c>
      <c r="H430" s="142">
        <f t="shared" si="205"/>
        <v>19729.919999999998</v>
      </c>
      <c r="I430" s="142">
        <f t="shared" si="205"/>
        <v>19729.919999999998</v>
      </c>
      <c r="J430" s="142">
        <f t="shared" si="205"/>
        <v>19729.919999999998</v>
      </c>
      <c r="K430" s="142">
        <f t="shared" si="205"/>
        <v>19729.919999999998</v>
      </c>
      <c r="L430" s="142">
        <f t="shared" si="205"/>
        <v>19729.919999999998</v>
      </c>
      <c r="M430" s="142">
        <f t="shared" si="205"/>
        <v>19729.919999999998</v>
      </c>
      <c r="N430" s="142">
        <f>SUM(B430:M430)</f>
        <v>240791.03999999992</v>
      </c>
    </row>
    <row r="431" spans="1:14">
      <c r="A431" s="145" t="str">
        <f>A376</f>
        <v>Total Monthly Demand</v>
      </c>
      <c r="B431" s="144">
        <f>B381+B386+B391+B396+B401+B406+B411+B416+B421+B426</f>
        <v>247056</v>
      </c>
      <c r="C431" s="144">
        <f t="shared" ref="C431:M431" si="206">C381+C386+C391+C396+C401+C406+C411+C416+C421+C426</f>
        <v>207056</v>
      </c>
      <c r="D431" s="144">
        <f t="shared" si="206"/>
        <v>207056</v>
      </c>
      <c r="E431" s="144">
        <f t="shared" si="206"/>
        <v>207056</v>
      </c>
      <c r="F431" s="144">
        <f t="shared" si="206"/>
        <v>207056</v>
      </c>
      <c r="G431" s="144">
        <f t="shared" si="206"/>
        <v>207056</v>
      </c>
      <c r="H431" s="144">
        <f t="shared" si="206"/>
        <v>207056</v>
      </c>
      <c r="I431" s="144">
        <f t="shared" si="206"/>
        <v>207056</v>
      </c>
      <c r="J431" s="144">
        <f t="shared" si="206"/>
        <v>207056</v>
      </c>
      <c r="K431" s="144">
        <f t="shared" si="206"/>
        <v>207056</v>
      </c>
      <c r="L431" s="144">
        <f t="shared" si="206"/>
        <v>207056</v>
      </c>
      <c r="M431" s="144">
        <f t="shared" si="206"/>
        <v>207056</v>
      </c>
      <c r="N431" s="142">
        <f>SUM(B431:M431)</f>
        <v>2524672</v>
      </c>
    </row>
  </sheetData>
  <phoneticPr fontId="23" type="noConversion"/>
  <pageMargins left="0.59" right="0.2" top="0.53" bottom="0.4" header="0.32" footer="0.18"/>
  <pageSetup scale="69" pageOrder="overThenDown" orientation="landscape" horizontalDpi="4294967292" verticalDpi="300" r:id="rId1"/>
  <headerFooter alignWithMargins="0">
    <oddHeader>&amp;A</oddHeader>
    <oddFooter>&amp;Z&amp;F</oddFooter>
  </headerFooter>
  <rowBreaks count="5" manualBreakCount="5">
    <brk id="66" max="16383" man="1"/>
    <brk id="136" max="16383" man="1"/>
    <brk id="206" max="16383" man="1"/>
    <brk id="266" max="16383" man="1"/>
    <brk id="321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80" zoomScaleNormal="80" workbookViewId="0">
      <selection activeCell="A2" sqref="A2"/>
    </sheetView>
  </sheetViews>
  <sheetFormatPr defaultColWidth="9" defaultRowHeight="13.2"/>
  <cols>
    <col min="1" max="1" width="35.21875" style="460" customWidth="1"/>
    <col min="2" max="2" width="10.77734375" style="460" bestFit="1" customWidth="1"/>
    <col min="3" max="13" width="9.33203125" style="460" bestFit="1" customWidth="1"/>
    <col min="14" max="14" width="10.109375" style="460" bestFit="1" customWidth="1"/>
    <col min="15" max="15" width="9.21875" style="460" bestFit="1" customWidth="1"/>
    <col min="16" max="16384" width="9" style="460"/>
  </cols>
  <sheetData>
    <row r="1" spans="1:15">
      <c r="A1" s="482" t="s">
        <v>497</v>
      </c>
    </row>
    <row r="2" spans="1:15">
      <c r="A2" s="482" t="s">
        <v>458</v>
      </c>
    </row>
    <row r="3" spans="1:15" ht="17.399999999999999">
      <c r="A3" s="483" t="s">
        <v>378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5.6">
      <c r="A4" s="484" t="s">
        <v>413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</row>
    <row r="5" spans="1:15" ht="15.6">
      <c r="A5" s="461"/>
    </row>
    <row r="6" spans="1:15" ht="13.8" thickBot="1"/>
    <row r="7" spans="1:15" ht="13.8" thickBot="1">
      <c r="O7" s="462"/>
    </row>
    <row r="8" spans="1:15" ht="13.8" thickBot="1">
      <c r="A8" s="463"/>
      <c r="B8" s="464">
        <v>43466</v>
      </c>
      <c r="C8" s="464">
        <v>43497</v>
      </c>
      <c r="D8" s="464">
        <v>43525</v>
      </c>
      <c r="E8" s="464">
        <v>43556</v>
      </c>
      <c r="F8" s="464">
        <v>43586</v>
      </c>
      <c r="G8" s="464">
        <v>43617</v>
      </c>
      <c r="H8" s="464">
        <v>43647</v>
      </c>
      <c r="I8" s="464">
        <v>43678</v>
      </c>
      <c r="J8" s="464">
        <v>43709</v>
      </c>
      <c r="K8" s="464">
        <v>43739</v>
      </c>
      <c r="L8" s="464">
        <v>43770</v>
      </c>
      <c r="M8" s="464">
        <v>43800</v>
      </c>
      <c r="N8" s="465" t="s">
        <v>33</v>
      </c>
      <c r="O8" s="466" t="s">
        <v>379</v>
      </c>
    </row>
    <row r="9" spans="1:15">
      <c r="A9" s="467" t="s">
        <v>380</v>
      </c>
      <c r="O9" s="468"/>
    </row>
    <row r="10" spans="1:15">
      <c r="A10" s="460" t="s">
        <v>381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f t="shared" ref="N10:N21" si="0">SUM(B10:M10)</f>
        <v>0</v>
      </c>
      <c r="O10" s="470">
        <f t="shared" ref="O10:O22" si="1">AVERAGE(B10:M10)</f>
        <v>0</v>
      </c>
    </row>
    <row r="11" spans="1:15">
      <c r="A11" s="460" t="s">
        <v>382</v>
      </c>
      <c r="B11" s="469">
        <f>'Winter Park Network'!B89/(1+'Transmission Formula Rate (7)'!$B$27)</f>
        <v>62217.792832596955</v>
      </c>
      <c r="C11" s="469">
        <f>'Winter Park Network'!C89/(1+'Transmission Formula Rate (7)'!$B$27)</f>
        <v>58910.162002945508</v>
      </c>
      <c r="D11" s="469">
        <f>'Winter Park Network'!D89/(1+'Transmission Formula Rate (7)'!$B$27)</f>
        <v>43167.277859597445</v>
      </c>
      <c r="E11" s="469">
        <f>'Winter Park Network'!E89/(1+'Transmission Formula Rate (7)'!$B$27)</f>
        <v>46480.410898379967</v>
      </c>
      <c r="F11" s="469">
        <f>'Winter Park Network'!F89/(1+'Transmission Formula Rate (7)'!$B$27)</f>
        <v>63874.35935198822</v>
      </c>
      <c r="G11" s="469">
        <f>'Winter Park Network'!G89/(1+'Transmission Formula Rate (7)'!$B$27)</f>
        <v>65530.925871379477</v>
      </c>
      <c r="H11" s="469">
        <f>'Winter Park Network'!H89/(1+'Transmission Formula Rate (7)'!$B$27)</f>
        <v>63046.076092292577</v>
      </c>
      <c r="I11" s="469">
        <f>'Winter Park Network'!I89/(1+'Transmission Formula Rate (7)'!$B$27)</f>
        <v>70500.625429553256</v>
      </c>
      <c r="J11" s="469">
        <f>'Winter Park Network'!J89/(1+'Transmission Formula Rate (7)'!$B$27)</f>
        <v>58910.162002945508</v>
      </c>
      <c r="K11" s="469">
        <f>'Winter Park Network'!K89/(1+'Transmission Formula Rate (7)'!$B$27)</f>
        <v>59732.943053510069</v>
      </c>
      <c r="L11" s="469">
        <f>'Winter Park Network'!L89/(1+'Transmission Formula Rate (7)'!$B$27)</f>
        <v>42338.994599901816</v>
      </c>
      <c r="M11" s="469">
        <f>'Winter Park Network'!M89/(1+'Transmission Formula Rate (7)'!$B$27)</f>
        <v>42338.994599901816</v>
      </c>
      <c r="N11" s="469">
        <f t="shared" si="0"/>
        <v>677048.7245949927</v>
      </c>
      <c r="O11" s="470">
        <f t="shared" si="1"/>
        <v>56420.727049582725</v>
      </c>
    </row>
    <row r="12" spans="1:15">
      <c r="A12" s="460" t="s">
        <v>383</v>
      </c>
      <c r="B12" s="469">
        <f>'LCEC Network'!B98/(1+'Transmission Formula Rate (7)'!$B$27)</f>
        <v>538730.99160097877</v>
      </c>
      <c r="C12" s="469">
        <f>'LCEC Network'!C98/(1+'Transmission Formula Rate (7)'!$B$27)</f>
        <v>733095.73221049306</v>
      </c>
      <c r="D12" s="469">
        <f>'LCEC Network'!D98/(1+'Transmission Formula Rate (7)'!$B$27)</f>
        <v>658110.28986288398</v>
      </c>
      <c r="E12" s="469">
        <f>'LCEC Network'!E98/(1+'Transmission Formula Rate (7)'!$B$27)</f>
        <v>606587.57352901169</v>
      </c>
      <c r="F12" s="469">
        <f>'LCEC Network'!F98/(1+'Transmission Formula Rate (7)'!$B$27)</f>
        <v>600431.2551025271</v>
      </c>
      <c r="G12" s="469">
        <f>'LCEC Network'!G98/(1+'Transmission Formula Rate (7)'!$B$27)</f>
        <v>694240.01150706213</v>
      </c>
      <c r="H12" s="469">
        <f>'LCEC Network'!H98/(1+'Transmission Formula Rate (7)'!$B$27)</f>
        <v>759881.23465782404</v>
      </c>
      <c r="I12" s="469">
        <f>'LCEC Network'!I98/(1+'Transmission Formula Rate (7)'!$B$27)</f>
        <v>743885.22978651198</v>
      </c>
      <c r="J12" s="469">
        <f>'LCEC Network'!J98/(1+'Transmission Formula Rate (7)'!$B$27)</f>
        <v>778034.39891085529</v>
      </c>
      <c r="K12" s="469">
        <f>'LCEC Network'!K98/(1+'Transmission Formula Rate (7)'!$B$27)</f>
        <v>668162.66840468626</v>
      </c>
      <c r="L12" s="469">
        <f>'LCEC Network'!L98/(1+'Transmission Formula Rate (7)'!$B$27)</f>
        <v>700543.99943543586</v>
      </c>
      <c r="M12" s="469">
        <f>'LCEC Network'!M98/(1+'Transmission Formula Rate (7)'!$B$27)</f>
        <v>573884.38201110857</v>
      </c>
      <c r="N12" s="469">
        <f t="shared" si="0"/>
        <v>8055587.767019378</v>
      </c>
      <c r="O12" s="470">
        <f t="shared" si="1"/>
        <v>671298.98058494821</v>
      </c>
    </row>
    <row r="13" spans="1:15">
      <c r="A13" s="460" t="s">
        <v>384</v>
      </c>
      <c r="B13" s="469">
        <f>'FKEC Network'!B98/(1+'Transmission Formula Rate (7)'!$B$27)</f>
        <v>115177.87882691852</v>
      </c>
      <c r="C13" s="469">
        <f>'FKEC Network'!C98/(1+'Transmission Formula Rate (7)'!$B$27)</f>
        <v>112451.9626137584</v>
      </c>
      <c r="D13" s="469">
        <f>'FKEC Network'!D98/(1+'Transmission Formula Rate (7)'!$B$27)</f>
        <v>119652.92455019824</v>
      </c>
      <c r="E13" s="469">
        <f>'FKEC Network'!E98/(1+'Transmission Formula Rate (7)'!$B$27)</f>
        <v>113547.09429545247</v>
      </c>
      <c r="F13" s="469">
        <f>'FKEC Network'!F98/(1+'Transmission Formula Rate (7)'!$B$27)</f>
        <v>134843.15529086333</v>
      </c>
      <c r="G13" s="469">
        <f>'FKEC Network'!G98/(1+'Transmission Formula Rate (7)'!$B$27)</f>
        <v>143336.89711640467</v>
      </c>
      <c r="H13" s="469">
        <f>'FKEC Network'!H98/(1+'Transmission Formula Rate (7)'!$B$27)</f>
        <v>147515.91348768459</v>
      </c>
      <c r="I13" s="469">
        <f>'FKEC Network'!I98/(1+'Transmission Formula Rate (7)'!$B$27)</f>
        <v>159797.67489515516</v>
      </c>
      <c r="J13" s="469">
        <f>'FKEC Network'!J98/(1+'Transmission Formula Rate (7)'!$B$27)</f>
        <v>155880.52895926763</v>
      </c>
      <c r="K13" s="469">
        <f>'FKEC Network'!K98/(1+'Transmission Formula Rate (7)'!$B$27)</f>
        <v>143806.32884172493</v>
      </c>
      <c r="L13" s="469">
        <f>'FKEC Network'!L98/(1+'Transmission Formula Rate (7)'!$B$27)</f>
        <v>137490.52516084115</v>
      </c>
      <c r="M13" s="469">
        <f>'FKEC Network'!M98/(1+'Transmission Formula Rate (7)'!$B$27)</f>
        <v>121978.29023276114</v>
      </c>
      <c r="N13" s="469">
        <f t="shared" si="0"/>
        <v>1605479.1742710299</v>
      </c>
      <c r="O13" s="470">
        <f t="shared" si="1"/>
        <v>133789.9311892525</v>
      </c>
    </row>
    <row r="14" spans="1:15">
      <c r="A14" s="460" t="s">
        <v>385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f t="shared" si="0"/>
        <v>0</v>
      </c>
      <c r="O14" s="470">
        <f t="shared" si="1"/>
        <v>0</v>
      </c>
    </row>
    <row r="15" spans="1:15">
      <c r="A15" s="460" t="s">
        <v>386</v>
      </c>
      <c r="B15" s="469">
        <f>'Vero Beach Network'!B134</f>
        <v>182000</v>
      </c>
      <c r="C15" s="469">
        <f>'Vero Beach Network'!C134</f>
        <v>158000</v>
      </c>
      <c r="D15" s="469">
        <f>'Vero Beach Network'!D134</f>
        <v>126000</v>
      </c>
      <c r="E15" s="469">
        <f>'Vero Beach Network'!E134</f>
        <v>131000</v>
      </c>
      <c r="F15" s="469">
        <f>'Vero Beach Network'!F134</f>
        <v>144000</v>
      </c>
      <c r="G15" s="469">
        <f>'Vero Beach Network'!G134</f>
        <v>158000</v>
      </c>
      <c r="H15" s="469">
        <f>'Vero Beach Network'!H134</f>
        <v>157000</v>
      </c>
      <c r="I15" s="469">
        <f>'Vero Beach Network'!I134</f>
        <v>168000</v>
      </c>
      <c r="J15" s="469">
        <f>'Vero Beach Network'!J134</f>
        <v>159000</v>
      </c>
      <c r="K15" s="469">
        <f>'Vero Beach Network'!K134</f>
        <v>149000</v>
      </c>
      <c r="L15" s="469">
        <f>'Vero Beach Network'!L134</f>
        <v>128000</v>
      </c>
      <c r="M15" s="469">
        <f>'Vero Beach Network'!M134</f>
        <v>143000</v>
      </c>
      <c r="N15" s="469">
        <f t="shared" si="0"/>
        <v>1803000</v>
      </c>
      <c r="O15" s="470">
        <f t="shared" si="1"/>
        <v>150250</v>
      </c>
    </row>
    <row r="16" spans="1:15">
      <c r="A16" s="460" t="s">
        <v>277</v>
      </c>
      <c r="B16" s="469">
        <f>'FMPA Network'!B136</f>
        <v>430700</v>
      </c>
      <c r="C16" s="469">
        <f>'FMPA Network'!C136</f>
        <v>401500</v>
      </c>
      <c r="D16" s="469">
        <f>'FMPA Network'!D136</f>
        <v>351100</v>
      </c>
      <c r="E16" s="469">
        <f>'FMPA Network'!E136</f>
        <v>377300</v>
      </c>
      <c r="F16" s="469">
        <f>'FMPA Network'!F136</f>
        <v>425700</v>
      </c>
      <c r="G16" s="469">
        <f>'FMPA Network'!G136</f>
        <v>463000</v>
      </c>
      <c r="H16" s="469">
        <f>'FMPA Network'!H136</f>
        <v>479000</v>
      </c>
      <c r="I16" s="469">
        <f>'FMPA Network'!I136</f>
        <v>487200</v>
      </c>
      <c r="J16" s="469">
        <f>'FMPA Network'!J136</f>
        <v>444500</v>
      </c>
      <c r="K16" s="469">
        <f>'FMPA Network'!K136</f>
        <v>410700</v>
      </c>
      <c r="L16" s="469">
        <f>'FMPA Network'!L136</f>
        <v>367700</v>
      </c>
      <c r="M16" s="469">
        <f>'FMPA Network'!M136</f>
        <v>352900</v>
      </c>
      <c r="N16" s="469">
        <f t="shared" si="0"/>
        <v>4991300</v>
      </c>
      <c r="O16" s="470">
        <f t="shared" si="1"/>
        <v>415941.66666666669</v>
      </c>
    </row>
    <row r="17" spans="1:15">
      <c r="A17" s="460" t="s">
        <v>387</v>
      </c>
      <c r="B17" s="469">
        <f>'SECI Network'!B134</f>
        <v>550644</v>
      </c>
      <c r="C17" s="469">
        <f>'SECI Network'!C134</f>
        <v>438917</v>
      </c>
      <c r="D17" s="469">
        <f>'SECI Network'!D134</f>
        <v>403138</v>
      </c>
      <c r="E17" s="469">
        <f>'SECI Network'!E134</f>
        <v>382060</v>
      </c>
      <c r="F17" s="469">
        <f>'SECI Network'!F134</f>
        <v>431170</v>
      </c>
      <c r="G17" s="469">
        <f>'SECI Network'!G134</f>
        <v>465687</v>
      </c>
      <c r="H17" s="469">
        <f>'SECI Network'!H134</f>
        <v>462081</v>
      </c>
      <c r="I17" s="469">
        <f>'SECI Network'!I134</f>
        <v>460591</v>
      </c>
      <c r="J17" s="469">
        <f>'SECI Network'!J134</f>
        <v>467001</v>
      </c>
      <c r="K17" s="469">
        <f>'SECI Network'!K134</f>
        <v>406071</v>
      </c>
      <c r="L17" s="469">
        <f>'SECI Network'!L134</f>
        <v>391357</v>
      </c>
      <c r="M17" s="469">
        <f>'SECI Network'!M134</f>
        <v>423458</v>
      </c>
      <c r="N17" s="469">
        <f t="shared" si="0"/>
        <v>5282175</v>
      </c>
      <c r="O17" s="470">
        <f t="shared" si="1"/>
        <v>440181.25</v>
      </c>
    </row>
    <row r="18" spans="1:15">
      <c r="A18" s="460" t="s">
        <v>44</v>
      </c>
      <c r="B18" s="469">
        <f>'Georgia Trans Network'!B122</f>
        <v>25884</v>
      </c>
      <c r="C18" s="469">
        <f>'Georgia Trans Network'!C122</f>
        <v>25884</v>
      </c>
      <c r="D18" s="469">
        <f>'Georgia Trans Network'!D122</f>
        <v>25884</v>
      </c>
      <c r="E18" s="469">
        <f>'Georgia Trans Network'!E122</f>
        <v>25884</v>
      </c>
      <c r="F18" s="469">
        <f>'Georgia Trans Network'!F122</f>
        <v>25884</v>
      </c>
      <c r="G18" s="469">
        <f>'Georgia Trans Network'!G122</f>
        <v>25883</v>
      </c>
      <c r="H18" s="469">
        <f>'Georgia Trans Network'!H122</f>
        <v>25883</v>
      </c>
      <c r="I18" s="469">
        <f>'Georgia Trans Network'!I122</f>
        <v>25883</v>
      </c>
      <c r="J18" s="469">
        <f>'Georgia Trans Network'!J122</f>
        <v>25883</v>
      </c>
      <c r="K18" s="469">
        <f>'Georgia Trans Network'!K122</f>
        <v>28869</v>
      </c>
      <c r="L18" s="469">
        <f>'Georgia Trans Network'!L122</f>
        <v>28869</v>
      </c>
      <c r="M18" s="469">
        <f>'Georgia Trans Network'!M122</f>
        <v>28869</v>
      </c>
      <c r="N18" s="469">
        <f t="shared" si="0"/>
        <v>319559</v>
      </c>
      <c r="O18" s="470">
        <f t="shared" si="1"/>
        <v>26629.916666666668</v>
      </c>
    </row>
    <row r="19" spans="1:15">
      <c r="A19" s="460" t="s">
        <v>388</v>
      </c>
      <c r="B19" s="469">
        <f>'Lake Worth Forecast'!E15</f>
        <v>70069.439411680069</v>
      </c>
      <c r="C19" s="469">
        <f>'Lake Worth Forecast'!F15</f>
        <v>68455.211711922937</v>
      </c>
      <c r="D19" s="469">
        <f>'Lake Worth Forecast'!G15</f>
        <v>71404.664792960655</v>
      </c>
      <c r="E19" s="469">
        <f>'Lake Worth Forecast'!H15</f>
        <v>74593.262718406855</v>
      </c>
      <c r="F19" s="469">
        <f>'Lake Worth Forecast'!I15</f>
        <v>83172.58401156051</v>
      </c>
      <c r="G19" s="469">
        <f>'Lake Worth Forecast'!J15</f>
        <v>87238.046366504423</v>
      </c>
      <c r="H19" s="469">
        <f>'Lake Worth Forecast'!K15</f>
        <v>90606.002925256966</v>
      </c>
      <c r="I19" s="469">
        <f>'Lake Worth Forecast'!L15</f>
        <v>91114.185719624948</v>
      </c>
      <c r="J19" s="469">
        <f>'Lake Worth Forecast'!M15</f>
        <v>88005.302742314903</v>
      </c>
      <c r="K19" s="469">
        <f>'Lake Worth Forecast'!N15</f>
        <v>82714.223059777636</v>
      </c>
      <c r="L19" s="469">
        <f>'Lake Worth Forecast'!O15</f>
        <v>73955.543133317624</v>
      </c>
      <c r="M19" s="469">
        <f>'Lake Worth Forecast'!P15</f>
        <v>70288.655519054504</v>
      </c>
      <c r="N19" s="469">
        <f t="shared" si="0"/>
        <v>951617.12211238197</v>
      </c>
      <c r="O19" s="470">
        <f t="shared" si="1"/>
        <v>79301.426842698493</v>
      </c>
    </row>
    <row r="20" spans="1:15">
      <c r="A20" s="460" t="s">
        <v>111</v>
      </c>
      <c r="B20" s="469">
        <f>'Homestead Network Transmission'!B121/(1+'Transmission Formula Rate (7)'!$B$27)</f>
        <v>26509.572901325479</v>
      </c>
      <c r="C20" s="469">
        <f>'Homestead Network Transmission'!C121/(1+'Transmission Formula Rate (7)'!$B$27)</f>
        <v>5891.0162002945508</v>
      </c>
      <c r="D20" s="469">
        <f>'Homestead Network Transmission'!D121/(1+'Transmission Formula Rate (7)'!$B$27)</f>
        <v>0</v>
      </c>
      <c r="E20" s="469">
        <f>'Homestead Network Transmission'!E121/(1+'Transmission Formula Rate (7)'!$B$27)</f>
        <v>2945.5081001472754</v>
      </c>
      <c r="F20" s="469">
        <f>'Homestead Network Transmission'!F121/(1+'Transmission Formula Rate (7)'!$B$27)</f>
        <v>11782.032400589102</v>
      </c>
      <c r="G20" s="469">
        <f>'Homestead Network Transmission'!G121/(1+'Transmission Formula Rate (7)'!$B$27)</f>
        <v>19636.720667648504</v>
      </c>
      <c r="H20" s="469">
        <f>'Homestead Network Transmission'!H121/(1+'Transmission Formula Rate (7)'!$B$27)</f>
        <v>24545.900834560631</v>
      </c>
      <c r="I20" s="469">
        <f>'Homestead Network Transmission'!I121/(1+'Transmission Formula Rate (7)'!$B$27)</f>
        <v>26509.572901325479</v>
      </c>
      <c r="J20" s="469">
        <f>'Homestead Network Transmission'!J121/(1+'Transmission Formula Rate (7)'!$B$27)</f>
        <v>20618.556701030928</v>
      </c>
      <c r="K20" s="469">
        <f>'Homestead Network Transmission'!K121/(1+'Transmission Formula Rate (7)'!$B$27)</f>
        <v>7854.6882670594014</v>
      </c>
      <c r="L20" s="469">
        <f>'Homestead Network Transmission'!L121/(1+'Transmission Formula Rate (7)'!$B$27)</f>
        <v>0</v>
      </c>
      <c r="M20" s="469">
        <f>'Homestead Network Transmission'!M121/(1+'Transmission Formula Rate (7)'!$B$27)</f>
        <v>0</v>
      </c>
      <c r="N20" s="469">
        <f>'Homestead Network Transmission'!N121/(1+'Transmission Formula Rate (7)'!$B$27)</f>
        <v>146293.56897398134</v>
      </c>
      <c r="O20" s="470">
        <f t="shared" si="1"/>
        <v>12191.130747831778</v>
      </c>
    </row>
    <row r="21" spans="1:15">
      <c r="A21" s="460" t="s">
        <v>393</v>
      </c>
      <c r="B21" s="469">
        <f>'New Smyrna Network'!B122/(1+'Transmission Formula Rate (7)'!$B$27)</f>
        <v>0</v>
      </c>
      <c r="C21" s="469">
        <f>'New Smyrna Network'!C122/(1+'Transmission Formula Rate (7)'!$B$27)</f>
        <v>0</v>
      </c>
      <c r="D21" s="469">
        <f>'New Smyrna Network'!D122/(1+'Transmission Formula Rate (7)'!$B$27)</f>
        <v>0</v>
      </c>
      <c r="E21" s="469">
        <f>'New Smyrna Network'!E122/(1+'Transmission Formula Rate (7)'!$B$27)</f>
        <v>0</v>
      </c>
      <c r="F21" s="469">
        <f>'New Smyrna Network'!F122/(1+'Transmission Formula Rate (7)'!$B$27)</f>
        <v>0</v>
      </c>
      <c r="G21" s="469">
        <f>'New Smyrna Network'!G122/(1+'Transmission Formula Rate (7)'!$B$27)</f>
        <v>0</v>
      </c>
      <c r="H21" s="469">
        <f>'New Smyrna Network'!H122/(1+'Transmission Formula Rate (7)'!$B$27)</f>
        <v>0</v>
      </c>
      <c r="I21" s="469">
        <f>'New Smyrna Network'!I122/(1+'Transmission Formula Rate (7)'!$B$27)</f>
        <v>0</v>
      </c>
      <c r="J21" s="469">
        <f>'New Smyrna Network'!J122/(1+'Transmission Formula Rate (7)'!$B$27)</f>
        <v>0</v>
      </c>
      <c r="K21" s="469">
        <f>'New Smyrna Network'!K122/(1+'Transmission Formula Rate (7)'!$B$27)</f>
        <v>0</v>
      </c>
      <c r="L21" s="469">
        <f>'New Smyrna Network'!L122/(1+'Transmission Formula Rate (7)'!$B$27)</f>
        <v>0</v>
      </c>
      <c r="M21" s="469">
        <f>'New Smyrna Network'!M122/(1+'Transmission Formula Rate (7)'!$B$27)</f>
        <v>0</v>
      </c>
      <c r="N21" s="469">
        <f t="shared" si="0"/>
        <v>0</v>
      </c>
      <c r="O21" s="470">
        <f t="shared" si="1"/>
        <v>0</v>
      </c>
    </row>
    <row r="22" spans="1:15">
      <c r="A22" s="460" t="s">
        <v>435</v>
      </c>
      <c r="B22" s="469">
        <f>'Quincy Transmission'!B88/(1+'Transmission Formula Rate (7)'!$B$27)</f>
        <v>18654.88463426608</v>
      </c>
      <c r="C22" s="469">
        <f>'Quincy Transmission'!C88/(1+'Transmission Formula Rate (7)'!$B$27)</f>
        <v>23342.474226804126</v>
      </c>
      <c r="D22" s="469">
        <f>'Quincy Transmission'!D88/(1+'Transmission Formula Rate (7)'!$B$27)</f>
        <v>21369.366715758471</v>
      </c>
      <c r="E22" s="469">
        <f>'Quincy Transmission'!E88/(1+'Transmission Formula Rate (7)'!$B$27)</f>
        <v>19162.444771723123</v>
      </c>
      <c r="F22" s="469">
        <f>'Quincy Transmission'!F88/(1+'Transmission Formula Rate (7)'!$B$27)</f>
        <v>22637.054491899853</v>
      </c>
      <c r="G22" s="469">
        <f>'Quincy Transmission'!G88/(1+'Transmission Formula Rate (7)'!$B$27)</f>
        <v>27179.73490427099</v>
      </c>
      <c r="H22" s="469">
        <f>'Quincy Transmission'!H88/(1+'Transmission Formula Rate (7)'!$B$27)</f>
        <v>26867.982326951402</v>
      </c>
      <c r="I22" s="469">
        <f>'Quincy Transmission'!I88/(1+'Transmission Formula Rate (7)'!$B$27)</f>
        <v>18654.88463426608</v>
      </c>
      <c r="J22" s="469">
        <f>'Quincy Transmission'!J88/(1+'Transmission Formula Rate (7)'!$B$27)</f>
        <v>24822.503681885126</v>
      </c>
      <c r="K22" s="469">
        <f>'Quincy Transmission'!K88/(1+'Transmission Formula Rate (7)'!$B$27)</f>
        <v>21870.397643593522</v>
      </c>
      <c r="L22" s="469">
        <f>'Quincy Transmission'!L88/(1+'Transmission Formula Rate (7)'!$B$27)</f>
        <v>25166.863033873346</v>
      </c>
      <c r="M22" s="469">
        <f>'Quincy Transmission'!M88/(1+'Transmission Formula Rate (7)'!$B$27)</f>
        <v>22615.581737849781</v>
      </c>
      <c r="N22" s="469">
        <f>'Quincy Transmission'!N88/(1+'Transmission Formula Rate (7)'!$B$27)</f>
        <v>272344.17280314193</v>
      </c>
      <c r="O22" s="470">
        <f t="shared" si="1"/>
        <v>22695.347733595161</v>
      </c>
    </row>
    <row r="23" spans="1:15">
      <c r="A23" s="471" t="s">
        <v>389</v>
      </c>
      <c r="B23" s="472">
        <f>SUM(B10:B22)</f>
        <v>2020588.560207766</v>
      </c>
      <c r="C23" s="472">
        <f t="shared" ref="C23:N23" si="2">SUM(C10:C22)</f>
        <v>2026447.5589662187</v>
      </c>
      <c r="D23" s="472">
        <f t="shared" si="2"/>
        <v>1819826.523781399</v>
      </c>
      <c r="E23" s="472">
        <f t="shared" si="2"/>
        <v>1779560.2943131214</v>
      </c>
      <c r="F23" s="472">
        <f t="shared" si="2"/>
        <v>1943494.4406494284</v>
      </c>
      <c r="G23" s="472">
        <f t="shared" si="2"/>
        <v>2149732.3364332705</v>
      </c>
      <c r="H23" s="472">
        <f t="shared" si="2"/>
        <v>2236427.11032457</v>
      </c>
      <c r="I23" s="472">
        <f t="shared" si="2"/>
        <v>2252136.1733664367</v>
      </c>
      <c r="J23" s="472">
        <f t="shared" si="2"/>
        <v>2222655.4529982996</v>
      </c>
      <c r="K23" s="472">
        <f t="shared" si="2"/>
        <v>1978781.2492703518</v>
      </c>
      <c r="L23" s="472">
        <f t="shared" si="2"/>
        <v>1895421.9253633698</v>
      </c>
      <c r="M23" s="472">
        <f t="shared" si="2"/>
        <v>1779332.9041006758</v>
      </c>
      <c r="N23" s="472">
        <f t="shared" si="2"/>
        <v>24104404.529774908</v>
      </c>
      <c r="O23" s="473">
        <f>SUM(O10:O22)</f>
        <v>2008700.3774812426</v>
      </c>
    </row>
    <row r="24" spans="1:15">
      <c r="O24" s="468"/>
    </row>
    <row r="25" spans="1:15">
      <c r="A25" s="467" t="s">
        <v>390</v>
      </c>
      <c r="O25" s="468"/>
    </row>
    <row r="26" spans="1:15">
      <c r="A26" s="460" t="s">
        <v>23</v>
      </c>
      <c r="B26" s="469">
        <f>'TSAS Demand Revenues (7)'!B340</f>
        <v>37056</v>
      </c>
      <c r="C26" s="469">
        <f>'TSAS Demand Revenues (7)'!C340</f>
        <v>37056</v>
      </c>
      <c r="D26" s="469">
        <f>'TSAS Demand Revenues (7)'!D340</f>
        <v>37056</v>
      </c>
      <c r="E26" s="469">
        <f>'TSAS Demand Revenues (7)'!E340</f>
        <v>37056</v>
      </c>
      <c r="F26" s="469">
        <f>'TSAS Demand Revenues (7)'!F340</f>
        <v>37056</v>
      </c>
      <c r="G26" s="469">
        <f>'TSAS Demand Revenues (7)'!G340</f>
        <v>37056</v>
      </c>
      <c r="H26" s="469">
        <f>'TSAS Demand Revenues (7)'!H340</f>
        <v>37056</v>
      </c>
      <c r="I26" s="469">
        <f>'TSAS Demand Revenues (7)'!I340</f>
        <v>37056</v>
      </c>
      <c r="J26" s="469">
        <f>'TSAS Demand Revenues (7)'!J340</f>
        <v>37056</v>
      </c>
      <c r="K26" s="469">
        <f>'TSAS Demand Revenues (7)'!K340</f>
        <v>37056</v>
      </c>
      <c r="L26" s="469">
        <f>'TSAS Demand Revenues (7)'!L340</f>
        <v>37056</v>
      </c>
      <c r="M26" s="469">
        <f>'TSAS Demand Revenues (7)'!M340</f>
        <v>37056</v>
      </c>
      <c r="N26" s="469">
        <f>SUM(B26:M26)</f>
        <v>444672</v>
      </c>
      <c r="O26" s="470">
        <f t="shared" ref="O26:O32" si="3">AVERAGE(B26:M26)</f>
        <v>37056</v>
      </c>
    </row>
    <row r="27" spans="1:15">
      <c r="A27" s="460" t="s">
        <v>24</v>
      </c>
      <c r="B27" s="469">
        <f>'TSAS Demand Revenues (7)'!B345</f>
        <v>62000</v>
      </c>
      <c r="C27" s="469">
        <f>'TSAS Demand Revenues (7)'!C345</f>
        <v>62000</v>
      </c>
      <c r="D27" s="469">
        <f>'TSAS Demand Revenues (7)'!D345</f>
        <v>62000</v>
      </c>
      <c r="E27" s="469">
        <f>'TSAS Demand Revenues (7)'!E345</f>
        <v>62000</v>
      </c>
      <c r="F27" s="469">
        <f>'TSAS Demand Revenues (7)'!F345</f>
        <v>62000</v>
      </c>
      <c r="G27" s="469">
        <f>'TSAS Demand Revenues (7)'!G345</f>
        <v>62000</v>
      </c>
      <c r="H27" s="469">
        <f>'TSAS Demand Revenues (7)'!H345</f>
        <v>62000</v>
      </c>
      <c r="I27" s="469">
        <f>'TSAS Demand Revenues (7)'!I345</f>
        <v>62000</v>
      </c>
      <c r="J27" s="469">
        <f>'TSAS Demand Revenues (7)'!J345</f>
        <v>62000</v>
      </c>
      <c r="K27" s="469">
        <f>'TSAS Demand Revenues (7)'!K345</f>
        <v>62000</v>
      </c>
      <c r="L27" s="469">
        <f>'TSAS Demand Revenues (7)'!L345</f>
        <v>62000</v>
      </c>
      <c r="M27" s="469">
        <f>'TSAS Demand Revenues (7)'!M345</f>
        <v>62000</v>
      </c>
      <c r="N27" s="469">
        <f t="shared" ref="N27:N32" si="4">SUM(B27:M27)</f>
        <v>744000</v>
      </c>
      <c r="O27" s="470">
        <f t="shared" si="3"/>
        <v>62000</v>
      </c>
    </row>
    <row r="28" spans="1:15">
      <c r="A28" s="460" t="s">
        <v>111</v>
      </c>
      <c r="B28" s="469">
        <f>'TSAS Demand Revenues (7)'!B350</f>
        <v>40000</v>
      </c>
      <c r="C28" s="469">
        <f>'TSAS Demand Revenues (7)'!C350</f>
        <v>40000</v>
      </c>
      <c r="D28" s="469">
        <f>'TSAS Demand Revenues (7)'!D350</f>
        <v>40000</v>
      </c>
      <c r="E28" s="469">
        <f>'TSAS Demand Revenues (7)'!E350</f>
        <v>40000</v>
      </c>
      <c r="F28" s="469">
        <f>'TSAS Demand Revenues (7)'!F350</f>
        <v>40000</v>
      </c>
      <c r="G28" s="469">
        <f>'TSAS Demand Revenues (7)'!G350</f>
        <v>40000</v>
      </c>
      <c r="H28" s="469">
        <f>'TSAS Demand Revenues (7)'!H350</f>
        <v>40000</v>
      </c>
      <c r="I28" s="469">
        <f>'TSAS Demand Revenues (7)'!I350</f>
        <v>40000</v>
      </c>
      <c r="J28" s="469">
        <f>'TSAS Demand Revenues (7)'!J350</f>
        <v>40000</v>
      </c>
      <c r="K28" s="469">
        <f>'TSAS Demand Revenues (7)'!K350</f>
        <v>40000</v>
      </c>
      <c r="L28" s="469">
        <f>'TSAS Demand Revenues (7)'!L350</f>
        <v>40000</v>
      </c>
      <c r="M28" s="469">
        <f>'TSAS Demand Revenues (7)'!M350</f>
        <v>40000</v>
      </c>
      <c r="N28" s="469">
        <f t="shared" si="4"/>
        <v>480000</v>
      </c>
      <c r="O28" s="470">
        <f t="shared" si="3"/>
        <v>40000</v>
      </c>
    </row>
    <row r="29" spans="1:15">
      <c r="A29" s="460" t="s">
        <v>222</v>
      </c>
      <c r="B29" s="469">
        <f>'TSAS Demand Revenues (7)'!B355</f>
        <v>3000</v>
      </c>
      <c r="C29" s="469">
        <f>'TSAS Demand Revenues (7)'!C355</f>
        <v>3000</v>
      </c>
      <c r="D29" s="469">
        <f>'TSAS Demand Revenues (7)'!D355</f>
        <v>3000</v>
      </c>
      <c r="E29" s="469">
        <f>'TSAS Demand Revenues (7)'!E355</f>
        <v>3000</v>
      </c>
      <c r="F29" s="469">
        <f>'TSAS Demand Revenues (7)'!F355</f>
        <v>3000</v>
      </c>
      <c r="G29" s="469">
        <f>'TSAS Demand Revenues (7)'!G355</f>
        <v>3000</v>
      </c>
      <c r="H29" s="469">
        <f>'TSAS Demand Revenues (7)'!H355</f>
        <v>3000</v>
      </c>
      <c r="I29" s="469">
        <f>'TSAS Demand Revenues (7)'!I355</f>
        <v>3000</v>
      </c>
      <c r="J29" s="469">
        <f>'TSAS Demand Revenues (7)'!J355</f>
        <v>3000</v>
      </c>
      <c r="K29" s="469">
        <f>'TSAS Demand Revenues (7)'!K355</f>
        <v>3000</v>
      </c>
      <c r="L29" s="469">
        <f>'TSAS Demand Revenues (7)'!L355</f>
        <v>3000</v>
      </c>
      <c r="M29" s="469">
        <f>'TSAS Demand Revenues (7)'!M355</f>
        <v>3000</v>
      </c>
      <c r="N29" s="469">
        <f t="shared" si="4"/>
        <v>36000</v>
      </c>
      <c r="O29" s="470">
        <f t="shared" si="3"/>
        <v>3000</v>
      </c>
    </row>
    <row r="30" spans="1:15">
      <c r="A30" s="460" t="s">
        <v>112</v>
      </c>
      <c r="B30" s="469">
        <f>'TSAS Demand Revenues (7)'!B370</f>
        <v>100000</v>
      </c>
      <c r="C30" s="469">
        <f>'TSAS Demand Revenues (7)'!C370</f>
        <v>100000</v>
      </c>
      <c r="D30" s="469">
        <f>'TSAS Demand Revenues (7)'!D370</f>
        <v>100000</v>
      </c>
      <c r="E30" s="469">
        <f>'TSAS Demand Revenues (7)'!E370</f>
        <v>100000</v>
      </c>
      <c r="F30" s="469">
        <f>'TSAS Demand Revenues (7)'!F370</f>
        <v>100000</v>
      </c>
      <c r="G30" s="469">
        <f>'TSAS Demand Revenues (7)'!G370</f>
        <v>100000</v>
      </c>
      <c r="H30" s="469">
        <f>'TSAS Demand Revenues (7)'!H370</f>
        <v>100000</v>
      </c>
      <c r="I30" s="469">
        <f>'TSAS Demand Revenues (7)'!I370</f>
        <v>100000</v>
      </c>
      <c r="J30" s="469">
        <f>'TSAS Demand Revenues (7)'!J370</f>
        <v>100000</v>
      </c>
      <c r="K30" s="469">
        <f>'TSAS Demand Revenues (7)'!K370</f>
        <v>100000</v>
      </c>
      <c r="L30" s="469">
        <f>'TSAS Demand Revenues (7)'!L370</f>
        <v>100000</v>
      </c>
      <c r="M30" s="469">
        <f>'TSAS Demand Revenues (7)'!M370</f>
        <v>100000</v>
      </c>
      <c r="N30" s="469">
        <f t="shared" si="4"/>
        <v>1200000</v>
      </c>
      <c r="O30" s="470">
        <f t="shared" si="3"/>
        <v>100000</v>
      </c>
    </row>
    <row r="31" spans="1:15">
      <c r="A31" s="460" t="s">
        <v>395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f t="shared" si="4"/>
        <v>0</v>
      </c>
      <c r="O31" s="470">
        <f t="shared" si="3"/>
        <v>0</v>
      </c>
    </row>
    <row r="32" spans="1:15">
      <c r="A32" s="460" t="s">
        <v>391</v>
      </c>
      <c r="B32" s="469">
        <f>'TSAS Demand Revenues (7)'!B325</f>
        <v>5000</v>
      </c>
      <c r="C32" s="469">
        <f>'TSAS Demand Revenues (7)'!C325</f>
        <v>5000</v>
      </c>
      <c r="D32" s="469">
        <f>'TSAS Demand Revenues (7)'!D325</f>
        <v>5000</v>
      </c>
      <c r="E32" s="469">
        <f>'TSAS Demand Revenues (7)'!E325</f>
        <v>5000</v>
      </c>
      <c r="F32" s="469">
        <f>'TSAS Demand Revenues (7)'!F325</f>
        <v>5000</v>
      </c>
      <c r="G32" s="469">
        <f>'TSAS Demand Revenues (7)'!G325</f>
        <v>5000</v>
      </c>
      <c r="H32" s="469">
        <f>'TSAS Demand Revenues (7)'!H325</f>
        <v>5000</v>
      </c>
      <c r="I32" s="469">
        <f>'TSAS Demand Revenues (7)'!I325</f>
        <v>5000</v>
      </c>
      <c r="J32" s="469">
        <f>'TSAS Demand Revenues (7)'!J325</f>
        <v>5000</v>
      </c>
      <c r="K32" s="469">
        <f>'TSAS Demand Revenues (7)'!K325</f>
        <v>5000</v>
      </c>
      <c r="L32" s="469">
        <f>'TSAS Demand Revenues (7)'!L325</f>
        <v>5000</v>
      </c>
      <c r="M32" s="469">
        <f>'TSAS Demand Revenues (7)'!M325</f>
        <v>5000</v>
      </c>
      <c r="N32" s="469">
        <f t="shared" si="4"/>
        <v>60000</v>
      </c>
      <c r="O32" s="470">
        <f t="shared" si="3"/>
        <v>5000</v>
      </c>
    </row>
    <row r="33" spans="1:15">
      <c r="A33" s="471" t="s">
        <v>392</v>
      </c>
      <c r="B33" s="472">
        <f t="shared" ref="B33:O33" si="5">SUM(B26:B32)</f>
        <v>247056</v>
      </c>
      <c r="C33" s="472">
        <f t="shared" si="5"/>
        <v>247056</v>
      </c>
      <c r="D33" s="472">
        <f t="shared" si="5"/>
        <v>247056</v>
      </c>
      <c r="E33" s="472">
        <f t="shared" si="5"/>
        <v>247056</v>
      </c>
      <c r="F33" s="472">
        <f t="shared" si="5"/>
        <v>247056</v>
      </c>
      <c r="G33" s="472">
        <f t="shared" si="5"/>
        <v>247056</v>
      </c>
      <c r="H33" s="472">
        <f t="shared" si="5"/>
        <v>247056</v>
      </c>
      <c r="I33" s="472">
        <f t="shared" si="5"/>
        <v>247056</v>
      </c>
      <c r="J33" s="472">
        <f t="shared" si="5"/>
        <v>247056</v>
      </c>
      <c r="K33" s="472">
        <f t="shared" si="5"/>
        <v>247056</v>
      </c>
      <c r="L33" s="472">
        <f t="shared" si="5"/>
        <v>247056</v>
      </c>
      <c r="M33" s="472">
        <f t="shared" si="5"/>
        <v>247056</v>
      </c>
      <c r="N33" s="472">
        <f t="shared" si="5"/>
        <v>2964672</v>
      </c>
      <c r="O33" s="473">
        <f t="shared" si="5"/>
        <v>247056</v>
      </c>
    </row>
    <row r="34" spans="1:15">
      <c r="O34" s="468"/>
    </row>
    <row r="35" spans="1:15">
      <c r="O35" s="468"/>
    </row>
    <row r="36" spans="1:15" ht="13.8" thickBot="1">
      <c r="A36" s="471" t="s">
        <v>450</v>
      </c>
      <c r="B36" s="474">
        <f t="shared" ref="B36:O36" si="6">+B23+B33</f>
        <v>2267644.560207766</v>
      </c>
      <c r="C36" s="474">
        <f t="shared" si="6"/>
        <v>2273503.5589662185</v>
      </c>
      <c r="D36" s="474">
        <f t="shared" si="6"/>
        <v>2066882.523781399</v>
      </c>
      <c r="E36" s="474">
        <f t="shared" si="6"/>
        <v>2026616.2943131214</v>
      </c>
      <c r="F36" s="474">
        <f t="shared" si="6"/>
        <v>2190550.4406494284</v>
      </c>
      <c r="G36" s="474">
        <f t="shared" si="6"/>
        <v>2396788.3364332705</v>
      </c>
      <c r="H36" s="474">
        <f t="shared" si="6"/>
        <v>2483483.11032457</v>
      </c>
      <c r="I36" s="474">
        <f t="shared" si="6"/>
        <v>2499192.1733664367</v>
      </c>
      <c r="J36" s="474">
        <f t="shared" si="6"/>
        <v>2469711.4529982996</v>
      </c>
      <c r="K36" s="474">
        <f t="shared" si="6"/>
        <v>2225837.2492703516</v>
      </c>
      <c r="L36" s="474">
        <f t="shared" si="6"/>
        <v>2142477.9253633698</v>
      </c>
      <c r="M36" s="474">
        <f t="shared" si="6"/>
        <v>2026388.9041006758</v>
      </c>
      <c r="N36" s="474">
        <f t="shared" si="6"/>
        <v>27069076.529774908</v>
      </c>
      <c r="O36" s="475">
        <f t="shared" si="6"/>
        <v>2255756.3774812426</v>
      </c>
    </row>
    <row r="37" spans="1:15" ht="14.4" thickTop="1" thickBot="1">
      <c r="O37" s="476"/>
    </row>
  </sheetData>
  <mergeCells count="2">
    <mergeCell ref="A3:O3"/>
    <mergeCell ref="A4:O4"/>
  </mergeCells>
  <pageMargins left="0.7" right="0.7" top="0.75" bottom="0.75" header="0.3" footer="0.3"/>
  <pageSetup scale="7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80" zoomScaleNormal="80" workbookViewId="0">
      <selection activeCell="A2" sqref="A2"/>
    </sheetView>
  </sheetViews>
  <sheetFormatPr defaultColWidth="9" defaultRowHeight="13.2"/>
  <cols>
    <col min="1" max="1" width="35.21875" style="460" customWidth="1"/>
    <col min="2" max="2" width="10.77734375" style="460" bestFit="1" customWidth="1"/>
    <col min="3" max="13" width="9.33203125" style="460" bestFit="1" customWidth="1"/>
    <col min="14" max="14" width="10.109375" style="460" bestFit="1" customWidth="1"/>
    <col min="15" max="15" width="9.21875" style="460" bestFit="1" customWidth="1"/>
    <col min="16" max="16384" width="9" style="460"/>
  </cols>
  <sheetData>
    <row r="1" spans="1:15">
      <c r="A1" s="482" t="s">
        <v>498</v>
      </c>
    </row>
    <row r="2" spans="1:15">
      <c r="A2" s="482" t="s">
        <v>458</v>
      </c>
    </row>
    <row r="3" spans="1:15" ht="17.399999999999999">
      <c r="A3" s="483" t="s">
        <v>378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</row>
    <row r="4" spans="1:15" ht="15.6">
      <c r="A4" s="484" t="s">
        <v>414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</row>
    <row r="5" spans="1:15" ht="15.6">
      <c r="A5" s="461"/>
    </row>
    <row r="6" spans="1:15" ht="13.8" thickBot="1"/>
    <row r="7" spans="1:15" ht="13.8" thickBot="1">
      <c r="O7" s="462"/>
    </row>
    <row r="8" spans="1:15" ht="13.8" thickBot="1">
      <c r="A8" s="463"/>
      <c r="B8" s="464">
        <v>43831</v>
      </c>
      <c r="C8" s="464">
        <v>43862</v>
      </c>
      <c r="D8" s="464">
        <v>43891</v>
      </c>
      <c r="E8" s="464">
        <v>43922</v>
      </c>
      <c r="F8" s="464">
        <v>43952</v>
      </c>
      <c r="G8" s="464">
        <v>43983</v>
      </c>
      <c r="H8" s="464">
        <v>44013</v>
      </c>
      <c r="I8" s="464">
        <v>44044</v>
      </c>
      <c r="J8" s="464">
        <v>44075</v>
      </c>
      <c r="K8" s="464">
        <v>44105</v>
      </c>
      <c r="L8" s="464">
        <v>44136</v>
      </c>
      <c r="M8" s="464">
        <v>44166</v>
      </c>
      <c r="N8" s="465" t="s">
        <v>33</v>
      </c>
      <c r="O8" s="466" t="s">
        <v>379</v>
      </c>
    </row>
    <row r="9" spans="1:15">
      <c r="A9" s="467" t="s">
        <v>380</v>
      </c>
      <c r="O9" s="468"/>
    </row>
    <row r="10" spans="1:15">
      <c r="A10" s="460" t="s">
        <v>381</v>
      </c>
      <c r="B10" s="469">
        <v>0</v>
      </c>
      <c r="C10" s="469">
        <v>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f t="shared" ref="N10:N21" si="0">SUM(B10:M10)</f>
        <v>0</v>
      </c>
      <c r="O10" s="470">
        <f t="shared" ref="O10:O22" si="1">AVERAGE(B10:M10)</f>
        <v>0</v>
      </c>
    </row>
    <row r="11" spans="1:15">
      <c r="A11" s="460" t="s">
        <v>382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f t="shared" si="0"/>
        <v>0</v>
      </c>
      <c r="O11" s="470">
        <f t="shared" si="1"/>
        <v>0</v>
      </c>
    </row>
    <row r="12" spans="1:15">
      <c r="A12" s="460" t="s">
        <v>383</v>
      </c>
      <c r="B12" s="469">
        <f>'LCEC Network'!B115/(1+'Transmission Formula Rate (7)'!$B$27)</f>
        <v>540227.56619851047</v>
      </c>
      <c r="C12" s="469">
        <f>'LCEC Network'!C115/(1+'Transmission Formula Rate (7)'!$B$27)</f>
        <v>733830.18400336499</v>
      </c>
      <c r="D12" s="469">
        <f>'LCEC Network'!D115/(1+'Transmission Formula Rate (7)'!$B$27)</f>
        <v>658767.40032939205</v>
      </c>
      <c r="E12" s="469">
        <f>'LCEC Network'!E115/(1+'Transmission Formula Rate (7)'!$B$27)</f>
        <v>607255.86039426725</v>
      </c>
      <c r="F12" s="469">
        <f>'LCEC Network'!F115/(1+'Transmission Formula Rate (7)'!$B$27)</f>
        <v>604218.50038452959</v>
      </c>
      <c r="G12" s="469">
        <f>'LCEC Network'!G115/(1+'Transmission Formula Rate (7)'!$B$27)</f>
        <v>697845.5770028613</v>
      </c>
      <c r="H12" s="469">
        <f>'LCEC Network'!H115/(1+'Transmission Formula Rate (7)'!$B$27)</f>
        <v>762554.39564408478</v>
      </c>
      <c r="I12" s="469">
        <f>'LCEC Network'!I115/(1+'Transmission Formula Rate (7)'!$B$27)</f>
        <v>748111.19915082201</v>
      </c>
      <c r="J12" s="469">
        <f>'LCEC Network'!J115/(1+'Transmission Formula Rate (7)'!$B$27)</f>
        <v>782476.18635033874</v>
      </c>
      <c r="K12" s="469">
        <f>'LCEC Network'!K115/(1+'Transmission Formula Rate (7)'!$B$27)</f>
        <v>671985.2057615727</v>
      </c>
      <c r="L12" s="469">
        <f>'LCEC Network'!L115/(1+'Transmission Formula Rate (7)'!$B$27)</f>
        <v>702932.22426702513</v>
      </c>
      <c r="M12" s="469">
        <f>'LCEC Network'!M115/(1+'Transmission Formula Rate (7)'!$B$27)</f>
        <v>575062.10814698134</v>
      </c>
      <c r="N12" s="469">
        <f t="shared" si="0"/>
        <v>8085266.4076337507</v>
      </c>
      <c r="O12" s="470">
        <f t="shared" si="1"/>
        <v>673772.20063614589</v>
      </c>
    </row>
    <row r="13" spans="1:15">
      <c r="A13" s="460" t="s">
        <v>384</v>
      </c>
      <c r="B13" s="469">
        <f>'FKEC Network'!B115/(1+'Transmission Formula Rate (7)'!$B$27)</f>
        <v>116263.50256718222</v>
      </c>
      <c r="C13" s="469">
        <f>'FKEC Network'!C115/(1+'Transmission Formula Rate (7)'!$B$27)</f>
        <v>113511.89288418992</v>
      </c>
      <c r="D13" s="469">
        <f>'FKEC Network'!D115/(1+'Transmission Formula Rate (7)'!$B$27)</f>
        <v>120780.72840287103</v>
      </c>
      <c r="E13" s="469">
        <f>'FKEC Network'!E115/(1+'Transmission Formula Rate (7)'!$B$27)</f>
        <v>114617.34686878163</v>
      </c>
      <c r="F13" s="469">
        <f>'FKEC Network'!F115/(1+'Transmission Formula Rate (7)'!$B$27)</f>
        <v>136114.13659462405</v>
      </c>
      <c r="G13" s="469">
        <f>'FKEC Network'!G115/(1+'Transmission Formula Rate (7)'!$B$27)</f>
        <v>144687.93726361162</v>
      </c>
      <c r="H13" s="469">
        <f>'FKEC Network'!H115/(1+'Transmission Formula Rate (7)'!$B$27)</f>
        <v>148906.34348500703</v>
      </c>
      <c r="I13" s="469">
        <f>'FKEC Network'!I115/(1+'Transmission Formula Rate (7)'!$B$27)</f>
        <v>161303.65369057612</v>
      </c>
      <c r="J13" s="469">
        <f>'FKEC Network'!J115/(1+'Transmission Formula Rate (7)'!$B$27)</f>
        <v>157349.80070317036</v>
      </c>
      <c r="K13" s="469">
        <f>'FKEC Network'!K115/(1+'Transmission Formula Rate (7)'!$B$27)</f>
        <v>145161.79367734105</v>
      </c>
      <c r="L13" s="469">
        <f>'FKEC Network'!L115/(1+'Transmission Formula Rate (7)'!$B$27)</f>
        <v>138786.45958589026</v>
      </c>
      <c r="M13" s="469">
        <f>'FKEC Network'!M115/(1+'Transmission Formula Rate (7)'!$B$27)</f>
        <v>123128.01211531514</v>
      </c>
      <c r="N13" s="469">
        <f t="shared" si="0"/>
        <v>1620611.6078385601</v>
      </c>
      <c r="O13" s="470">
        <f t="shared" si="1"/>
        <v>135050.96731988</v>
      </c>
    </row>
    <row r="14" spans="1:15">
      <c r="A14" s="460" t="s">
        <v>385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  <c r="L14" s="469">
        <v>0</v>
      </c>
      <c r="M14" s="469">
        <v>0</v>
      </c>
      <c r="N14" s="469">
        <f t="shared" si="0"/>
        <v>0</v>
      </c>
      <c r="O14" s="470">
        <f t="shared" si="1"/>
        <v>0</v>
      </c>
    </row>
    <row r="15" spans="1:15">
      <c r="A15" s="460" t="s">
        <v>386</v>
      </c>
      <c r="B15" s="469">
        <f>'Vero Beach Network'!B159</f>
        <v>183000</v>
      </c>
      <c r="C15" s="469">
        <f>'Vero Beach Network'!C159</f>
        <v>160000</v>
      </c>
      <c r="D15" s="469">
        <f>'Vero Beach Network'!D159</f>
        <v>128000</v>
      </c>
      <c r="E15" s="469">
        <f>'Vero Beach Network'!E159</f>
        <v>131000</v>
      </c>
      <c r="F15" s="469">
        <f>'Vero Beach Network'!F159</f>
        <v>145000</v>
      </c>
      <c r="G15" s="469">
        <f>'Vero Beach Network'!G159</f>
        <v>160000</v>
      </c>
      <c r="H15" s="469">
        <f>'Vero Beach Network'!H159</f>
        <v>158000</v>
      </c>
      <c r="I15" s="469">
        <f>'Vero Beach Network'!I159</f>
        <v>169000</v>
      </c>
      <c r="J15" s="469">
        <f>'Vero Beach Network'!J159</f>
        <v>160000</v>
      </c>
      <c r="K15" s="469">
        <f>'Vero Beach Network'!K159</f>
        <v>151000</v>
      </c>
      <c r="L15" s="469">
        <f>'Vero Beach Network'!L159</f>
        <v>129000</v>
      </c>
      <c r="M15" s="469">
        <f>'Vero Beach Network'!M159</f>
        <v>145000</v>
      </c>
      <c r="N15" s="469">
        <f t="shared" si="0"/>
        <v>1819000</v>
      </c>
      <c r="O15" s="470">
        <f t="shared" si="1"/>
        <v>151583.33333333334</v>
      </c>
    </row>
    <row r="16" spans="1:15">
      <c r="A16" s="460" t="s">
        <v>277</v>
      </c>
      <c r="B16" s="469">
        <f>'FMPA Network'!B161</f>
        <v>432700</v>
      </c>
      <c r="C16" s="469">
        <f>'FMPA Network'!C161</f>
        <v>402700</v>
      </c>
      <c r="D16" s="469">
        <f>'FMPA Network'!D161</f>
        <v>352200</v>
      </c>
      <c r="E16" s="469">
        <f>'FMPA Network'!E161</f>
        <v>378500</v>
      </c>
      <c r="F16" s="469">
        <f>'FMPA Network'!F161</f>
        <v>427000</v>
      </c>
      <c r="G16" s="469">
        <f>'FMPA Network'!G161</f>
        <v>464400</v>
      </c>
      <c r="H16" s="469">
        <f>'FMPA Network'!H161</f>
        <v>480500</v>
      </c>
      <c r="I16" s="469">
        <f>'FMPA Network'!I161</f>
        <v>488700</v>
      </c>
      <c r="J16" s="469">
        <f>'FMPA Network'!J161</f>
        <v>445900</v>
      </c>
      <c r="K16" s="469">
        <f>'FMPA Network'!K161</f>
        <v>412000</v>
      </c>
      <c r="L16" s="469">
        <f>'FMPA Network'!L161</f>
        <v>368800</v>
      </c>
      <c r="M16" s="469">
        <f>'FMPA Network'!M161</f>
        <v>354000</v>
      </c>
      <c r="N16" s="469">
        <f t="shared" si="0"/>
        <v>5007400</v>
      </c>
      <c r="O16" s="470">
        <f t="shared" si="1"/>
        <v>417283.33333333331</v>
      </c>
    </row>
    <row r="17" spans="1:15">
      <c r="A17" s="460" t="s">
        <v>387</v>
      </c>
      <c r="B17" s="469">
        <f>'SECI Network'!B159</f>
        <v>559340</v>
      </c>
      <c r="C17" s="469">
        <f>'SECI Network'!C159</f>
        <v>460654</v>
      </c>
      <c r="D17" s="469">
        <f>'SECI Network'!D159</f>
        <v>409494</v>
      </c>
      <c r="E17" s="469">
        <f>'SECI Network'!E159</f>
        <v>388301</v>
      </c>
      <c r="F17" s="469">
        <f>'SECI Network'!F159</f>
        <v>437996</v>
      </c>
      <c r="G17" s="469">
        <f>'SECI Network'!G159</f>
        <v>472662</v>
      </c>
      <c r="H17" s="469">
        <f>'SECI Network'!H159</f>
        <v>468941</v>
      </c>
      <c r="I17" s="469">
        <f>'SECI Network'!I159</f>
        <v>467395</v>
      </c>
      <c r="J17" s="469">
        <f>'SECI Network'!J159</f>
        <v>474218</v>
      </c>
      <c r="K17" s="469">
        <f>'SECI Network'!K159</f>
        <v>412527</v>
      </c>
      <c r="L17" s="469">
        <f>'SECI Network'!L159</f>
        <v>397489</v>
      </c>
      <c r="M17" s="469">
        <f>'SECI Network'!M159</f>
        <v>430098</v>
      </c>
      <c r="N17" s="469">
        <f t="shared" si="0"/>
        <v>5379115</v>
      </c>
      <c r="O17" s="470">
        <f t="shared" si="1"/>
        <v>448259.58333333331</v>
      </c>
    </row>
    <row r="18" spans="1:15">
      <c r="A18" s="460" t="s">
        <v>44</v>
      </c>
      <c r="B18" s="469">
        <f>'Georgia Trans Network'!B145</f>
        <v>28869</v>
      </c>
      <c r="C18" s="469">
        <f>'Georgia Trans Network'!C145</f>
        <v>0</v>
      </c>
      <c r="D18" s="469">
        <f>'Georgia Trans Network'!D145</f>
        <v>0</v>
      </c>
      <c r="E18" s="469">
        <f>'Georgia Trans Network'!E145</f>
        <v>0</v>
      </c>
      <c r="F18" s="469">
        <f>'Georgia Trans Network'!F145</f>
        <v>0</v>
      </c>
      <c r="G18" s="469">
        <f>'Georgia Trans Network'!G145</f>
        <v>0</v>
      </c>
      <c r="H18" s="469">
        <f>'Georgia Trans Network'!H145</f>
        <v>0</v>
      </c>
      <c r="I18" s="469">
        <f>'Georgia Trans Network'!I145</f>
        <v>0</v>
      </c>
      <c r="J18" s="469">
        <f>'Georgia Trans Network'!J145</f>
        <v>0</v>
      </c>
      <c r="K18" s="469">
        <f>'Georgia Trans Network'!K145</f>
        <v>0</v>
      </c>
      <c r="L18" s="469">
        <f>'Georgia Trans Network'!L145</f>
        <v>0</v>
      </c>
      <c r="M18" s="469">
        <f>'Georgia Trans Network'!M145</f>
        <v>0</v>
      </c>
      <c r="N18" s="469">
        <f t="shared" si="0"/>
        <v>28869</v>
      </c>
      <c r="O18" s="470">
        <f t="shared" si="1"/>
        <v>2405.75</v>
      </c>
    </row>
    <row r="19" spans="1:15">
      <c r="A19" s="460" t="s">
        <v>388</v>
      </c>
      <c r="B19" s="469">
        <f>'Lake Worth Forecast'!E16</f>
        <v>70666.274853986106</v>
      </c>
      <c r="C19" s="469">
        <f>'Lake Worth Forecast'!F16</f>
        <v>69050.703794665504</v>
      </c>
      <c r="D19" s="469">
        <f>'Lake Worth Forecast'!G16</f>
        <v>72002.611409226607</v>
      </c>
      <c r="E19" s="469">
        <f>'Lake Worth Forecast'!H16</f>
        <v>75183.890223567782</v>
      </c>
      <c r="F19" s="469">
        <f>'Lake Worth Forecast'!I16</f>
        <v>83780.323884890968</v>
      </c>
      <c r="G19" s="469">
        <f>'Lake Worth Forecast'!J16</f>
        <v>87839.196854912458</v>
      </c>
      <c r="H19" s="469">
        <f>'Lake Worth Forecast'!K16</f>
        <v>91209.956225593705</v>
      </c>
      <c r="I19" s="469">
        <f>'Lake Worth Forecast'!L16</f>
        <v>91708.589268593889</v>
      </c>
      <c r="J19" s="469">
        <f>'Lake Worth Forecast'!M16</f>
        <v>88597.119080272736</v>
      </c>
      <c r="K19" s="469">
        <f>'Lake Worth Forecast'!N16</f>
        <v>83311.608824470793</v>
      </c>
      <c r="L19" s="469">
        <f>'Lake Worth Forecast'!O16</f>
        <v>74555.612589387543</v>
      </c>
      <c r="M19" s="469">
        <f>'Lake Worth Forecast'!P16</f>
        <v>70885.673392906188</v>
      </c>
      <c r="N19" s="469">
        <f t="shared" si="0"/>
        <v>958791.56040247437</v>
      </c>
      <c r="O19" s="470">
        <f t="shared" si="1"/>
        <v>79899.296700206192</v>
      </c>
    </row>
    <row r="20" spans="1:15">
      <c r="A20" s="460" t="s">
        <v>111</v>
      </c>
      <c r="B20" s="469">
        <f>'Homestead Network Transmission'!B144/(1+'Transmission Formula Rate (7)'!$B$27)</f>
        <v>26509.572901325479</v>
      </c>
      <c r="C20" s="469">
        <f>'Homestead Network Transmission'!C144/(1+'Transmission Formula Rate (7)'!$B$27)</f>
        <v>46735.395189003444</v>
      </c>
      <c r="D20" s="469">
        <f>'Homestead Network Transmission'!D144/(1+'Transmission Formula Rate (7)'!$B$27)</f>
        <v>29209.621993127148</v>
      </c>
      <c r="E20" s="469">
        <f>'Homestead Network Transmission'!E144/(1+'Transmission Formula Rate (7)'!$B$27)</f>
        <v>43642.611683848801</v>
      </c>
      <c r="F20" s="469">
        <f>'Homestead Network Transmission'!F144/(1+'Transmission Formula Rate (7)'!$B$27)</f>
        <v>52920.962199312722</v>
      </c>
      <c r="G20" s="469">
        <f>'Homestead Network Transmission'!G144/(1+'Transmission Formula Rate (7)'!$B$27)</f>
        <v>61168.38487972509</v>
      </c>
      <c r="H20" s="469">
        <f>'Homestead Network Transmission'!H144/(1+'Transmission Formula Rate (7)'!$B$27)</f>
        <v>66323.024054982816</v>
      </c>
      <c r="I20" s="469">
        <f>'Homestead Network Transmission'!I144/(1+'Transmission Formula Rate (7)'!$B$27)</f>
        <v>26509.572901325479</v>
      </c>
      <c r="J20" s="469">
        <f>'Homestead Network Transmission'!J144/(1+'Transmission Formula Rate (7)'!$B$27)</f>
        <v>62199.312714776643</v>
      </c>
      <c r="K20" s="469">
        <f>'Homestead Network Transmission'!K144/(1+'Transmission Formula Rate (7)'!$B$27)</f>
        <v>48797.250859106534</v>
      </c>
      <c r="L20" s="469">
        <f>'Homestead Network Transmission'!L144/(1+'Transmission Formula Rate (7)'!$B$27)</f>
        <v>39518.900343642614</v>
      </c>
      <c r="M20" s="469">
        <f>'Homestead Network Transmission'!M144/(1+'Transmission Formula Rate (7)'!$B$27)</f>
        <v>38487.972508591069</v>
      </c>
      <c r="N20" s="469">
        <f>'Homestead Network Transmission'!N144/(1+'Transmission Formula Rate (7)'!$B$27)</f>
        <v>542022.5822287678</v>
      </c>
      <c r="O20" s="470">
        <f t="shared" si="1"/>
        <v>45168.548519063996</v>
      </c>
    </row>
    <row r="21" spans="1:15">
      <c r="A21" s="460" t="s">
        <v>393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  <c r="L21" s="469">
        <v>0</v>
      </c>
      <c r="M21" s="469">
        <v>0</v>
      </c>
      <c r="N21" s="469">
        <f t="shared" si="0"/>
        <v>0</v>
      </c>
      <c r="O21" s="470">
        <f t="shared" si="1"/>
        <v>0</v>
      </c>
    </row>
    <row r="22" spans="1:15">
      <c r="A22" s="460" t="s">
        <v>435</v>
      </c>
      <c r="B22" s="469">
        <f>'Quincy Transmission'!B103/(1+'Transmission Formula Rate (7)'!$B$27)</f>
        <v>18654.88463426608</v>
      </c>
      <c r="C22" s="469">
        <f>'Quincy Transmission'!C103/(1+'Transmission Formula Rate (7)'!$B$27)</f>
        <v>23342.474226804126</v>
      </c>
      <c r="D22" s="469">
        <f>'Quincy Transmission'!D103/(1+'Transmission Formula Rate (7)'!$B$27)</f>
        <v>21369.366715758471</v>
      </c>
      <c r="E22" s="469">
        <f>'Quincy Transmission'!E103/(1+'Transmission Formula Rate (7)'!$B$27)</f>
        <v>19162.444771723123</v>
      </c>
      <c r="F22" s="469">
        <f>'Quincy Transmission'!F103/(1+'Transmission Formula Rate (7)'!$B$27)</f>
        <v>22637.054491899853</v>
      </c>
      <c r="G22" s="469">
        <f>'Quincy Transmission'!G103/(1+'Transmission Formula Rate (7)'!$B$27)</f>
        <v>27179.73490427099</v>
      </c>
      <c r="H22" s="469">
        <f>'Quincy Transmission'!H103/(1+'Transmission Formula Rate (7)'!$B$27)</f>
        <v>26867.982326951402</v>
      </c>
      <c r="I22" s="469">
        <f>'Quincy Transmission'!I103/(1+'Transmission Formula Rate (7)'!$B$27)</f>
        <v>18654.88463426608</v>
      </c>
      <c r="J22" s="469">
        <f>'Quincy Transmission'!J103/(1+'Transmission Formula Rate (7)'!$B$27)</f>
        <v>24822.503681885126</v>
      </c>
      <c r="K22" s="469">
        <f>'Quincy Transmission'!K103/(1+'Transmission Formula Rate (7)'!$B$27)</f>
        <v>21870.397643593522</v>
      </c>
      <c r="L22" s="469">
        <f>'Quincy Transmission'!L103/(1+'Transmission Formula Rate (7)'!$B$27)</f>
        <v>25166.863033873346</v>
      </c>
      <c r="M22" s="469">
        <f>'Quincy Transmission'!M103/(1+'Transmission Formula Rate (7)'!$B$27)</f>
        <v>22615.581737849781</v>
      </c>
      <c r="N22" s="469">
        <f>'Quincy Transmission'!N103/(1+'Transmission Formula Rate (7)'!$B$27)</f>
        <v>272344.17280314193</v>
      </c>
      <c r="O22" s="470">
        <f t="shared" si="1"/>
        <v>22695.347733595161</v>
      </c>
    </row>
    <row r="23" spans="1:15">
      <c r="A23" s="471" t="s">
        <v>389</v>
      </c>
      <c r="B23" s="472">
        <f>SUM(B10:B22)</f>
        <v>1976230.8011552703</v>
      </c>
      <c r="C23" s="472">
        <f t="shared" ref="C23:N23" si="2">SUM(C10:C22)</f>
        <v>2009824.6500980281</v>
      </c>
      <c r="D23" s="472">
        <f t="shared" si="2"/>
        <v>1791823.7288503754</v>
      </c>
      <c r="E23" s="472">
        <f t="shared" si="2"/>
        <v>1757663.1539421885</v>
      </c>
      <c r="F23" s="472">
        <f t="shared" si="2"/>
        <v>1909666.977555257</v>
      </c>
      <c r="G23" s="472">
        <f t="shared" si="2"/>
        <v>2115782.8309053811</v>
      </c>
      <c r="H23" s="472">
        <f t="shared" si="2"/>
        <v>2203302.7017366197</v>
      </c>
      <c r="I23" s="472">
        <f t="shared" si="2"/>
        <v>2171382.8996455837</v>
      </c>
      <c r="J23" s="472">
        <f t="shared" si="2"/>
        <v>2195562.9225304434</v>
      </c>
      <c r="K23" s="472">
        <f t="shared" si="2"/>
        <v>1946653.2567660846</v>
      </c>
      <c r="L23" s="472">
        <f t="shared" si="2"/>
        <v>1876249.0598198187</v>
      </c>
      <c r="M23" s="472">
        <f t="shared" si="2"/>
        <v>1759277.3479016435</v>
      </c>
      <c r="N23" s="472">
        <f t="shared" si="2"/>
        <v>23713420.330906697</v>
      </c>
      <c r="O23" s="472">
        <f>SUM(O10:O22)</f>
        <v>1976118.3609088911</v>
      </c>
    </row>
    <row r="24" spans="1:15">
      <c r="O24" s="468"/>
    </row>
    <row r="25" spans="1:15">
      <c r="A25" s="467" t="s">
        <v>390</v>
      </c>
      <c r="O25" s="468"/>
    </row>
    <row r="26" spans="1:15">
      <c r="A26" s="460" t="s">
        <v>23</v>
      </c>
      <c r="B26" s="469">
        <f>'TSAS Demand Revenues (7)'!B395</f>
        <v>37056</v>
      </c>
      <c r="C26" s="469">
        <f>'TSAS Demand Revenues (7)'!C395</f>
        <v>37056</v>
      </c>
      <c r="D26" s="469">
        <f>'TSAS Demand Revenues (7)'!D395</f>
        <v>37056</v>
      </c>
      <c r="E26" s="469">
        <f>'TSAS Demand Revenues (7)'!E395</f>
        <v>37056</v>
      </c>
      <c r="F26" s="469">
        <f>'TSAS Demand Revenues (7)'!F395</f>
        <v>37056</v>
      </c>
      <c r="G26" s="469">
        <f>'TSAS Demand Revenues (7)'!G395</f>
        <v>37056</v>
      </c>
      <c r="H26" s="469">
        <f>'TSAS Demand Revenues (7)'!H395</f>
        <v>37056</v>
      </c>
      <c r="I26" s="469">
        <f>'TSAS Demand Revenues (7)'!I395</f>
        <v>37056</v>
      </c>
      <c r="J26" s="469">
        <f>'TSAS Demand Revenues (7)'!J395</f>
        <v>37056</v>
      </c>
      <c r="K26" s="469">
        <f>'TSAS Demand Revenues (7)'!K395</f>
        <v>37056</v>
      </c>
      <c r="L26" s="469">
        <f>'TSAS Demand Revenues (7)'!L395</f>
        <v>37056</v>
      </c>
      <c r="M26" s="469">
        <f>'TSAS Demand Revenues (7)'!M395</f>
        <v>37056</v>
      </c>
      <c r="N26" s="469">
        <f>SUM(B26:M26)</f>
        <v>444672</v>
      </c>
      <c r="O26" s="470">
        <f t="shared" ref="O26:O32" si="3">AVERAGE(B26:M26)</f>
        <v>37056</v>
      </c>
    </row>
    <row r="27" spans="1:15">
      <c r="A27" s="460" t="s">
        <v>24</v>
      </c>
      <c r="B27" s="469">
        <f>'TSAS Demand Revenues (7)'!B400</f>
        <v>62000</v>
      </c>
      <c r="C27" s="469">
        <f>'TSAS Demand Revenues (7)'!C400</f>
        <v>62000</v>
      </c>
      <c r="D27" s="469">
        <f>'TSAS Demand Revenues (7)'!D400</f>
        <v>62000</v>
      </c>
      <c r="E27" s="469">
        <f>'TSAS Demand Revenues (7)'!E400</f>
        <v>62000</v>
      </c>
      <c r="F27" s="469">
        <f>'TSAS Demand Revenues (7)'!F400</f>
        <v>62000</v>
      </c>
      <c r="G27" s="469">
        <f>'TSAS Demand Revenues (7)'!G400</f>
        <v>62000</v>
      </c>
      <c r="H27" s="469">
        <f>'TSAS Demand Revenues (7)'!H400</f>
        <v>62000</v>
      </c>
      <c r="I27" s="469">
        <f>'TSAS Demand Revenues (7)'!I400</f>
        <v>62000</v>
      </c>
      <c r="J27" s="469">
        <f>'TSAS Demand Revenues (7)'!J400</f>
        <v>62000</v>
      </c>
      <c r="K27" s="469">
        <f>'TSAS Demand Revenues (7)'!K400</f>
        <v>62000</v>
      </c>
      <c r="L27" s="469">
        <f>'TSAS Demand Revenues (7)'!L400</f>
        <v>62000</v>
      </c>
      <c r="M27" s="469">
        <f>'TSAS Demand Revenues (7)'!M400</f>
        <v>62000</v>
      </c>
      <c r="N27" s="469">
        <f t="shared" ref="N27:N32" si="4">SUM(B27:M27)</f>
        <v>744000</v>
      </c>
      <c r="O27" s="470">
        <f t="shared" si="3"/>
        <v>62000</v>
      </c>
    </row>
    <row r="28" spans="1:15">
      <c r="A28" s="460" t="s">
        <v>111</v>
      </c>
      <c r="B28" s="469">
        <f>'TSAS Demand Revenues (7)'!B405</f>
        <v>40000</v>
      </c>
      <c r="C28" s="469">
        <f>'TSAS Demand Revenues (7)'!C405</f>
        <v>0</v>
      </c>
      <c r="D28" s="469">
        <f>'TSAS Demand Revenues (7)'!D405</f>
        <v>0</v>
      </c>
      <c r="E28" s="469">
        <f>'TSAS Demand Revenues (7)'!E405</f>
        <v>0</v>
      </c>
      <c r="F28" s="469">
        <f>'TSAS Demand Revenues (7)'!F405</f>
        <v>0</v>
      </c>
      <c r="G28" s="469">
        <f>'TSAS Demand Revenues (7)'!G405</f>
        <v>0</v>
      </c>
      <c r="H28" s="469">
        <f>'TSAS Demand Revenues (7)'!H405</f>
        <v>0</v>
      </c>
      <c r="I28" s="469">
        <f>'TSAS Demand Revenues (7)'!I405</f>
        <v>0</v>
      </c>
      <c r="J28" s="469">
        <f>'TSAS Demand Revenues (7)'!J405</f>
        <v>0</v>
      </c>
      <c r="K28" s="469">
        <f>'TSAS Demand Revenues (7)'!K405</f>
        <v>0</v>
      </c>
      <c r="L28" s="469">
        <f>'TSAS Demand Revenues (7)'!L405</f>
        <v>0</v>
      </c>
      <c r="M28" s="469">
        <f>'TSAS Demand Revenues (7)'!M405</f>
        <v>0</v>
      </c>
      <c r="N28" s="469">
        <f t="shared" si="4"/>
        <v>40000</v>
      </c>
      <c r="O28" s="470">
        <f t="shared" si="3"/>
        <v>3333.3333333333335</v>
      </c>
    </row>
    <row r="29" spans="1:15">
      <c r="A29" s="460" t="s">
        <v>222</v>
      </c>
      <c r="B29" s="469">
        <f>'TSAS Demand Revenues (7)'!B410</f>
        <v>3000</v>
      </c>
      <c r="C29" s="469">
        <f>'TSAS Demand Revenues (7)'!C410</f>
        <v>3000</v>
      </c>
      <c r="D29" s="469">
        <f>'TSAS Demand Revenues (7)'!D410</f>
        <v>3000</v>
      </c>
      <c r="E29" s="469">
        <f>'TSAS Demand Revenues (7)'!E410</f>
        <v>3000</v>
      </c>
      <c r="F29" s="469">
        <f>'TSAS Demand Revenues (7)'!F410</f>
        <v>3000</v>
      </c>
      <c r="G29" s="469">
        <f>'TSAS Demand Revenues (7)'!G410</f>
        <v>3000</v>
      </c>
      <c r="H29" s="469">
        <f>'TSAS Demand Revenues (7)'!H410</f>
        <v>3000</v>
      </c>
      <c r="I29" s="469">
        <f>'TSAS Demand Revenues (7)'!I410</f>
        <v>3000</v>
      </c>
      <c r="J29" s="469">
        <f>'TSAS Demand Revenues (7)'!J410</f>
        <v>3000</v>
      </c>
      <c r="K29" s="469">
        <f>'TSAS Demand Revenues (7)'!K410</f>
        <v>3000</v>
      </c>
      <c r="L29" s="469">
        <f>'TSAS Demand Revenues (7)'!L410</f>
        <v>3000</v>
      </c>
      <c r="M29" s="469">
        <f>'TSAS Demand Revenues (7)'!M410</f>
        <v>3000</v>
      </c>
      <c r="N29" s="469">
        <f t="shared" si="4"/>
        <v>36000</v>
      </c>
      <c r="O29" s="470">
        <f t="shared" si="3"/>
        <v>3000</v>
      </c>
    </row>
    <row r="30" spans="1:15">
      <c r="A30" s="460" t="s">
        <v>112</v>
      </c>
      <c r="B30" s="469">
        <f>'TSAS Demand Revenues (7)'!B425</f>
        <v>100000</v>
      </c>
      <c r="C30" s="469">
        <f>'TSAS Demand Revenues (7)'!C425</f>
        <v>100000</v>
      </c>
      <c r="D30" s="469">
        <f>'TSAS Demand Revenues (7)'!D425</f>
        <v>100000</v>
      </c>
      <c r="E30" s="469">
        <f>'TSAS Demand Revenues (7)'!E425</f>
        <v>100000</v>
      </c>
      <c r="F30" s="469">
        <f>'TSAS Demand Revenues (7)'!F425</f>
        <v>100000</v>
      </c>
      <c r="G30" s="469">
        <f>'TSAS Demand Revenues (7)'!G425</f>
        <v>100000</v>
      </c>
      <c r="H30" s="469">
        <f>'TSAS Demand Revenues (7)'!H425</f>
        <v>100000</v>
      </c>
      <c r="I30" s="469">
        <f>'TSAS Demand Revenues (7)'!I425</f>
        <v>100000</v>
      </c>
      <c r="J30" s="469">
        <f>'TSAS Demand Revenues (7)'!J425</f>
        <v>100000</v>
      </c>
      <c r="K30" s="469">
        <f>'TSAS Demand Revenues (7)'!K425</f>
        <v>100000</v>
      </c>
      <c r="L30" s="469">
        <f>'TSAS Demand Revenues (7)'!L425</f>
        <v>100000</v>
      </c>
      <c r="M30" s="469">
        <f>'TSAS Demand Revenues (7)'!M425</f>
        <v>100000</v>
      </c>
      <c r="N30" s="469">
        <f t="shared" si="4"/>
        <v>1200000</v>
      </c>
      <c r="O30" s="470">
        <f t="shared" si="3"/>
        <v>100000</v>
      </c>
    </row>
    <row r="31" spans="1:15">
      <c r="A31" s="460" t="s">
        <v>395</v>
      </c>
      <c r="B31" s="469">
        <v>0</v>
      </c>
      <c r="C31" s="469">
        <v>0</v>
      </c>
      <c r="D31" s="469">
        <v>0</v>
      </c>
      <c r="E31" s="469">
        <v>0</v>
      </c>
      <c r="F31" s="469">
        <v>0</v>
      </c>
      <c r="G31" s="469">
        <v>0</v>
      </c>
      <c r="H31" s="469">
        <v>0</v>
      </c>
      <c r="I31" s="469">
        <v>0</v>
      </c>
      <c r="J31" s="469">
        <v>0</v>
      </c>
      <c r="K31" s="469">
        <v>0</v>
      </c>
      <c r="L31" s="469">
        <v>0</v>
      </c>
      <c r="M31" s="469">
        <v>0</v>
      </c>
      <c r="N31" s="469">
        <f t="shared" si="4"/>
        <v>0</v>
      </c>
      <c r="O31" s="470">
        <f t="shared" si="3"/>
        <v>0</v>
      </c>
    </row>
    <row r="32" spans="1:15">
      <c r="A32" s="460" t="s">
        <v>391</v>
      </c>
      <c r="B32" s="469">
        <f>'TSAS Demand Revenues (7)'!B380</f>
        <v>5000</v>
      </c>
      <c r="C32" s="469">
        <f>'TSAS Demand Revenues (7)'!C380</f>
        <v>5000</v>
      </c>
      <c r="D32" s="469">
        <f>'TSAS Demand Revenues (7)'!D380</f>
        <v>5000</v>
      </c>
      <c r="E32" s="469">
        <f>'TSAS Demand Revenues (7)'!E380</f>
        <v>5000</v>
      </c>
      <c r="F32" s="469">
        <f>'TSAS Demand Revenues (7)'!F380</f>
        <v>5000</v>
      </c>
      <c r="G32" s="469">
        <f>'TSAS Demand Revenues (7)'!G380</f>
        <v>5000</v>
      </c>
      <c r="H32" s="469">
        <f>'TSAS Demand Revenues (7)'!H380</f>
        <v>5000</v>
      </c>
      <c r="I32" s="469">
        <f>'TSAS Demand Revenues (7)'!I380</f>
        <v>5000</v>
      </c>
      <c r="J32" s="469">
        <f>'TSAS Demand Revenues (7)'!J380</f>
        <v>5000</v>
      </c>
      <c r="K32" s="469">
        <f>'TSAS Demand Revenues (7)'!K380</f>
        <v>5000</v>
      </c>
      <c r="L32" s="469">
        <f>'TSAS Demand Revenues (7)'!L380</f>
        <v>5000</v>
      </c>
      <c r="M32" s="469">
        <f>'TSAS Demand Revenues (7)'!M380</f>
        <v>5000</v>
      </c>
      <c r="N32" s="469">
        <f t="shared" si="4"/>
        <v>60000</v>
      </c>
      <c r="O32" s="470">
        <f t="shared" si="3"/>
        <v>5000</v>
      </c>
    </row>
    <row r="33" spans="1:15">
      <c r="A33" s="471" t="s">
        <v>392</v>
      </c>
      <c r="B33" s="472">
        <f t="shared" ref="B33:O33" si="5">SUM(B26:B32)</f>
        <v>247056</v>
      </c>
      <c r="C33" s="472">
        <f t="shared" si="5"/>
        <v>207056</v>
      </c>
      <c r="D33" s="472">
        <f t="shared" si="5"/>
        <v>207056</v>
      </c>
      <c r="E33" s="472">
        <f t="shared" si="5"/>
        <v>207056</v>
      </c>
      <c r="F33" s="472">
        <f t="shared" si="5"/>
        <v>207056</v>
      </c>
      <c r="G33" s="472">
        <f t="shared" si="5"/>
        <v>207056</v>
      </c>
      <c r="H33" s="472">
        <f t="shared" si="5"/>
        <v>207056</v>
      </c>
      <c r="I33" s="472">
        <f t="shared" si="5"/>
        <v>207056</v>
      </c>
      <c r="J33" s="472">
        <f t="shared" si="5"/>
        <v>207056</v>
      </c>
      <c r="K33" s="472">
        <f t="shared" si="5"/>
        <v>207056</v>
      </c>
      <c r="L33" s="472">
        <f t="shared" si="5"/>
        <v>207056</v>
      </c>
      <c r="M33" s="472">
        <f t="shared" si="5"/>
        <v>207056</v>
      </c>
      <c r="N33" s="472">
        <f t="shared" si="5"/>
        <v>2524672</v>
      </c>
      <c r="O33" s="473">
        <f t="shared" si="5"/>
        <v>210389.33333333331</v>
      </c>
    </row>
    <row r="34" spans="1:15">
      <c r="O34" s="468"/>
    </row>
    <row r="35" spans="1:15">
      <c r="O35" s="468"/>
    </row>
    <row r="36" spans="1:15" ht="13.8" thickBot="1">
      <c r="A36" s="471" t="s">
        <v>449</v>
      </c>
      <c r="B36" s="474">
        <f t="shared" ref="B36:O36" si="6">+B23+B33</f>
        <v>2223286.8011552701</v>
      </c>
      <c r="C36" s="474">
        <f t="shared" si="6"/>
        <v>2216880.6500980281</v>
      </c>
      <c r="D36" s="474">
        <f t="shared" si="6"/>
        <v>1998879.7288503754</v>
      </c>
      <c r="E36" s="474">
        <f t="shared" si="6"/>
        <v>1964719.1539421885</v>
      </c>
      <c r="F36" s="474">
        <f t="shared" si="6"/>
        <v>2116722.9775552573</v>
      </c>
      <c r="G36" s="474">
        <f t="shared" si="6"/>
        <v>2322838.8309053811</v>
      </c>
      <c r="H36" s="474">
        <f t="shared" si="6"/>
        <v>2410358.7017366197</v>
      </c>
      <c r="I36" s="474">
        <f t="shared" si="6"/>
        <v>2378438.8996455837</v>
      </c>
      <c r="J36" s="474">
        <f t="shared" si="6"/>
        <v>2402618.9225304434</v>
      </c>
      <c r="K36" s="474">
        <f t="shared" si="6"/>
        <v>2153709.2567660846</v>
      </c>
      <c r="L36" s="474">
        <f t="shared" si="6"/>
        <v>2083305.0598198187</v>
      </c>
      <c r="M36" s="474">
        <f t="shared" si="6"/>
        <v>1966333.3479016435</v>
      </c>
      <c r="N36" s="474">
        <f t="shared" si="6"/>
        <v>26238092.330906697</v>
      </c>
      <c r="O36" s="475">
        <f t="shared" si="6"/>
        <v>2186507.6942422246</v>
      </c>
    </row>
    <row r="37" spans="1:15" ht="14.4" thickTop="1" thickBot="1">
      <c r="O37" s="476"/>
    </row>
  </sheetData>
  <mergeCells count="2">
    <mergeCell ref="A3:O3"/>
    <mergeCell ref="A4:O4"/>
  </mergeCells>
  <pageMargins left="0.7" right="0.7" top="0.75" bottom="0.75" header="0.3" footer="0.3"/>
  <pageSetup scale="7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109"/>
  <sheetViews>
    <sheetView zoomScaleNormal="100" workbookViewId="0">
      <selection activeCell="A2" sqref="A2"/>
    </sheetView>
  </sheetViews>
  <sheetFormatPr defaultColWidth="9" defaultRowHeight="12"/>
  <cols>
    <col min="1" max="1" width="16.44140625" style="243" customWidth="1"/>
    <col min="2" max="2" width="9.44140625" style="21" customWidth="1"/>
    <col min="3" max="3" width="8.44140625" style="21" customWidth="1"/>
    <col min="4" max="5" width="7.88671875" style="21" customWidth="1"/>
    <col min="6" max="7" width="7.33203125" style="21" customWidth="1"/>
    <col min="8" max="8" width="8.109375" style="21" customWidth="1"/>
    <col min="9" max="9" width="7.21875" style="21" customWidth="1"/>
    <col min="10" max="10" width="7.77734375" style="21" customWidth="1"/>
    <col min="11" max="11" width="9.88671875" style="21" customWidth="1"/>
    <col min="12" max="12" width="8.21875" style="21" customWidth="1"/>
    <col min="13" max="13" width="8.109375" style="21" customWidth="1"/>
    <col min="14" max="14" width="9.77734375" style="21" customWidth="1"/>
    <col min="15" max="15" width="9" style="270"/>
    <col min="16" max="16" width="5.88671875" style="270" customWidth="1"/>
    <col min="17" max="16384" width="9" style="21"/>
  </cols>
  <sheetData>
    <row r="1" spans="1:18" ht="12.6">
      <c r="A1" s="482" t="s">
        <v>499</v>
      </c>
    </row>
    <row r="2" spans="1:18" ht="12.6">
      <c r="A2" s="482" t="s">
        <v>458</v>
      </c>
    </row>
    <row r="4" spans="1:18" s="15" customFormat="1" ht="13.8">
      <c r="A4" s="243" t="s">
        <v>293</v>
      </c>
      <c r="B4" s="13"/>
      <c r="C4" s="14"/>
      <c r="D4" s="16" t="s">
        <v>15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267"/>
      <c r="P4" s="267"/>
      <c r="Q4" s="14"/>
      <c r="R4" s="14"/>
    </row>
    <row r="5" spans="1:18" s="15" customFormat="1" ht="13.8">
      <c r="A5" s="244"/>
      <c r="B5" s="17">
        <f ca="1">NOW()</f>
        <v>42476.370215393516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67"/>
      <c r="P5" s="267"/>
      <c r="Q5" s="14"/>
      <c r="R5" s="14"/>
    </row>
    <row r="6" spans="1:18" s="15" customFormat="1" ht="13.8">
      <c r="A6" s="245" t="s">
        <v>289</v>
      </c>
      <c r="B6" s="14"/>
      <c r="C6" s="14"/>
      <c r="D6" s="14"/>
      <c r="G6" s="14"/>
      <c r="H6" s="14"/>
      <c r="I6" s="14"/>
      <c r="J6" s="14"/>
      <c r="K6" s="14"/>
      <c r="L6" s="14"/>
      <c r="M6" s="14"/>
      <c r="O6" s="267"/>
      <c r="P6" s="267"/>
      <c r="Q6" s="14"/>
      <c r="R6" s="14"/>
    </row>
    <row r="7" spans="1:18" s="15" customFormat="1" ht="13.8">
      <c r="A7" s="246"/>
      <c r="B7" s="238">
        <v>1</v>
      </c>
      <c r="C7" s="238">
        <f>1+B7</f>
        <v>2</v>
      </c>
      <c r="D7" s="238">
        <f t="shared" ref="D7:M7" si="0">1+C7</f>
        <v>3</v>
      </c>
      <c r="E7" s="238">
        <f t="shared" si="0"/>
        <v>4</v>
      </c>
      <c r="F7" s="238">
        <f t="shared" si="0"/>
        <v>5</v>
      </c>
      <c r="G7" s="238">
        <f t="shared" si="0"/>
        <v>6</v>
      </c>
      <c r="H7" s="238">
        <f t="shared" si="0"/>
        <v>7</v>
      </c>
      <c r="I7" s="238">
        <f t="shared" si="0"/>
        <v>8</v>
      </c>
      <c r="J7" s="238">
        <f t="shared" si="0"/>
        <v>9</v>
      </c>
      <c r="K7" s="238">
        <f t="shared" si="0"/>
        <v>10</v>
      </c>
      <c r="L7" s="238">
        <f t="shared" si="0"/>
        <v>11</v>
      </c>
      <c r="M7" s="238">
        <f t="shared" si="0"/>
        <v>12</v>
      </c>
      <c r="O7" s="268"/>
      <c r="P7" s="268"/>
    </row>
    <row r="8" spans="1:18" s="19" customFormat="1" ht="10.199999999999999">
      <c r="A8" s="246"/>
      <c r="B8" s="23" t="s">
        <v>0</v>
      </c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  <c r="J8" s="23" t="s">
        <v>8</v>
      </c>
      <c r="K8" s="23" t="s">
        <v>9</v>
      </c>
      <c r="L8" s="23" t="s">
        <v>10</v>
      </c>
      <c r="M8" s="23" t="s">
        <v>11</v>
      </c>
      <c r="N8" s="23" t="s">
        <v>12</v>
      </c>
      <c r="O8" s="269"/>
      <c r="P8" s="269"/>
    </row>
    <row r="9" spans="1:18" s="19" customFormat="1" ht="10.199999999999999">
      <c r="A9" s="247"/>
      <c r="O9" s="485"/>
      <c r="P9" s="485"/>
    </row>
    <row r="10" spans="1:18" s="19" customFormat="1" ht="10.199999999999999">
      <c r="A10" s="24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69"/>
      <c r="P10" s="269"/>
    </row>
    <row r="11" spans="1:18">
      <c r="B11" s="23" t="s">
        <v>0</v>
      </c>
      <c r="C11" s="23" t="s">
        <v>1</v>
      </c>
      <c r="D11" s="23" t="s">
        <v>2</v>
      </c>
      <c r="E11" s="23" t="s">
        <v>3</v>
      </c>
      <c r="F11" s="23" t="s">
        <v>4</v>
      </c>
      <c r="G11" s="23" t="s">
        <v>5</v>
      </c>
      <c r="H11" s="23" t="s">
        <v>6</v>
      </c>
      <c r="I11" s="23" t="s">
        <v>7</v>
      </c>
      <c r="J11" s="23" t="s">
        <v>8</v>
      </c>
      <c r="K11" s="23" t="s">
        <v>9</v>
      </c>
      <c r="L11" s="23" t="s">
        <v>10</v>
      </c>
      <c r="M11" s="23" t="s">
        <v>11</v>
      </c>
      <c r="N11" s="23" t="s">
        <v>12</v>
      </c>
    </row>
    <row r="12" spans="1:18">
      <c r="A12" s="248">
        <v>2013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8">
      <c r="A13" s="247" t="s">
        <v>37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8">
      <c r="A14" s="249" t="s">
        <v>47</v>
      </c>
      <c r="B14" s="232">
        <f>'Lake Worth Forecast'!E10</f>
        <v>72000</v>
      </c>
      <c r="C14" s="232">
        <f>'Lake Worth Forecast'!F10</f>
        <v>72000</v>
      </c>
      <c r="D14" s="232">
        <f>'Lake Worth Forecast'!G10</f>
        <v>72000</v>
      </c>
      <c r="E14" s="232">
        <f>'Lake Worth Forecast'!H10</f>
        <v>72000</v>
      </c>
      <c r="F14" s="232">
        <f>'Lake Worth Forecast'!I10</f>
        <v>85000</v>
      </c>
      <c r="G14" s="232">
        <f>'Lake Worth Forecast'!J10</f>
        <v>85000</v>
      </c>
      <c r="H14" s="232">
        <f>'Lake Worth Forecast'!K10</f>
        <v>85000</v>
      </c>
      <c r="I14" s="232">
        <f>'Lake Worth Forecast'!L10</f>
        <v>85000</v>
      </c>
      <c r="J14" s="232">
        <f>'Lake Worth Forecast'!M10</f>
        <v>85000</v>
      </c>
      <c r="K14" s="232">
        <f>'Lake Worth Forecast'!N10</f>
        <v>72000</v>
      </c>
      <c r="L14" s="232">
        <f>'Lake Worth Forecast'!O10</f>
        <v>72000</v>
      </c>
      <c r="M14" s="232">
        <f>'Lake Worth Forecast'!P10</f>
        <v>72000</v>
      </c>
      <c r="N14" s="20">
        <f>SUM(B14:M14)</f>
        <v>929000</v>
      </c>
      <c r="O14" s="272"/>
      <c r="P14" s="271"/>
    </row>
    <row r="15" spans="1:18">
      <c r="A15" s="249" t="s">
        <v>45</v>
      </c>
      <c r="B15" s="27">
        <f>ROUND(B14*'Transmission Formula Rate (7)'!$B$27,0)</f>
        <v>1332</v>
      </c>
      <c r="C15" s="27">
        <f>ROUND(C14*'Transmission Formula Rate (7)'!$B$27,0)</f>
        <v>1332</v>
      </c>
      <c r="D15" s="27">
        <f>ROUND(D14*'Transmission Formula Rate (7)'!$B$27,0)</f>
        <v>1332</v>
      </c>
      <c r="E15" s="27">
        <f>ROUND(E14*'Transmission Formula Rate (7)'!$B$27,0)</f>
        <v>1332</v>
      </c>
      <c r="F15" s="27">
        <f>ROUND(F14*'Transmission Formula Rate (7)'!$B$27,0)</f>
        <v>1573</v>
      </c>
      <c r="G15" s="27">
        <f>ROUND(G14*'Transmission Formula Rate (7)'!$B$27,0)</f>
        <v>1573</v>
      </c>
      <c r="H15" s="27">
        <f>ROUND(H14*'Transmission Formula Rate (7)'!$B$27,0)</f>
        <v>1573</v>
      </c>
      <c r="I15" s="27">
        <f>ROUND(I14*'Transmission Formula Rate (7)'!$B$27,0)</f>
        <v>1573</v>
      </c>
      <c r="J15" s="27">
        <f>ROUND(J14*'Transmission Formula Rate (7)'!$B$27,0)</f>
        <v>1573</v>
      </c>
      <c r="K15" s="27">
        <f>ROUND(K14*'Transmission Formula Rate (7)'!$B$27,0)</f>
        <v>1332</v>
      </c>
      <c r="L15" s="27">
        <f>ROUND(L14*'Transmission Formula Rate (7)'!$B$27,0)</f>
        <v>1332</v>
      </c>
      <c r="M15" s="27">
        <f>ROUND(M14*'Transmission Formula Rate (7)'!$B$27,0)</f>
        <v>1332</v>
      </c>
      <c r="N15" s="20">
        <f>SUM(B15:M15)</f>
        <v>17189</v>
      </c>
    </row>
    <row r="16" spans="1:18">
      <c r="A16" s="249" t="s">
        <v>290</v>
      </c>
      <c r="B16" s="27">
        <f t="shared" ref="B16:M16" si="1">B14+B15</f>
        <v>73332</v>
      </c>
      <c r="C16" s="27">
        <f t="shared" si="1"/>
        <v>73332</v>
      </c>
      <c r="D16" s="27">
        <f t="shared" si="1"/>
        <v>73332</v>
      </c>
      <c r="E16" s="27">
        <f t="shared" si="1"/>
        <v>73332</v>
      </c>
      <c r="F16" s="27">
        <f t="shared" si="1"/>
        <v>86573</v>
      </c>
      <c r="G16" s="27">
        <f t="shared" si="1"/>
        <v>86573</v>
      </c>
      <c r="H16" s="27">
        <f t="shared" si="1"/>
        <v>86573</v>
      </c>
      <c r="I16" s="27">
        <f t="shared" si="1"/>
        <v>86573</v>
      </c>
      <c r="J16" s="27">
        <f t="shared" si="1"/>
        <v>86573</v>
      </c>
      <c r="K16" s="27">
        <f t="shared" si="1"/>
        <v>73332</v>
      </c>
      <c r="L16" s="27">
        <f t="shared" si="1"/>
        <v>73332</v>
      </c>
      <c r="M16" s="27">
        <f t="shared" si="1"/>
        <v>73332</v>
      </c>
      <c r="N16" s="123">
        <f>SUM(B16:M16)</f>
        <v>946189</v>
      </c>
    </row>
    <row r="17" spans="1:16">
      <c r="A17" s="247" t="s">
        <v>20</v>
      </c>
      <c r="B17" s="29">
        <f>'Transmission Formula Rate (7)'!B8</f>
        <v>1.59</v>
      </c>
      <c r="C17" s="29">
        <f>'Transmission Formula Rate (7)'!C8</f>
        <v>1.59</v>
      </c>
      <c r="D17" s="29">
        <f>'Transmission Formula Rate (7)'!D8</f>
        <v>1.59</v>
      </c>
      <c r="E17" s="29">
        <f>'Transmission Formula Rate (7)'!E8</f>
        <v>1.59</v>
      </c>
      <c r="F17" s="29">
        <f>'Transmission Formula Rate (7)'!F8</f>
        <v>1.59</v>
      </c>
      <c r="G17" s="29">
        <f>'Transmission Formula Rate (7)'!G8</f>
        <v>1.59</v>
      </c>
      <c r="H17" s="29">
        <f>'Transmission Formula Rate (7)'!H8</f>
        <v>1.59</v>
      </c>
      <c r="I17" s="29">
        <f>'Transmission Formula Rate (7)'!I8</f>
        <v>1.59</v>
      </c>
      <c r="J17" s="29">
        <f>'Transmission Formula Rate (7)'!J8</f>
        <v>1.59</v>
      </c>
      <c r="K17" s="29">
        <f>'Transmission Formula Rate (7)'!K8</f>
        <v>1.59</v>
      </c>
      <c r="L17" s="29">
        <f>'Transmission Formula Rate (7)'!L8</f>
        <v>1.59</v>
      </c>
      <c r="M17" s="29">
        <f>'Transmission Formula Rate (7)'!M8</f>
        <v>1.59</v>
      </c>
      <c r="N17" s="19"/>
    </row>
    <row r="18" spans="1:16">
      <c r="A18" s="247" t="s">
        <v>17</v>
      </c>
      <c r="B18" s="20">
        <f t="shared" ref="B18:M18" si="2">B16*B17</f>
        <v>116597.88</v>
      </c>
      <c r="C18" s="20">
        <f t="shared" si="2"/>
        <v>116597.88</v>
      </c>
      <c r="D18" s="20">
        <f t="shared" si="2"/>
        <v>116597.88</v>
      </c>
      <c r="E18" s="20">
        <f t="shared" si="2"/>
        <v>116597.88</v>
      </c>
      <c r="F18" s="20">
        <f t="shared" si="2"/>
        <v>137651.07</v>
      </c>
      <c r="G18" s="20">
        <f t="shared" si="2"/>
        <v>137651.07</v>
      </c>
      <c r="H18" s="20">
        <f t="shared" si="2"/>
        <v>137651.07</v>
      </c>
      <c r="I18" s="20">
        <f t="shared" si="2"/>
        <v>137651.07</v>
      </c>
      <c r="J18" s="20">
        <f t="shared" si="2"/>
        <v>137651.07</v>
      </c>
      <c r="K18" s="20">
        <f t="shared" si="2"/>
        <v>116597.88</v>
      </c>
      <c r="L18" s="20">
        <f t="shared" si="2"/>
        <v>116597.88</v>
      </c>
      <c r="M18" s="20">
        <f t="shared" si="2"/>
        <v>116597.88</v>
      </c>
      <c r="N18" s="20">
        <f>SUM(B18:M18)</f>
        <v>1504440.5100000002</v>
      </c>
    </row>
    <row r="19" spans="1:16">
      <c r="A19" s="24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6">
      <c r="A20" s="247" t="s">
        <v>135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6">
      <c r="A21" s="249" t="s">
        <v>47</v>
      </c>
      <c r="B21" s="232">
        <f>B14</f>
        <v>72000</v>
      </c>
      <c r="C21" s="232">
        <f t="shared" ref="C21:M21" si="3">C14</f>
        <v>72000</v>
      </c>
      <c r="D21" s="232">
        <f t="shared" si="3"/>
        <v>72000</v>
      </c>
      <c r="E21" s="232">
        <f t="shared" si="3"/>
        <v>72000</v>
      </c>
      <c r="F21" s="232">
        <f t="shared" si="3"/>
        <v>85000</v>
      </c>
      <c r="G21" s="232">
        <f t="shared" si="3"/>
        <v>85000</v>
      </c>
      <c r="H21" s="232">
        <f t="shared" si="3"/>
        <v>85000</v>
      </c>
      <c r="I21" s="232">
        <f t="shared" si="3"/>
        <v>85000</v>
      </c>
      <c r="J21" s="232">
        <f t="shared" si="3"/>
        <v>85000</v>
      </c>
      <c r="K21" s="232">
        <f t="shared" si="3"/>
        <v>72000</v>
      </c>
      <c r="L21" s="232">
        <f t="shared" si="3"/>
        <v>72000</v>
      </c>
      <c r="M21" s="232">
        <f t="shared" si="3"/>
        <v>72000</v>
      </c>
      <c r="N21" s="20">
        <f>SUM(B21:M21)</f>
        <v>929000</v>
      </c>
      <c r="O21" s="272"/>
      <c r="P21" s="271"/>
    </row>
    <row r="22" spans="1:16">
      <c r="A22" s="249" t="s">
        <v>45</v>
      </c>
      <c r="B22" s="27">
        <f>ROUND(B21*'Transmission Formula Rate (7)'!$B$27,0)</f>
        <v>1332</v>
      </c>
      <c r="C22" s="27">
        <f>ROUND(C21*'Transmission Formula Rate (7)'!$B$27,0)</f>
        <v>1332</v>
      </c>
      <c r="D22" s="27">
        <f>ROUND(D21*'Transmission Formula Rate (7)'!$B$27,0)</f>
        <v>1332</v>
      </c>
      <c r="E22" s="27">
        <f>ROUND(E21*'Transmission Formula Rate (7)'!$B$27,0)</f>
        <v>1332</v>
      </c>
      <c r="F22" s="27">
        <f>ROUND(F21*'Transmission Formula Rate (7)'!$B$27,0)</f>
        <v>1573</v>
      </c>
      <c r="G22" s="27">
        <f>ROUND(G21*'Transmission Formula Rate (7)'!$B$27,0)</f>
        <v>1573</v>
      </c>
      <c r="H22" s="27">
        <f>ROUND(H21*'Transmission Formula Rate (7)'!$B$27,0)</f>
        <v>1573</v>
      </c>
      <c r="I22" s="27">
        <f>ROUND(I21*'Transmission Formula Rate (7)'!$B$27,0)</f>
        <v>1573</v>
      </c>
      <c r="J22" s="27">
        <f>ROUND(J21*'Transmission Formula Rate (7)'!$B$27,0)</f>
        <v>1573</v>
      </c>
      <c r="K22" s="27">
        <f>ROUND(K21*'Transmission Formula Rate (7)'!$B$27,0)</f>
        <v>1332</v>
      </c>
      <c r="L22" s="27">
        <f>ROUND(L21*'Transmission Formula Rate (7)'!$B$27,0)</f>
        <v>1332</v>
      </c>
      <c r="M22" s="27">
        <f>ROUND(M21*'Transmission Formula Rate (7)'!$B$27,0)</f>
        <v>1332</v>
      </c>
      <c r="N22" s="20">
        <f>SUM(B22:M22)</f>
        <v>17189</v>
      </c>
    </row>
    <row r="23" spans="1:16">
      <c r="A23" s="249" t="s">
        <v>290</v>
      </c>
      <c r="B23" s="27">
        <f>B21+B22</f>
        <v>73332</v>
      </c>
      <c r="C23" s="27">
        <f t="shared" ref="C23:M23" si="4">C21+C22</f>
        <v>73332</v>
      </c>
      <c r="D23" s="27">
        <f t="shared" si="4"/>
        <v>73332</v>
      </c>
      <c r="E23" s="27">
        <f t="shared" si="4"/>
        <v>73332</v>
      </c>
      <c r="F23" s="27">
        <f t="shared" si="4"/>
        <v>86573</v>
      </c>
      <c r="G23" s="27">
        <f t="shared" si="4"/>
        <v>86573</v>
      </c>
      <c r="H23" s="27">
        <f t="shared" si="4"/>
        <v>86573</v>
      </c>
      <c r="I23" s="27">
        <f t="shared" si="4"/>
        <v>86573</v>
      </c>
      <c r="J23" s="27">
        <f t="shared" si="4"/>
        <v>86573</v>
      </c>
      <c r="K23" s="27">
        <f t="shared" si="4"/>
        <v>73332</v>
      </c>
      <c r="L23" s="27">
        <f t="shared" si="4"/>
        <v>73332</v>
      </c>
      <c r="M23" s="27">
        <f t="shared" si="4"/>
        <v>73332</v>
      </c>
      <c r="N23" s="123">
        <f>SUM(B23:M23)</f>
        <v>946189</v>
      </c>
    </row>
    <row r="24" spans="1:16">
      <c r="A24" s="247" t="s">
        <v>143</v>
      </c>
      <c r="B24" s="31">
        <f>'charges (1 &amp; 2)'!E32</f>
        <v>1.274E-2</v>
      </c>
      <c r="C24" s="31">
        <f>B24</f>
        <v>1.274E-2</v>
      </c>
      <c r="D24" s="31">
        <f t="shared" ref="D24:M24" si="5">C24</f>
        <v>1.274E-2</v>
      </c>
      <c r="E24" s="31">
        <f t="shared" si="5"/>
        <v>1.274E-2</v>
      </c>
      <c r="F24" s="31">
        <f t="shared" si="5"/>
        <v>1.274E-2</v>
      </c>
      <c r="G24" s="31">
        <f t="shared" si="5"/>
        <v>1.274E-2</v>
      </c>
      <c r="H24" s="31">
        <f t="shared" si="5"/>
        <v>1.274E-2</v>
      </c>
      <c r="I24" s="31">
        <f t="shared" si="5"/>
        <v>1.274E-2</v>
      </c>
      <c r="J24" s="31">
        <f t="shared" si="5"/>
        <v>1.274E-2</v>
      </c>
      <c r="K24" s="31">
        <f t="shared" si="5"/>
        <v>1.274E-2</v>
      </c>
      <c r="L24" s="31">
        <f t="shared" si="5"/>
        <v>1.274E-2</v>
      </c>
      <c r="M24" s="31">
        <f t="shared" si="5"/>
        <v>1.274E-2</v>
      </c>
      <c r="N24" s="19"/>
    </row>
    <row r="25" spans="1:16">
      <c r="A25" s="247" t="s">
        <v>17</v>
      </c>
      <c r="B25" s="20">
        <f t="shared" ref="B25:M25" si="6">B23*B24</f>
        <v>934.24968000000001</v>
      </c>
      <c r="C25" s="20">
        <f t="shared" si="6"/>
        <v>934.24968000000001</v>
      </c>
      <c r="D25" s="20">
        <f t="shared" si="6"/>
        <v>934.24968000000001</v>
      </c>
      <c r="E25" s="20">
        <f t="shared" si="6"/>
        <v>934.24968000000001</v>
      </c>
      <c r="F25" s="20">
        <f t="shared" si="6"/>
        <v>1102.94002</v>
      </c>
      <c r="G25" s="20">
        <f t="shared" si="6"/>
        <v>1102.94002</v>
      </c>
      <c r="H25" s="20">
        <f t="shared" si="6"/>
        <v>1102.94002</v>
      </c>
      <c r="I25" s="20">
        <f t="shared" si="6"/>
        <v>1102.94002</v>
      </c>
      <c r="J25" s="20">
        <f t="shared" si="6"/>
        <v>1102.94002</v>
      </c>
      <c r="K25" s="20">
        <f t="shared" si="6"/>
        <v>934.24968000000001</v>
      </c>
      <c r="L25" s="20">
        <f t="shared" si="6"/>
        <v>934.24968000000001</v>
      </c>
      <c r="M25" s="20">
        <f t="shared" si="6"/>
        <v>934.24968000000001</v>
      </c>
      <c r="N25" s="20">
        <f>SUM(B25:M25)</f>
        <v>12054.447860000002</v>
      </c>
    </row>
    <row r="26" spans="1:16">
      <c r="A26" s="25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6">
      <c r="A27" s="25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6">
      <c r="B28" s="23" t="s">
        <v>0</v>
      </c>
      <c r="C28" s="23" t="s">
        <v>1</v>
      </c>
      <c r="D28" s="23" t="s">
        <v>2</v>
      </c>
      <c r="E28" s="23" t="s">
        <v>3</v>
      </c>
      <c r="F28" s="23" t="s">
        <v>4</v>
      </c>
      <c r="G28" s="23" t="s">
        <v>5</v>
      </c>
      <c r="H28" s="23" t="s">
        <v>6</v>
      </c>
      <c r="I28" s="23" t="s">
        <v>7</v>
      </c>
      <c r="J28" s="23" t="s">
        <v>8</v>
      </c>
      <c r="K28" s="23" t="s">
        <v>9</v>
      </c>
      <c r="L28" s="23" t="s">
        <v>10</v>
      </c>
      <c r="M28" s="23" t="s">
        <v>11</v>
      </c>
      <c r="N28" s="23" t="s">
        <v>12</v>
      </c>
    </row>
    <row r="29" spans="1:16">
      <c r="A29" s="248">
        <f>+A12+1</f>
        <v>2014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6">
      <c r="A30" s="247" t="s">
        <v>37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6">
      <c r="A31" s="249" t="s">
        <v>47</v>
      </c>
      <c r="B31" s="232">
        <f>'Lake Worth Forecast'!E11</f>
        <v>72000</v>
      </c>
      <c r="C31" s="232">
        <f>'Lake Worth Forecast'!F11</f>
        <v>72000</v>
      </c>
      <c r="D31" s="232">
        <f>'Lake Worth Forecast'!G11</f>
        <v>72000</v>
      </c>
      <c r="E31" s="232">
        <f>'Lake Worth Forecast'!H11</f>
        <v>72000</v>
      </c>
      <c r="F31" s="232">
        <f>'Lake Worth Forecast'!I11</f>
        <v>85000</v>
      </c>
      <c r="G31" s="232">
        <f>'Lake Worth Forecast'!J11</f>
        <v>85000</v>
      </c>
      <c r="H31" s="232">
        <f>'Lake Worth Forecast'!K11</f>
        <v>85000</v>
      </c>
      <c r="I31" s="232">
        <f>'Lake Worth Forecast'!L11</f>
        <v>85000</v>
      </c>
      <c r="J31" s="232">
        <f>'Lake Worth Forecast'!M11</f>
        <v>85000</v>
      </c>
      <c r="K31" s="232">
        <f>'Lake Worth Forecast'!N11</f>
        <v>72000</v>
      </c>
      <c r="L31" s="232">
        <f>'Lake Worth Forecast'!O11</f>
        <v>72000</v>
      </c>
      <c r="M31" s="232">
        <f>'Lake Worth Forecast'!P11</f>
        <v>72000</v>
      </c>
      <c r="N31" s="20">
        <f>SUM(B31:M31)</f>
        <v>929000</v>
      </c>
      <c r="O31" s="272"/>
      <c r="P31" s="271"/>
    </row>
    <row r="32" spans="1:16">
      <c r="A32" s="249" t="s">
        <v>45</v>
      </c>
      <c r="B32" s="27">
        <f>ROUND(B31*'Transmission Formula Rate (7)'!$B$27,0)</f>
        <v>1332</v>
      </c>
      <c r="C32" s="27">
        <f>ROUND(C31*'Transmission Formula Rate (7)'!$B$27,0)</f>
        <v>1332</v>
      </c>
      <c r="D32" s="27">
        <f>ROUND(D31*'Transmission Formula Rate (7)'!$B$27,0)</f>
        <v>1332</v>
      </c>
      <c r="E32" s="27">
        <f>ROUND(E31*'Transmission Formula Rate (7)'!$B$27,0)</f>
        <v>1332</v>
      </c>
      <c r="F32" s="27">
        <f>ROUND(F31*'Transmission Formula Rate (7)'!$B$27,0)</f>
        <v>1573</v>
      </c>
      <c r="G32" s="27">
        <f>ROUND(G31*'Transmission Formula Rate (7)'!$B$27,0)</f>
        <v>1573</v>
      </c>
      <c r="H32" s="27">
        <f>ROUND(H31*'Transmission Formula Rate (7)'!$B$27,0)</f>
        <v>1573</v>
      </c>
      <c r="I32" s="27">
        <f>ROUND(I31*'Transmission Formula Rate (7)'!$B$27,0)</f>
        <v>1573</v>
      </c>
      <c r="J32" s="27">
        <f>ROUND(J31*'Transmission Formula Rate (7)'!$B$27,0)</f>
        <v>1573</v>
      </c>
      <c r="K32" s="27">
        <f>ROUND(K31*'Transmission Formula Rate (7)'!$B$27,0)</f>
        <v>1332</v>
      </c>
      <c r="L32" s="27">
        <f>ROUND(L31*'Transmission Formula Rate (7)'!$B$27,0)</f>
        <v>1332</v>
      </c>
      <c r="M32" s="27">
        <f>ROUND(M31*'Transmission Formula Rate (7)'!$B$27,0)</f>
        <v>1332</v>
      </c>
      <c r="N32" s="20">
        <f>SUM(B32:M32)</f>
        <v>17189</v>
      </c>
    </row>
    <row r="33" spans="1:16">
      <c r="A33" s="249" t="s">
        <v>290</v>
      </c>
      <c r="B33" s="27">
        <f t="shared" ref="B33:M33" si="7">B31+B32</f>
        <v>73332</v>
      </c>
      <c r="C33" s="27">
        <f t="shared" si="7"/>
        <v>73332</v>
      </c>
      <c r="D33" s="27">
        <f t="shared" si="7"/>
        <v>73332</v>
      </c>
      <c r="E33" s="27">
        <f t="shared" si="7"/>
        <v>73332</v>
      </c>
      <c r="F33" s="27">
        <f t="shared" si="7"/>
        <v>86573</v>
      </c>
      <c r="G33" s="27">
        <f t="shared" si="7"/>
        <v>86573</v>
      </c>
      <c r="H33" s="27">
        <f t="shared" si="7"/>
        <v>86573</v>
      </c>
      <c r="I33" s="27">
        <f t="shared" si="7"/>
        <v>86573</v>
      </c>
      <c r="J33" s="27">
        <f t="shared" si="7"/>
        <v>86573</v>
      </c>
      <c r="K33" s="27">
        <f t="shared" si="7"/>
        <v>73332</v>
      </c>
      <c r="L33" s="27">
        <f t="shared" si="7"/>
        <v>73332</v>
      </c>
      <c r="M33" s="27">
        <f t="shared" si="7"/>
        <v>73332</v>
      </c>
      <c r="N33" s="123">
        <f>SUM(B33:M33)</f>
        <v>946189</v>
      </c>
    </row>
    <row r="34" spans="1:16">
      <c r="A34" s="247" t="s">
        <v>20</v>
      </c>
      <c r="B34" s="29">
        <f>'Transmission Formula Rate (7)'!B10</f>
        <v>1.59</v>
      </c>
      <c r="C34" s="29">
        <f>'Transmission Formula Rate (7)'!C10</f>
        <v>1.59</v>
      </c>
      <c r="D34" s="29">
        <f>'Transmission Formula Rate (7)'!D10</f>
        <v>1.59</v>
      </c>
      <c r="E34" s="29">
        <f>'Transmission Formula Rate (7)'!E10</f>
        <v>1.59</v>
      </c>
      <c r="F34" s="29">
        <f>'Transmission Formula Rate (7)'!F10</f>
        <v>1.59</v>
      </c>
      <c r="G34" s="29">
        <f>'Transmission Formula Rate (7)'!G10</f>
        <v>1.59</v>
      </c>
      <c r="H34" s="29">
        <f>'Transmission Formula Rate (7)'!H10</f>
        <v>1.59</v>
      </c>
      <c r="I34" s="29">
        <f>'Transmission Formula Rate (7)'!I10</f>
        <v>1.59</v>
      </c>
      <c r="J34" s="29">
        <f>'Transmission Formula Rate (7)'!J10</f>
        <v>1.59</v>
      </c>
      <c r="K34" s="29">
        <f>'Transmission Formula Rate (7)'!K10</f>
        <v>1.59</v>
      </c>
      <c r="L34" s="29">
        <f>'Transmission Formula Rate (7)'!L10</f>
        <v>1.59</v>
      </c>
      <c r="M34" s="29">
        <f>'Transmission Formula Rate (7)'!M10</f>
        <v>1.59</v>
      </c>
      <c r="N34" s="19"/>
    </row>
    <row r="35" spans="1:16">
      <c r="A35" s="247" t="s">
        <v>17</v>
      </c>
      <c r="B35" s="20">
        <f t="shared" ref="B35:M35" si="8">B33*B34</f>
        <v>116597.88</v>
      </c>
      <c r="C35" s="20">
        <f t="shared" si="8"/>
        <v>116597.88</v>
      </c>
      <c r="D35" s="20">
        <f t="shared" si="8"/>
        <v>116597.88</v>
      </c>
      <c r="E35" s="20">
        <f t="shared" si="8"/>
        <v>116597.88</v>
      </c>
      <c r="F35" s="20">
        <f t="shared" si="8"/>
        <v>137651.07</v>
      </c>
      <c r="G35" s="20">
        <f t="shared" si="8"/>
        <v>137651.07</v>
      </c>
      <c r="H35" s="20">
        <f t="shared" si="8"/>
        <v>137651.07</v>
      </c>
      <c r="I35" s="20">
        <f t="shared" si="8"/>
        <v>137651.07</v>
      </c>
      <c r="J35" s="20">
        <f t="shared" si="8"/>
        <v>137651.07</v>
      </c>
      <c r="K35" s="20">
        <f>K33*K34</f>
        <v>116597.88</v>
      </c>
      <c r="L35" s="20">
        <f t="shared" si="8"/>
        <v>116597.88</v>
      </c>
      <c r="M35" s="20">
        <f t="shared" si="8"/>
        <v>116597.88</v>
      </c>
      <c r="N35" s="20">
        <f>SUM(B35:M35)</f>
        <v>1504440.5100000002</v>
      </c>
    </row>
    <row r="36" spans="1:16">
      <c r="A36" s="25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6">
      <c r="A37" s="247" t="s">
        <v>135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6">
      <c r="A38" s="249" t="s">
        <v>47</v>
      </c>
      <c r="B38" s="232">
        <f>B31</f>
        <v>72000</v>
      </c>
      <c r="C38" s="232">
        <f t="shared" ref="C38:M38" si="9">C31</f>
        <v>72000</v>
      </c>
      <c r="D38" s="232">
        <f t="shared" si="9"/>
        <v>72000</v>
      </c>
      <c r="E38" s="232">
        <f t="shared" si="9"/>
        <v>72000</v>
      </c>
      <c r="F38" s="232">
        <f t="shared" si="9"/>
        <v>85000</v>
      </c>
      <c r="G38" s="232">
        <f t="shared" si="9"/>
        <v>85000</v>
      </c>
      <c r="H38" s="232">
        <f t="shared" si="9"/>
        <v>85000</v>
      </c>
      <c r="I38" s="232">
        <f t="shared" si="9"/>
        <v>85000</v>
      </c>
      <c r="J38" s="232">
        <f t="shared" si="9"/>
        <v>85000</v>
      </c>
      <c r="K38" s="232">
        <f t="shared" si="9"/>
        <v>72000</v>
      </c>
      <c r="L38" s="232">
        <f t="shared" si="9"/>
        <v>72000</v>
      </c>
      <c r="M38" s="232">
        <f t="shared" si="9"/>
        <v>72000</v>
      </c>
      <c r="N38" s="20">
        <f>SUM(B38:M38)</f>
        <v>929000</v>
      </c>
    </row>
    <row r="39" spans="1:16">
      <c r="A39" s="249" t="s">
        <v>45</v>
      </c>
      <c r="B39" s="27">
        <f>ROUND(B38*'Transmission Formula Rate (7)'!$B$27,0)</f>
        <v>1332</v>
      </c>
      <c r="C39" s="27">
        <f>ROUND(C38*'Transmission Formula Rate (7)'!$B$27,0)</f>
        <v>1332</v>
      </c>
      <c r="D39" s="27">
        <f>ROUND(D38*'Transmission Formula Rate (7)'!$B$27,0)</f>
        <v>1332</v>
      </c>
      <c r="E39" s="27">
        <f>ROUND(E38*'Transmission Formula Rate (7)'!$B$27,0)</f>
        <v>1332</v>
      </c>
      <c r="F39" s="27">
        <f>ROUND(F38*'Transmission Formula Rate (7)'!$B$27,0)</f>
        <v>1573</v>
      </c>
      <c r="G39" s="27">
        <f>ROUND(G38*'Transmission Formula Rate (7)'!$B$27,0)</f>
        <v>1573</v>
      </c>
      <c r="H39" s="27">
        <f>ROUND(H38*'Transmission Formula Rate (7)'!$B$27,0)</f>
        <v>1573</v>
      </c>
      <c r="I39" s="27">
        <f>ROUND(I38*'Transmission Formula Rate (7)'!$B$27,0)</f>
        <v>1573</v>
      </c>
      <c r="J39" s="27">
        <f>ROUND(J38*'Transmission Formula Rate (7)'!$B$27,0)</f>
        <v>1573</v>
      </c>
      <c r="K39" s="27">
        <f>ROUND(K38*'Transmission Formula Rate (7)'!$B$27,0)</f>
        <v>1332</v>
      </c>
      <c r="L39" s="27">
        <f>ROUND(L38*'Transmission Formula Rate (7)'!$B$27,0)</f>
        <v>1332</v>
      </c>
      <c r="M39" s="27">
        <f>ROUND(M38*'Transmission Formula Rate (7)'!$B$27,0)</f>
        <v>1332</v>
      </c>
      <c r="N39" s="20">
        <f>SUM(B39:M39)</f>
        <v>17189</v>
      </c>
    </row>
    <row r="40" spans="1:16">
      <c r="A40" s="249" t="s">
        <v>290</v>
      </c>
      <c r="B40" s="27">
        <f t="shared" ref="B40:M40" si="10">B38+B39</f>
        <v>73332</v>
      </c>
      <c r="C40" s="27">
        <f t="shared" si="10"/>
        <v>73332</v>
      </c>
      <c r="D40" s="27">
        <f t="shared" si="10"/>
        <v>73332</v>
      </c>
      <c r="E40" s="27">
        <f t="shared" si="10"/>
        <v>73332</v>
      </c>
      <c r="F40" s="27">
        <f t="shared" si="10"/>
        <v>86573</v>
      </c>
      <c r="G40" s="27">
        <f t="shared" si="10"/>
        <v>86573</v>
      </c>
      <c r="H40" s="27">
        <f t="shared" si="10"/>
        <v>86573</v>
      </c>
      <c r="I40" s="27">
        <f t="shared" si="10"/>
        <v>86573</v>
      </c>
      <c r="J40" s="27">
        <f t="shared" si="10"/>
        <v>86573</v>
      </c>
      <c r="K40" s="27">
        <f t="shared" si="10"/>
        <v>73332</v>
      </c>
      <c r="L40" s="27">
        <f t="shared" si="10"/>
        <v>73332</v>
      </c>
      <c r="M40" s="27">
        <f t="shared" si="10"/>
        <v>73332</v>
      </c>
      <c r="N40" s="123">
        <f>SUM(B40:M40)</f>
        <v>946189</v>
      </c>
    </row>
    <row r="41" spans="1:16">
      <c r="A41" s="247" t="s">
        <v>143</v>
      </c>
      <c r="B41" s="31">
        <f>'charges (1 &amp; 2)'!F32</f>
        <v>1.274E-2</v>
      </c>
      <c r="C41" s="31">
        <f>B41</f>
        <v>1.274E-2</v>
      </c>
      <c r="D41" s="31">
        <f t="shared" ref="D41:M41" si="11">C41</f>
        <v>1.274E-2</v>
      </c>
      <c r="E41" s="31">
        <f t="shared" si="11"/>
        <v>1.274E-2</v>
      </c>
      <c r="F41" s="31">
        <f t="shared" si="11"/>
        <v>1.274E-2</v>
      </c>
      <c r="G41" s="31">
        <f t="shared" si="11"/>
        <v>1.274E-2</v>
      </c>
      <c r="H41" s="31">
        <f t="shared" si="11"/>
        <v>1.274E-2</v>
      </c>
      <c r="I41" s="31">
        <f t="shared" si="11"/>
        <v>1.274E-2</v>
      </c>
      <c r="J41" s="31">
        <f t="shared" si="11"/>
        <v>1.274E-2</v>
      </c>
      <c r="K41" s="31">
        <f t="shared" si="11"/>
        <v>1.274E-2</v>
      </c>
      <c r="L41" s="31">
        <f t="shared" si="11"/>
        <v>1.274E-2</v>
      </c>
      <c r="M41" s="31">
        <f t="shared" si="11"/>
        <v>1.274E-2</v>
      </c>
      <c r="N41" s="19"/>
    </row>
    <row r="42" spans="1:16">
      <c r="A42" s="247" t="s">
        <v>17</v>
      </c>
      <c r="B42" s="20">
        <f t="shared" ref="B42:M42" si="12">B40*B41</f>
        <v>934.24968000000001</v>
      </c>
      <c r="C42" s="20">
        <f t="shared" si="12"/>
        <v>934.24968000000001</v>
      </c>
      <c r="D42" s="20">
        <f t="shared" si="12"/>
        <v>934.24968000000001</v>
      </c>
      <c r="E42" s="20">
        <f t="shared" si="12"/>
        <v>934.24968000000001</v>
      </c>
      <c r="F42" s="20">
        <f t="shared" si="12"/>
        <v>1102.94002</v>
      </c>
      <c r="G42" s="20">
        <f t="shared" si="12"/>
        <v>1102.94002</v>
      </c>
      <c r="H42" s="20">
        <f t="shared" si="12"/>
        <v>1102.94002</v>
      </c>
      <c r="I42" s="20">
        <f t="shared" si="12"/>
        <v>1102.94002</v>
      </c>
      <c r="J42" s="20">
        <f t="shared" si="12"/>
        <v>1102.94002</v>
      </c>
      <c r="K42" s="20">
        <f t="shared" si="12"/>
        <v>934.24968000000001</v>
      </c>
      <c r="L42" s="20">
        <f t="shared" si="12"/>
        <v>934.24968000000001</v>
      </c>
      <c r="M42" s="20">
        <f t="shared" si="12"/>
        <v>934.24968000000001</v>
      </c>
      <c r="N42" s="20">
        <f>SUM(B42:M42)</f>
        <v>12054.447860000002</v>
      </c>
    </row>
    <row r="43" spans="1:16">
      <c r="A43" s="247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6">
      <c r="A44" s="247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6">
      <c r="B45" s="23" t="s">
        <v>0</v>
      </c>
      <c r="C45" s="23" t="s">
        <v>1</v>
      </c>
      <c r="D45" s="23" t="s">
        <v>2</v>
      </c>
      <c r="E45" s="23" t="s">
        <v>3</v>
      </c>
      <c r="F45" s="23" t="s">
        <v>4</v>
      </c>
      <c r="G45" s="23" t="s">
        <v>5</v>
      </c>
      <c r="H45" s="23" t="s">
        <v>6</v>
      </c>
      <c r="I45" s="23" t="s">
        <v>7</v>
      </c>
      <c r="J45" s="23" t="s">
        <v>8</v>
      </c>
      <c r="K45" s="23" t="s">
        <v>9</v>
      </c>
      <c r="L45" s="23" t="s">
        <v>10</v>
      </c>
      <c r="M45" s="23" t="s">
        <v>11</v>
      </c>
      <c r="N45" s="23" t="s">
        <v>12</v>
      </c>
    </row>
    <row r="46" spans="1:16">
      <c r="A46" s="248">
        <f>+A29+1</f>
        <v>2015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6">
      <c r="A47" s="247" t="s">
        <v>37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6">
      <c r="A48" s="249" t="s">
        <v>47</v>
      </c>
      <c r="B48" s="232">
        <f>'Lake Worth Forecast'!E12</f>
        <v>68926.315071512086</v>
      </c>
      <c r="C48" s="232">
        <f>'Lake Worth Forecast'!F12</f>
        <v>67308.563800946999</v>
      </c>
      <c r="D48" s="232">
        <f>'Lake Worth Forecast'!G12</f>
        <v>70321.625542374401</v>
      </c>
      <c r="E48" s="232">
        <f>'Lake Worth Forecast'!H12</f>
        <v>73587.460919827601</v>
      </c>
      <c r="F48" s="232">
        <f>'Lake Worth Forecast'!I12</f>
        <v>82333.428726319893</v>
      </c>
      <c r="G48" s="232">
        <f>'Lake Worth Forecast'!J12</f>
        <v>86478.916357142822</v>
      </c>
      <c r="H48" s="232">
        <f>'Lake Worth Forecast'!K12</f>
        <v>89926.748752534579</v>
      </c>
      <c r="I48" s="232">
        <f>'Lake Worth Forecast'!L12</f>
        <v>90452.517915468212</v>
      </c>
      <c r="J48" s="232">
        <f>'Lake Worth Forecast'!M12</f>
        <v>87318.124828748434</v>
      </c>
      <c r="K48" s="232">
        <f>'Lake Worth Forecast'!N12</f>
        <v>81969.434690442737</v>
      </c>
      <c r="L48" s="232">
        <f>'Lake Worth Forecast'!O12</f>
        <v>73102.135538658069</v>
      </c>
      <c r="M48" s="232">
        <f>'Lake Worth Forecast'!P12</f>
        <v>69401.529507240542</v>
      </c>
      <c r="N48" s="20">
        <f>SUM(B48:M48)</f>
        <v>941126.80165121634</v>
      </c>
      <c r="O48" s="272"/>
      <c r="P48" s="271"/>
    </row>
    <row r="49" spans="1:14">
      <c r="A49" s="249" t="s">
        <v>45</v>
      </c>
      <c r="B49" s="27">
        <f>ROUND(B48*'Transmission Formula Rate (7)'!$B$27,0)</f>
        <v>1275</v>
      </c>
      <c r="C49" s="27">
        <f>ROUND(C48*'Transmission Formula Rate (7)'!$B$27,0)</f>
        <v>1245</v>
      </c>
      <c r="D49" s="27">
        <f>ROUND(D48*'Transmission Formula Rate (7)'!$B$27,0)</f>
        <v>1301</v>
      </c>
      <c r="E49" s="27">
        <f>ROUND(E48*'Transmission Formula Rate (7)'!$B$27,0)</f>
        <v>1361</v>
      </c>
      <c r="F49" s="27">
        <f>ROUND(F48*'Transmission Formula Rate (7)'!$B$27,0)</f>
        <v>1523</v>
      </c>
      <c r="G49" s="27">
        <f>ROUND(G48*'Transmission Formula Rate (7)'!$B$27,0)</f>
        <v>1600</v>
      </c>
      <c r="H49" s="27">
        <f>ROUND(H48*'Transmission Formula Rate (7)'!$B$27,0)</f>
        <v>1664</v>
      </c>
      <c r="I49" s="27">
        <f>ROUND(I48*'Transmission Formula Rate (7)'!$B$27,0)</f>
        <v>1673</v>
      </c>
      <c r="J49" s="27">
        <f>ROUND(J48*'Transmission Formula Rate (7)'!$B$27,0)</f>
        <v>1615</v>
      </c>
      <c r="K49" s="27">
        <f>ROUND(K48*'Transmission Formula Rate (7)'!$B$27,0)</f>
        <v>1516</v>
      </c>
      <c r="L49" s="27">
        <f>ROUND(L48*'Transmission Formula Rate (7)'!$B$27,0)</f>
        <v>1352</v>
      </c>
      <c r="M49" s="27">
        <f>ROUND(M48*'Transmission Formula Rate (7)'!$B$27,0)</f>
        <v>1284</v>
      </c>
      <c r="N49" s="20">
        <f>SUM(B49:M49)</f>
        <v>17409</v>
      </c>
    </row>
    <row r="50" spans="1:14">
      <c r="A50" s="249" t="s">
        <v>290</v>
      </c>
      <c r="B50" s="27">
        <f t="shared" ref="B50:M50" si="13">B48+B49</f>
        <v>70201.315071512086</v>
      </c>
      <c r="C50" s="27">
        <f t="shared" si="13"/>
        <v>68553.563800946999</v>
      </c>
      <c r="D50" s="27">
        <f t="shared" si="13"/>
        <v>71622.625542374401</v>
      </c>
      <c r="E50" s="27">
        <f t="shared" si="13"/>
        <v>74948.460919827601</v>
      </c>
      <c r="F50" s="27">
        <f t="shared" si="13"/>
        <v>83856.428726319893</v>
      </c>
      <c r="G50" s="27">
        <f t="shared" si="13"/>
        <v>88078.916357142822</v>
      </c>
      <c r="H50" s="27">
        <f t="shared" si="13"/>
        <v>91590.748752534579</v>
      </c>
      <c r="I50" s="27">
        <f t="shared" si="13"/>
        <v>92125.517915468212</v>
      </c>
      <c r="J50" s="27">
        <f t="shared" si="13"/>
        <v>88933.124828748434</v>
      </c>
      <c r="K50" s="27">
        <f t="shared" si="13"/>
        <v>83485.434690442737</v>
      </c>
      <c r="L50" s="27">
        <f t="shared" si="13"/>
        <v>74454.135538658069</v>
      </c>
      <c r="M50" s="27">
        <f t="shared" si="13"/>
        <v>70685.529507240542</v>
      </c>
      <c r="N50" s="123">
        <f>SUM(B50:M50)</f>
        <v>958535.80165121634</v>
      </c>
    </row>
    <row r="51" spans="1:14">
      <c r="A51" s="247" t="s">
        <v>20</v>
      </c>
      <c r="B51" s="29">
        <f>'Transmission Formula Rate (7)'!B12</f>
        <v>1.59</v>
      </c>
      <c r="C51" s="29">
        <f>'Transmission Formula Rate (7)'!C12</f>
        <v>1.59</v>
      </c>
      <c r="D51" s="29">
        <f>'Transmission Formula Rate (7)'!D12</f>
        <v>1.59</v>
      </c>
      <c r="E51" s="29">
        <f>'Transmission Formula Rate (7)'!E12</f>
        <v>1.59</v>
      </c>
      <c r="F51" s="29">
        <f>'Transmission Formula Rate (7)'!F12</f>
        <v>1.59</v>
      </c>
      <c r="G51" s="29">
        <f>'Transmission Formula Rate (7)'!G12</f>
        <v>1.59</v>
      </c>
      <c r="H51" s="29">
        <f>'Transmission Formula Rate (7)'!H12</f>
        <v>1.59</v>
      </c>
      <c r="I51" s="29">
        <f>'Transmission Formula Rate (7)'!I12</f>
        <v>1.59</v>
      </c>
      <c r="J51" s="29">
        <f>'Transmission Formula Rate (7)'!J12</f>
        <v>1.59</v>
      </c>
      <c r="K51" s="29">
        <f>'Transmission Formula Rate (7)'!K12</f>
        <v>1.59</v>
      </c>
      <c r="L51" s="29">
        <f>'Transmission Formula Rate (7)'!L12</f>
        <v>1.59</v>
      </c>
      <c r="M51" s="29">
        <f>'Transmission Formula Rate (7)'!M12</f>
        <v>1.59</v>
      </c>
      <c r="N51" s="19"/>
    </row>
    <row r="52" spans="1:14">
      <c r="A52" s="247" t="s">
        <v>17</v>
      </c>
      <c r="B52" s="20">
        <f t="shared" ref="B52:M52" si="14">B50*B51</f>
        <v>111620.09096370422</v>
      </c>
      <c r="C52" s="20">
        <f t="shared" si="14"/>
        <v>109000.16644350573</v>
      </c>
      <c r="D52" s="20">
        <f t="shared" si="14"/>
        <v>113879.9746123753</v>
      </c>
      <c r="E52" s="20">
        <f t="shared" si="14"/>
        <v>119168.05286252589</v>
      </c>
      <c r="F52" s="20">
        <f t="shared" si="14"/>
        <v>133331.72167484864</v>
      </c>
      <c r="G52" s="20">
        <f t="shared" si="14"/>
        <v>140045.47700785709</v>
      </c>
      <c r="H52" s="20">
        <f t="shared" si="14"/>
        <v>145629.29051652999</v>
      </c>
      <c r="I52" s="20">
        <f t="shared" si="14"/>
        <v>146479.57348559448</v>
      </c>
      <c r="J52" s="20">
        <f t="shared" si="14"/>
        <v>141403.66847771002</v>
      </c>
      <c r="K52" s="20">
        <f t="shared" si="14"/>
        <v>132741.84115780395</v>
      </c>
      <c r="L52" s="20">
        <f t="shared" si="14"/>
        <v>118382.07550646634</v>
      </c>
      <c r="M52" s="20">
        <f t="shared" si="14"/>
        <v>112389.99191651247</v>
      </c>
      <c r="N52" s="20">
        <f>SUM(B52:M52)</f>
        <v>1524071.9246254342</v>
      </c>
    </row>
    <row r="54" spans="1:14">
      <c r="A54" s="247" t="s">
        <v>135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>
      <c r="A55" s="249" t="s">
        <v>47</v>
      </c>
      <c r="B55" s="232">
        <f>B48</f>
        <v>68926.315071512086</v>
      </c>
      <c r="C55" s="232">
        <f t="shared" ref="C55:M55" si="15">C48</f>
        <v>67308.563800946999</v>
      </c>
      <c r="D55" s="232">
        <f t="shared" si="15"/>
        <v>70321.625542374401</v>
      </c>
      <c r="E55" s="232">
        <f t="shared" si="15"/>
        <v>73587.460919827601</v>
      </c>
      <c r="F55" s="232">
        <f t="shared" si="15"/>
        <v>82333.428726319893</v>
      </c>
      <c r="G55" s="232">
        <f t="shared" si="15"/>
        <v>86478.916357142822</v>
      </c>
      <c r="H55" s="232">
        <f t="shared" si="15"/>
        <v>89926.748752534579</v>
      </c>
      <c r="I55" s="232">
        <f t="shared" si="15"/>
        <v>90452.517915468212</v>
      </c>
      <c r="J55" s="232">
        <f t="shared" si="15"/>
        <v>87318.124828748434</v>
      </c>
      <c r="K55" s="232">
        <f t="shared" si="15"/>
        <v>81969.434690442737</v>
      </c>
      <c r="L55" s="232">
        <f t="shared" si="15"/>
        <v>73102.135538658069</v>
      </c>
      <c r="M55" s="232">
        <f t="shared" si="15"/>
        <v>69401.529507240542</v>
      </c>
      <c r="N55" s="20">
        <f>SUM(B55:M55)</f>
        <v>941126.80165121634</v>
      </c>
    </row>
    <row r="56" spans="1:14">
      <c r="A56" s="249" t="s">
        <v>45</v>
      </c>
      <c r="B56" s="27">
        <f>ROUND(B55*'Transmission Formula Rate (7)'!$B$27,0)</f>
        <v>1275</v>
      </c>
      <c r="C56" s="27">
        <f>ROUND(C55*'Transmission Formula Rate (7)'!$B$27,0)</f>
        <v>1245</v>
      </c>
      <c r="D56" s="27">
        <f>ROUND(D55*'Transmission Formula Rate (7)'!$B$27,0)</f>
        <v>1301</v>
      </c>
      <c r="E56" s="27">
        <f>ROUND(E55*'Transmission Formula Rate (7)'!$B$27,0)</f>
        <v>1361</v>
      </c>
      <c r="F56" s="27">
        <f>ROUND(F55*'Transmission Formula Rate (7)'!$B$27,0)</f>
        <v>1523</v>
      </c>
      <c r="G56" s="27">
        <f>ROUND(G55*'Transmission Formula Rate (7)'!$B$27,0)</f>
        <v>1600</v>
      </c>
      <c r="H56" s="27">
        <f>ROUND(H55*'Transmission Formula Rate (7)'!$B$27,0)</f>
        <v>1664</v>
      </c>
      <c r="I56" s="27">
        <f>ROUND(I55*'Transmission Formula Rate (7)'!$B$27,0)</f>
        <v>1673</v>
      </c>
      <c r="J56" s="27">
        <f>ROUND(J55*'Transmission Formula Rate (7)'!$B$27,0)</f>
        <v>1615</v>
      </c>
      <c r="K56" s="27">
        <f>ROUND(K55*'Transmission Formula Rate (7)'!$B$27,0)</f>
        <v>1516</v>
      </c>
      <c r="L56" s="27">
        <f>ROUND(L55*'Transmission Formula Rate (7)'!$B$27,0)</f>
        <v>1352</v>
      </c>
      <c r="M56" s="27">
        <f>ROUND(M55*'Transmission Formula Rate (7)'!$B$27,0)</f>
        <v>1284</v>
      </c>
      <c r="N56" s="20">
        <f>SUM(B56:M56)</f>
        <v>17409</v>
      </c>
    </row>
    <row r="57" spans="1:14">
      <c r="A57" s="249" t="s">
        <v>290</v>
      </c>
      <c r="B57" s="27">
        <f t="shared" ref="B57:M57" si="16">B55+B56</f>
        <v>70201.315071512086</v>
      </c>
      <c r="C57" s="27">
        <f t="shared" si="16"/>
        <v>68553.563800946999</v>
      </c>
      <c r="D57" s="27">
        <f t="shared" si="16"/>
        <v>71622.625542374401</v>
      </c>
      <c r="E57" s="27">
        <f t="shared" si="16"/>
        <v>74948.460919827601</v>
      </c>
      <c r="F57" s="27">
        <f t="shared" si="16"/>
        <v>83856.428726319893</v>
      </c>
      <c r="G57" s="27">
        <f t="shared" si="16"/>
        <v>88078.916357142822</v>
      </c>
      <c r="H57" s="27">
        <f t="shared" si="16"/>
        <v>91590.748752534579</v>
      </c>
      <c r="I57" s="27">
        <f t="shared" si="16"/>
        <v>92125.517915468212</v>
      </c>
      <c r="J57" s="27">
        <f t="shared" si="16"/>
        <v>88933.124828748434</v>
      </c>
      <c r="K57" s="27">
        <f t="shared" si="16"/>
        <v>83485.434690442737</v>
      </c>
      <c r="L57" s="27">
        <f t="shared" si="16"/>
        <v>74454.135538658069</v>
      </c>
      <c r="M57" s="27">
        <f t="shared" si="16"/>
        <v>70685.529507240542</v>
      </c>
      <c r="N57" s="123">
        <f>SUM(B57:M57)</f>
        <v>958535.80165121634</v>
      </c>
    </row>
    <row r="58" spans="1:14">
      <c r="A58" s="247" t="s">
        <v>143</v>
      </c>
      <c r="B58" s="31">
        <f>'charges (1 &amp; 2)'!G32</f>
        <v>1.274E-2</v>
      </c>
      <c r="C58" s="31">
        <f>B58</f>
        <v>1.274E-2</v>
      </c>
      <c r="D58" s="31">
        <f t="shared" ref="D58:M58" si="17">C58</f>
        <v>1.274E-2</v>
      </c>
      <c r="E58" s="31">
        <f t="shared" si="17"/>
        <v>1.274E-2</v>
      </c>
      <c r="F58" s="31">
        <f t="shared" si="17"/>
        <v>1.274E-2</v>
      </c>
      <c r="G58" s="31">
        <f t="shared" si="17"/>
        <v>1.274E-2</v>
      </c>
      <c r="H58" s="31">
        <f t="shared" si="17"/>
        <v>1.274E-2</v>
      </c>
      <c r="I58" s="31">
        <f t="shared" si="17"/>
        <v>1.274E-2</v>
      </c>
      <c r="J58" s="31">
        <f t="shared" si="17"/>
        <v>1.274E-2</v>
      </c>
      <c r="K58" s="31">
        <f t="shared" si="17"/>
        <v>1.274E-2</v>
      </c>
      <c r="L58" s="31">
        <f t="shared" si="17"/>
        <v>1.274E-2</v>
      </c>
      <c r="M58" s="31">
        <f t="shared" si="17"/>
        <v>1.274E-2</v>
      </c>
      <c r="N58" s="19"/>
    </row>
    <row r="59" spans="1:14">
      <c r="A59" s="247" t="s">
        <v>17</v>
      </c>
      <c r="B59" s="20">
        <f t="shared" ref="B59:M59" si="18">B57*B58</f>
        <v>894.36475401106395</v>
      </c>
      <c r="C59" s="20">
        <f t="shared" si="18"/>
        <v>873.37240282406469</v>
      </c>
      <c r="D59" s="20">
        <f t="shared" si="18"/>
        <v>912.47224940984984</v>
      </c>
      <c r="E59" s="20">
        <f t="shared" si="18"/>
        <v>954.84339211860356</v>
      </c>
      <c r="F59" s="20">
        <f t="shared" si="18"/>
        <v>1068.3309019733153</v>
      </c>
      <c r="G59" s="20">
        <f t="shared" si="18"/>
        <v>1122.1253943899994</v>
      </c>
      <c r="H59" s="20">
        <f t="shared" si="18"/>
        <v>1166.8661391072906</v>
      </c>
      <c r="I59" s="20">
        <f t="shared" si="18"/>
        <v>1173.679098243065</v>
      </c>
      <c r="J59" s="20">
        <f t="shared" si="18"/>
        <v>1133.0080103182549</v>
      </c>
      <c r="K59" s="20">
        <f t="shared" si="18"/>
        <v>1063.6044379562404</v>
      </c>
      <c r="L59" s="20">
        <f t="shared" si="18"/>
        <v>948.54568676250381</v>
      </c>
      <c r="M59" s="20">
        <f t="shared" si="18"/>
        <v>900.53364592224443</v>
      </c>
      <c r="N59" s="20">
        <f>SUM(B59:M59)</f>
        <v>12211.746113036497</v>
      </c>
    </row>
    <row r="62" spans="1:14">
      <c r="B62" s="23" t="s">
        <v>0</v>
      </c>
      <c r="C62" s="23" t="s">
        <v>1</v>
      </c>
      <c r="D62" s="23" t="s">
        <v>2</v>
      </c>
      <c r="E62" s="23" t="s">
        <v>3</v>
      </c>
      <c r="F62" s="23" t="s">
        <v>4</v>
      </c>
      <c r="G62" s="23" t="s">
        <v>5</v>
      </c>
      <c r="H62" s="23" t="s">
        <v>6</v>
      </c>
      <c r="I62" s="23" t="s">
        <v>7</v>
      </c>
      <c r="J62" s="23" t="s">
        <v>8</v>
      </c>
      <c r="K62" s="23" t="s">
        <v>9</v>
      </c>
      <c r="L62" s="23" t="s">
        <v>10</v>
      </c>
      <c r="M62" s="23" t="s">
        <v>11</v>
      </c>
      <c r="N62" s="23" t="s">
        <v>12</v>
      </c>
    </row>
    <row r="63" spans="1:14">
      <c r="A63" s="248">
        <f>+A46+1</f>
        <v>2016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>
      <c r="A64" s="247" t="s">
        <v>37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7">
      <c r="A65" s="249" t="s">
        <v>47</v>
      </c>
      <c r="B65" s="232">
        <f>'Lake Worth Forecast'!E13</f>
        <v>69383.549041638515</v>
      </c>
      <c r="C65" s="232">
        <f>'Lake Worth Forecast'!F13</f>
        <v>67764.130167225085</v>
      </c>
      <c r="D65" s="232">
        <f>'Lake Worth Forecast'!G13</f>
        <v>70751.505357913207</v>
      </c>
      <c r="E65" s="232">
        <f>'Lake Worth Forecast'!H13</f>
        <v>73980.284604414512</v>
      </c>
      <c r="F65" s="232">
        <f>'Lake Worth Forecast'!I13</f>
        <v>82660.772111363491</v>
      </c>
      <c r="G65" s="232">
        <f>'Lake Worth Forecast'!J13</f>
        <v>86784.75806483865</v>
      </c>
      <c r="H65" s="232">
        <f>'Lake Worth Forecast'!K13</f>
        <v>90204.648855525404</v>
      </c>
      <c r="I65" s="232">
        <f>'Lake Worth Forecast'!L13</f>
        <v>90727.69097645396</v>
      </c>
      <c r="J65" s="232">
        <f>'Lake Worth Forecast'!M13</f>
        <v>87589.438250882595</v>
      </c>
      <c r="K65" s="232">
        <f>'Lake Worth Forecast'!N13</f>
        <v>82258.432018341511</v>
      </c>
      <c r="L65" s="232">
        <f>'Lake Worth Forecast'!O13</f>
        <v>73447.183981160386</v>
      </c>
      <c r="M65" s="232">
        <f>'Lake Worth Forecast'!P13</f>
        <v>69765.772130009384</v>
      </c>
      <c r="N65" s="20">
        <f>SUM(B65:M65)</f>
        <v>945318.16555976658</v>
      </c>
      <c r="O65" s="272"/>
      <c r="P65" s="271"/>
    </row>
    <row r="66" spans="1:17">
      <c r="A66" s="249" t="s">
        <v>45</v>
      </c>
      <c r="B66" s="27">
        <f>ROUND(B65*'Transmission Formula Rate (7)'!$B$27,0)</f>
        <v>1284</v>
      </c>
      <c r="C66" s="27">
        <f>ROUND(C65*'Transmission Formula Rate (7)'!$B$27,0)</f>
        <v>1254</v>
      </c>
      <c r="D66" s="27">
        <f>ROUND(D65*'Transmission Formula Rate (7)'!$B$27,0)</f>
        <v>1309</v>
      </c>
      <c r="E66" s="27">
        <f>ROUND(E65*'Transmission Formula Rate (7)'!$B$27,0)</f>
        <v>1369</v>
      </c>
      <c r="F66" s="27">
        <f>ROUND(F65*'Transmission Formula Rate (7)'!$B$27,0)</f>
        <v>1529</v>
      </c>
      <c r="G66" s="27">
        <f>ROUND(G65*'Transmission Formula Rate (7)'!$B$27,0)</f>
        <v>1606</v>
      </c>
      <c r="H66" s="27">
        <f>ROUND(H65*'Transmission Formula Rate (7)'!$B$27,0)</f>
        <v>1669</v>
      </c>
      <c r="I66" s="27">
        <f>ROUND(I65*'Transmission Formula Rate (7)'!$B$27,0)</f>
        <v>1678</v>
      </c>
      <c r="J66" s="27">
        <f>ROUND(J65*'Transmission Formula Rate (7)'!$B$27,0)</f>
        <v>1620</v>
      </c>
      <c r="K66" s="27">
        <f>ROUND(K65*'Transmission Formula Rate (7)'!$B$27,0)</f>
        <v>1522</v>
      </c>
      <c r="L66" s="27">
        <f>ROUND(L65*'Transmission Formula Rate (7)'!$B$27,0)</f>
        <v>1359</v>
      </c>
      <c r="M66" s="27">
        <f>ROUND(M65*'Transmission Formula Rate (7)'!$B$27,0)</f>
        <v>1291</v>
      </c>
      <c r="N66" s="20">
        <f>SUM(B66:M66)</f>
        <v>17490</v>
      </c>
    </row>
    <row r="67" spans="1:17">
      <c r="A67" s="249" t="s">
        <v>290</v>
      </c>
      <c r="B67" s="27">
        <f t="shared" ref="B67:M67" si="19">B65+B66</f>
        <v>70667.549041638515</v>
      </c>
      <c r="C67" s="27">
        <f t="shared" si="19"/>
        <v>69018.130167225085</v>
      </c>
      <c r="D67" s="27">
        <f t="shared" si="19"/>
        <v>72060.505357913207</v>
      </c>
      <c r="E67" s="27">
        <f t="shared" si="19"/>
        <v>75349.284604414512</v>
      </c>
      <c r="F67" s="27">
        <f t="shared" si="19"/>
        <v>84189.772111363491</v>
      </c>
      <c r="G67" s="27">
        <f t="shared" si="19"/>
        <v>88390.75806483865</v>
      </c>
      <c r="H67" s="27">
        <f t="shared" si="19"/>
        <v>91873.648855525404</v>
      </c>
      <c r="I67" s="27">
        <f t="shared" si="19"/>
        <v>92405.69097645396</v>
      </c>
      <c r="J67" s="27">
        <f t="shared" si="19"/>
        <v>89209.438250882595</v>
      </c>
      <c r="K67" s="27">
        <f t="shared" si="19"/>
        <v>83780.432018341511</v>
      </c>
      <c r="L67" s="27">
        <f t="shared" si="19"/>
        <v>74806.183981160386</v>
      </c>
      <c r="M67" s="27">
        <f t="shared" si="19"/>
        <v>71056.772130009384</v>
      </c>
      <c r="N67" s="123">
        <f>SUM(B67:M67)</f>
        <v>962808.16555976658</v>
      </c>
    </row>
    <row r="68" spans="1:17">
      <c r="A68" s="247" t="s">
        <v>20</v>
      </c>
      <c r="B68" s="29">
        <f>'Transmission Formula Rate (7)'!B14</f>
        <v>1.59</v>
      </c>
      <c r="C68" s="29">
        <f>'Transmission Formula Rate (7)'!C14</f>
        <v>1.59</v>
      </c>
      <c r="D68" s="29">
        <f>'Transmission Formula Rate (7)'!D14</f>
        <v>1.59</v>
      </c>
      <c r="E68" s="29">
        <f>'Transmission Formula Rate (7)'!E14</f>
        <v>1.59</v>
      </c>
      <c r="F68" s="29">
        <f>'Transmission Formula Rate (7)'!F14</f>
        <v>1.59</v>
      </c>
      <c r="G68" s="29">
        <f>'Transmission Formula Rate (7)'!G14</f>
        <v>1.59</v>
      </c>
      <c r="H68" s="29">
        <f>'Transmission Formula Rate (7)'!H14</f>
        <v>1.59</v>
      </c>
      <c r="I68" s="29">
        <f>'Transmission Formula Rate (7)'!I14</f>
        <v>1.59</v>
      </c>
      <c r="J68" s="29">
        <f>'Transmission Formula Rate (7)'!J14</f>
        <v>1.59</v>
      </c>
      <c r="K68" s="29">
        <f>'Transmission Formula Rate (7)'!K14</f>
        <v>1.59</v>
      </c>
      <c r="L68" s="29">
        <f>'Transmission Formula Rate (7)'!L14</f>
        <v>1.59</v>
      </c>
      <c r="M68" s="29">
        <f>'Transmission Formula Rate (7)'!M14</f>
        <v>1.59</v>
      </c>
      <c r="N68" s="19"/>
      <c r="Q68" s="270"/>
    </row>
    <row r="69" spans="1:17">
      <c r="A69" s="247" t="s">
        <v>17</v>
      </c>
      <c r="B69" s="20">
        <f t="shared" ref="B69:M69" si="20">B67*B68</f>
        <v>112361.40297620524</v>
      </c>
      <c r="C69" s="20">
        <f t="shared" si="20"/>
        <v>109738.82696588789</v>
      </c>
      <c r="D69" s="20">
        <f t="shared" si="20"/>
        <v>114576.203519082</v>
      </c>
      <c r="E69" s="20">
        <f t="shared" si="20"/>
        <v>119805.36252101908</v>
      </c>
      <c r="F69" s="20">
        <f t="shared" si="20"/>
        <v>133861.73765706795</v>
      </c>
      <c r="G69" s="20">
        <f t="shared" si="20"/>
        <v>140541.30532309346</v>
      </c>
      <c r="H69" s="20">
        <f t="shared" si="20"/>
        <v>146079.10168028538</v>
      </c>
      <c r="I69" s="20">
        <f t="shared" si="20"/>
        <v>146925.04865256179</v>
      </c>
      <c r="J69" s="20">
        <f t="shared" si="20"/>
        <v>141843.00681890332</v>
      </c>
      <c r="K69" s="20">
        <f t="shared" si="20"/>
        <v>133210.886909163</v>
      </c>
      <c r="L69" s="20">
        <f t="shared" si="20"/>
        <v>118941.83253004502</v>
      </c>
      <c r="M69" s="20">
        <f t="shared" si="20"/>
        <v>112980.26768671493</v>
      </c>
      <c r="N69" s="20">
        <f>SUM(B69:M69)</f>
        <v>1530864.9832400291</v>
      </c>
    </row>
    <row r="71" spans="1:17">
      <c r="A71" s="247" t="s">
        <v>135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7">
      <c r="A72" s="249" t="s">
        <v>47</v>
      </c>
      <c r="B72" s="232">
        <f>B65</f>
        <v>69383.549041638515</v>
      </c>
      <c r="C72" s="232">
        <f t="shared" ref="C72:M72" si="21">C65</f>
        <v>67764.130167225085</v>
      </c>
      <c r="D72" s="232">
        <f t="shared" si="21"/>
        <v>70751.505357913207</v>
      </c>
      <c r="E72" s="232">
        <f t="shared" si="21"/>
        <v>73980.284604414512</v>
      </c>
      <c r="F72" s="232">
        <f t="shared" si="21"/>
        <v>82660.772111363491</v>
      </c>
      <c r="G72" s="232">
        <f t="shared" si="21"/>
        <v>86784.75806483865</v>
      </c>
      <c r="H72" s="232">
        <f t="shared" si="21"/>
        <v>90204.648855525404</v>
      </c>
      <c r="I72" s="232">
        <f t="shared" si="21"/>
        <v>90727.69097645396</v>
      </c>
      <c r="J72" s="232">
        <f t="shared" si="21"/>
        <v>87589.438250882595</v>
      </c>
      <c r="K72" s="232">
        <f t="shared" si="21"/>
        <v>82258.432018341511</v>
      </c>
      <c r="L72" s="232">
        <f t="shared" si="21"/>
        <v>73447.183981160386</v>
      </c>
      <c r="M72" s="232">
        <f t="shared" si="21"/>
        <v>69765.772130009384</v>
      </c>
      <c r="N72" s="20">
        <f>SUM(B72:M72)</f>
        <v>945318.16555976658</v>
      </c>
    </row>
    <row r="73" spans="1:17">
      <c r="A73" s="249" t="s">
        <v>45</v>
      </c>
      <c r="B73" s="27">
        <f>ROUND(B72*'Transmission Formula Rate (7)'!$B$27,0)</f>
        <v>1284</v>
      </c>
      <c r="C73" s="27">
        <f>ROUND(C72*'Transmission Formula Rate (7)'!$B$27,0)</f>
        <v>1254</v>
      </c>
      <c r="D73" s="27">
        <f>ROUND(D72*'Transmission Formula Rate (7)'!$B$27,0)</f>
        <v>1309</v>
      </c>
      <c r="E73" s="27">
        <f>ROUND(E72*'Transmission Formula Rate (7)'!$B$27,0)</f>
        <v>1369</v>
      </c>
      <c r="F73" s="27">
        <f>ROUND(F72*'Transmission Formula Rate (7)'!$B$27,0)</f>
        <v>1529</v>
      </c>
      <c r="G73" s="27">
        <f>ROUND(G72*'Transmission Formula Rate (7)'!$B$27,0)</f>
        <v>1606</v>
      </c>
      <c r="H73" s="27">
        <f>ROUND(H72*'Transmission Formula Rate (7)'!$B$27,0)</f>
        <v>1669</v>
      </c>
      <c r="I73" s="27">
        <f>ROUND(I72*'Transmission Formula Rate (7)'!$B$27,0)</f>
        <v>1678</v>
      </c>
      <c r="J73" s="27">
        <f>ROUND(J72*'Transmission Formula Rate (7)'!$B$27,0)</f>
        <v>1620</v>
      </c>
      <c r="K73" s="27">
        <f>ROUND(K72*'Transmission Formula Rate (7)'!$B$27,0)</f>
        <v>1522</v>
      </c>
      <c r="L73" s="27">
        <f>ROUND(L72*'Transmission Formula Rate (7)'!$B$27,0)</f>
        <v>1359</v>
      </c>
      <c r="M73" s="27">
        <f>ROUND(M72*'Transmission Formula Rate (7)'!$B$27,0)</f>
        <v>1291</v>
      </c>
      <c r="N73" s="20">
        <f>SUM(B73:M73)</f>
        <v>17490</v>
      </c>
    </row>
    <row r="74" spans="1:17">
      <c r="A74" s="249" t="s">
        <v>290</v>
      </c>
      <c r="B74" s="27">
        <f t="shared" ref="B74:M74" si="22">B72+B73</f>
        <v>70667.549041638515</v>
      </c>
      <c r="C74" s="27">
        <f t="shared" si="22"/>
        <v>69018.130167225085</v>
      </c>
      <c r="D74" s="27">
        <f t="shared" si="22"/>
        <v>72060.505357913207</v>
      </c>
      <c r="E74" s="27">
        <f t="shared" si="22"/>
        <v>75349.284604414512</v>
      </c>
      <c r="F74" s="27">
        <f t="shared" si="22"/>
        <v>84189.772111363491</v>
      </c>
      <c r="G74" s="27">
        <f t="shared" si="22"/>
        <v>88390.75806483865</v>
      </c>
      <c r="H74" s="27">
        <f t="shared" si="22"/>
        <v>91873.648855525404</v>
      </c>
      <c r="I74" s="27">
        <f t="shared" si="22"/>
        <v>92405.69097645396</v>
      </c>
      <c r="J74" s="27">
        <f t="shared" si="22"/>
        <v>89209.438250882595</v>
      </c>
      <c r="K74" s="27">
        <f t="shared" si="22"/>
        <v>83780.432018341511</v>
      </c>
      <c r="L74" s="27">
        <f t="shared" si="22"/>
        <v>74806.183981160386</v>
      </c>
      <c r="M74" s="27">
        <f t="shared" si="22"/>
        <v>71056.772130009384</v>
      </c>
      <c r="N74" s="123">
        <f>SUM(B74:M74)</f>
        <v>962808.16555976658</v>
      </c>
    </row>
    <row r="75" spans="1:17">
      <c r="A75" s="247" t="s">
        <v>143</v>
      </c>
      <c r="B75" s="31">
        <f>'charges (1 &amp; 2)'!H32</f>
        <v>1.274E-2</v>
      </c>
      <c r="C75" s="31">
        <f>B75</f>
        <v>1.274E-2</v>
      </c>
      <c r="D75" s="31">
        <f t="shared" ref="D75:M75" si="23">C75</f>
        <v>1.274E-2</v>
      </c>
      <c r="E75" s="31">
        <f t="shared" si="23"/>
        <v>1.274E-2</v>
      </c>
      <c r="F75" s="31">
        <f t="shared" si="23"/>
        <v>1.274E-2</v>
      </c>
      <c r="G75" s="31">
        <f t="shared" si="23"/>
        <v>1.274E-2</v>
      </c>
      <c r="H75" s="31">
        <f t="shared" si="23"/>
        <v>1.274E-2</v>
      </c>
      <c r="I75" s="31">
        <f t="shared" si="23"/>
        <v>1.274E-2</v>
      </c>
      <c r="J75" s="31">
        <f t="shared" si="23"/>
        <v>1.274E-2</v>
      </c>
      <c r="K75" s="31">
        <f t="shared" si="23"/>
        <v>1.274E-2</v>
      </c>
      <c r="L75" s="31">
        <f t="shared" si="23"/>
        <v>1.274E-2</v>
      </c>
      <c r="M75" s="31">
        <f t="shared" si="23"/>
        <v>1.274E-2</v>
      </c>
      <c r="N75" s="19"/>
    </row>
    <row r="76" spans="1:17">
      <c r="A76" s="247" t="s">
        <v>17</v>
      </c>
      <c r="B76" s="20">
        <f t="shared" ref="B76:M76" si="24">B74*B75</f>
        <v>900.3045747904747</v>
      </c>
      <c r="C76" s="20">
        <f t="shared" si="24"/>
        <v>879.2909783304475</v>
      </c>
      <c r="D76" s="20">
        <f t="shared" si="24"/>
        <v>918.05083825981421</v>
      </c>
      <c r="E76" s="20">
        <f t="shared" si="24"/>
        <v>959.9498858602409</v>
      </c>
      <c r="F76" s="20">
        <f t="shared" si="24"/>
        <v>1072.5776966987708</v>
      </c>
      <c r="G76" s="20">
        <f t="shared" si="24"/>
        <v>1126.0982577460443</v>
      </c>
      <c r="H76" s="20">
        <f t="shared" si="24"/>
        <v>1170.4702864193937</v>
      </c>
      <c r="I76" s="20">
        <f t="shared" si="24"/>
        <v>1177.2485030400235</v>
      </c>
      <c r="J76" s="20">
        <f t="shared" si="24"/>
        <v>1136.5282433162442</v>
      </c>
      <c r="K76" s="20">
        <f t="shared" si="24"/>
        <v>1067.3627039136709</v>
      </c>
      <c r="L76" s="20">
        <f t="shared" si="24"/>
        <v>953.03078391998326</v>
      </c>
      <c r="M76" s="20">
        <f t="shared" si="24"/>
        <v>905.26327693631947</v>
      </c>
      <c r="N76" s="20">
        <f>SUM(B76:M76)</f>
        <v>12266.176029231427</v>
      </c>
    </row>
    <row r="78" spans="1:17">
      <c r="B78" s="23" t="s">
        <v>0</v>
      </c>
      <c r="C78" s="23" t="s">
        <v>1</v>
      </c>
      <c r="D78" s="23" t="s">
        <v>2</v>
      </c>
      <c r="E78" s="23" t="s">
        <v>3</v>
      </c>
      <c r="F78" s="23" t="s">
        <v>4</v>
      </c>
      <c r="G78" s="23" t="s">
        <v>5</v>
      </c>
      <c r="H78" s="23" t="s">
        <v>6</v>
      </c>
      <c r="I78" s="23" t="s">
        <v>7</v>
      </c>
      <c r="J78" s="23" t="s">
        <v>8</v>
      </c>
      <c r="K78" s="23" t="s">
        <v>9</v>
      </c>
      <c r="L78" s="23" t="s">
        <v>10</v>
      </c>
      <c r="M78" s="23" t="s">
        <v>11</v>
      </c>
      <c r="N78" s="23" t="s">
        <v>12</v>
      </c>
    </row>
    <row r="79" spans="1:17">
      <c r="A79" s="248">
        <f>A63+1</f>
        <v>2017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7">
      <c r="A80" s="247" t="s">
        <v>37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7">
      <c r="A81" s="249" t="s">
        <v>47</v>
      </c>
      <c r="B81" s="232">
        <f>'Lake Worth Forecast'!E14</f>
        <v>69796.943041193677</v>
      </c>
      <c r="C81" s="232">
        <f>'Lake Worth Forecast'!F14</f>
        <v>68195.177280064745</v>
      </c>
      <c r="D81" s="232">
        <f>'Lake Worth Forecast'!G14</f>
        <v>71158.443938153272</v>
      </c>
      <c r="E81" s="232">
        <f>'Lake Worth Forecast'!H14</f>
        <v>74351.964424404097</v>
      </c>
      <c r="F81" s="232">
        <f>'Lake Worth Forecast'!I14</f>
        <v>82971.466426479223</v>
      </c>
      <c r="G81" s="232">
        <f>'Lake Worth Forecast'!J14</f>
        <v>87055.969117358021</v>
      </c>
      <c r="H81" s="232">
        <f>'Lake Worth Forecast'!K14</f>
        <v>90449.710323749969</v>
      </c>
      <c r="I81" s="232">
        <f>'Lake Worth Forecast'!L14</f>
        <v>90960.27316010982</v>
      </c>
      <c r="J81" s="232">
        <f>'Lake Worth Forecast'!M14</f>
        <v>87846.840961915441</v>
      </c>
      <c r="K81" s="232">
        <f>'Lake Worth Forecast'!N14</f>
        <v>82540.991878175832</v>
      </c>
      <c r="L81" s="232">
        <f>'Lake Worth Forecast'!O14</f>
        <v>73761.313299987814</v>
      </c>
      <c r="M81" s="232">
        <f>'Lake Worth Forecast'!P14</f>
        <v>70077.252049391231</v>
      </c>
      <c r="N81" s="20">
        <f>SUM(B81:M81)</f>
        <v>949166.34590098332</v>
      </c>
      <c r="O81" s="272"/>
      <c r="P81" s="271"/>
    </row>
    <row r="82" spans="1:17">
      <c r="A82" s="249" t="s">
        <v>45</v>
      </c>
      <c r="B82" s="27">
        <f>ROUND(B81*'Transmission Formula Rate (7)'!$B$27,0)</f>
        <v>1291</v>
      </c>
      <c r="C82" s="27">
        <f>ROUND(C81*'Transmission Formula Rate (7)'!$B$27,0)</f>
        <v>1262</v>
      </c>
      <c r="D82" s="27">
        <f>ROUND(D81*'Transmission Formula Rate (7)'!$B$27,0)</f>
        <v>1316</v>
      </c>
      <c r="E82" s="27">
        <f>ROUND(E81*'Transmission Formula Rate (7)'!$B$27,0)</f>
        <v>1376</v>
      </c>
      <c r="F82" s="27">
        <f>ROUND(F81*'Transmission Formula Rate (7)'!$B$27,0)</f>
        <v>1535</v>
      </c>
      <c r="G82" s="27">
        <f>ROUND(G81*'Transmission Formula Rate (7)'!$B$27,0)</f>
        <v>1611</v>
      </c>
      <c r="H82" s="27">
        <f>ROUND(H81*'Transmission Formula Rate (7)'!$B$27,0)</f>
        <v>1673</v>
      </c>
      <c r="I82" s="27">
        <f>ROUND(I81*'Transmission Formula Rate (7)'!$B$27,0)</f>
        <v>1683</v>
      </c>
      <c r="J82" s="27">
        <f>ROUND(J81*'Transmission Formula Rate (7)'!$B$27,0)</f>
        <v>1625</v>
      </c>
      <c r="K82" s="27">
        <f>ROUND(K81*'Transmission Formula Rate (7)'!$B$27,0)</f>
        <v>1527</v>
      </c>
      <c r="L82" s="27">
        <f>ROUND(L81*'Transmission Formula Rate (7)'!$B$27,0)</f>
        <v>1365</v>
      </c>
      <c r="M82" s="27">
        <f>ROUND(M81*'Transmission Formula Rate (7)'!$B$27,0)</f>
        <v>1296</v>
      </c>
      <c r="N82" s="20">
        <f>SUM(B82:M82)</f>
        <v>17560</v>
      </c>
    </row>
    <row r="83" spans="1:17">
      <c r="A83" s="249" t="s">
        <v>290</v>
      </c>
      <c r="B83" s="27">
        <f t="shared" ref="B83:M83" si="25">B81+B82</f>
        <v>71087.943041193677</v>
      </c>
      <c r="C83" s="27">
        <f t="shared" si="25"/>
        <v>69457.177280064745</v>
      </c>
      <c r="D83" s="27">
        <f t="shared" si="25"/>
        <v>72474.443938153272</v>
      </c>
      <c r="E83" s="27">
        <f t="shared" si="25"/>
        <v>75727.964424404097</v>
      </c>
      <c r="F83" s="27">
        <f t="shared" si="25"/>
        <v>84506.466426479223</v>
      </c>
      <c r="G83" s="27">
        <f t="shared" si="25"/>
        <v>88666.969117358021</v>
      </c>
      <c r="H83" s="27">
        <f t="shared" si="25"/>
        <v>92122.710323749969</v>
      </c>
      <c r="I83" s="27">
        <f t="shared" si="25"/>
        <v>92643.27316010982</v>
      </c>
      <c r="J83" s="27">
        <f t="shared" si="25"/>
        <v>89471.840961915441</v>
      </c>
      <c r="K83" s="27">
        <f t="shared" si="25"/>
        <v>84067.991878175832</v>
      </c>
      <c r="L83" s="27">
        <f t="shared" si="25"/>
        <v>75126.313299987814</v>
      </c>
      <c r="M83" s="27">
        <f t="shared" si="25"/>
        <v>71373.252049391231</v>
      </c>
      <c r="N83" s="123">
        <f>SUM(B83:M83)</f>
        <v>966726.34590098332</v>
      </c>
    </row>
    <row r="84" spans="1:17">
      <c r="A84" s="247" t="s">
        <v>20</v>
      </c>
      <c r="B84" s="29">
        <f>'Transmission Formula Rate (7)'!B16</f>
        <v>1.59</v>
      </c>
      <c r="C84" s="29">
        <f>'Transmission Formula Rate (7)'!C16</f>
        <v>1.59</v>
      </c>
      <c r="D84" s="29">
        <f>'Transmission Formula Rate (7)'!D16</f>
        <v>1.59</v>
      </c>
      <c r="E84" s="29">
        <f>'Transmission Formula Rate (7)'!E16</f>
        <v>1.59</v>
      </c>
      <c r="F84" s="29">
        <f>'Transmission Formula Rate (7)'!F16</f>
        <v>1.59</v>
      </c>
      <c r="G84" s="29">
        <f>'Transmission Formula Rate (7)'!G16</f>
        <v>1.59</v>
      </c>
      <c r="H84" s="29">
        <f>'Transmission Formula Rate (7)'!H16</f>
        <v>1.59</v>
      </c>
      <c r="I84" s="29">
        <f>'Transmission Formula Rate (7)'!I16</f>
        <v>1.59</v>
      </c>
      <c r="J84" s="29">
        <f>'Transmission Formula Rate (7)'!J16</f>
        <v>1.59</v>
      </c>
      <c r="K84" s="29">
        <f>'Transmission Formula Rate (7)'!K16</f>
        <v>1.59</v>
      </c>
      <c r="L84" s="29">
        <f>'Transmission Formula Rate (7)'!L16</f>
        <v>1.59</v>
      </c>
      <c r="M84" s="29">
        <f>'Transmission Formula Rate (7)'!M16</f>
        <v>1.59</v>
      </c>
      <c r="N84" s="19"/>
      <c r="Q84" s="270"/>
    </row>
    <row r="85" spans="1:17">
      <c r="A85" s="247" t="s">
        <v>17</v>
      </c>
      <c r="B85" s="20">
        <f t="shared" ref="B85:M85" si="26">B83*B84</f>
        <v>113029.82943549796</v>
      </c>
      <c r="C85" s="20">
        <f t="shared" si="26"/>
        <v>110436.91187530295</v>
      </c>
      <c r="D85" s="20">
        <f t="shared" si="26"/>
        <v>115234.36586166371</v>
      </c>
      <c r="E85" s="20">
        <f t="shared" si="26"/>
        <v>120407.46343480251</v>
      </c>
      <c r="F85" s="20">
        <f t="shared" si="26"/>
        <v>134365.28161810196</v>
      </c>
      <c r="G85" s="20">
        <f t="shared" si="26"/>
        <v>140980.48089659927</v>
      </c>
      <c r="H85" s="20">
        <f t="shared" si="26"/>
        <v>146475.10941476247</v>
      </c>
      <c r="I85" s="20">
        <f t="shared" si="26"/>
        <v>147302.80432457462</v>
      </c>
      <c r="J85" s="20">
        <f t="shared" si="26"/>
        <v>142260.22712944556</v>
      </c>
      <c r="K85" s="20">
        <f t="shared" si="26"/>
        <v>133668.10708629957</v>
      </c>
      <c r="L85" s="20">
        <f t="shared" si="26"/>
        <v>119450.83814698063</v>
      </c>
      <c r="M85" s="20">
        <f t="shared" si="26"/>
        <v>113483.47075853206</v>
      </c>
      <c r="N85" s="20">
        <f>SUM(B85:M85)</f>
        <v>1537094.889982563</v>
      </c>
    </row>
    <row r="87" spans="1:17">
      <c r="A87" s="247" t="s">
        <v>135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7">
      <c r="A88" s="249" t="s">
        <v>47</v>
      </c>
      <c r="B88" s="232">
        <f>B81</f>
        <v>69796.943041193677</v>
      </c>
      <c r="C88" s="232">
        <f t="shared" ref="C88:M88" si="27">C81</f>
        <v>68195.177280064745</v>
      </c>
      <c r="D88" s="232">
        <f t="shared" si="27"/>
        <v>71158.443938153272</v>
      </c>
      <c r="E88" s="232">
        <f t="shared" si="27"/>
        <v>74351.964424404097</v>
      </c>
      <c r="F88" s="232">
        <f t="shared" si="27"/>
        <v>82971.466426479223</v>
      </c>
      <c r="G88" s="232">
        <f t="shared" si="27"/>
        <v>87055.969117358021</v>
      </c>
      <c r="H88" s="232">
        <f t="shared" si="27"/>
        <v>90449.710323749969</v>
      </c>
      <c r="I88" s="232">
        <f t="shared" si="27"/>
        <v>90960.27316010982</v>
      </c>
      <c r="J88" s="232">
        <f t="shared" si="27"/>
        <v>87846.840961915441</v>
      </c>
      <c r="K88" s="232">
        <f t="shared" si="27"/>
        <v>82540.991878175832</v>
      </c>
      <c r="L88" s="232">
        <f t="shared" si="27"/>
        <v>73761.313299987814</v>
      </c>
      <c r="M88" s="232">
        <f t="shared" si="27"/>
        <v>70077.252049391231</v>
      </c>
      <c r="N88" s="20">
        <f>SUM(B88:M88)</f>
        <v>949166.34590098332</v>
      </c>
    </row>
    <row r="89" spans="1:17">
      <c r="A89" s="249" t="s">
        <v>45</v>
      </c>
      <c r="B89" s="27">
        <f>ROUND(B88*'Transmission Formula Rate (7)'!$B$27,0)</f>
        <v>1291</v>
      </c>
      <c r="C89" s="27">
        <f>ROUND(C88*'Transmission Formula Rate (7)'!$B$27,0)</f>
        <v>1262</v>
      </c>
      <c r="D89" s="27">
        <f>ROUND(D88*'Transmission Formula Rate (7)'!$B$27,0)</f>
        <v>1316</v>
      </c>
      <c r="E89" s="27">
        <f>ROUND(E88*'Transmission Formula Rate (7)'!$B$27,0)</f>
        <v>1376</v>
      </c>
      <c r="F89" s="27">
        <f>ROUND(F88*'Transmission Formula Rate (7)'!$B$27,0)</f>
        <v>1535</v>
      </c>
      <c r="G89" s="27">
        <f>ROUND(G88*'Transmission Formula Rate (7)'!$B$27,0)</f>
        <v>1611</v>
      </c>
      <c r="H89" s="27">
        <f>ROUND(H88*'Transmission Formula Rate (7)'!$B$27,0)</f>
        <v>1673</v>
      </c>
      <c r="I89" s="27">
        <f>ROUND(I88*'Transmission Formula Rate (7)'!$B$27,0)</f>
        <v>1683</v>
      </c>
      <c r="J89" s="27">
        <f>ROUND(J88*'Transmission Formula Rate (7)'!$B$27,0)</f>
        <v>1625</v>
      </c>
      <c r="K89" s="27">
        <f>ROUND(K88*'Transmission Formula Rate (7)'!$B$27,0)</f>
        <v>1527</v>
      </c>
      <c r="L89" s="27">
        <f>ROUND(L88*'Transmission Formula Rate (7)'!$B$27,0)</f>
        <v>1365</v>
      </c>
      <c r="M89" s="27">
        <f>ROUND(M88*'Transmission Formula Rate (7)'!$B$27,0)</f>
        <v>1296</v>
      </c>
      <c r="N89" s="20">
        <f>SUM(B89:M89)</f>
        <v>17560</v>
      </c>
    </row>
    <row r="90" spans="1:17">
      <c r="A90" s="249" t="s">
        <v>290</v>
      </c>
      <c r="B90" s="27">
        <f t="shared" ref="B90:M90" si="28">B88+B89</f>
        <v>71087.943041193677</v>
      </c>
      <c r="C90" s="27">
        <f t="shared" si="28"/>
        <v>69457.177280064745</v>
      </c>
      <c r="D90" s="27">
        <f t="shared" si="28"/>
        <v>72474.443938153272</v>
      </c>
      <c r="E90" s="27">
        <f t="shared" si="28"/>
        <v>75727.964424404097</v>
      </c>
      <c r="F90" s="27">
        <f t="shared" si="28"/>
        <v>84506.466426479223</v>
      </c>
      <c r="G90" s="27">
        <f t="shared" si="28"/>
        <v>88666.969117358021</v>
      </c>
      <c r="H90" s="27">
        <f t="shared" si="28"/>
        <v>92122.710323749969</v>
      </c>
      <c r="I90" s="27">
        <f t="shared" si="28"/>
        <v>92643.27316010982</v>
      </c>
      <c r="J90" s="27">
        <f t="shared" si="28"/>
        <v>89471.840961915441</v>
      </c>
      <c r="K90" s="27">
        <f t="shared" si="28"/>
        <v>84067.991878175832</v>
      </c>
      <c r="L90" s="27">
        <f t="shared" si="28"/>
        <v>75126.313299987814</v>
      </c>
      <c r="M90" s="27">
        <f t="shared" si="28"/>
        <v>71373.252049391231</v>
      </c>
      <c r="N90" s="123">
        <f>SUM(B90:M90)</f>
        <v>966726.34590098332</v>
      </c>
    </row>
    <row r="91" spans="1:17">
      <c r="A91" s="247" t="s">
        <v>143</v>
      </c>
      <c r="B91" s="31">
        <f>'charges (1 &amp; 2)'!$H$38</f>
        <v>1.274E-2</v>
      </c>
      <c r="C91" s="31">
        <f>B91</f>
        <v>1.274E-2</v>
      </c>
      <c r="D91" s="31">
        <f t="shared" ref="D91:M91" si="29">C91</f>
        <v>1.274E-2</v>
      </c>
      <c r="E91" s="31">
        <f t="shared" si="29"/>
        <v>1.274E-2</v>
      </c>
      <c r="F91" s="31">
        <f t="shared" si="29"/>
        <v>1.274E-2</v>
      </c>
      <c r="G91" s="31">
        <f t="shared" si="29"/>
        <v>1.274E-2</v>
      </c>
      <c r="H91" s="31">
        <f t="shared" si="29"/>
        <v>1.274E-2</v>
      </c>
      <c r="I91" s="31">
        <f t="shared" si="29"/>
        <v>1.274E-2</v>
      </c>
      <c r="J91" s="31">
        <f t="shared" si="29"/>
        <v>1.274E-2</v>
      </c>
      <c r="K91" s="31">
        <f t="shared" si="29"/>
        <v>1.274E-2</v>
      </c>
      <c r="L91" s="31">
        <f t="shared" si="29"/>
        <v>1.274E-2</v>
      </c>
      <c r="M91" s="31">
        <f t="shared" si="29"/>
        <v>1.274E-2</v>
      </c>
      <c r="N91" s="19"/>
    </row>
    <row r="92" spans="1:17">
      <c r="A92" s="247" t="s">
        <v>17</v>
      </c>
      <c r="B92" s="20">
        <f t="shared" ref="B92:M92" si="30">B90*B91</f>
        <v>905.6603943448074</v>
      </c>
      <c r="C92" s="20">
        <f t="shared" si="30"/>
        <v>884.88443854802483</v>
      </c>
      <c r="D92" s="20">
        <f t="shared" si="30"/>
        <v>923.32441577207271</v>
      </c>
      <c r="E92" s="20">
        <f t="shared" si="30"/>
        <v>964.77426676690811</v>
      </c>
      <c r="F92" s="20">
        <f t="shared" si="30"/>
        <v>1076.6123822733452</v>
      </c>
      <c r="G92" s="20">
        <f t="shared" si="30"/>
        <v>1129.6171865551412</v>
      </c>
      <c r="H92" s="20">
        <f t="shared" si="30"/>
        <v>1173.6433295245745</v>
      </c>
      <c r="I92" s="20">
        <f t="shared" si="30"/>
        <v>1180.2753000597991</v>
      </c>
      <c r="J92" s="20">
        <f t="shared" si="30"/>
        <v>1139.8712538548027</v>
      </c>
      <c r="K92" s="20">
        <f t="shared" si="30"/>
        <v>1071.0262165279601</v>
      </c>
      <c r="L92" s="20">
        <f t="shared" si="30"/>
        <v>957.10923144184471</v>
      </c>
      <c r="M92" s="20">
        <f t="shared" si="30"/>
        <v>909.29523110924424</v>
      </c>
      <c r="N92" s="20">
        <f>SUM(B92:M92)</f>
        <v>12316.093646778525</v>
      </c>
    </row>
    <row r="94" spans="1:17">
      <c r="B94" s="23" t="s">
        <v>0</v>
      </c>
      <c r="C94" s="23" t="s">
        <v>1</v>
      </c>
      <c r="D94" s="23" t="s">
        <v>2</v>
      </c>
      <c r="E94" s="23" t="s">
        <v>3</v>
      </c>
      <c r="F94" s="23" t="s">
        <v>4</v>
      </c>
      <c r="G94" s="23" t="s">
        <v>5</v>
      </c>
      <c r="H94" s="23" t="s">
        <v>6</v>
      </c>
      <c r="I94" s="23" t="s">
        <v>7</v>
      </c>
      <c r="J94" s="23" t="s">
        <v>8</v>
      </c>
      <c r="K94" s="23" t="s">
        <v>9</v>
      </c>
      <c r="L94" s="23" t="s">
        <v>10</v>
      </c>
      <c r="M94" s="23" t="s">
        <v>11</v>
      </c>
      <c r="N94" s="23" t="s">
        <v>12</v>
      </c>
    </row>
    <row r="95" spans="1:17">
      <c r="A95" s="248">
        <f>A79+1</f>
        <v>2018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7">
      <c r="A96" s="247" t="s">
        <v>37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>
      <c r="A97" s="249" t="s">
        <v>47</v>
      </c>
      <c r="B97" s="232">
        <f>'Lake Worth Forecast'!E15</f>
        <v>70069.439411680069</v>
      </c>
      <c r="C97" s="232">
        <f>'Lake Worth Forecast'!F15</f>
        <v>68455.211711922937</v>
      </c>
      <c r="D97" s="232">
        <f>'Lake Worth Forecast'!G15</f>
        <v>71404.664792960655</v>
      </c>
      <c r="E97" s="232">
        <f>'Lake Worth Forecast'!H15</f>
        <v>74593.262718406855</v>
      </c>
      <c r="F97" s="232">
        <f>'Lake Worth Forecast'!I15</f>
        <v>83172.58401156051</v>
      </c>
      <c r="G97" s="232">
        <f>'Lake Worth Forecast'!J15</f>
        <v>87238.046366504423</v>
      </c>
      <c r="H97" s="232">
        <f>'Lake Worth Forecast'!K15</f>
        <v>90606.002925256966</v>
      </c>
      <c r="I97" s="232">
        <f>'Lake Worth Forecast'!L15</f>
        <v>91114.185719624948</v>
      </c>
      <c r="J97" s="232">
        <f>'Lake Worth Forecast'!M15</f>
        <v>88005.302742314903</v>
      </c>
      <c r="K97" s="232">
        <f>'Lake Worth Forecast'!N15</f>
        <v>82714.223059777636</v>
      </c>
      <c r="L97" s="232">
        <f>'Lake Worth Forecast'!O15</f>
        <v>73955.543133317624</v>
      </c>
      <c r="M97" s="232">
        <f>'Lake Worth Forecast'!P15</f>
        <v>70288.655519054504</v>
      </c>
      <c r="N97" s="20">
        <f>SUM(B97:M97)</f>
        <v>951617.12211238197</v>
      </c>
    </row>
    <row r="98" spans="1:14">
      <c r="A98" s="249" t="s">
        <v>45</v>
      </c>
      <c r="B98" s="27">
        <f>ROUND(B97*'Transmission Formula Rate (7)'!$B$27,0)</f>
        <v>1296</v>
      </c>
      <c r="C98" s="27">
        <f>ROUND(C97*'Transmission Formula Rate (7)'!$B$27,0)</f>
        <v>1266</v>
      </c>
      <c r="D98" s="27">
        <f>ROUND(D97*'Transmission Formula Rate (7)'!$B$27,0)</f>
        <v>1321</v>
      </c>
      <c r="E98" s="27">
        <f>ROUND(E97*'Transmission Formula Rate (7)'!$B$27,0)</f>
        <v>1380</v>
      </c>
      <c r="F98" s="27">
        <f>ROUND(F97*'Transmission Formula Rate (7)'!$B$27,0)</f>
        <v>1539</v>
      </c>
      <c r="G98" s="27">
        <f>ROUND(G97*'Transmission Formula Rate (7)'!$B$27,0)</f>
        <v>1614</v>
      </c>
      <c r="H98" s="27">
        <f>ROUND(H97*'Transmission Formula Rate (7)'!$B$27,0)</f>
        <v>1676</v>
      </c>
      <c r="I98" s="27">
        <f>ROUND(I97*'Transmission Formula Rate (7)'!$B$27,0)</f>
        <v>1686</v>
      </c>
      <c r="J98" s="27">
        <f>ROUND(J97*'Transmission Formula Rate (7)'!$B$27,0)</f>
        <v>1628</v>
      </c>
      <c r="K98" s="27">
        <f>ROUND(K97*'Transmission Formula Rate (7)'!$B$27,0)</f>
        <v>1530</v>
      </c>
      <c r="L98" s="27">
        <f>ROUND(L97*'Transmission Formula Rate (7)'!$B$27,0)</f>
        <v>1368</v>
      </c>
      <c r="M98" s="27">
        <f>ROUND(M97*'Transmission Formula Rate (7)'!$B$27,0)</f>
        <v>1300</v>
      </c>
      <c r="N98" s="20">
        <f>SUM(B98:M98)</f>
        <v>17604</v>
      </c>
    </row>
    <row r="99" spans="1:14">
      <c r="A99" s="249" t="s">
        <v>290</v>
      </c>
      <c r="B99" s="27">
        <f t="shared" ref="B99:M99" si="31">B97+B98</f>
        <v>71365.439411680069</v>
      </c>
      <c r="C99" s="27">
        <f t="shared" si="31"/>
        <v>69721.211711922937</v>
      </c>
      <c r="D99" s="27">
        <f t="shared" si="31"/>
        <v>72725.664792960655</v>
      </c>
      <c r="E99" s="27">
        <f t="shared" si="31"/>
        <v>75973.262718406855</v>
      </c>
      <c r="F99" s="27">
        <f t="shared" si="31"/>
        <v>84711.58401156051</v>
      </c>
      <c r="G99" s="27">
        <f t="shared" si="31"/>
        <v>88852.046366504423</v>
      </c>
      <c r="H99" s="27">
        <f t="shared" si="31"/>
        <v>92282.002925256966</v>
      </c>
      <c r="I99" s="27">
        <f t="shared" si="31"/>
        <v>92800.185719624948</v>
      </c>
      <c r="J99" s="27">
        <f t="shared" si="31"/>
        <v>89633.302742314903</v>
      </c>
      <c r="K99" s="27">
        <f t="shared" si="31"/>
        <v>84244.223059777636</v>
      </c>
      <c r="L99" s="27">
        <f t="shared" si="31"/>
        <v>75323.543133317624</v>
      </c>
      <c r="M99" s="27">
        <f t="shared" si="31"/>
        <v>71588.655519054504</v>
      </c>
      <c r="N99" s="123">
        <f>SUM(B99:M99)</f>
        <v>969221.12211238197</v>
      </c>
    </row>
    <row r="100" spans="1:14">
      <c r="A100" s="247" t="s">
        <v>20</v>
      </c>
      <c r="B100" s="29">
        <f>B84</f>
        <v>1.59</v>
      </c>
      <c r="C100" s="29">
        <f t="shared" ref="C100:M100" si="32">C84</f>
        <v>1.59</v>
      </c>
      <c r="D100" s="29">
        <f t="shared" si="32"/>
        <v>1.59</v>
      </c>
      <c r="E100" s="29">
        <f t="shared" si="32"/>
        <v>1.59</v>
      </c>
      <c r="F100" s="29">
        <f t="shared" si="32"/>
        <v>1.59</v>
      </c>
      <c r="G100" s="29">
        <f t="shared" si="32"/>
        <v>1.59</v>
      </c>
      <c r="H100" s="29">
        <f t="shared" si="32"/>
        <v>1.59</v>
      </c>
      <c r="I100" s="29">
        <f t="shared" si="32"/>
        <v>1.59</v>
      </c>
      <c r="J100" s="29">
        <f t="shared" si="32"/>
        <v>1.59</v>
      </c>
      <c r="K100" s="29">
        <f t="shared" si="32"/>
        <v>1.59</v>
      </c>
      <c r="L100" s="29">
        <f t="shared" si="32"/>
        <v>1.59</v>
      </c>
      <c r="M100" s="29">
        <f t="shared" si="32"/>
        <v>1.59</v>
      </c>
      <c r="N100" s="19"/>
    </row>
    <row r="101" spans="1:14">
      <c r="A101" s="247" t="s">
        <v>17</v>
      </c>
      <c r="B101" s="20">
        <f t="shared" ref="B101:M101" si="33">B99*B100</f>
        <v>113471.04866457131</v>
      </c>
      <c r="C101" s="20">
        <f t="shared" si="33"/>
        <v>110856.72662195748</v>
      </c>
      <c r="D101" s="20">
        <f t="shared" si="33"/>
        <v>115633.80702080745</v>
      </c>
      <c r="E101" s="20">
        <f t="shared" si="33"/>
        <v>120797.4877222669</v>
      </c>
      <c r="F101" s="20">
        <f t="shared" si="33"/>
        <v>134691.41857838121</v>
      </c>
      <c r="G101" s="20">
        <f t="shared" si="33"/>
        <v>141274.75372274203</v>
      </c>
      <c r="H101" s="20">
        <f t="shared" si="33"/>
        <v>146728.38465115859</v>
      </c>
      <c r="I101" s="20">
        <f t="shared" si="33"/>
        <v>147552.29529420368</v>
      </c>
      <c r="J101" s="20">
        <f t="shared" si="33"/>
        <v>142516.95136028071</v>
      </c>
      <c r="K101" s="20">
        <f t="shared" si="33"/>
        <v>133948.31466504646</v>
      </c>
      <c r="L101" s="20">
        <f t="shared" si="33"/>
        <v>119764.43358197503</v>
      </c>
      <c r="M101" s="20">
        <f t="shared" si="33"/>
        <v>113825.96227529667</v>
      </c>
      <c r="N101" s="20">
        <f>SUM(B101:M101)</f>
        <v>1541061.5841586876</v>
      </c>
    </row>
    <row r="103" spans="1:14">
      <c r="A103" s="247" t="s">
        <v>135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>
      <c r="A104" s="249" t="s">
        <v>47</v>
      </c>
      <c r="B104" s="232">
        <f>B97</f>
        <v>70069.439411680069</v>
      </c>
      <c r="C104" s="232">
        <f t="shared" ref="C104:M104" si="34">C97</f>
        <v>68455.211711922937</v>
      </c>
      <c r="D104" s="232">
        <f t="shared" si="34"/>
        <v>71404.664792960655</v>
      </c>
      <c r="E104" s="232">
        <f t="shared" si="34"/>
        <v>74593.262718406855</v>
      </c>
      <c r="F104" s="232">
        <f t="shared" si="34"/>
        <v>83172.58401156051</v>
      </c>
      <c r="G104" s="232">
        <f t="shared" si="34"/>
        <v>87238.046366504423</v>
      </c>
      <c r="H104" s="232">
        <f t="shared" si="34"/>
        <v>90606.002925256966</v>
      </c>
      <c r="I104" s="232">
        <f t="shared" si="34"/>
        <v>91114.185719624948</v>
      </c>
      <c r="J104" s="232">
        <f t="shared" si="34"/>
        <v>88005.302742314903</v>
      </c>
      <c r="K104" s="232">
        <f t="shared" si="34"/>
        <v>82714.223059777636</v>
      </c>
      <c r="L104" s="232">
        <f t="shared" si="34"/>
        <v>73955.543133317624</v>
      </c>
      <c r="M104" s="232">
        <f t="shared" si="34"/>
        <v>70288.655519054504</v>
      </c>
      <c r="N104" s="20">
        <f>SUM(B104:M104)</f>
        <v>951617.12211238197</v>
      </c>
    </row>
    <row r="105" spans="1:14">
      <c r="A105" s="249" t="s">
        <v>45</v>
      </c>
      <c r="B105" s="27">
        <f>ROUND(B104*'Transmission Formula Rate (7)'!$B$27,0)</f>
        <v>1296</v>
      </c>
      <c r="C105" s="27">
        <f>ROUND(C104*'Transmission Formula Rate (7)'!$B$27,0)</f>
        <v>1266</v>
      </c>
      <c r="D105" s="27">
        <f>ROUND(D104*'Transmission Formula Rate (7)'!$B$27,0)</f>
        <v>1321</v>
      </c>
      <c r="E105" s="27">
        <f>ROUND(E104*'Transmission Formula Rate (7)'!$B$27,0)</f>
        <v>1380</v>
      </c>
      <c r="F105" s="27">
        <f>ROUND(F104*'Transmission Formula Rate (7)'!$B$27,0)</f>
        <v>1539</v>
      </c>
      <c r="G105" s="27">
        <f>ROUND(G104*'Transmission Formula Rate (7)'!$B$27,0)</f>
        <v>1614</v>
      </c>
      <c r="H105" s="27">
        <f>ROUND(H104*'Transmission Formula Rate (7)'!$B$27,0)</f>
        <v>1676</v>
      </c>
      <c r="I105" s="27">
        <f>ROUND(I104*'Transmission Formula Rate (7)'!$B$27,0)</f>
        <v>1686</v>
      </c>
      <c r="J105" s="27">
        <f>ROUND(J104*'Transmission Formula Rate (7)'!$B$27,0)</f>
        <v>1628</v>
      </c>
      <c r="K105" s="27">
        <f>ROUND(K104*'Transmission Formula Rate (7)'!$B$27,0)</f>
        <v>1530</v>
      </c>
      <c r="L105" s="27">
        <f>ROUND(L104*'Transmission Formula Rate (7)'!$B$27,0)</f>
        <v>1368</v>
      </c>
      <c r="M105" s="27">
        <f>ROUND(M104*'Transmission Formula Rate (7)'!$B$27,0)</f>
        <v>1300</v>
      </c>
      <c r="N105" s="20">
        <f>SUM(B105:M105)</f>
        <v>17604</v>
      </c>
    </row>
    <row r="106" spans="1:14">
      <c r="A106" s="249" t="s">
        <v>290</v>
      </c>
      <c r="B106" s="27">
        <f t="shared" ref="B106:M106" si="35">B104+B105</f>
        <v>71365.439411680069</v>
      </c>
      <c r="C106" s="27">
        <f t="shared" si="35"/>
        <v>69721.211711922937</v>
      </c>
      <c r="D106" s="27">
        <f t="shared" si="35"/>
        <v>72725.664792960655</v>
      </c>
      <c r="E106" s="27">
        <f t="shared" si="35"/>
        <v>75973.262718406855</v>
      </c>
      <c r="F106" s="27">
        <f t="shared" si="35"/>
        <v>84711.58401156051</v>
      </c>
      <c r="G106" s="27">
        <f t="shared" si="35"/>
        <v>88852.046366504423</v>
      </c>
      <c r="H106" s="27">
        <f t="shared" si="35"/>
        <v>92282.002925256966</v>
      </c>
      <c r="I106" s="27">
        <f t="shared" si="35"/>
        <v>92800.185719624948</v>
      </c>
      <c r="J106" s="27">
        <f t="shared" si="35"/>
        <v>89633.302742314903</v>
      </c>
      <c r="K106" s="27">
        <f t="shared" si="35"/>
        <v>84244.223059777636</v>
      </c>
      <c r="L106" s="27">
        <f t="shared" si="35"/>
        <v>75323.543133317624</v>
      </c>
      <c r="M106" s="27">
        <f t="shared" si="35"/>
        <v>71588.655519054504</v>
      </c>
      <c r="N106" s="123">
        <f>SUM(B106:M106)</f>
        <v>969221.12211238197</v>
      </c>
    </row>
    <row r="107" spans="1:14">
      <c r="A107" s="247" t="s">
        <v>143</v>
      </c>
      <c r="B107" s="31">
        <f>'charges (1 &amp; 2)'!$H$38</f>
        <v>1.274E-2</v>
      </c>
      <c r="C107" s="31">
        <f>B107</f>
        <v>1.274E-2</v>
      </c>
      <c r="D107" s="31">
        <f t="shared" ref="D107:M107" si="36">C107</f>
        <v>1.274E-2</v>
      </c>
      <c r="E107" s="31">
        <f t="shared" si="36"/>
        <v>1.274E-2</v>
      </c>
      <c r="F107" s="31">
        <f t="shared" si="36"/>
        <v>1.274E-2</v>
      </c>
      <c r="G107" s="31">
        <f t="shared" si="36"/>
        <v>1.274E-2</v>
      </c>
      <c r="H107" s="31">
        <f t="shared" si="36"/>
        <v>1.274E-2</v>
      </c>
      <c r="I107" s="31">
        <f t="shared" si="36"/>
        <v>1.274E-2</v>
      </c>
      <c r="J107" s="31">
        <f t="shared" si="36"/>
        <v>1.274E-2</v>
      </c>
      <c r="K107" s="31">
        <f t="shared" si="36"/>
        <v>1.274E-2</v>
      </c>
      <c r="L107" s="31">
        <f t="shared" si="36"/>
        <v>1.274E-2</v>
      </c>
      <c r="M107" s="31">
        <f t="shared" si="36"/>
        <v>1.274E-2</v>
      </c>
      <c r="N107" s="19"/>
    </row>
    <row r="108" spans="1:14">
      <c r="A108" s="247" t="s">
        <v>17</v>
      </c>
      <c r="B108" s="20">
        <f t="shared" ref="B108:M108" si="37">B106*B107</f>
        <v>909.19569810480402</v>
      </c>
      <c r="C108" s="20">
        <f t="shared" si="37"/>
        <v>888.24823720989821</v>
      </c>
      <c r="D108" s="20">
        <f t="shared" si="37"/>
        <v>926.52496946231872</v>
      </c>
      <c r="E108" s="20">
        <f t="shared" si="37"/>
        <v>967.89936703250328</v>
      </c>
      <c r="F108" s="20">
        <f t="shared" si="37"/>
        <v>1079.2255803072808</v>
      </c>
      <c r="G108" s="20">
        <f t="shared" si="37"/>
        <v>1131.9750707092662</v>
      </c>
      <c r="H108" s="20">
        <f t="shared" si="37"/>
        <v>1175.6727172677738</v>
      </c>
      <c r="I108" s="20">
        <f t="shared" si="37"/>
        <v>1182.2743660680219</v>
      </c>
      <c r="J108" s="20">
        <f t="shared" si="37"/>
        <v>1141.9282769370918</v>
      </c>
      <c r="K108" s="20">
        <f t="shared" si="37"/>
        <v>1073.271401781567</v>
      </c>
      <c r="L108" s="20">
        <f t="shared" si="37"/>
        <v>959.62193951846655</v>
      </c>
      <c r="M108" s="20">
        <f t="shared" si="37"/>
        <v>912.03947131275436</v>
      </c>
      <c r="N108" s="20">
        <f>SUM(B108:M108)</f>
        <v>12347.877095711745</v>
      </c>
    </row>
    <row r="109" spans="1:14">
      <c r="A109" s="243" t="s">
        <v>262</v>
      </c>
      <c r="B109" s="361" t="s">
        <v>291</v>
      </c>
    </row>
  </sheetData>
  <mergeCells count="1">
    <mergeCell ref="O9:P9"/>
  </mergeCells>
  <hyperlinks>
    <hyperlink ref="B109" r:id="rId1"/>
  </hyperlinks>
  <pageMargins left="0.7" right="0.7" top="0.75" bottom="0.75" header="0.3" footer="0.3"/>
  <pageSetup scale="74" orientation="landscape" r:id="rId2"/>
  <rowBreaks count="2" manualBreakCount="2">
    <brk id="43" max="16383" man="1"/>
    <brk id="77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24"/>
  <sheetViews>
    <sheetView zoomScaleNormal="100" zoomScaleSheetLayoutView="100" workbookViewId="0">
      <selection activeCell="A2" sqref="A1:A2"/>
    </sheetView>
  </sheetViews>
  <sheetFormatPr defaultColWidth="9" defaultRowHeight="10.199999999999999"/>
  <cols>
    <col min="1" max="1" width="42.77734375" style="6" customWidth="1"/>
    <col min="2" max="2" width="16.88671875" style="6" customWidth="1"/>
    <col min="3" max="3" width="17" style="7" customWidth="1"/>
    <col min="4" max="4" width="10.109375" style="6" customWidth="1"/>
    <col min="5" max="5" width="8.6640625" style="6" customWidth="1"/>
    <col min="6" max="6" width="71.88671875" style="6" customWidth="1"/>
    <col min="7" max="7" width="5.33203125" style="6" customWidth="1"/>
    <col min="8" max="16384" width="9" style="6"/>
  </cols>
  <sheetData>
    <row r="1" spans="1:6" ht="13.2">
      <c r="A1" s="471" t="s">
        <v>462</v>
      </c>
    </row>
    <row r="2" spans="1:6" ht="13.2">
      <c r="A2" s="471" t="s">
        <v>458</v>
      </c>
    </row>
    <row r="3" spans="1:6" ht="13.2">
      <c r="A3" s="90" t="s">
        <v>279</v>
      </c>
    </row>
    <row r="4" spans="1:6" ht="11.4">
      <c r="A4" s="91" t="s">
        <v>397</v>
      </c>
    </row>
    <row r="5" spans="1:6" ht="11.4">
      <c r="A5" s="156"/>
      <c r="C5" s="37"/>
      <c r="D5" s="38"/>
    </row>
    <row r="6" spans="1:6" s="372" customFormat="1">
      <c r="A6" s="371"/>
      <c r="C6" s="373"/>
    </row>
    <row r="7" spans="1:6" ht="35.25" customHeight="1">
      <c r="A7" s="161" t="s">
        <v>109</v>
      </c>
      <c r="B7" s="125" t="s">
        <v>398</v>
      </c>
      <c r="C7" s="125" t="s">
        <v>363</v>
      </c>
      <c r="D7" s="124" t="s">
        <v>90</v>
      </c>
      <c r="E7" s="124" t="s">
        <v>91</v>
      </c>
      <c r="F7" s="124"/>
    </row>
    <row r="8" spans="1:6" s="10" customFormat="1">
      <c r="A8" s="133"/>
      <c r="B8" s="137"/>
      <c r="C8" s="179"/>
      <c r="D8" s="131"/>
      <c r="E8" s="132"/>
      <c r="F8" s="132"/>
    </row>
    <row r="9" spans="1:6">
      <c r="A9" s="134" t="s">
        <v>77</v>
      </c>
      <c r="B9" s="138">
        <f>Transmission_Revenues!O45+Transmission_Revenues!O46</f>
        <v>7822908.2276600003</v>
      </c>
      <c r="C9" s="180">
        <v>7822908.2276600003</v>
      </c>
      <c r="D9" s="126">
        <f t="shared" ref="D9" si="0">B9-C9</f>
        <v>0</v>
      </c>
      <c r="E9" s="304">
        <f t="shared" ref="E9:E29" si="1">D9/C9</f>
        <v>0</v>
      </c>
      <c r="F9" s="129"/>
    </row>
    <row r="10" spans="1:6">
      <c r="A10" s="134" t="s">
        <v>73</v>
      </c>
      <c r="B10" s="138">
        <f>Transmission_Revenues!O47</f>
        <v>341667.13000000006</v>
      </c>
      <c r="C10" s="180">
        <v>341667.13000000006</v>
      </c>
      <c r="D10" s="126">
        <f t="shared" ref="D10:D28" si="2">B10-C10</f>
        <v>0</v>
      </c>
      <c r="E10" s="304">
        <f t="shared" ref="E10:E28" si="3">D10/C10</f>
        <v>0</v>
      </c>
      <c r="F10" s="129"/>
    </row>
    <row r="11" spans="1:6">
      <c r="A11" s="182" t="s">
        <v>120</v>
      </c>
      <c r="B11" s="138">
        <f>Transmission_Revenues!O48+Transmission_Revenues!O49</f>
        <v>2976551.0293599996</v>
      </c>
      <c r="C11" s="180">
        <v>2976551.0293599996</v>
      </c>
      <c r="D11" s="126">
        <f t="shared" si="2"/>
        <v>0</v>
      </c>
      <c r="E11" s="304">
        <f t="shared" si="3"/>
        <v>0</v>
      </c>
      <c r="F11" s="129"/>
    </row>
    <row r="12" spans="1:6">
      <c r="A12" s="182" t="s">
        <v>121</v>
      </c>
      <c r="B12" s="138">
        <f>Transmission_Revenues!O50</f>
        <v>187202.1312</v>
      </c>
      <c r="C12" s="180">
        <v>187202.1312</v>
      </c>
      <c r="D12" s="126">
        <f t="shared" si="2"/>
        <v>0</v>
      </c>
      <c r="E12" s="304">
        <f t="shared" si="3"/>
        <v>0</v>
      </c>
      <c r="F12" s="129"/>
    </row>
    <row r="13" spans="1:6">
      <c r="A13" s="134" t="s">
        <v>78</v>
      </c>
      <c r="B13" s="138">
        <f>Transmission_Revenues!O51+Transmission_Revenues!O52</f>
        <v>8500093.6239225678</v>
      </c>
      <c r="C13" s="180">
        <v>8500093.6239225678</v>
      </c>
      <c r="D13" s="126">
        <f t="shared" si="2"/>
        <v>0</v>
      </c>
      <c r="E13" s="304">
        <f t="shared" si="3"/>
        <v>0</v>
      </c>
      <c r="F13" s="129"/>
    </row>
    <row r="14" spans="1:6">
      <c r="A14" s="134" t="s">
        <v>74</v>
      </c>
      <c r="B14" s="138">
        <f>Transmission_Revenues!O53</f>
        <v>106069.52623535406</v>
      </c>
      <c r="C14" s="180">
        <v>106069.52623535406</v>
      </c>
      <c r="D14" s="126">
        <f t="shared" si="2"/>
        <v>0</v>
      </c>
      <c r="E14" s="304">
        <f t="shared" si="3"/>
        <v>0</v>
      </c>
      <c r="F14" s="129"/>
    </row>
    <row r="15" spans="1:6">
      <c r="A15" s="134" t="s">
        <v>56</v>
      </c>
      <c r="B15" s="138">
        <f>Transmission_Revenues!O54</f>
        <v>344954.00974630669</v>
      </c>
      <c r="C15" s="180">
        <v>344954.00974630669</v>
      </c>
      <c r="D15" s="126">
        <f t="shared" si="2"/>
        <v>0</v>
      </c>
      <c r="E15" s="304">
        <f t="shared" si="3"/>
        <v>0</v>
      </c>
      <c r="F15" s="129"/>
    </row>
    <row r="16" spans="1:6" ht="14.25" customHeight="1">
      <c r="A16" s="182" t="s">
        <v>260</v>
      </c>
      <c r="B16" s="138">
        <f>Transmission_Revenues!O55</f>
        <v>474347.32999999996</v>
      </c>
      <c r="C16" s="180">
        <v>474347.32999999996</v>
      </c>
      <c r="D16" s="126">
        <f t="shared" si="2"/>
        <v>0</v>
      </c>
      <c r="E16" s="304">
        <f t="shared" si="3"/>
        <v>0</v>
      </c>
      <c r="F16" s="129"/>
    </row>
    <row r="17" spans="1:7">
      <c r="A17" s="134" t="s">
        <v>124</v>
      </c>
      <c r="B17" s="138">
        <f>Transmission_Revenues!O56+Transmission_Revenues!O57</f>
        <v>12920376.3182</v>
      </c>
      <c r="C17" s="180">
        <v>13387357.814147953</v>
      </c>
      <c r="D17" s="126">
        <f t="shared" si="2"/>
        <v>-466981.49594795331</v>
      </c>
      <c r="E17" s="304">
        <f t="shared" si="3"/>
        <v>-3.4882274936615242E-2</v>
      </c>
      <c r="F17" s="129"/>
    </row>
    <row r="18" spans="1:7">
      <c r="A18" s="134" t="s">
        <v>177</v>
      </c>
      <c r="B18" s="138">
        <f>Transmission_Revenues!O58+Transmission_Revenues!O59</f>
        <v>2451857.2273400002</v>
      </c>
      <c r="C18" s="180">
        <v>2419450.131329657</v>
      </c>
      <c r="D18" s="126">
        <f t="shared" si="2"/>
        <v>32407.096010343172</v>
      </c>
      <c r="E18" s="304">
        <f t="shared" si="3"/>
        <v>1.339440544390688E-2</v>
      </c>
      <c r="F18" s="129"/>
    </row>
    <row r="19" spans="1:7">
      <c r="A19" s="134" t="s">
        <v>191</v>
      </c>
      <c r="B19" s="138">
        <f>Transmission_Revenues!O60+Transmission_Revenues!O61</f>
        <v>222009.94206000003</v>
      </c>
      <c r="C19" s="180">
        <v>217113.57136000003</v>
      </c>
      <c r="D19" s="126">
        <f t="shared" si="2"/>
        <v>4896.3706999999995</v>
      </c>
      <c r="E19" s="304">
        <f t="shared" si="3"/>
        <v>2.2552117167660774E-2</v>
      </c>
      <c r="F19" s="129"/>
    </row>
    <row r="20" spans="1:7">
      <c r="A20" s="134" t="s">
        <v>257</v>
      </c>
      <c r="B20" s="138">
        <f>Transmission_Revenues!O62+Transmission_Revenues!O63</f>
        <v>119170.12996000002</v>
      </c>
      <c r="C20" s="180">
        <v>115087.95118</v>
      </c>
      <c r="D20" s="126">
        <f t="shared" si="2"/>
        <v>4082.1787800000166</v>
      </c>
      <c r="E20" s="304">
        <f t="shared" si="3"/>
        <v>3.5470079518710021E-2</v>
      </c>
      <c r="F20" s="129"/>
    </row>
    <row r="21" spans="1:7">
      <c r="A21" s="134" t="s">
        <v>13</v>
      </c>
      <c r="B21" s="138">
        <f>Transmission_Revenues!O65</f>
        <v>156095.51999999996</v>
      </c>
      <c r="C21" s="180">
        <v>156095.51999999996</v>
      </c>
      <c r="D21" s="126">
        <f t="shared" ref="D21:D24" si="4">B21-C21</f>
        <v>0</v>
      </c>
      <c r="E21" s="304">
        <f t="shared" ref="E21:E24" si="5">D21/C21</f>
        <v>0</v>
      </c>
      <c r="F21" s="129"/>
    </row>
    <row r="22" spans="1:7">
      <c r="A22" s="134" t="s">
        <v>362</v>
      </c>
      <c r="B22" s="138"/>
      <c r="C22" s="180"/>
      <c r="D22" s="126"/>
      <c r="E22" s="304"/>
      <c r="F22" s="129"/>
    </row>
    <row r="23" spans="1:7">
      <c r="A23" s="134" t="s">
        <v>310</v>
      </c>
      <c r="B23" s="138">
        <f>Transmission_Revenues!O68+Transmission_Revenues!O69</f>
        <v>1516494.9578600002</v>
      </c>
      <c r="C23" s="180">
        <v>1516494.9578600002</v>
      </c>
      <c r="D23" s="126">
        <f t="shared" si="4"/>
        <v>0</v>
      </c>
      <c r="E23" s="304">
        <f t="shared" si="5"/>
        <v>0</v>
      </c>
      <c r="F23" s="129"/>
      <c r="G23" s="181"/>
    </row>
    <row r="24" spans="1:7">
      <c r="A24" s="134" t="s">
        <v>306</v>
      </c>
      <c r="B24" s="138">
        <f>Transmission_Revenues!O66+Transmission_Revenues!O67</f>
        <v>424424.78487999993</v>
      </c>
      <c r="C24" s="180">
        <v>1397331.2388599999</v>
      </c>
      <c r="D24" s="126">
        <f t="shared" si="4"/>
        <v>-972906.45397999999</v>
      </c>
      <c r="E24" s="304">
        <f t="shared" si="5"/>
        <v>-0.69626043340570909</v>
      </c>
      <c r="F24" s="129"/>
    </row>
    <row r="25" spans="1:7" ht="11.25" customHeight="1">
      <c r="A25" s="134" t="s">
        <v>14</v>
      </c>
      <c r="B25" s="138">
        <f>Transmission_Revenues!O70+Transmission_Revenues!O71</f>
        <v>9675215.6812800001</v>
      </c>
      <c r="C25" s="180">
        <v>9675215.6812800001</v>
      </c>
      <c r="D25" s="126">
        <f t="shared" si="2"/>
        <v>0</v>
      </c>
      <c r="E25" s="304">
        <f t="shared" si="3"/>
        <v>0</v>
      </c>
      <c r="F25" s="381"/>
    </row>
    <row r="26" spans="1:7">
      <c r="A26" s="134" t="s">
        <v>75</v>
      </c>
      <c r="B26" s="138">
        <f>Transmission_Revenues!O72</f>
        <v>594800.63999999978</v>
      </c>
      <c r="C26" s="180">
        <v>594800.63999999978</v>
      </c>
      <c r="D26" s="126">
        <f t="shared" si="2"/>
        <v>0</v>
      </c>
      <c r="E26" s="304">
        <f t="shared" si="3"/>
        <v>0</v>
      </c>
      <c r="F26" s="381"/>
    </row>
    <row r="27" spans="1:7">
      <c r="A27" s="182" t="s">
        <v>119</v>
      </c>
      <c r="B27" s="138">
        <f>Transmission_Revenues!O73</f>
        <v>86400</v>
      </c>
      <c r="C27" s="180">
        <v>86400</v>
      </c>
      <c r="D27" s="126">
        <f t="shared" si="2"/>
        <v>0</v>
      </c>
      <c r="E27" s="304">
        <f t="shared" si="3"/>
        <v>0</v>
      </c>
      <c r="F27" s="129"/>
    </row>
    <row r="28" spans="1:7">
      <c r="A28" s="134" t="s">
        <v>57</v>
      </c>
      <c r="B28" s="155">
        <f>Transmission_Revenues!O74+Transmission_Revenues!O75</f>
        <v>3665636.9700000007</v>
      </c>
      <c r="C28" s="380">
        <v>3665636.9700000007</v>
      </c>
      <c r="D28" s="127">
        <f t="shared" si="2"/>
        <v>0</v>
      </c>
      <c r="E28" s="304">
        <f t="shared" si="3"/>
        <v>0</v>
      </c>
      <c r="F28" s="129"/>
    </row>
    <row r="29" spans="1:7">
      <c r="A29" s="134" t="s">
        <v>79</v>
      </c>
      <c r="B29" s="138">
        <f>SUM(B9:B28)</f>
        <v>52586275.179704227</v>
      </c>
      <c r="C29" s="138">
        <v>53984777.484141842</v>
      </c>
      <c r="D29" s="139">
        <f>SUM(D9:D28)</f>
        <v>-1398502.3044376101</v>
      </c>
      <c r="E29" s="304">
        <f t="shared" si="1"/>
        <v>-2.5905493541182486E-2</v>
      </c>
      <c r="F29" s="129"/>
    </row>
    <row r="30" spans="1:7">
      <c r="A30" s="135"/>
      <c r="B30" s="140"/>
      <c r="C30" s="180"/>
      <c r="D30" s="128"/>
      <c r="E30" s="370"/>
      <c r="F30" s="129"/>
    </row>
    <row r="31" spans="1:7">
      <c r="A31" s="134"/>
      <c r="B31" s="138"/>
      <c r="C31" s="180"/>
      <c r="D31" s="126"/>
      <c r="E31" s="304"/>
      <c r="F31" s="129"/>
    </row>
    <row r="32" spans="1:7">
      <c r="A32" s="134" t="s">
        <v>128</v>
      </c>
      <c r="B32" s="139">
        <f>Transmission_Revenues!O79</f>
        <v>-6797123.0000000028</v>
      </c>
      <c r="C32" s="180">
        <v>-6797123.0000000028</v>
      </c>
      <c r="D32" s="126">
        <f>B32-C32</f>
        <v>0</v>
      </c>
      <c r="E32" s="304">
        <f>D32/C32</f>
        <v>0</v>
      </c>
      <c r="F32" s="129"/>
    </row>
    <row r="33" spans="1:6">
      <c r="A33" s="134"/>
      <c r="B33" s="139"/>
      <c r="C33" s="180"/>
      <c r="D33" s="127"/>
      <c r="E33" s="163"/>
      <c r="F33" s="129"/>
    </row>
    <row r="34" spans="1:6" ht="10.8" thickBot="1">
      <c r="A34" s="135" t="s">
        <v>110</v>
      </c>
      <c r="B34" s="160">
        <f>B29+B32</f>
        <v>45789152.179704227</v>
      </c>
      <c r="C34" s="160">
        <v>47187654.484141842</v>
      </c>
      <c r="D34" s="162">
        <f>B34-C34</f>
        <v>-1398502.304437615</v>
      </c>
      <c r="E34" s="164">
        <f>D34/C34</f>
        <v>-2.9637037901674129E-2</v>
      </c>
      <c r="F34" s="129"/>
    </row>
    <row r="35" spans="1:6" ht="10.8" thickTop="1">
      <c r="A35" s="134" t="s">
        <v>129</v>
      </c>
      <c r="B35" s="141" t="e">
        <f>B9+B13+B17+B11+B18+B19+B20+#REF!+B24+B32+B23</f>
        <v>#REF!</v>
      </c>
      <c r="C35" s="141">
        <v>36491794.050845087</v>
      </c>
      <c r="D35" s="177" t="e">
        <f>B35-C35</f>
        <v>#REF!</v>
      </c>
      <c r="E35" s="178" t="e">
        <f>D35/C35</f>
        <v>#REF!</v>
      </c>
      <c r="F35" s="130"/>
    </row>
    <row r="36" spans="1:6" ht="34.5" customHeight="1">
      <c r="A36" s="161" t="s">
        <v>141</v>
      </c>
      <c r="B36" s="125" t="s">
        <v>401</v>
      </c>
      <c r="C36" s="125" t="str">
        <f>C7</f>
        <v>2014-2020 Forecast Provided December 2014 New Methodology</v>
      </c>
      <c r="D36" s="124" t="s">
        <v>90</v>
      </c>
      <c r="E36" s="124" t="s">
        <v>91</v>
      </c>
      <c r="F36" s="124"/>
    </row>
    <row r="37" spans="1:6">
      <c r="A37" s="133"/>
      <c r="B37" s="137"/>
      <c r="C37" s="137"/>
      <c r="D37" s="131"/>
      <c r="E37" s="132"/>
      <c r="F37" s="132"/>
    </row>
    <row r="38" spans="1:6">
      <c r="A38" s="134" t="s">
        <v>77</v>
      </c>
      <c r="B38" s="138">
        <f>Transmission_Revenues!O85+Transmission_Revenues!O86</f>
        <v>7883956.5942599988</v>
      </c>
      <c r="C38" s="138">
        <v>7905341.9540800005</v>
      </c>
      <c r="D38" s="126">
        <f t="shared" ref="D38" si="6">B38-C38</f>
        <v>-21385.359820001759</v>
      </c>
      <c r="E38" s="304">
        <f t="shared" ref="E38" si="7">D38/C38</f>
        <v>-2.7051783394347198E-3</v>
      </c>
      <c r="F38" s="129"/>
    </row>
    <row r="39" spans="1:6">
      <c r="A39" s="134" t="s">
        <v>73</v>
      </c>
      <c r="B39" s="138">
        <f>Transmission_Revenues!O87</f>
        <v>344333.43000000005</v>
      </c>
      <c r="C39" s="138">
        <v>345267.44000000006</v>
      </c>
      <c r="D39" s="126">
        <f t="shared" ref="D39:D49" si="8">B39-C39</f>
        <v>-934.01000000000931</v>
      </c>
      <c r="E39" s="304">
        <f t="shared" ref="E39:E49" si="9">D39/C39</f>
        <v>-2.7051783394345238E-3</v>
      </c>
      <c r="F39" s="129"/>
    </row>
    <row r="40" spans="1:6">
      <c r="A40" s="182" t="s">
        <v>120</v>
      </c>
      <c r="B40" s="138">
        <f>Transmission_Revenues!O88+Transmission_Revenues!O89</f>
        <v>2830570.2646800005</v>
      </c>
      <c r="C40" s="138">
        <v>2830570.2646800005</v>
      </c>
      <c r="D40" s="126">
        <f t="shared" si="8"/>
        <v>0</v>
      </c>
      <c r="E40" s="304">
        <f t="shared" si="9"/>
        <v>0</v>
      </c>
      <c r="F40" s="129"/>
    </row>
    <row r="41" spans="1:6">
      <c r="A41" s="182" t="s">
        <v>121</v>
      </c>
      <c r="B41" s="138">
        <f>Transmission_Revenues!O90</f>
        <v>178021.06559999997</v>
      </c>
      <c r="C41" s="138">
        <v>178021.06559999997</v>
      </c>
      <c r="D41" s="126">
        <f t="shared" si="8"/>
        <v>0</v>
      </c>
      <c r="E41" s="304">
        <f t="shared" si="9"/>
        <v>0</v>
      </c>
      <c r="F41" s="129"/>
    </row>
    <row r="42" spans="1:6">
      <c r="A42" s="134" t="s">
        <v>78</v>
      </c>
      <c r="B42" s="138">
        <f>Transmission_Revenues!O91+Transmission_Revenues!O92</f>
        <v>8522664.252837494</v>
      </c>
      <c r="C42" s="138">
        <v>8500093.6239225678</v>
      </c>
      <c r="D42" s="126">
        <f t="shared" si="8"/>
        <v>22570.628914926201</v>
      </c>
      <c r="E42" s="304">
        <f t="shared" si="9"/>
        <v>2.6553388601983957E-3</v>
      </c>
      <c r="F42" s="129"/>
    </row>
    <row r="43" spans="1:6">
      <c r="A43" s="134" t="s">
        <v>74</v>
      </c>
      <c r="B43" s="138">
        <f>Transmission_Revenues!O93</f>
        <v>106351.17677024963</v>
      </c>
      <c r="C43" s="138">
        <v>106069.52623535406</v>
      </c>
      <c r="D43" s="126">
        <f t="shared" si="8"/>
        <v>281.65053489556885</v>
      </c>
      <c r="E43" s="304">
        <f t="shared" si="9"/>
        <v>2.6553388601983953E-3</v>
      </c>
      <c r="F43" s="129"/>
    </row>
    <row r="44" spans="1:6">
      <c r="A44" s="134" t="s">
        <v>56</v>
      </c>
      <c r="B44" s="138">
        <f>Transmission_Revenues!O94</f>
        <v>345869.97953336727</v>
      </c>
      <c r="C44" s="138">
        <v>344954.00974630669</v>
      </c>
      <c r="D44" s="126">
        <f t="shared" si="8"/>
        <v>915.96978706057416</v>
      </c>
      <c r="E44" s="304">
        <f t="shared" si="9"/>
        <v>2.6553388601982504E-3</v>
      </c>
      <c r="F44" s="129"/>
    </row>
    <row r="45" spans="1:6">
      <c r="A45" s="182" t="s">
        <v>260</v>
      </c>
      <c r="B45" s="138">
        <f>Transmission_Revenues!O95</f>
        <v>445524.3899999999</v>
      </c>
      <c r="C45" s="138">
        <v>445524.3899999999</v>
      </c>
      <c r="D45" s="126">
        <f t="shared" si="8"/>
        <v>0</v>
      </c>
      <c r="E45" s="304">
        <f t="shared" si="9"/>
        <v>0</v>
      </c>
      <c r="F45" s="129"/>
    </row>
    <row r="46" spans="1:6">
      <c r="A46" s="134" t="s">
        <v>124</v>
      </c>
      <c r="B46" s="138">
        <f>Transmission_Revenues!O96+Transmission_Revenues!O97</f>
        <v>13759621.023149049</v>
      </c>
      <c r="C46" s="138">
        <v>13720920.121757401</v>
      </c>
      <c r="D46" s="126">
        <f t="shared" si="8"/>
        <v>38700.901391647756</v>
      </c>
      <c r="E46" s="304">
        <f t="shared" si="9"/>
        <v>2.8205762476730223E-3</v>
      </c>
      <c r="F46" s="129"/>
    </row>
    <row r="47" spans="1:6">
      <c r="A47" s="134" t="s">
        <v>177</v>
      </c>
      <c r="B47" s="138">
        <f>Transmission_Revenues!O98+Transmission_Revenues!O99</f>
        <v>2526727.4698709706</v>
      </c>
      <c r="C47" s="138">
        <v>2654927.3345901789</v>
      </c>
      <c r="D47" s="126">
        <f t="shared" si="8"/>
        <v>-128199.86471920833</v>
      </c>
      <c r="E47" s="304">
        <f t="shared" si="9"/>
        <v>-4.8287522995049348E-2</v>
      </c>
      <c r="F47" s="129"/>
    </row>
    <row r="48" spans="1:6">
      <c r="A48" s="134" t="s">
        <v>191</v>
      </c>
      <c r="B48" s="138">
        <f>Transmission_Revenues!O100+Transmission_Revenues!O101</f>
        <v>224383.6</v>
      </c>
      <c r="C48" s="138">
        <v>227612.99603142127</v>
      </c>
      <c r="D48" s="126">
        <f t="shared" si="8"/>
        <v>-3229.39603142126</v>
      </c>
      <c r="E48" s="304">
        <f t="shared" si="9"/>
        <v>-1.4188100362140358E-2</v>
      </c>
      <c r="F48" s="129"/>
    </row>
    <row r="49" spans="1:7">
      <c r="A49" s="134" t="s">
        <v>257</v>
      </c>
      <c r="B49" s="138">
        <f>Transmission_Revenues!O102+Transmission_Revenues!O103</f>
        <v>131424.68</v>
      </c>
      <c r="C49" s="138">
        <v>139750.513615</v>
      </c>
      <c r="D49" s="126">
        <f t="shared" si="8"/>
        <v>-8325.8336150000105</v>
      </c>
      <c r="E49" s="304">
        <f t="shared" si="9"/>
        <v>-5.957640798327888E-2</v>
      </c>
      <c r="F49" s="129"/>
    </row>
    <row r="50" spans="1:7">
      <c r="A50" s="134" t="s">
        <v>286</v>
      </c>
      <c r="B50" s="138">
        <f>Transmission_Revenues!O104+Transmission_Revenues!O105</f>
        <v>936000.16</v>
      </c>
      <c r="C50" s="138">
        <v>1073375.7340199999</v>
      </c>
      <c r="D50" s="126">
        <f t="shared" ref="D50:D52" si="10">B50-C50</f>
        <v>-137375.57401999983</v>
      </c>
      <c r="E50" s="304">
        <f t="shared" ref="E50:E52" si="11">D50/C50</f>
        <v>-0.1279846093646087</v>
      </c>
      <c r="F50" s="129"/>
    </row>
    <row r="51" spans="1:7">
      <c r="A51" s="134" t="s">
        <v>306</v>
      </c>
      <c r="B51" s="138">
        <f>Transmission_Revenues!O106+Transmission_Revenues!O107+Transmission_Revenues!O108</f>
        <v>604756.69999999995</v>
      </c>
      <c r="C51" s="138">
        <v>1838081.5333800002</v>
      </c>
      <c r="D51" s="126">
        <f t="shared" si="10"/>
        <v>-1233324.8333800002</v>
      </c>
      <c r="E51" s="304">
        <f t="shared" si="11"/>
        <v>-0.67098483444968371</v>
      </c>
      <c r="F51" s="129" t="s">
        <v>437</v>
      </c>
    </row>
    <row r="52" spans="1:7">
      <c r="A52" s="134" t="s">
        <v>13</v>
      </c>
      <c r="B52" s="138">
        <f>Transmission_Revenues!O109</f>
        <v>0</v>
      </c>
      <c r="C52" s="138">
        <v>156095.51999999996</v>
      </c>
      <c r="D52" s="126">
        <f t="shared" si="10"/>
        <v>-156095.51999999996</v>
      </c>
      <c r="E52" s="304">
        <f t="shared" si="11"/>
        <v>-1</v>
      </c>
      <c r="F52" s="129" t="s">
        <v>455</v>
      </c>
      <c r="G52" s="181"/>
    </row>
    <row r="53" spans="1:7">
      <c r="A53" s="134" t="s">
        <v>362</v>
      </c>
      <c r="B53" s="138">
        <f>Transmission_Revenues!O110+Transmission_Revenues!O111+Transmission_Revenues!O112</f>
        <v>353954.72703999997</v>
      </c>
      <c r="C53" s="138"/>
      <c r="D53" s="126">
        <f t="shared" ref="D53:D58" si="12">B53-C53</f>
        <v>353954.72703999997</v>
      </c>
      <c r="E53" s="304" t="e">
        <f>D53/C53</f>
        <v>#DIV/0!</v>
      </c>
      <c r="F53" s="129" t="s">
        <v>442</v>
      </c>
    </row>
    <row r="54" spans="1:7">
      <c r="A54" s="134" t="s">
        <v>310</v>
      </c>
      <c r="B54" s="138">
        <f>Transmission_Revenues!O113+Transmission_Revenues!O114+Transmission_Revenues!O115</f>
        <v>1611870.8090600001</v>
      </c>
      <c r="C54" s="138">
        <v>1516494.9578600002</v>
      </c>
      <c r="D54" s="126">
        <f t="shared" si="12"/>
        <v>95375.851199999917</v>
      </c>
      <c r="E54" s="304">
        <f>D54/C54</f>
        <v>6.2892296941487638E-2</v>
      </c>
      <c r="F54" s="129"/>
      <c r="G54" s="181"/>
    </row>
    <row r="55" spans="1:7">
      <c r="A55" s="134" t="s">
        <v>14</v>
      </c>
      <c r="B55" s="138">
        <f>Transmission_Revenues!O116+Transmission_Revenues!O117</f>
        <v>8888270.3412800003</v>
      </c>
      <c r="C55" s="138">
        <v>8753640.1812800001</v>
      </c>
      <c r="D55" s="126">
        <f t="shared" si="12"/>
        <v>134630.16000000015</v>
      </c>
      <c r="E55" s="304">
        <f>D55/C55</f>
        <v>1.5379905640617029E-2</v>
      </c>
      <c r="F55" s="129"/>
      <c r="G55" s="181"/>
    </row>
    <row r="56" spans="1:7">
      <c r="A56" s="134" t="s">
        <v>75</v>
      </c>
      <c r="B56" s="138">
        <f>+Transmission_Revenues!O118</f>
        <v>545307.83999999985</v>
      </c>
      <c r="C56" s="138">
        <v>536840.64</v>
      </c>
      <c r="D56" s="126">
        <f t="shared" si="12"/>
        <v>8467.199999999837</v>
      </c>
      <c r="E56" s="304">
        <f>D56/C56</f>
        <v>1.5772278343159408E-2</v>
      </c>
      <c r="F56" s="129"/>
      <c r="G56" s="181"/>
    </row>
    <row r="57" spans="1:7">
      <c r="A57" s="182" t="s">
        <v>119</v>
      </c>
      <c r="B57" s="138">
        <f>Transmission_Revenues!O119</f>
        <v>86400</v>
      </c>
      <c r="C57" s="138">
        <v>86400</v>
      </c>
      <c r="D57" s="126">
        <f t="shared" si="12"/>
        <v>0</v>
      </c>
      <c r="E57" s="304">
        <f>D57/C57</f>
        <v>0</v>
      </c>
      <c r="F57" s="129"/>
    </row>
    <row r="58" spans="1:7">
      <c r="A58" s="134" t="s">
        <v>57</v>
      </c>
      <c r="B58" s="155">
        <f>Transmission_Revenues!O120+Transmission_Revenues!O121</f>
        <v>3665636.9700000007</v>
      </c>
      <c r="C58" s="155">
        <v>3702368.0900000003</v>
      </c>
      <c r="D58" s="126">
        <f t="shared" si="12"/>
        <v>-36731.119999999646</v>
      </c>
      <c r="E58" s="304">
        <f>D58/B58</f>
        <v>-1.0020392172113989E-2</v>
      </c>
      <c r="F58" s="129"/>
    </row>
    <row r="59" spans="1:7">
      <c r="A59" s="134" t="s">
        <v>79</v>
      </c>
      <c r="B59" s="138">
        <f>SUM(B38:B58)</f>
        <v>53991645.474081129</v>
      </c>
      <c r="C59" s="138">
        <v>55062349.896798238</v>
      </c>
      <c r="D59" s="286">
        <f>SUM(D38:D58)</f>
        <v>-1070704.4227171009</v>
      </c>
      <c r="E59" s="304">
        <f t="shared" ref="E59" si="13">D59/C59</f>
        <v>-1.9445309267110668E-2</v>
      </c>
      <c r="F59" s="129"/>
    </row>
    <row r="60" spans="1:7">
      <c r="A60" s="135"/>
      <c r="B60" s="140"/>
      <c r="C60" s="140"/>
      <c r="D60" s="128"/>
      <c r="E60" s="370"/>
      <c r="F60" s="129"/>
    </row>
    <row r="61" spans="1:7">
      <c r="A61" s="134"/>
      <c r="B61" s="138"/>
      <c r="C61" s="138"/>
      <c r="D61" s="126"/>
      <c r="E61" s="304"/>
      <c r="F61" s="129"/>
    </row>
    <row r="62" spans="1:7">
      <c r="A62" s="134" t="s">
        <v>128</v>
      </c>
      <c r="B62" s="139">
        <f>Transmission_Revenues!O125</f>
        <v>-6797123.0000000028</v>
      </c>
      <c r="C62" s="139">
        <v>-6797123.0000000028</v>
      </c>
      <c r="D62" s="126">
        <f>B62-C62</f>
        <v>0</v>
      </c>
      <c r="E62" s="304">
        <f>D62/C62</f>
        <v>0</v>
      </c>
      <c r="F62" s="479" t="s">
        <v>439</v>
      </c>
    </row>
    <row r="63" spans="1:7">
      <c r="A63" s="134"/>
      <c r="B63" s="139"/>
      <c r="C63" s="139"/>
      <c r="D63" s="127"/>
      <c r="E63" s="163"/>
      <c r="F63" s="129"/>
    </row>
    <row r="64" spans="1:7" ht="10.8" thickBot="1">
      <c r="A64" s="135" t="s">
        <v>142</v>
      </c>
      <c r="B64" s="160">
        <f>B59+B62</f>
        <v>47194522.474081129</v>
      </c>
      <c r="C64" s="160">
        <v>47659845.86790292</v>
      </c>
      <c r="D64" s="162">
        <f>B64-C64</f>
        <v>-465323.39382179081</v>
      </c>
      <c r="E64" s="164">
        <f>D64/C64</f>
        <v>-9.7634263256224305E-3</v>
      </c>
      <c r="F64" s="129"/>
    </row>
    <row r="65" spans="1:6" ht="10.8" thickTop="1">
      <c r="A65" s="134" t="s">
        <v>129</v>
      </c>
      <c r="B65" s="141">
        <f>B38+B42+B46+B40+B47+B48+B49+B50+B51+B62+B54</f>
        <v>32234852.553857516</v>
      </c>
      <c r="C65" s="141">
        <f>C38+C42+C46+C40+C47+C48+C49+C50+C51+C62+C55</f>
        <v>40847191.257356562</v>
      </c>
      <c r="D65" s="177">
        <f>B65-C65</f>
        <v>-8612338.7034990452</v>
      </c>
      <c r="E65" s="178">
        <f>D65/C65</f>
        <v>-0.21084286185645548</v>
      </c>
      <c r="F65" s="130"/>
    </row>
    <row r="66" spans="1:6" ht="40.799999999999997">
      <c r="A66" s="161" t="s">
        <v>174</v>
      </c>
      <c r="B66" s="125" t="str">
        <f>B36</f>
        <v xml:space="preserve">2015-2020 Forecast Updated October 2015 </v>
      </c>
      <c r="C66" s="125" t="str">
        <f>C36</f>
        <v>2014-2020 Forecast Provided December 2014 New Methodology</v>
      </c>
      <c r="D66" s="124" t="s">
        <v>90</v>
      </c>
      <c r="E66" s="124" t="s">
        <v>91</v>
      </c>
      <c r="F66" s="124"/>
    </row>
    <row r="67" spans="1:6">
      <c r="A67" s="133"/>
      <c r="B67" s="137"/>
      <c r="C67" s="137"/>
      <c r="D67" s="131"/>
      <c r="E67" s="132"/>
      <c r="F67" s="132"/>
    </row>
    <row r="68" spans="1:6">
      <c r="A68" s="134" t="s">
        <v>77</v>
      </c>
      <c r="B68" s="138">
        <f>Transmission_Revenues!O131+Transmission_Revenues!O132</f>
        <v>7947131.79684</v>
      </c>
      <c r="C68" s="138">
        <v>7969496.4308000011</v>
      </c>
      <c r="D68" s="126">
        <f t="shared" ref="D68" si="14">B68-C68</f>
        <v>-22364.633960001171</v>
      </c>
      <c r="E68" s="304">
        <f t="shared" ref="E68" si="15">D68/C68</f>
        <v>-2.8062794373767156E-3</v>
      </c>
      <c r="F68" s="129"/>
    </row>
    <row r="69" spans="1:6">
      <c r="A69" s="134" t="s">
        <v>73</v>
      </c>
      <c r="B69" s="138">
        <f>Transmission_Revenues!O133</f>
        <v>347092.62000000011</v>
      </c>
      <c r="C69" s="138">
        <v>348069.4</v>
      </c>
      <c r="D69" s="126">
        <f t="shared" ref="D69:D90" si="16">B69-C69</f>
        <v>-976.77999999991152</v>
      </c>
      <c r="E69" s="304">
        <f t="shared" ref="E69:E90" si="17">D69/C69</f>
        <v>-2.8062794373763149E-3</v>
      </c>
      <c r="F69" s="129"/>
    </row>
    <row r="70" spans="1:6">
      <c r="A70" s="182" t="s">
        <v>120</v>
      </c>
      <c r="B70" s="138">
        <f>Transmission_Revenues!O134+Transmission_Revenues!O135</f>
        <v>2861584.8864200003</v>
      </c>
      <c r="C70" s="138">
        <v>2861584.8864200003</v>
      </c>
      <c r="D70" s="126">
        <f t="shared" si="16"/>
        <v>0</v>
      </c>
      <c r="E70" s="304">
        <f t="shared" si="17"/>
        <v>0</v>
      </c>
      <c r="F70" s="129"/>
    </row>
    <row r="71" spans="1:6">
      <c r="A71" s="182" t="s">
        <v>121</v>
      </c>
      <c r="B71" s="138">
        <f>Transmission_Revenues!O136</f>
        <v>179971.6464</v>
      </c>
      <c r="C71" s="138">
        <v>179971.6464</v>
      </c>
      <c r="D71" s="126">
        <f t="shared" si="16"/>
        <v>0</v>
      </c>
      <c r="E71" s="304">
        <f t="shared" si="17"/>
        <v>0</v>
      </c>
      <c r="F71" s="129"/>
    </row>
    <row r="72" spans="1:6">
      <c r="A72" s="134" t="s">
        <v>78</v>
      </c>
      <c r="B72" s="138">
        <f>Transmission_Revenues!O137+Transmission_Revenues!O138</f>
        <v>8197641.9710239442</v>
      </c>
      <c r="C72" s="138">
        <v>8732921.2061334718</v>
      </c>
      <c r="D72" s="126">
        <f t="shared" si="16"/>
        <v>-535279.2351095276</v>
      </c>
      <c r="E72" s="304">
        <f t="shared" si="17"/>
        <v>-6.1294407962089487E-2</v>
      </c>
      <c r="F72" s="129"/>
    </row>
    <row r="73" spans="1:6">
      <c r="A73" s="134" t="s">
        <v>74</v>
      </c>
      <c r="B73" s="138">
        <f>Transmission_Revenues!O139</f>
        <v>102295.34386143657</v>
      </c>
      <c r="C73" s="138">
        <v>108974.89556800814</v>
      </c>
      <c r="D73" s="126">
        <f t="shared" si="16"/>
        <v>-6679.5517065715685</v>
      </c>
      <c r="E73" s="304">
        <f t="shared" si="17"/>
        <v>-6.1294407962089299E-2</v>
      </c>
      <c r="F73" s="129"/>
    </row>
    <row r="74" spans="1:6">
      <c r="A74" s="134" t="s">
        <v>56</v>
      </c>
      <c r="B74" s="138">
        <f>Transmission_Revenues!O140</f>
        <v>332679.80253897089</v>
      </c>
      <c r="C74" s="138">
        <v>354402.70662149769</v>
      </c>
      <c r="D74" s="126">
        <f t="shared" si="16"/>
        <v>-21722.904082526802</v>
      </c>
      <c r="E74" s="304">
        <f t="shared" si="17"/>
        <v>-6.1294407962089514E-2</v>
      </c>
      <c r="F74" s="129"/>
    </row>
    <row r="75" spans="1:6">
      <c r="A75" s="182" t="s">
        <v>260</v>
      </c>
      <c r="B75" s="138">
        <f>Transmission_Revenues!O141</f>
        <v>266143.2900000001</v>
      </c>
      <c r="C75" s="138">
        <v>266143.2900000001</v>
      </c>
      <c r="D75" s="126">
        <f t="shared" si="16"/>
        <v>0</v>
      </c>
      <c r="E75" s="304">
        <f t="shared" si="17"/>
        <v>0</v>
      </c>
      <c r="F75" s="129"/>
    </row>
    <row r="76" spans="1:6">
      <c r="A76" s="134" t="s">
        <v>124</v>
      </c>
      <c r="B76" s="138">
        <f>Transmission_Revenues!O142+Transmission_Revenues!O143</f>
        <v>13121303.314182486</v>
      </c>
      <c r="C76" s="138">
        <v>13768573.2362046</v>
      </c>
      <c r="D76" s="126">
        <f t="shared" si="16"/>
        <v>-647269.92202211358</v>
      </c>
      <c r="E76" s="304">
        <f t="shared" si="17"/>
        <v>-4.7010675029138888E-2</v>
      </c>
      <c r="F76" s="129"/>
    </row>
    <row r="77" spans="1:6">
      <c r="A77" s="134" t="s">
        <v>177</v>
      </c>
      <c r="B77" s="138">
        <f>Transmission_Revenues!O144+Transmission_Revenues!O145</f>
        <v>2543400.7044760501</v>
      </c>
      <c r="C77" s="138">
        <v>2668469.6688860068</v>
      </c>
      <c r="D77" s="126">
        <f t="shared" si="16"/>
        <v>-125068.96440995671</v>
      </c>
      <c r="E77" s="304">
        <f t="shared" si="17"/>
        <v>-4.6869172195675976E-2</v>
      </c>
      <c r="F77" s="129"/>
    </row>
    <row r="78" spans="1:6">
      <c r="A78" s="134" t="s">
        <v>191</v>
      </c>
      <c r="B78" s="138">
        <f>Transmission_Revenues!O146+Transmission_Revenues!O147</f>
        <v>250027.44</v>
      </c>
      <c r="C78" s="138">
        <v>227612.99603142127</v>
      </c>
      <c r="D78" s="126">
        <f t="shared" si="16"/>
        <v>22414.443968578737</v>
      </c>
      <c r="E78" s="304">
        <f t="shared" si="17"/>
        <v>9.8476116739329295E-2</v>
      </c>
      <c r="F78" s="129"/>
    </row>
    <row r="79" spans="1:6">
      <c r="A79" s="134" t="s">
        <v>257</v>
      </c>
      <c r="B79" s="138">
        <f>Transmission_Revenues!O148+Transmission_Revenues!O149</f>
        <v>173095.92</v>
      </c>
      <c r="C79" s="138">
        <v>139997.93660250001</v>
      </c>
      <c r="D79" s="126">
        <f t="shared" si="16"/>
        <v>33097.983397500007</v>
      </c>
      <c r="E79" s="304">
        <f t="shared" si="17"/>
        <v>0.23641765157922306</v>
      </c>
      <c r="F79" s="129"/>
    </row>
    <row r="80" spans="1:6">
      <c r="A80" s="134" t="s">
        <v>286</v>
      </c>
      <c r="B80" s="138">
        <f>Transmission_Revenues!O150+Transmission_Revenues!O151</f>
        <v>1153972.8</v>
      </c>
      <c r="C80" s="138">
        <v>1122155.7669599999</v>
      </c>
      <c r="D80" s="126">
        <f t="shared" ref="D80:D86" si="18">B80-C80</f>
        <v>31817.033040000126</v>
      </c>
      <c r="E80" s="304">
        <f t="shared" ref="E80:E86" si="19">D80/C80</f>
        <v>2.8353490644346765E-2</v>
      </c>
      <c r="F80" s="129"/>
    </row>
    <row r="81" spans="1:7">
      <c r="A81" s="134" t="s">
        <v>306</v>
      </c>
      <c r="B81" s="138">
        <f>Transmission_Revenues!O152+Transmission_Revenues!O153+Transmission_Revenues!O154</f>
        <v>655862.9</v>
      </c>
      <c r="C81" s="138">
        <v>1857660.6052200003</v>
      </c>
      <c r="D81" s="126">
        <f t="shared" si="18"/>
        <v>-1201797.7052200004</v>
      </c>
      <c r="E81" s="304">
        <f t="shared" si="19"/>
        <v>-0.64694148212163494</v>
      </c>
      <c r="F81" s="129" t="s">
        <v>437</v>
      </c>
    </row>
    <row r="82" spans="1:7">
      <c r="A82" s="134" t="s">
        <v>13</v>
      </c>
      <c r="B82" s="138">
        <f>Transmission_Revenues!O155</f>
        <v>0</v>
      </c>
      <c r="C82" s="138">
        <v>156095.51999999996</v>
      </c>
      <c r="D82" s="126">
        <f t="shared" si="18"/>
        <v>-156095.51999999996</v>
      </c>
      <c r="E82" s="304">
        <f t="shared" si="19"/>
        <v>-1</v>
      </c>
      <c r="F82" s="129"/>
      <c r="G82" s="181"/>
    </row>
    <row r="83" spans="1:7">
      <c r="A83" s="134" t="s">
        <v>362</v>
      </c>
      <c r="B83" s="138">
        <f>Transmission_Revenues!O156+Transmission_Revenues!O157+Transmission_Revenues!O158</f>
        <v>359416.27627999999</v>
      </c>
      <c r="C83" s="138"/>
      <c r="D83" s="126">
        <f t="shared" si="18"/>
        <v>359416.27627999999</v>
      </c>
      <c r="E83" s="304" t="e">
        <f t="shared" si="19"/>
        <v>#DIV/0!</v>
      </c>
      <c r="F83" s="129" t="s">
        <v>441</v>
      </c>
    </row>
    <row r="84" spans="1:7">
      <c r="A84" s="134" t="s">
        <v>310</v>
      </c>
      <c r="B84" s="138">
        <f>Transmission_Revenues!O159+Transmission_Revenues!O160+Transmission_Revenues!O161</f>
        <v>1632904.0795449133</v>
      </c>
      <c r="C84" s="138">
        <v>1536085.2488800001</v>
      </c>
      <c r="D84" s="126">
        <f t="shared" si="18"/>
        <v>96818.83066491317</v>
      </c>
      <c r="E84" s="304">
        <f t="shared" si="19"/>
        <v>6.3029594702186165E-2</v>
      </c>
      <c r="F84" s="129"/>
      <c r="G84" s="181"/>
    </row>
    <row r="85" spans="1:7">
      <c r="A85" s="134" t="s">
        <v>421</v>
      </c>
      <c r="B85" s="138">
        <f>Transmission_Revenues!O162+Transmission_Revenues!O163+Transmission_Revenues!O164</f>
        <v>223163.74</v>
      </c>
      <c r="C85" s="138"/>
      <c r="D85" s="126">
        <f t="shared" si="18"/>
        <v>223163.74</v>
      </c>
      <c r="E85" s="304" t="e">
        <f t="shared" si="19"/>
        <v>#DIV/0!</v>
      </c>
      <c r="F85" s="129" t="s">
        <v>440</v>
      </c>
      <c r="G85" s="181"/>
    </row>
    <row r="86" spans="1:7">
      <c r="A86" s="134" t="s">
        <v>433</v>
      </c>
      <c r="B86" s="138">
        <f>Transmission_Revenues!O165+Transmission_Revenues!O166</f>
        <v>444572.0921596</v>
      </c>
      <c r="C86" s="138"/>
      <c r="D86" s="126">
        <f t="shared" si="18"/>
        <v>444572.0921596</v>
      </c>
      <c r="E86" s="304" t="e">
        <f t="shared" si="19"/>
        <v>#DIV/0!</v>
      </c>
      <c r="F86" s="129" t="s">
        <v>440</v>
      </c>
      <c r="G86" s="181"/>
    </row>
    <row r="87" spans="1:7">
      <c r="A87" s="134" t="s">
        <v>14</v>
      </c>
      <c r="B87" s="138">
        <f>Transmission_Revenues!O167+Transmission_Revenues!O168</f>
        <v>6242146.6012800001</v>
      </c>
      <c r="C87" s="138">
        <v>6097900.0012800004</v>
      </c>
      <c r="D87" s="126">
        <f t="shared" ref="D87" si="20">B87-C87</f>
        <v>144246.59999999963</v>
      </c>
      <c r="E87" s="304">
        <f t="shared" ref="E87" si="21">D87/C87</f>
        <v>2.3655127169963604E-2</v>
      </c>
      <c r="F87" s="129"/>
      <c r="G87" s="181"/>
    </row>
    <row r="88" spans="1:7">
      <c r="A88" s="134" t="s">
        <v>75</v>
      </c>
      <c r="B88" s="138">
        <f>Transmission_Revenues!O169</f>
        <v>378887.03999999992</v>
      </c>
      <c r="C88" s="138">
        <v>369815.03999999998</v>
      </c>
      <c r="D88" s="126">
        <f t="shared" si="16"/>
        <v>9071.9999999999418</v>
      </c>
      <c r="E88" s="304">
        <f t="shared" si="17"/>
        <v>2.4531181857828016E-2</v>
      </c>
      <c r="F88" s="129"/>
      <c r="G88" s="181"/>
    </row>
    <row r="89" spans="1:7">
      <c r="A89" s="182" t="s">
        <v>119</v>
      </c>
      <c r="B89" s="138">
        <f>Transmission_Revenues!O170</f>
        <v>86400</v>
      </c>
      <c r="C89" s="138">
        <v>86400</v>
      </c>
      <c r="D89" s="126">
        <f t="shared" si="16"/>
        <v>0</v>
      </c>
      <c r="E89" s="304">
        <f t="shared" si="17"/>
        <v>0</v>
      </c>
      <c r="F89" s="129"/>
    </row>
    <row r="90" spans="1:7">
      <c r="A90" s="134" t="s">
        <v>57</v>
      </c>
      <c r="B90" s="155">
        <f>Transmission_Revenues!O171+Transmission_Revenues!O172</f>
        <v>3665636.9700000007</v>
      </c>
      <c r="C90" s="155">
        <v>3702368.0900000003</v>
      </c>
      <c r="D90" s="126">
        <f t="shared" si="16"/>
        <v>-36731.119999999646</v>
      </c>
      <c r="E90" s="304">
        <f t="shared" si="17"/>
        <v>-9.9209800611693485E-3</v>
      </c>
      <c r="F90" s="129"/>
    </row>
    <row r="91" spans="1:7">
      <c r="A91" s="134" t="s">
        <v>79</v>
      </c>
      <c r="B91" s="138">
        <f>SUM(B68:B90)</f>
        <v>51165331.235007398</v>
      </c>
      <c r="C91" s="138">
        <v>52554698.572007515</v>
      </c>
      <c r="D91" s="286">
        <f>SUM(D68:D90)</f>
        <v>-1389367.3370001058</v>
      </c>
      <c r="E91" s="304">
        <f t="shared" ref="E91" si="22">D91/C91</f>
        <v>-2.6436596056135155E-2</v>
      </c>
      <c r="F91" s="129"/>
    </row>
    <row r="92" spans="1:7">
      <c r="A92" s="135"/>
      <c r="B92" s="140"/>
      <c r="C92" s="140"/>
      <c r="D92" s="128"/>
      <c r="E92" s="370"/>
      <c r="F92" s="129"/>
    </row>
    <row r="93" spans="1:7">
      <c r="A93" s="134"/>
      <c r="B93" s="138"/>
      <c r="C93" s="138"/>
      <c r="D93" s="126"/>
      <c r="E93" s="304"/>
      <c r="F93" s="129"/>
    </row>
    <row r="94" spans="1:7">
      <c r="A94" s="134" t="s">
        <v>128</v>
      </c>
      <c r="B94" s="139">
        <f>Transmission_Revenues!O176</f>
        <v>-6797123.0000000028</v>
      </c>
      <c r="C94" s="139">
        <v>-6797123.0000000028</v>
      </c>
      <c r="D94" s="126">
        <f>B94-C94</f>
        <v>0</v>
      </c>
      <c r="E94" s="304">
        <f>D94/C94</f>
        <v>0</v>
      </c>
      <c r="F94" s="479" t="s">
        <v>439</v>
      </c>
    </row>
    <row r="95" spans="1:7">
      <c r="A95" s="134"/>
      <c r="B95" s="139"/>
      <c r="C95" s="139"/>
      <c r="D95" s="127"/>
      <c r="E95" s="163"/>
      <c r="F95" s="129"/>
    </row>
    <row r="96" spans="1:7" ht="10.8" thickBot="1">
      <c r="A96" s="135" t="s">
        <v>175</v>
      </c>
      <c r="B96" s="160">
        <f>B91+B94</f>
        <v>44368208.235007398</v>
      </c>
      <c r="C96" s="160">
        <v>44534791.525487833</v>
      </c>
      <c r="D96" s="162">
        <f>B96-C96</f>
        <v>-166583.29048043489</v>
      </c>
      <c r="E96" s="164">
        <f>D96/C96</f>
        <v>-3.7405202713275787E-3</v>
      </c>
      <c r="F96" s="129"/>
    </row>
    <row r="97" spans="1:6" ht="10.8" thickTop="1">
      <c r="A97" s="136" t="s">
        <v>129</v>
      </c>
      <c r="B97" s="141">
        <f>B68+B72+B76+B70+B77+B78+B79+B80+B81+B84+B94</f>
        <v>31739802.81248739</v>
      </c>
      <c r="C97" s="141">
        <v>36119857.397107683</v>
      </c>
      <c r="D97" s="177">
        <f>B97-C97</f>
        <v>-4380054.5846202932</v>
      </c>
      <c r="E97" s="178">
        <f>D97/C97</f>
        <v>-0.1212644484297169</v>
      </c>
      <c r="F97" s="130"/>
    </row>
    <row r="98" spans="1:6" ht="40.799999999999997">
      <c r="A98" s="161" t="s">
        <v>202</v>
      </c>
      <c r="B98" s="125" t="str">
        <f>B66</f>
        <v xml:space="preserve">2015-2020 Forecast Updated October 2015 </v>
      </c>
      <c r="C98" s="125" t="s">
        <v>363</v>
      </c>
      <c r="D98" s="124" t="s">
        <v>90</v>
      </c>
      <c r="E98" s="124" t="s">
        <v>91</v>
      </c>
      <c r="F98" s="124"/>
    </row>
    <row r="99" spans="1:6">
      <c r="A99" s="133"/>
      <c r="B99" s="137"/>
      <c r="C99" s="180"/>
      <c r="D99" s="131"/>
      <c r="E99" s="132"/>
      <c r="F99" s="132"/>
    </row>
    <row r="100" spans="1:6">
      <c r="A100" s="134" t="s">
        <v>77</v>
      </c>
      <c r="B100" s="138">
        <f>Transmission_Revenues!O182+Transmission_Revenues!O183</f>
        <v>8012914.657399999</v>
      </c>
      <c r="C100" s="180">
        <v>8035115.8118799999</v>
      </c>
      <c r="D100" s="126">
        <f t="shared" ref="D100" si="23">B100-C100</f>
        <v>-22201.154480000958</v>
      </c>
      <c r="E100" s="304">
        <f t="shared" ref="E100:E123" si="24">D100/C100</f>
        <v>-2.7630161157324363E-3</v>
      </c>
      <c r="F100" s="129"/>
    </row>
    <row r="101" spans="1:6">
      <c r="A101" s="134" t="s">
        <v>73</v>
      </c>
      <c r="B101" s="138">
        <f>Transmission_Revenues!O184</f>
        <v>349965.69999999995</v>
      </c>
      <c r="C101" s="180">
        <v>350935.33999999997</v>
      </c>
      <c r="D101" s="126">
        <f t="shared" ref="D101:D122" si="25">B101-C101</f>
        <v>-969.64000000001397</v>
      </c>
      <c r="E101" s="304">
        <f t="shared" ref="E101:E122" si="26">D101/C101</f>
        <v>-2.7630161157323569E-3</v>
      </c>
      <c r="F101" s="129"/>
    </row>
    <row r="102" spans="1:6">
      <c r="A102" s="134" t="s">
        <v>120</v>
      </c>
      <c r="B102" s="138">
        <f>Transmission_Revenues!O185+Transmission_Revenues!O186</f>
        <v>2889337.9322600001</v>
      </c>
      <c r="C102" s="180">
        <v>2892602.7136399997</v>
      </c>
      <c r="D102" s="126">
        <f t="shared" si="25"/>
        <v>-3264.7813799995929</v>
      </c>
      <c r="E102" s="304">
        <f t="shared" si="26"/>
        <v>-1.1286656700571405E-3</v>
      </c>
      <c r="F102" s="129"/>
    </row>
    <row r="103" spans="1:6">
      <c r="A103" s="134" t="s">
        <v>121</v>
      </c>
      <c r="B103" s="138">
        <f>Transmission_Revenues!O187</f>
        <v>181717.09920000003</v>
      </c>
      <c r="C103" s="180">
        <v>181922.42880000002</v>
      </c>
      <c r="D103" s="126">
        <f t="shared" si="25"/>
        <v>-205.3295999999973</v>
      </c>
      <c r="E103" s="304">
        <f t="shared" si="26"/>
        <v>-1.128665670057266E-3</v>
      </c>
      <c r="F103" s="129"/>
    </row>
    <row r="104" spans="1:6">
      <c r="A104" s="134" t="s">
        <v>78</v>
      </c>
      <c r="B104" s="138">
        <f>Transmission_Revenues!O188+Transmission_Revenues!O189</f>
        <v>8315883.849169638</v>
      </c>
      <c r="C104" s="180">
        <v>8971720.4849108495</v>
      </c>
      <c r="D104" s="126">
        <f t="shared" si="25"/>
        <v>-655836.63574121147</v>
      </c>
      <c r="E104" s="304">
        <f t="shared" si="26"/>
        <v>-7.3100431165263657E-2</v>
      </c>
      <c r="F104" s="129"/>
    </row>
    <row r="105" spans="1:6">
      <c r="A105" s="134" t="s">
        <v>74</v>
      </c>
      <c r="B105" s="138">
        <f>Transmission_Revenues!O190</f>
        <v>103770.84055017828</v>
      </c>
      <c r="C105" s="180">
        <v>111954.78349465104</v>
      </c>
      <c r="D105" s="126">
        <f t="shared" si="25"/>
        <v>-8183.9429444727575</v>
      </c>
      <c r="E105" s="304">
        <f t="shared" si="26"/>
        <v>-7.3100431165263866E-2</v>
      </c>
      <c r="F105" s="129"/>
    </row>
    <row r="106" spans="1:6">
      <c r="A106" s="134" t="s">
        <v>56</v>
      </c>
      <c r="B106" s="138">
        <f>Transmission_Revenues!O191</f>
        <v>337478.33909526229</v>
      </c>
      <c r="C106" s="180">
        <v>364093.74914212927</v>
      </c>
      <c r="D106" s="126">
        <f t="shared" si="25"/>
        <v>-26615.410046866979</v>
      </c>
      <c r="E106" s="304">
        <f t="shared" si="26"/>
        <v>-7.3100431165263616E-2</v>
      </c>
      <c r="F106" s="129"/>
    </row>
    <row r="107" spans="1:6">
      <c r="A107" s="182" t="s">
        <v>260</v>
      </c>
      <c r="B107" s="138">
        <f>Transmission_Revenues!O192</f>
        <v>247682.59000000003</v>
      </c>
      <c r="C107" s="180">
        <v>247682.59000000003</v>
      </c>
      <c r="D107" s="126">
        <f t="shared" si="25"/>
        <v>0</v>
      </c>
      <c r="E107" s="304">
        <f t="shared" si="26"/>
        <v>0</v>
      </c>
      <c r="F107" s="129"/>
    </row>
    <row r="108" spans="1:6">
      <c r="A108" s="134" t="s">
        <v>124</v>
      </c>
      <c r="B108" s="138">
        <f>Transmission_Revenues!O193+Transmission_Revenues!O194</f>
        <v>13053820.30645914</v>
      </c>
      <c r="C108" s="180">
        <v>13814959.032078998</v>
      </c>
      <c r="D108" s="126">
        <f t="shared" si="25"/>
        <v>-761138.72561985813</v>
      </c>
      <c r="E108" s="304">
        <f t="shared" si="26"/>
        <v>-5.5095257528629468E-2</v>
      </c>
      <c r="F108" s="129"/>
    </row>
    <row r="109" spans="1:6">
      <c r="A109" s="134" t="s">
        <v>177</v>
      </c>
      <c r="B109" s="138">
        <f>Transmission_Revenues!O195+Transmission_Revenues!O196</f>
        <v>2570467.9942055549</v>
      </c>
      <c r="C109" s="180">
        <v>2682078.0875095204</v>
      </c>
      <c r="D109" s="126">
        <f t="shared" si="25"/>
        <v>-111610.0933039654</v>
      </c>
      <c r="E109" s="304">
        <f t="shared" si="26"/>
        <v>-4.1613290017071224E-2</v>
      </c>
      <c r="F109" s="129"/>
    </row>
    <row r="110" spans="1:6">
      <c r="A110" s="134" t="s">
        <v>191</v>
      </c>
      <c r="B110" s="138">
        <f>Transmission_Revenues!O197+Transmission_Revenues!O198</f>
        <v>20832.611683848798</v>
      </c>
      <c r="C110" s="180">
        <v>16376.8676806319</v>
      </c>
      <c r="D110" s="126">
        <f t="shared" si="25"/>
        <v>4455.7440032168979</v>
      </c>
      <c r="E110" s="304">
        <f t="shared" si="26"/>
        <v>0.27207547194671927</v>
      </c>
      <c r="F110" s="129" t="s">
        <v>445</v>
      </c>
    </row>
    <row r="111" spans="1:6">
      <c r="A111" s="134" t="s">
        <v>257</v>
      </c>
      <c r="B111" s="138">
        <f>Transmission_Revenues!O199+Transmission_Revenues!O200</f>
        <v>14424.66</v>
      </c>
      <c r="C111" s="180">
        <v>54464.711365000003</v>
      </c>
      <c r="D111" s="126">
        <f>B111-C111</f>
        <v>-40040.051365000007</v>
      </c>
      <c r="E111" s="304">
        <f>D111/C111</f>
        <v>-0.73515585342347856</v>
      </c>
      <c r="F111" s="129" t="s">
        <v>446</v>
      </c>
    </row>
    <row r="112" spans="1:6">
      <c r="A112" s="134" t="s">
        <v>286</v>
      </c>
      <c r="B112" s="138">
        <f>Transmission_Revenues!O201+Transmission_Revenues!O202</f>
        <v>1099808.6889329599</v>
      </c>
      <c r="C112" s="180">
        <v>69833.222939999992</v>
      </c>
      <c r="D112" s="126">
        <f t="shared" ref="D112:D118" si="27">B112-C112</f>
        <v>1029975.4659929599</v>
      </c>
      <c r="E112" s="304">
        <f t="shared" ref="E112:E118" si="28">D112/C112</f>
        <v>14.749075334499519</v>
      </c>
      <c r="F112" s="129" t="s">
        <v>443</v>
      </c>
    </row>
    <row r="113" spans="1:7">
      <c r="A113" s="134" t="s">
        <v>306</v>
      </c>
      <c r="B113" s="138">
        <f>Transmission_Revenues!O203+Transmission_Revenues!O204+Transmission_Revenues!O205</f>
        <v>672898.3</v>
      </c>
      <c r="C113" s="180">
        <v>1877258.9099399999</v>
      </c>
      <c r="D113" s="126">
        <f t="shared" si="27"/>
        <v>-1204360.6099399999</v>
      </c>
      <c r="E113" s="304">
        <f t="shared" si="28"/>
        <v>-0.64155274670050344</v>
      </c>
      <c r="F113" s="129" t="s">
        <v>437</v>
      </c>
    </row>
    <row r="114" spans="1:7">
      <c r="A114" s="134" t="s">
        <v>13</v>
      </c>
      <c r="B114" s="138">
        <f>Transmission_Revenues!O206</f>
        <v>0</v>
      </c>
      <c r="C114" s="180">
        <v>156095.51999999996</v>
      </c>
      <c r="D114" s="126"/>
      <c r="E114" s="304">
        <f t="shared" si="28"/>
        <v>0</v>
      </c>
      <c r="F114" s="129"/>
    </row>
    <row r="115" spans="1:7">
      <c r="A115" s="134" t="s">
        <v>362</v>
      </c>
      <c r="B115" s="138">
        <f>Transmission_Revenues!O207+Transmission_Revenues!O208+Transmission_Revenues!O209</f>
        <v>368935.65779999999</v>
      </c>
      <c r="C115" s="180"/>
      <c r="D115" s="126">
        <f t="shared" si="27"/>
        <v>368935.65779999999</v>
      </c>
      <c r="E115" s="304" t="e">
        <f t="shared" si="28"/>
        <v>#DIV/0!</v>
      </c>
      <c r="F115" s="129" t="s">
        <v>441</v>
      </c>
      <c r="G115" s="181"/>
    </row>
    <row r="116" spans="1:7">
      <c r="A116" s="134" t="s">
        <v>310</v>
      </c>
      <c r="B116" s="138">
        <f>Transmission_Revenues!O210+Transmission_Revenues!O211+Transmission_Revenues!O212</f>
        <v>1640182.222357685</v>
      </c>
      <c r="C116" s="180">
        <v>1555672.33442</v>
      </c>
      <c r="D116" s="126">
        <f t="shared" si="27"/>
        <v>84509.887937685009</v>
      </c>
      <c r="E116" s="304">
        <f t="shared" si="28"/>
        <v>5.4323706906565745E-2</v>
      </c>
      <c r="F116" s="129"/>
      <c r="G116" s="181"/>
    </row>
    <row r="117" spans="1:7">
      <c r="A117" s="134" t="s">
        <v>421</v>
      </c>
      <c r="B117" s="138">
        <f>Transmission_Revenues!O213+Transmission_Revenues!O214+Transmission_Revenues!O215</f>
        <v>233384.98</v>
      </c>
      <c r="C117" s="180"/>
      <c r="D117" s="126">
        <f t="shared" si="27"/>
        <v>233384.98</v>
      </c>
      <c r="E117" s="304" t="e">
        <f t="shared" si="28"/>
        <v>#DIV/0!</v>
      </c>
      <c r="F117" s="129" t="s">
        <v>440</v>
      </c>
      <c r="G117" s="181"/>
    </row>
    <row r="118" spans="1:7">
      <c r="A118" s="134" t="s">
        <v>433</v>
      </c>
      <c r="B118" s="138">
        <f>Transmission_Revenues!O216+Transmission_Revenues!O217</f>
        <v>444572.0921596</v>
      </c>
      <c r="C118" s="180"/>
      <c r="D118" s="126">
        <f t="shared" si="27"/>
        <v>444572.0921596</v>
      </c>
      <c r="E118" s="304" t="e">
        <f t="shared" si="28"/>
        <v>#DIV/0!</v>
      </c>
      <c r="F118" s="129" t="s">
        <v>440</v>
      </c>
      <c r="G118" s="181"/>
    </row>
    <row r="119" spans="1:7">
      <c r="A119" s="134" t="s">
        <v>14</v>
      </c>
      <c r="B119" s="138">
        <f>Transmission_Revenues!O218+Transmission_Revenues!O219</f>
        <v>5713242.4012800008</v>
      </c>
      <c r="C119" s="180">
        <v>5520913.6012800001</v>
      </c>
      <c r="D119" s="126">
        <f t="shared" si="25"/>
        <v>192328.80000000075</v>
      </c>
      <c r="E119" s="304">
        <f t="shared" si="26"/>
        <v>3.4836408226966299E-2</v>
      </c>
      <c r="F119" s="129"/>
      <c r="G119" s="181"/>
    </row>
    <row r="120" spans="1:7">
      <c r="A120" s="134" t="s">
        <v>75</v>
      </c>
      <c r="B120" s="138">
        <f>Transmission_Revenues!O220</f>
        <v>345623.03999999986</v>
      </c>
      <c r="C120" s="180">
        <v>333527.03999999986</v>
      </c>
      <c r="D120" s="126">
        <f t="shared" si="25"/>
        <v>12096</v>
      </c>
      <c r="E120" s="304">
        <f t="shared" si="26"/>
        <v>3.6266924564796924E-2</v>
      </c>
      <c r="F120" s="129"/>
      <c r="G120" s="181"/>
    </row>
    <row r="121" spans="1:7">
      <c r="A121" s="134" t="s">
        <v>119</v>
      </c>
      <c r="B121" s="138">
        <f>Transmission_Revenues!O221</f>
        <v>86400</v>
      </c>
      <c r="C121" s="180">
        <v>86400</v>
      </c>
      <c r="D121" s="126">
        <f t="shared" si="25"/>
        <v>0</v>
      </c>
      <c r="E121" s="304">
        <f t="shared" si="26"/>
        <v>0</v>
      </c>
      <c r="F121" s="129"/>
    </row>
    <row r="122" spans="1:7">
      <c r="A122" s="134" t="s">
        <v>57</v>
      </c>
      <c r="B122" s="155">
        <f>Transmission_Revenues!O222+Transmission_Revenues!O223</f>
        <v>3665636.9700000007</v>
      </c>
      <c r="C122" s="379">
        <v>3702368.0900000003</v>
      </c>
      <c r="D122" s="126">
        <f t="shared" si="25"/>
        <v>-36731.119999999646</v>
      </c>
      <c r="E122" s="304">
        <f t="shared" si="26"/>
        <v>-9.9209800611693485E-3</v>
      </c>
      <c r="F122" s="129"/>
    </row>
    <row r="123" spans="1:7">
      <c r="A123" s="134" t="s">
        <v>79</v>
      </c>
      <c r="B123" s="138">
        <f>SUM(B100:B122)</f>
        <v>50368980.932553843</v>
      </c>
      <c r="C123" s="138">
        <v>51025975.319081776</v>
      </c>
      <c r="D123" s="286">
        <f>SUM(D100:D122)</f>
        <v>-500898.86652791221</v>
      </c>
      <c r="E123" s="304">
        <f t="shared" si="24"/>
        <v>-9.8165466391505717E-3</v>
      </c>
      <c r="F123" s="129"/>
    </row>
    <row r="124" spans="1:7">
      <c r="A124" s="135"/>
      <c r="B124" s="140"/>
      <c r="C124" s="180"/>
      <c r="D124" s="128"/>
      <c r="E124" s="370"/>
      <c r="F124" s="129"/>
    </row>
    <row r="125" spans="1:7">
      <c r="A125" s="134"/>
      <c r="B125" s="138"/>
      <c r="C125" s="180"/>
      <c r="D125" s="126"/>
      <c r="E125" s="304"/>
      <c r="F125" s="129"/>
    </row>
    <row r="126" spans="1:7">
      <c r="A126" s="134" t="s">
        <v>128</v>
      </c>
      <c r="B126" s="139">
        <f>Transmission_Revenues!O227</f>
        <v>-6797123.0000000028</v>
      </c>
      <c r="C126" s="180">
        <v>-6797123.0000000028</v>
      </c>
      <c r="D126" s="126">
        <f>B126-C126</f>
        <v>0</v>
      </c>
      <c r="E126" s="304">
        <f>D126/C126</f>
        <v>0</v>
      </c>
      <c r="F126" s="129"/>
    </row>
    <row r="127" spans="1:7">
      <c r="A127" s="134"/>
      <c r="B127" s="139"/>
      <c r="C127" s="180"/>
      <c r="D127" s="127"/>
      <c r="E127" s="163"/>
      <c r="F127" s="129"/>
    </row>
    <row r="128" spans="1:7" ht="10.8" thickBot="1">
      <c r="A128" s="135" t="s">
        <v>230</v>
      </c>
      <c r="B128" s="160">
        <f>B123+B126</f>
        <v>43571857.932553843</v>
      </c>
      <c r="C128" s="160">
        <v>43560415.529170178</v>
      </c>
      <c r="D128" s="162">
        <f>B128-C128</f>
        <v>11442.403383664787</v>
      </c>
      <c r="E128" s="164">
        <f>D128/C128</f>
        <v>2.6267893096663405E-4</v>
      </c>
      <c r="F128" s="129"/>
    </row>
    <row r="129" spans="1:6" ht="10.8" thickTop="1">
      <c r="A129" s="136" t="s">
        <v>129</v>
      </c>
      <c r="B129" s="141">
        <f>B100+B104+B108+B102+B109+B110+B111+B112+B113+B116+B126</f>
        <v>31493448.222468812</v>
      </c>
      <c r="C129" s="141">
        <v>36292494.873768434</v>
      </c>
      <c r="D129" s="177">
        <f>B129-C129</f>
        <v>-4799046.6512996219</v>
      </c>
      <c r="E129" s="178">
        <f>D129/C129</f>
        <v>-0.13223248134336135</v>
      </c>
      <c r="F129" s="130"/>
    </row>
    <row r="130" spans="1:6" ht="40.799999999999997">
      <c r="A130" s="161" t="s">
        <v>203</v>
      </c>
      <c r="B130" s="125" t="str">
        <f>B98</f>
        <v xml:space="preserve">2015-2020 Forecast Updated October 2015 </v>
      </c>
      <c r="C130" s="124" t="s">
        <v>363</v>
      </c>
      <c r="D130" s="124" t="s">
        <v>90</v>
      </c>
      <c r="E130" s="124" t="s">
        <v>91</v>
      </c>
      <c r="F130" s="124"/>
    </row>
    <row r="131" spans="1:6">
      <c r="A131" s="133"/>
      <c r="B131" s="137"/>
      <c r="C131" s="180"/>
      <c r="D131" s="131"/>
      <c r="E131" s="132"/>
      <c r="F131" s="132"/>
    </row>
    <row r="132" spans="1:6">
      <c r="A132" s="134" t="s">
        <v>77</v>
      </c>
      <c r="B132" s="138">
        <f>Transmission_Revenues!O234+Transmission_Revenues!O235</f>
        <v>8080987.833420001</v>
      </c>
      <c r="C132" s="180">
        <v>8103512.7413799996</v>
      </c>
      <c r="D132" s="126">
        <f t="shared" ref="D132" si="29">B132-C132</f>
        <v>-22524.907959998585</v>
      </c>
      <c r="E132" s="304">
        <f t="shared" ref="E132" si="30">D132/C132</f>
        <v>-2.77964737995373E-3</v>
      </c>
      <c r="F132" s="129"/>
    </row>
    <row r="133" spans="1:6">
      <c r="A133" s="134" t="s">
        <v>73</v>
      </c>
      <c r="B133" s="138">
        <f>Transmission_Revenues!O236</f>
        <v>352938.81</v>
      </c>
      <c r="C133" s="180">
        <v>353922.59</v>
      </c>
      <c r="D133" s="126">
        <f t="shared" ref="D133:D136" si="31">B133-C133</f>
        <v>-983.78000000002794</v>
      </c>
      <c r="E133" s="304">
        <f t="shared" ref="E133:E136" si="32">D133/C133</f>
        <v>-2.7796473799539833E-3</v>
      </c>
      <c r="F133" s="129"/>
    </row>
    <row r="134" spans="1:6">
      <c r="A134" s="134" t="s">
        <v>120</v>
      </c>
      <c r="B134" s="138">
        <f>Transmission_Revenues!O237+Transmission_Revenues!O238</f>
        <v>2913822.9912400004</v>
      </c>
      <c r="C134" s="180">
        <v>2915454.5805600006</v>
      </c>
      <c r="D134" s="126">
        <f t="shared" si="31"/>
        <v>-1631.5893200002611</v>
      </c>
      <c r="E134" s="304">
        <f t="shared" si="32"/>
        <v>-5.5963462126268674E-4</v>
      </c>
      <c r="F134" s="129"/>
    </row>
    <row r="135" spans="1:6">
      <c r="A135" s="134" t="s">
        <v>121</v>
      </c>
      <c r="B135" s="138">
        <f>Transmission_Revenues!O239</f>
        <v>183257.02080000003</v>
      </c>
      <c r="C135" s="180">
        <v>183359.63520000002</v>
      </c>
      <c r="D135" s="126">
        <f t="shared" si="31"/>
        <v>-102.61439999999129</v>
      </c>
      <c r="E135" s="304">
        <f t="shared" si="32"/>
        <v>-5.5963462126254969E-4</v>
      </c>
      <c r="F135" s="129"/>
    </row>
    <row r="136" spans="1:6">
      <c r="A136" s="134" t="s">
        <v>78</v>
      </c>
      <c r="B136" s="138">
        <f>Transmission_Revenues!O240+Transmission_Revenues!O241</f>
        <v>8509256.1039429456</v>
      </c>
      <c r="C136" s="180">
        <v>9207195.0783698428</v>
      </c>
      <c r="D136" s="126">
        <f t="shared" si="31"/>
        <v>-697938.97442689724</v>
      </c>
      <c r="E136" s="304">
        <f t="shared" si="32"/>
        <v>-7.5803647960771686E-2</v>
      </c>
      <c r="F136" s="129"/>
    </row>
    <row r="137" spans="1:6">
      <c r="A137" s="134" t="s">
        <v>74</v>
      </c>
      <c r="B137" s="138">
        <f>Transmission_Revenues!O242</f>
        <v>106183.86143657666</v>
      </c>
      <c r="C137" s="180">
        <v>114893.18390219055</v>
      </c>
      <c r="D137" s="126">
        <f t="shared" ref="D137:D141" si="33">B137-C137</f>
        <v>-8709.3224656138918</v>
      </c>
      <c r="E137" s="304">
        <f t="shared" ref="E137:E141" si="34">D137/C137</f>
        <v>-7.5803647960772019E-2</v>
      </c>
      <c r="F137" s="129"/>
    </row>
    <row r="138" spans="1:6">
      <c r="A138" s="134" t="s">
        <v>56</v>
      </c>
      <c r="B138" s="138">
        <f>Transmission_Revenues!O243</f>
        <v>345325.84497096279</v>
      </c>
      <c r="C138" s="180">
        <v>373649.86802750896</v>
      </c>
      <c r="D138" s="126">
        <f t="shared" si="33"/>
        <v>-28324.023056546168</v>
      </c>
      <c r="E138" s="304">
        <f t="shared" si="34"/>
        <v>-7.5803647960771894E-2</v>
      </c>
      <c r="F138" s="129"/>
    </row>
    <row r="139" spans="1:6">
      <c r="A139" s="182" t="s">
        <v>260</v>
      </c>
      <c r="B139" s="138">
        <f>Transmission_Revenues!O244</f>
        <v>245082.54999999993</v>
      </c>
      <c r="C139" s="180">
        <v>245082.54999999993</v>
      </c>
      <c r="D139" s="126">
        <f t="shared" si="33"/>
        <v>0</v>
      </c>
      <c r="E139" s="304">
        <f t="shared" si="34"/>
        <v>0</v>
      </c>
      <c r="F139" s="129"/>
    </row>
    <row r="140" spans="1:6">
      <c r="A140" s="134" t="s">
        <v>124</v>
      </c>
      <c r="B140" s="138">
        <f>Transmission_Revenues!O245+Transmission_Revenues!O246</f>
        <v>13101692.567554226</v>
      </c>
      <c r="C140" s="180">
        <v>13862500.531712601</v>
      </c>
      <c r="D140" s="126">
        <f t="shared" si="33"/>
        <v>-760807.96415837482</v>
      </c>
      <c r="E140" s="304">
        <f t="shared" si="34"/>
        <v>-5.4882447969463351E-2</v>
      </c>
      <c r="F140" s="129"/>
    </row>
    <row r="141" spans="1:6">
      <c r="A141" s="134" t="s">
        <v>177</v>
      </c>
      <c r="B141" s="138">
        <f>Transmission_Revenues!O247+Transmission_Revenues!O248</f>
        <v>2596296.8240678697</v>
      </c>
      <c r="C141" s="180">
        <v>2695757.7111888709</v>
      </c>
      <c r="D141" s="126">
        <f t="shared" si="33"/>
        <v>-99460.887121001258</v>
      </c>
      <c r="E141" s="304">
        <f t="shared" si="34"/>
        <v>-3.6895336219640251E-2</v>
      </c>
      <c r="F141" s="129"/>
    </row>
    <row r="142" spans="1:6">
      <c r="A142" s="134" t="s">
        <v>191</v>
      </c>
      <c r="B142" s="138">
        <f>Transmission_Revenues!O249+Transmission_Revenues!O250</f>
        <v>0</v>
      </c>
      <c r="C142" s="180">
        <v>0</v>
      </c>
      <c r="D142" s="126">
        <f t="shared" ref="D142:D155" si="35">B142-C142</f>
        <v>0</v>
      </c>
      <c r="E142" s="304"/>
      <c r="F142" s="129" t="s">
        <v>445</v>
      </c>
    </row>
    <row r="143" spans="1:6">
      <c r="A143" s="134" t="s">
        <v>257</v>
      </c>
      <c r="B143" s="138">
        <f>Transmission_Revenues!O251+Transmission_Revenues!O252</f>
        <v>0</v>
      </c>
      <c r="C143" s="180">
        <v>0</v>
      </c>
      <c r="D143" s="126">
        <f t="shared" si="35"/>
        <v>0</v>
      </c>
      <c r="E143" s="304"/>
      <c r="F143" s="129" t="s">
        <v>446</v>
      </c>
    </row>
    <row r="144" spans="1:6">
      <c r="A144" s="134" t="s">
        <v>286</v>
      </c>
      <c r="B144" s="138">
        <f>Transmission_Revenues!O253+Transmission_Revenues!O254</f>
        <v>1105208.0347052398</v>
      </c>
      <c r="C144" s="180">
        <v>0</v>
      </c>
      <c r="D144" s="126">
        <f t="shared" si="35"/>
        <v>1105208.0347052398</v>
      </c>
      <c r="E144" s="304"/>
      <c r="F144" s="129" t="s">
        <v>443</v>
      </c>
    </row>
    <row r="145" spans="1:7">
      <c r="A145" s="134" t="s">
        <v>306</v>
      </c>
      <c r="B145" s="138">
        <f>Transmission_Revenues!O255+Transmission_Revenues!O256+Transmission_Revenues!O257</f>
        <v>715486.8</v>
      </c>
      <c r="C145" s="180">
        <v>1916436.2865000002</v>
      </c>
      <c r="D145" s="126">
        <f t="shared" si="35"/>
        <v>-1200949.4865000001</v>
      </c>
      <c r="E145" s="304">
        <f t="shared" ref="E145:E155" si="36">D145/C145</f>
        <v>-0.62665766399847389</v>
      </c>
      <c r="F145" s="129" t="s">
        <v>437</v>
      </c>
    </row>
    <row r="146" spans="1:7">
      <c r="A146" s="134" t="s">
        <v>13</v>
      </c>
      <c r="B146" s="138">
        <f>Transmission_Revenues!O258</f>
        <v>0</v>
      </c>
      <c r="C146" s="180">
        <v>156095.51999999996</v>
      </c>
      <c r="D146" s="126">
        <f t="shared" si="35"/>
        <v>-156095.51999999996</v>
      </c>
      <c r="E146" s="304">
        <f t="shared" si="36"/>
        <v>-1</v>
      </c>
      <c r="F146" s="129"/>
    </row>
    <row r="147" spans="1:7">
      <c r="A147" s="134" t="s">
        <v>362</v>
      </c>
      <c r="B147" s="138">
        <f>Transmission_Revenues!O259+Transmission_Revenues!O260+Transmission_Revenues!O261</f>
        <v>457656.02100000001</v>
      </c>
      <c r="C147" s="180">
        <v>0</v>
      </c>
      <c r="D147" s="126">
        <f t="shared" ref="D147" si="37">B147-C147</f>
        <v>457656.02100000001</v>
      </c>
      <c r="E147" s="304" t="e">
        <f t="shared" ref="E147" si="38">D147/C147</f>
        <v>#DIV/0!</v>
      </c>
      <c r="F147" s="129" t="s">
        <v>441</v>
      </c>
    </row>
    <row r="148" spans="1:7">
      <c r="A148" s="134" t="s">
        <v>310</v>
      </c>
      <c r="B148" s="138">
        <f>Transmission_Revenues!O262+Transmission_Revenues!O263+Transmission_Revenues!O264</f>
        <v>1646856.9992961606</v>
      </c>
      <c r="C148" s="180">
        <v>1575262.6254400001</v>
      </c>
      <c r="D148" s="126">
        <f t="shared" si="35"/>
        <v>71594.373856160557</v>
      </c>
      <c r="E148" s="304">
        <f t="shared" si="36"/>
        <v>4.5449166824587689E-2</v>
      </c>
      <c r="F148" s="129"/>
      <c r="G148" s="181"/>
    </row>
    <row r="149" spans="1:7">
      <c r="A149" s="134" t="s">
        <v>421</v>
      </c>
      <c r="B149" s="138">
        <f>Transmission_Revenues!O265+Transmission_Revenues!O266+Transmission_Revenues!O267</f>
        <v>243606.22</v>
      </c>
      <c r="C149" s="180"/>
      <c r="D149" s="126">
        <f t="shared" si="35"/>
        <v>243606.22</v>
      </c>
      <c r="E149" s="304" t="e">
        <f t="shared" si="36"/>
        <v>#DIV/0!</v>
      </c>
      <c r="F149" s="129" t="s">
        <v>440</v>
      </c>
      <c r="G149" s="181"/>
    </row>
    <row r="150" spans="1:7">
      <c r="A150" s="134" t="s">
        <v>433</v>
      </c>
      <c r="B150" s="138">
        <f>Transmission_Revenues!O268+Transmission_Revenues!O269</f>
        <v>444572.0921596</v>
      </c>
      <c r="C150" s="180"/>
      <c r="D150" s="126">
        <f t="shared" si="35"/>
        <v>444572.0921596</v>
      </c>
      <c r="E150" s="304" t="e">
        <f t="shared" si="36"/>
        <v>#DIV/0!</v>
      </c>
      <c r="F150" s="129" t="s">
        <v>440</v>
      </c>
      <c r="G150" s="181"/>
    </row>
    <row r="151" spans="1:7">
      <c r="A151" s="134" t="s">
        <v>14</v>
      </c>
      <c r="B151" s="138">
        <f>Transmission_Revenues!O270+Transmission_Revenues!O271</f>
        <v>4831735.4012800008</v>
      </c>
      <c r="C151" s="180">
        <v>4559269.6012800001</v>
      </c>
      <c r="D151" s="126">
        <f t="shared" si="35"/>
        <v>272465.80000000075</v>
      </c>
      <c r="E151" s="304">
        <f t="shared" si="36"/>
        <v>5.9760844132469564E-2</v>
      </c>
      <c r="F151" s="129"/>
    </row>
    <row r="152" spans="1:7">
      <c r="A152" s="134" t="s">
        <v>75</v>
      </c>
      <c r="B152" s="138">
        <f>Transmission_Revenues!O272</f>
        <v>290183.03999999992</v>
      </c>
      <c r="C152" s="180">
        <v>273047.03999999992</v>
      </c>
      <c r="D152" s="126">
        <f t="shared" si="35"/>
        <v>17136</v>
      </c>
      <c r="E152" s="304">
        <f t="shared" si="36"/>
        <v>6.27584170112227E-2</v>
      </c>
      <c r="F152" s="129"/>
    </row>
    <row r="153" spans="1:7">
      <c r="A153" s="134" t="s">
        <v>119</v>
      </c>
      <c r="B153" s="138">
        <f>Transmission_Revenues!O273</f>
        <v>86400</v>
      </c>
      <c r="C153" s="180">
        <v>86400</v>
      </c>
      <c r="D153" s="126">
        <f t="shared" si="35"/>
        <v>0</v>
      </c>
      <c r="E153" s="304">
        <f t="shared" si="36"/>
        <v>0</v>
      </c>
      <c r="F153" s="129"/>
    </row>
    <row r="154" spans="1:7">
      <c r="A154" s="134" t="s">
        <v>57</v>
      </c>
      <c r="B154" s="155">
        <f>Transmission_Revenues!O274+Transmission_Revenues!O275</f>
        <v>3665636.9700000007</v>
      </c>
      <c r="C154" s="180">
        <v>3702368.0900000003</v>
      </c>
      <c r="D154" s="126">
        <f t="shared" si="35"/>
        <v>-36731.119999999646</v>
      </c>
      <c r="E154" s="304">
        <f t="shared" si="36"/>
        <v>-9.9209800611693485E-3</v>
      </c>
      <c r="F154" s="129"/>
    </row>
    <row r="155" spans="1:7">
      <c r="A155" s="134" t="s">
        <v>79</v>
      </c>
      <c r="B155" s="138">
        <f>SUM(B132:B154)</f>
        <v>49922185.985873565</v>
      </c>
      <c r="C155" s="138">
        <v>50324207.633561023</v>
      </c>
      <c r="D155" s="126">
        <f t="shared" si="35"/>
        <v>-402021.6476874575</v>
      </c>
      <c r="E155" s="304">
        <f t="shared" si="36"/>
        <v>-7.9886334349226953E-3</v>
      </c>
      <c r="F155" s="129"/>
    </row>
    <row r="156" spans="1:7">
      <c r="A156" s="135"/>
      <c r="B156" s="140"/>
      <c r="C156" s="180"/>
      <c r="D156" s="128"/>
      <c r="E156" s="370"/>
      <c r="F156" s="129"/>
    </row>
    <row r="157" spans="1:7">
      <c r="A157" s="134"/>
      <c r="B157" s="138"/>
      <c r="C157" s="180"/>
      <c r="D157" s="126"/>
      <c r="E157" s="304"/>
      <c r="F157" s="129"/>
    </row>
    <row r="158" spans="1:7">
      <c r="A158" s="134" t="s">
        <v>128</v>
      </c>
      <c r="B158" s="139">
        <f>Transmission_Revenues!O279</f>
        <v>-6797123.0000000028</v>
      </c>
      <c r="C158" s="180">
        <v>-6797123.0000000028</v>
      </c>
      <c r="D158" s="126"/>
      <c r="E158" s="304"/>
      <c r="F158" s="129"/>
    </row>
    <row r="159" spans="1:7">
      <c r="A159" s="134"/>
      <c r="B159" s="139"/>
      <c r="C159" s="180"/>
      <c r="D159" s="127"/>
      <c r="E159" s="163"/>
      <c r="F159" s="129"/>
    </row>
    <row r="160" spans="1:7" ht="10.8" thickBot="1">
      <c r="A160" s="135" t="s">
        <v>231</v>
      </c>
      <c r="B160" s="160">
        <f>B155+B158</f>
        <v>43125062.985873565</v>
      </c>
      <c r="C160" s="160">
        <v>43213850.430083618</v>
      </c>
      <c r="D160" s="162">
        <f>B160-C160</f>
        <v>-88787.44421005249</v>
      </c>
      <c r="E160" s="164">
        <f>D160/C160</f>
        <v>-2.0546061812682747E-3</v>
      </c>
      <c r="F160" s="129"/>
    </row>
    <row r="161" spans="1:6" ht="10.8" thickTop="1">
      <c r="A161" s="136" t="s">
        <v>129</v>
      </c>
      <c r="B161" s="141">
        <f>B132+B136+B140+B134+B141+B142+B143+B144+B148+B158</f>
        <v>31156998.354226436</v>
      </c>
      <c r="C161" s="141">
        <v>35635427.613509707</v>
      </c>
      <c r="D161" s="177">
        <f>B161-C161</f>
        <v>-4478429.2592832707</v>
      </c>
      <c r="E161" s="178">
        <f>D161/C161</f>
        <v>-0.12567350974021871</v>
      </c>
      <c r="F161" s="130"/>
    </row>
    <row r="162" spans="1:6" ht="40.799999999999997">
      <c r="A162" s="161" t="s">
        <v>312</v>
      </c>
      <c r="B162" s="125" t="str">
        <f>B130</f>
        <v xml:space="preserve">2015-2020 Forecast Updated October 2015 </v>
      </c>
      <c r="C162" s="124" t="s">
        <v>363</v>
      </c>
      <c r="D162" s="124" t="s">
        <v>90</v>
      </c>
      <c r="E162" s="124" t="s">
        <v>91</v>
      </c>
      <c r="F162" s="124"/>
    </row>
    <row r="163" spans="1:6">
      <c r="A163" s="133"/>
      <c r="B163" s="137"/>
      <c r="C163" s="180"/>
      <c r="D163" s="131"/>
      <c r="E163" s="132"/>
      <c r="F163" s="132"/>
    </row>
    <row r="164" spans="1:6">
      <c r="A164" s="134" t="s">
        <v>77</v>
      </c>
      <c r="B164" s="138">
        <f>Transmission_Revenues!O286+Transmission_Revenues!O287</f>
        <v>8147751.5708600003</v>
      </c>
      <c r="C164" s="180">
        <v>8103512.7413799996</v>
      </c>
      <c r="D164" s="126">
        <f>B164-C164</f>
        <v>44238.829480000772</v>
      </c>
      <c r="E164" s="304">
        <f t="shared" ref="E164:E187" si="39">D164/C164</f>
        <v>5.4592163783612506E-3</v>
      </c>
      <c r="F164" s="129"/>
    </row>
    <row r="165" spans="1:6">
      <c r="A165" s="134" t="s">
        <v>73</v>
      </c>
      <c r="B165" s="138">
        <f>Transmission_Revenues!O288</f>
        <v>355854.73000000004</v>
      </c>
      <c r="C165" s="180">
        <v>353922.59</v>
      </c>
      <c r="D165" s="126">
        <f t="shared" ref="D165:D186" si="40">B165-C165</f>
        <v>1932.140000000014</v>
      </c>
      <c r="E165" s="304">
        <f t="shared" ref="E165:E186" si="41">D165/C165</f>
        <v>5.4592163783611942E-3</v>
      </c>
      <c r="F165" s="129"/>
    </row>
    <row r="166" spans="1:6">
      <c r="A166" s="134" t="s">
        <v>120</v>
      </c>
      <c r="B166" s="138">
        <f>Transmission_Revenues!O289+Transmission_Revenues!O290</f>
        <v>2943204.4209200004</v>
      </c>
      <c r="C166" s="180">
        <v>2946469.2023000005</v>
      </c>
      <c r="D166" s="126">
        <f t="shared" ref="D166:D184" si="42">B166-C166</f>
        <v>-3264.7813800000586</v>
      </c>
      <c r="E166" s="304">
        <f t="shared" ref="E166:E184" si="43">D166/C166</f>
        <v>-1.1080317342029521E-3</v>
      </c>
      <c r="F166" s="129"/>
    </row>
    <row r="167" spans="1:6">
      <c r="A167" s="134" t="s">
        <v>121</v>
      </c>
      <c r="B167" s="138">
        <f>Transmission_Revenues!O291</f>
        <v>185104.88639999999</v>
      </c>
      <c r="C167" s="180">
        <v>185310.21600000001</v>
      </c>
      <c r="D167" s="126">
        <f t="shared" si="42"/>
        <v>-205.3296000000264</v>
      </c>
      <c r="E167" s="304">
        <f t="shared" si="43"/>
        <v>-1.1080317342030748E-3</v>
      </c>
      <c r="F167" s="129"/>
    </row>
    <row r="168" spans="1:6">
      <c r="A168" s="134" t="s">
        <v>78</v>
      </c>
      <c r="B168" s="138">
        <f>Transmission_Revenues!O292+Transmission_Revenues!O293</f>
        <v>8625525.3790117167</v>
      </c>
      <c r="C168" s="180">
        <v>9430731.1775445733</v>
      </c>
      <c r="D168" s="126">
        <f t="shared" si="42"/>
        <v>-805205.79853285663</v>
      </c>
      <c r="E168" s="304">
        <f t="shared" si="43"/>
        <v>-8.5381057245076039E-2</v>
      </c>
      <c r="F168" s="129"/>
    </row>
    <row r="169" spans="1:6">
      <c r="A169" s="134" t="s">
        <v>74</v>
      </c>
      <c r="B169" s="138">
        <f>Transmission_Revenues!O294</f>
        <v>107634.74274070302</v>
      </c>
      <c r="C169" s="180">
        <v>117682.60825267444</v>
      </c>
      <c r="D169" s="126">
        <f t="shared" si="42"/>
        <v>-10047.865511971424</v>
      </c>
      <c r="E169" s="304">
        <f t="shared" si="43"/>
        <v>-8.5381057245075775E-2</v>
      </c>
      <c r="F169" s="129"/>
    </row>
    <row r="170" spans="1:6">
      <c r="A170" s="134" t="s">
        <v>56</v>
      </c>
      <c r="B170" s="138">
        <f>Transmission_Revenues!O295</f>
        <v>350044.32895031699</v>
      </c>
      <c r="C170" s="180">
        <v>382721.49477507488</v>
      </c>
      <c r="D170" s="126">
        <f t="shared" si="42"/>
        <v>-32677.165824757889</v>
      </c>
      <c r="E170" s="304">
        <f t="shared" si="43"/>
        <v>-8.5381057167855781E-2</v>
      </c>
      <c r="F170" s="129"/>
    </row>
    <row r="171" spans="1:6">
      <c r="A171" s="182" t="s">
        <v>260</v>
      </c>
      <c r="B171" s="138">
        <f>Transmission_Revenues!O296</f>
        <v>242482.62000000011</v>
      </c>
      <c r="C171" s="180">
        <v>242482.62000000011</v>
      </c>
      <c r="D171" s="126">
        <f t="shared" si="42"/>
        <v>0</v>
      </c>
      <c r="E171" s="304">
        <f t="shared" si="43"/>
        <v>0</v>
      </c>
      <c r="F171" s="129"/>
    </row>
    <row r="172" spans="1:6">
      <c r="A172" s="134" t="s">
        <v>124</v>
      </c>
      <c r="B172" s="138">
        <f>Transmission_Revenues!O297+Transmission_Revenues!O298</f>
        <v>13149866.473360322</v>
      </c>
      <c r="C172" s="180">
        <v>13910388.415515</v>
      </c>
      <c r="D172" s="126">
        <f t="shared" si="42"/>
        <v>-760521.94215467758</v>
      </c>
      <c r="E172" s="304">
        <f t="shared" si="43"/>
        <v>-5.4672947975085068E-2</v>
      </c>
      <c r="F172" s="129"/>
    </row>
    <row r="173" spans="1:6">
      <c r="A173" s="134" t="s">
        <v>177</v>
      </c>
      <c r="B173" s="138">
        <f>Transmission_Revenues!O299+Transmission_Revenues!O300</f>
        <v>2620769.2570689172</v>
      </c>
      <c r="C173" s="180">
        <v>2709505.6485459991</v>
      </c>
      <c r="D173" s="126">
        <f t="shared" si="42"/>
        <v>-88736.391477081925</v>
      </c>
      <c r="E173" s="304">
        <f t="shared" si="43"/>
        <v>-3.2750030074563785E-2</v>
      </c>
      <c r="F173" s="129"/>
    </row>
    <row r="174" spans="1:6">
      <c r="A174" s="134" t="s">
        <v>191</v>
      </c>
      <c r="B174" s="138">
        <f>Transmission_Revenues!O301+Transmission_Revenues!O302</f>
        <v>0</v>
      </c>
      <c r="C174" s="180">
        <v>0</v>
      </c>
      <c r="D174" s="126">
        <f t="shared" si="42"/>
        <v>0</v>
      </c>
      <c r="E174" s="304"/>
      <c r="F174" s="129" t="s">
        <v>445</v>
      </c>
    </row>
    <row r="175" spans="1:6">
      <c r="A175" s="134" t="s">
        <v>257</v>
      </c>
      <c r="B175" s="138">
        <v>0</v>
      </c>
      <c r="C175" s="180">
        <v>0</v>
      </c>
      <c r="D175" s="126">
        <f t="shared" si="42"/>
        <v>0</v>
      </c>
      <c r="E175" s="304"/>
      <c r="F175" s="129" t="s">
        <v>446</v>
      </c>
    </row>
    <row r="176" spans="1:6">
      <c r="A176" s="134" t="s">
        <v>286</v>
      </c>
      <c r="B176" s="138">
        <f>Transmission_Revenues!O303+Transmission_Revenues!O304</f>
        <v>1105208.0347052398</v>
      </c>
      <c r="C176" s="180">
        <v>0</v>
      </c>
      <c r="D176" s="126">
        <f t="shared" si="42"/>
        <v>1105208.0347052398</v>
      </c>
      <c r="E176" s="304"/>
      <c r="F176" s="129" t="s">
        <v>443</v>
      </c>
    </row>
    <row r="177" spans="1:7">
      <c r="A177" s="134" t="s">
        <v>306</v>
      </c>
      <c r="B177" s="138">
        <f>Transmission_Revenues!O305+Transmission_Revenues!O306</f>
        <v>0</v>
      </c>
      <c r="C177" s="180">
        <v>475028.09490000003</v>
      </c>
      <c r="D177" s="126">
        <f t="shared" si="42"/>
        <v>-475028.09490000003</v>
      </c>
      <c r="E177" s="304">
        <f t="shared" si="43"/>
        <v>-1</v>
      </c>
      <c r="F177" s="129" t="s">
        <v>447</v>
      </c>
    </row>
    <row r="178" spans="1:7">
      <c r="A178" s="134" t="s">
        <v>13</v>
      </c>
      <c r="B178" s="138">
        <f>Transmission_Revenues!O308</f>
        <v>0</v>
      </c>
      <c r="C178" s="180">
        <v>156095.51999999996</v>
      </c>
      <c r="D178" s="126">
        <f t="shared" si="42"/>
        <v>-156095.51999999996</v>
      </c>
      <c r="E178" s="304">
        <f t="shared" si="43"/>
        <v>-1</v>
      </c>
      <c r="F178" s="129"/>
    </row>
    <row r="179" spans="1:7">
      <c r="A179" s="134" t="s">
        <v>362</v>
      </c>
      <c r="B179" s="138">
        <f>Transmission_Revenues!O309+Transmission_Revenues!O310+Transmission_Revenues!O311</f>
        <v>554454.57088000013</v>
      </c>
      <c r="C179" s="180">
        <v>0</v>
      </c>
      <c r="D179" s="126">
        <f t="shared" ref="D179:D182" si="44">B179-C179</f>
        <v>554454.57088000013</v>
      </c>
      <c r="E179" s="304" t="e">
        <f t="shared" ref="E179:E182" si="45">D179/C179</f>
        <v>#DIV/0!</v>
      </c>
      <c r="F179" s="129" t="s">
        <v>448</v>
      </c>
    </row>
    <row r="180" spans="1:7">
      <c r="A180" s="134" t="s">
        <v>310</v>
      </c>
      <c r="B180" s="138">
        <f>Transmission_Revenues!O312+Transmission_Revenues!O313+Transmission_Revenues!O314</f>
        <v>121573.88065537346</v>
      </c>
      <c r="C180" s="180">
        <v>122430.10312000001</v>
      </c>
      <c r="D180" s="126">
        <f t="shared" si="44"/>
        <v>-856.22246462655312</v>
      </c>
      <c r="E180" s="304">
        <f t="shared" si="45"/>
        <v>-6.9935615735561832E-3</v>
      </c>
      <c r="F180" s="129" t="s">
        <v>444</v>
      </c>
      <c r="G180" s="181"/>
    </row>
    <row r="181" spans="1:7">
      <c r="A181" s="134" t="s">
        <v>421</v>
      </c>
      <c r="B181" s="138">
        <f>Transmission_Revenues!O315+Transmission_Revenues!O316+Transmission_Revenues!O317</f>
        <v>253827.46000000002</v>
      </c>
      <c r="C181" s="180">
        <v>0</v>
      </c>
      <c r="D181" s="126">
        <f t="shared" si="44"/>
        <v>253827.46000000002</v>
      </c>
      <c r="E181" s="304" t="e">
        <f t="shared" si="45"/>
        <v>#DIV/0!</v>
      </c>
      <c r="F181" s="129" t="s">
        <v>440</v>
      </c>
      <c r="G181" s="181"/>
    </row>
    <row r="182" spans="1:7">
      <c r="A182" s="134" t="s">
        <v>433</v>
      </c>
      <c r="B182" s="138">
        <f>Transmission_Revenues!O318+Transmission_Revenues!O319</f>
        <v>444572.0921596</v>
      </c>
      <c r="C182" s="180">
        <v>0</v>
      </c>
      <c r="D182" s="126">
        <f t="shared" si="44"/>
        <v>444572.0921596</v>
      </c>
      <c r="E182" s="304" t="e">
        <f t="shared" si="45"/>
        <v>#DIV/0!</v>
      </c>
      <c r="F182" s="129" t="s">
        <v>440</v>
      </c>
      <c r="G182" s="181"/>
    </row>
    <row r="183" spans="1:7">
      <c r="A183" s="134" t="s">
        <v>14</v>
      </c>
      <c r="B183" s="138">
        <f>Transmission_Revenues!O320+Transmission_Revenues!O321</f>
        <v>4751598.4012800008</v>
      </c>
      <c r="C183" s="180">
        <v>4751598.4012800008</v>
      </c>
      <c r="D183" s="126">
        <f t="shared" si="42"/>
        <v>0</v>
      </c>
      <c r="E183" s="304">
        <f t="shared" si="43"/>
        <v>0</v>
      </c>
      <c r="F183" s="129"/>
    </row>
    <row r="184" spans="1:7">
      <c r="A184" s="134" t="s">
        <v>75</v>
      </c>
      <c r="B184" s="138">
        <f>Transmission_Revenues!O322</f>
        <v>285143.03999999992</v>
      </c>
      <c r="C184" s="180">
        <v>285143.03999999992</v>
      </c>
      <c r="D184" s="126">
        <f t="shared" si="42"/>
        <v>0</v>
      </c>
      <c r="E184" s="304">
        <f t="shared" si="43"/>
        <v>0</v>
      </c>
      <c r="F184" s="129"/>
    </row>
    <row r="185" spans="1:7">
      <c r="A185" s="134" t="s">
        <v>119</v>
      </c>
      <c r="B185" s="138">
        <f>Transmission_Revenues!O323</f>
        <v>86400</v>
      </c>
      <c r="C185" s="180">
        <v>86400</v>
      </c>
      <c r="D185" s="126">
        <f t="shared" si="40"/>
        <v>0</v>
      </c>
      <c r="E185" s="304">
        <f t="shared" si="41"/>
        <v>0</v>
      </c>
      <c r="F185" s="129"/>
    </row>
    <row r="186" spans="1:7">
      <c r="A186" s="134" t="s">
        <v>57</v>
      </c>
      <c r="B186" s="155">
        <f>Transmission_Revenues!O324+Transmission_Revenues!O325</f>
        <v>3665636.9700000007</v>
      </c>
      <c r="C186" s="379">
        <v>3665636.9700000007</v>
      </c>
      <c r="D186" s="126">
        <f t="shared" si="40"/>
        <v>0</v>
      </c>
      <c r="E186" s="304">
        <f t="shared" si="41"/>
        <v>0</v>
      </c>
      <c r="F186" s="129"/>
    </row>
    <row r="187" spans="1:7">
      <c r="A187" s="134" t="s">
        <v>79</v>
      </c>
      <c r="B187" s="138">
        <f>SUM(B164:B186)</f>
        <v>47996652.858992189</v>
      </c>
      <c r="C187" s="138">
        <v>47757365.163613327</v>
      </c>
      <c r="D187" s="286">
        <f>B187-C187</f>
        <v>239287.69537886232</v>
      </c>
      <c r="E187" s="304">
        <f t="shared" si="39"/>
        <v>5.0104877972032115E-3</v>
      </c>
      <c r="F187" s="129"/>
    </row>
    <row r="188" spans="1:7">
      <c r="A188" s="135"/>
      <c r="B188" s="140"/>
      <c r="C188" s="180"/>
      <c r="D188" s="128"/>
      <c r="E188" s="370"/>
      <c r="F188" s="129"/>
    </row>
    <row r="189" spans="1:7">
      <c r="A189" s="134" t="s">
        <v>128</v>
      </c>
      <c r="B189" s="139">
        <f>Transmission_Revenues!O329</f>
        <v>-6797123.0000000028</v>
      </c>
      <c r="C189" s="180">
        <v>-6797123.0000000028</v>
      </c>
      <c r="D189" s="126">
        <f>B189-C189</f>
        <v>0</v>
      </c>
      <c r="E189" s="304">
        <f>D189/C189</f>
        <v>0</v>
      </c>
      <c r="F189" s="129"/>
    </row>
    <row r="190" spans="1:7">
      <c r="A190" s="134"/>
      <c r="B190" s="139"/>
      <c r="C190" s="180"/>
      <c r="D190" s="127"/>
      <c r="E190" s="163"/>
      <c r="F190" s="129"/>
    </row>
    <row r="191" spans="1:7" ht="10.8" thickBot="1">
      <c r="A191" s="135" t="s">
        <v>313</v>
      </c>
      <c r="B191" s="160">
        <f>B187+B189</f>
        <v>41199529.858992189</v>
      </c>
      <c r="C191" s="160">
        <v>43481265.702182166</v>
      </c>
      <c r="D191" s="162">
        <f>B191-C191</f>
        <v>-2281735.8431899771</v>
      </c>
      <c r="E191" s="164">
        <f>D191/C191</f>
        <v>-5.2476297696077992E-2</v>
      </c>
      <c r="F191" s="129"/>
    </row>
    <row r="192" spans="1:7" ht="10.8" thickTop="1">
      <c r="A192" s="136" t="s">
        <v>129</v>
      </c>
      <c r="B192" s="141">
        <f>B164+B168+B172+B166+B173+B174+B180+B189</f>
        <v>28811567.981876325</v>
      </c>
      <c r="C192" s="141">
        <v>35705572.993347406</v>
      </c>
      <c r="D192" s="177">
        <f>B192-C192</f>
        <v>-6894005.0114710815</v>
      </c>
      <c r="E192" s="178">
        <f>D192/C192</f>
        <v>-0.19307924319700903</v>
      </c>
      <c r="F192" s="130"/>
    </row>
    <row r="193" spans="1:6" ht="40.799999999999997">
      <c r="A193" s="161" t="s">
        <v>351</v>
      </c>
      <c r="B193" s="125" t="str">
        <f>B162</f>
        <v xml:space="preserve">2015-2020 Forecast Updated October 2015 </v>
      </c>
      <c r="C193" s="125" t="str">
        <f>C162</f>
        <v>2014-2020 Forecast Provided December 2014 New Methodology</v>
      </c>
      <c r="D193" s="124" t="s">
        <v>90</v>
      </c>
      <c r="E193" s="124" t="s">
        <v>91</v>
      </c>
      <c r="F193" s="124"/>
    </row>
    <row r="194" spans="1:6">
      <c r="A194" s="133"/>
      <c r="B194" s="137"/>
      <c r="C194" s="137"/>
      <c r="D194" s="131"/>
      <c r="E194" s="132"/>
      <c r="F194" s="132"/>
    </row>
    <row r="195" spans="1:6">
      <c r="A195" s="134" t="s">
        <v>77</v>
      </c>
      <c r="B195" s="138">
        <f>Transmission_Revenues!O336+Transmission_Revenues!O337</f>
        <v>8174033.3013800019</v>
      </c>
      <c r="C195" s="138"/>
      <c r="D195" s="126">
        <f>B195-C195</f>
        <v>8174033.3013800019</v>
      </c>
      <c r="E195" s="304" t="e">
        <f t="shared" ref="E195:E204" si="46">D195/C195</f>
        <v>#DIV/0!</v>
      </c>
      <c r="F195" s="129"/>
    </row>
    <row r="196" spans="1:6">
      <c r="A196" s="134" t="s">
        <v>73</v>
      </c>
      <c r="B196" s="138">
        <f>Transmission_Revenues!O338</f>
        <v>357002.58999999997</v>
      </c>
      <c r="C196" s="138"/>
      <c r="D196" s="126">
        <f t="shared" ref="D196:D208" si="47">B196-C196</f>
        <v>357002.58999999997</v>
      </c>
      <c r="E196" s="304" t="e">
        <f t="shared" si="46"/>
        <v>#DIV/0!</v>
      </c>
      <c r="F196" s="129"/>
    </row>
    <row r="197" spans="1:6">
      <c r="A197" s="134" t="s">
        <v>120</v>
      </c>
      <c r="B197" s="138">
        <f>Transmission_Revenues!O339+Transmission_Revenues!O340</f>
        <v>2969324.2747</v>
      </c>
      <c r="C197" s="138"/>
      <c r="D197" s="126">
        <f t="shared" si="47"/>
        <v>2969324.2747</v>
      </c>
      <c r="E197" s="304" t="e">
        <f t="shared" si="46"/>
        <v>#DIV/0!</v>
      </c>
      <c r="F197" s="129"/>
    </row>
    <row r="198" spans="1:6">
      <c r="A198" s="134" t="s">
        <v>121</v>
      </c>
      <c r="B198" s="138">
        <f>Transmission_Revenues!O341</f>
        <v>186747.62400000001</v>
      </c>
      <c r="C198" s="138"/>
      <c r="D198" s="126">
        <f t="shared" si="47"/>
        <v>186747.62400000001</v>
      </c>
      <c r="E198" s="304" t="e">
        <f t="shared" si="46"/>
        <v>#DIV/0!</v>
      </c>
      <c r="F198" s="129"/>
    </row>
    <row r="199" spans="1:6">
      <c r="A199" s="134" t="s">
        <v>78</v>
      </c>
      <c r="B199" s="138">
        <f>Transmission_Revenues!O342+Transmission_Revenues!O343</f>
        <v>8783823.5100356601</v>
      </c>
      <c r="C199" s="138"/>
      <c r="D199" s="126">
        <f t="shared" si="47"/>
        <v>8783823.5100356601</v>
      </c>
      <c r="E199" s="304" t="e">
        <f t="shared" si="46"/>
        <v>#DIV/0!</v>
      </c>
      <c r="F199" s="129"/>
    </row>
    <row r="200" spans="1:6">
      <c r="A200" s="134" t="s">
        <v>74</v>
      </c>
      <c r="B200" s="138">
        <f>Transmission_Revenues!O344</f>
        <v>109610.08660213958</v>
      </c>
      <c r="C200" s="138"/>
      <c r="D200" s="126">
        <f t="shared" si="47"/>
        <v>109610.08660213958</v>
      </c>
      <c r="E200" s="304" t="e">
        <f t="shared" si="46"/>
        <v>#DIV/0!</v>
      </c>
      <c r="F200" s="129"/>
    </row>
    <row r="201" spans="1:6">
      <c r="A201" s="134" t="s">
        <v>56</v>
      </c>
      <c r="B201" s="138">
        <f>Transmission_Revenues!O345</f>
        <v>356468.44314314815</v>
      </c>
      <c r="C201" s="138"/>
      <c r="D201" s="126">
        <f t="shared" si="47"/>
        <v>356468.44314314815</v>
      </c>
      <c r="E201" s="304" t="e">
        <f t="shared" si="46"/>
        <v>#DIV/0!</v>
      </c>
      <c r="F201" s="129"/>
    </row>
    <row r="202" spans="1:6">
      <c r="A202" s="182" t="s">
        <v>260</v>
      </c>
      <c r="B202" s="138">
        <f>Transmission_Revenues!O346</f>
        <v>240099.25000000003</v>
      </c>
      <c r="C202" s="138"/>
      <c r="D202" s="126">
        <f t="shared" si="47"/>
        <v>240099.25000000003</v>
      </c>
      <c r="E202" s="304" t="e">
        <f t="shared" si="46"/>
        <v>#DIV/0!</v>
      </c>
      <c r="F202" s="129"/>
    </row>
    <row r="203" spans="1:6">
      <c r="A203" s="134" t="s">
        <v>124</v>
      </c>
      <c r="B203" s="138">
        <f>Transmission_Revenues!O347+Transmission_Revenues!O348</f>
        <v>13198313.609991079</v>
      </c>
      <c r="C203" s="138"/>
      <c r="D203" s="126">
        <f t="shared" si="47"/>
        <v>13198313.609991079</v>
      </c>
      <c r="E203" s="304" t="e">
        <f t="shared" si="46"/>
        <v>#DIV/0!</v>
      </c>
      <c r="F203" s="129"/>
    </row>
    <row r="204" spans="1:6">
      <c r="A204" s="134" t="s">
        <v>177</v>
      </c>
      <c r="B204" s="138">
        <f>Transmission_Revenues!O349+Transmission_Revenues!O350</f>
        <v>2645471.3007415971</v>
      </c>
      <c r="C204" s="138"/>
      <c r="D204" s="126">
        <f t="shared" si="47"/>
        <v>2645471.3007415971</v>
      </c>
      <c r="E204" s="304" t="e">
        <f t="shared" si="46"/>
        <v>#DIV/0!</v>
      </c>
      <c r="F204" s="129"/>
    </row>
    <row r="205" spans="1:6">
      <c r="A205" s="134" t="s">
        <v>191</v>
      </c>
      <c r="B205" s="138">
        <f>Transmission_Revenues!O351</f>
        <v>0</v>
      </c>
      <c r="C205" s="138"/>
      <c r="D205" s="126">
        <f t="shared" si="47"/>
        <v>0</v>
      </c>
      <c r="E205" s="304"/>
      <c r="F205" s="129" t="s">
        <v>445</v>
      </c>
    </row>
    <row r="206" spans="1:6">
      <c r="A206" s="134" t="s">
        <v>257</v>
      </c>
      <c r="B206" s="138">
        <v>0</v>
      </c>
      <c r="C206" s="138">
        <v>0</v>
      </c>
      <c r="D206" s="126"/>
      <c r="E206" s="304"/>
      <c r="F206" s="129" t="s">
        <v>446</v>
      </c>
    </row>
    <row r="207" spans="1:6">
      <c r="A207" s="134" t="s">
        <v>286</v>
      </c>
      <c r="B207" s="138">
        <v>0</v>
      </c>
      <c r="C207" s="138">
        <v>0</v>
      </c>
      <c r="D207" s="126"/>
      <c r="E207" s="304"/>
      <c r="F207" s="129" t="s">
        <v>443</v>
      </c>
    </row>
    <row r="208" spans="1:6">
      <c r="A208" s="134" t="s">
        <v>306</v>
      </c>
      <c r="B208" s="138">
        <f>Transmission_Revenues!O353+Transmission_Revenues!O354</f>
        <v>0</v>
      </c>
      <c r="C208" s="138">
        <v>0</v>
      </c>
      <c r="D208" s="126">
        <f t="shared" si="47"/>
        <v>0</v>
      </c>
      <c r="E208" s="304" t="e">
        <f t="shared" ref="E208:E209" si="48">D208/C208</f>
        <v>#DIV/0!</v>
      </c>
      <c r="F208" s="129" t="s">
        <v>447</v>
      </c>
    </row>
    <row r="209" spans="1:7">
      <c r="A209" s="134" t="s">
        <v>13</v>
      </c>
      <c r="B209" s="138">
        <f>Transmission_Revenues!O355</f>
        <v>0</v>
      </c>
      <c r="C209" s="138"/>
      <c r="D209" s="126">
        <f>B209-C209</f>
        <v>0</v>
      </c>
      <c r="E209" s="304" t="e">
        <f t="shared" si="48"/>
        <v>#DIV/0!</v>
      </c>
      <c r="F209" s="129"/>
    </row>
    <row r="210" spans="1:7">
      <c r="A210" s="134" t="s">
        <v>362</v>
      </c>
      <c r="B210" s="138">
        <f>Transmission_Revenues!O356+Transmission_Revenues!O357+Transmission_Revenues!O358</f>
        <v>50089.18662</v>
      </c>
      <c r="C210" s="138"/>
      <c r="D210" s="126">
        <f t="shared" ref="D210:D214" si="49">B210-C210</f>
        <v>50089.18662</v>
      </c>
      <c r="E210" s="304" t="e">
        <f t="shared" ref="E210:E214" si="50">D210/C210</f>
        <v>#DIV/0!</v>
      </c>
      <c r="F210" s="129"/>
    </row>
    <row r="211" spans="1:7">
      <c r="A211" s="134" t="s">
        <v>421</v>
      </c>
      <c r="B211" s="138">
        <f>Transmission_Revenues!O362+Transmission_Revenues!O363+Transmission_Revenues!O364</f>
        <v>940439.25699999998</v>
      </c>
      <c r="C211" s="138"/>
      <c r="D211" s="126">
        <f t="shared" si="49"/>
        <v>940439.25699999998</v>
      </c>
      <c r="E211" s="304" t="e">
        <f t="shared" si="50"/>
        <v>#DIV/0!</v>
      </c>
      <c r="F211" s="129" t="s">
        <v>440</v>
      </c>
    </row>
    <row r="212" spans="1:7">
      <c r="A212" s="134" t="s">
        <v>433</v>
      </c>
      <c r="B212" s="138">
        <f>Transmission_Revenues!O365+Transmission_Revenues!O366</f>
        <v>444572.0921596</v>
      </c>
      <c r="C212" s="138"/>
      <c r="D212" s="126">
        <f t="shared" si="49"/>
        <v>444572.0921596</v>
      </c>
      <c r="E212" s="304" t="e">
        <f t="shared" si="50"/>
        <v>#DIV/0!</v>
      </c>
      <c r="F212" s="129" t="s">
        <v>440</v>
      </c>
    </row>
    <row r="213" spans="1:7">
      <c r="A213" s="134" t="s">
        <v>310</v>
      </c>
      <c r="B213" s="138">
        <f>Transmission_Revenues!O359+Transmission_Revenues!O360</f>
        <v>0</v>
      </c>
      <c r="C213" s="138"/>
      <c r="D213" s="126">
        <f t="shared" si="49"/>
        <v>0</v>
      </c>
      <c r="E213" s="304" t="e">
        <f t="shared" si="50"/>
        <v>#DIV/0!</v>
      </c>
      <c r="F213" s="129" t="s">
        <v>444</v>
      </c>
      <c r="G213" s="181"/>
    </row>
    <row r="214" spans="1:7">
      <c r="A214" s="134" t="s">
        <v>14</v>
      </c>
      <c r="B214" s="138">
        <f>Transmission_Revenues!O367+Transmission_Revenues!O368</f>
        <v>4046392.8012800002</v>
      </c>
      <c r="C214" s="138"/>
      <c r="D214" s="126">
        <f t="shared" si="49"/>
        <v>4046392.8012800002</v>
      </c>
      <c r="E214" s="304" t="e">
        <f t="shared" si="50"/>
        <v>#DIV/0!</v>
      </c>
      <c r="F214" s="129"/>
    </row>
    <row r="215" spans="1:7">
      <c r="A215" s="134" t="s">
        <v>75</v>
      </c>
      <c r="B215" s="138">
        <f>+Transmission_Revenues!O369</f>
        <v>240791.03999999992</v>
      </c>
      <c r="C215" s="138"/>
      <c r="D215" s="126">
        <f t="shared" ref="D215:D217" si="51">B215-C215</f>
        <v>240791.03999999992</v>
      </c>
      <c r="E215" s="304" t="e">
        <f t="shared" ref="E215:E218" si="52">D215/C215</f>
        <v>#DIV/0!</v>
      </c>
      <c r="F215" s="129"/>
    </row>
    <row r="216" spans="1:7">
      <c r="A216" s="134" t="s">
        <v>119</v>
      </c>
      <c r="B216" s="138">
        <f>+Transmission_Revenues!O370</f>
        <v>86400</v>
      </c>
      <c r="C216" s="138"/>
      <c r="D216" s="126">
        <f t="shared" si="51"/>
        <v>86400</v>
      </c>
      <c r="E216" s="304" t="e">
        <f t="shared" si="52"/>
        <v>#DIV/0!</v>
      </c>
      <c r="F216" s="129"/>
    </row>
    <row r="217" spans="1:7">
      <c r="A217" s="134" t="s">
        <v>57</v>
      </c>
      <c r="B217" s="155">
        <f>+Transmission_Revenues!O371+Transmission_Revenues!O372</f>
        <v>3665636.9700000007</v>
      </c>
      <c r="C217" s="155"/>
      <c r="D217" s="126">
        <f t="shared" si="51"/>
        <v>3665636.9700000007</v>
      </c>
      <c r="E217" s="304" t="e">
        <f t="shared" si="52"/>
        <v>#DIV/0!</v>
      </c>
      <c r="F217" s="129"/>
    </row>
    <row r="218" spans="1:7">
      <c r="A218" s="134" t="s">
        <v>79</v>
      </c>
      <c r="B218" s="138">
        <f>SUM(B195:B217)</f>
        <v>46495215.33765322</v>
      </c>
      <c r="C218" s="138"/>
      <c r="D218" s="286">
        <f>B218-C218</f>
        <v>46495215.33765322</v>
      </c>
      <c r="E218" s="304" t="e">
        <f t="shared" si="52"/>
        <v>#DIV/0!</v>
      </c>
      <c r="F218" s="129"/>
    </row>
    <row r="219" spans="1:7">
      <c r="A219" s="135"/>
      <c r="B219" s="140"/>
      <c r="C219" s="140"/>
      <c r="D219" s="128"/>
      <c r="E219" s="370"/>
      <c r="F219" s="129"/>
    </row>
    <row r="220" spans="1:7">
      <c r="A220" s="134" t="s">
        <v>128</v>
      </c>
      <c r="B220" s="139">
        <f>Transmission_Revenues!O376</f>
        <v>-6797123.0000000028</v>
      </c>
      <c r="C220" s="139">
        <v>-6797123.0000000028</v>
      </c>
      <c r="D220" s="126">
        <f>B220-C220</f>
        <v>0</v>
      </c>
      <c r="E220" s="304">
        <f>D220/C220</f>
        <v>0</v>
      </c>
      <c r="F220" s="129"/>
    </row>
    <row r="221" spans="1:7">
      <c r="A221" s="134"/>
      <c r="B221" s="139"/>
      <c r="C221" s="139"/>
      <c r="D221" s="127"/>
      <c r="E221" s="163"/>
      <c r="F221" s="129"/>
    </row>
    <row r="222" spans="1:7" ht="10.8" thickBot="1">
      <c r="A222" s="135" t="s">
        <v>352</v>
      </c>
      <c r="B222" s="160">
        <f>B218+B220</f>
        <v>39698092.33765322</v>
      </c>
      <c r="C222" s="160"/>
      <c r="D222" s="162">
        <f>B222-C222</f>
        <v>39698092.33765322</v>
      </c>
      <c r="E222" s="164" t="e">
        <f>D222/C222</f>
        <v>#DIV/0!</v>
      </c>
      <c r="F222" s="129" t="s">
        <v>454</v>
      </c>
    </row>
    <row r="223" spans="1:7" ht="10.8" thickTop="1">
      <c r="A223" s="136" t="s">
        <v>129</v>
      </c>
      <c r="B223" s="141">
        <f>B195+B199+B203+B197+B204+B205+B213+B220</f>
        <v>28973842.996848334</v>
      </c>
      <c r="C223" s="141">
        <v>35705572.993347406</v>
      </c>
      <c r="D223" s="177">
        <f>B223-C223</f>
        <v>-6731729.9964990728</v>
      </c>
      <c r="E223" s="178">
        <f>D223/C223</f>
        <v>-0.18853443404348436</v>
      </c>
      <c r="F223" s="130"/>
    </row>
    <row r="224" spans="1:7">
      <c r="A224" s="161"/>
      <c r="B224" s="125"/>
      <c r="C224" s="124"/>
      <c r="D224" s="124"/>
      <c r="E224" s="124"/>
      <c r="F224" s="125"/>
    </row>
  </sheetData>
  <pageMargins left="0.7" right="0.7" top="0.75" bottom="0.75" header="0.3" footer="0.3"/>
  <pageSetup scale="74" fitToHeight="0" orientation="landscape" r:id="rId1"/>
  <rowBreaks count="5" manualBreakCount="5">
    <brk id="35" max="5" man="1"/>
    <brk id="65" max="5" man="1"/>
    <brk id="97" max="5" man="1"/>
    <brk id="129" max="5" man="1"/>
    <brk id="16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Q381"/>
  <sheetViews>
    <sheetView zoomScale="150" zoomScaleNormal="150" workbookViewId="0">
      <pane xSplit="2" ySplit="10" topLeftCell="C347" activePane="bottomRight" state="frozen"/>
      <selection sqref="A1:XFD1428"/>
      <selection pane="topRight" sqref="A1:XFD1428"/>
      <selection pane="bottomLeft" sqref="A1:XFD1428"/>
      <selection pane="bottomRight" sqref="A1:A2"/>
    </sheetView>
  </sheetViews>
  <sheetFormatPr defaultColWidth="9" defaultRowHeight="10.199999999999999"/>
  <cols>
    <col min="1" max="1" width="35" style="6" customWidth="1"/>
    <col min="2" max="2" width="7.88671875" style="6" customWidth="1"/>
    <col min="3" max="3" width="10.109375" style="6" customWidth="1"/>
    <col min="4" max="5" width="8.6640625" style="6" bestFit="1" customWidth="1"/>
    <col min="6" max="6" width="9.109375" style="6" customWidth="1"/>
    <col min="7" max="7" width="9.44140625" style="6" customWidth="1"/>
    <col min="8" max="12" width="8.6640625" style="6" bestFit="1" customWidth="1"/>
    <col min="13" max="13" width="8.44140625" style="6" customWidth="1"/>
    <col min="14" max="14" width="8.6640625" style="6" bestFit="1" customWidth="1"/>
    <col min="15" max="15" width="10.6640625" style="6" customWidth="1"/>
    <col min="16" max="16" width="10.77734375" style="7" customWidth="1"/>
    <col min="17" max="17" width="11.33203125" style="6" customWidth="1"/>
    <col min="18" max="16384" width="9" style="6"/>
  </cols>
  <sheetData>
    <row r="1" spans="1:17" ht="12">
      <c r="A1" s="481" t="s">
        <v>463</v>
      </c>
      <c r="B1" s="8"/>
      <c r="C1" s="5"/>
    </row>
    <row r="2" spans="1:17" ht="12">
      <c r="A2" s="481" t="s">
        <v>458</v>
      </c>
      <c r="B2" s="8"/>
      <c r="C2" s="9"/>
    </row>
    <row r="3" spans="1:17" ht="16.2" customHeight="1">
      <c r="A3" s="90" t="s">
        <v>106</v>
      </c>
      <c r="B3" s="90"/>
    </row>
    <row r="4" spans="1:17" ht="11.4">
      <c r="A4" s="91" t="str">
        <f>Revenue_Variance.!A4</f>
        <v>YEARS 2015-2020 - Updated to include approved forecast October 2015 (all amounts are expressed in dollars)</v>
      </c>
      <c r="B4" s="91"/>
    </row>
    <row r="5" spans="1:17" ht="11.4">
      <c r="A5" s="156" t="s">
        <v>107</v>
      </c>
      <c r="B5" s="156"/>
      <c r="P5" s="37"/>
      <c r="Q5" s="38"/>
    </row>
    <row r="7" spans="1:17">
      <c r="A7" s="348" t="s">
        <v>193</v>
      </c>
      <c r="B7" s="301"/>
      <c r="C7" s="10"/>
    </row>
    <row r="8" spans="1:17">
      <c r="A8" s="87"/>
      <c r="B8" s="8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4"/>
      <c r="Q8" s="11"/>
    </row>
    <row r="9" spans="1:17">
      <c r="A9" s="196" t="s">
        <v>54</v>
      </c>
      <c r="B9" s="203" t="s">
        <v>146</v>
      </c>
      <c r="C9" s="194" t="s">
        <v>0</v>
      </c>
      <c r="D9" s="194" t="s">
        <v>1</v>
      </c>
      <c r="E9" s="194" t="s">
        <v>2</v>
      </c>
      <c r="F9" s="194" t="s">
        <v>3</v>
      </c>
      <c r="G9" s="194" t="s">
        <v>4</v>
      </c>
      <c r="H9" s="194" t="s">
        <v>5</v>
      </c>
      <c r="I9" s="194" t="s">
        <v>6</v>
      </c>
      <c r="J9" s="194" t="s">
        <v>7</v>
      </c>
      <c r="K9" s="194" t="s">
        <v>8</v>
      </c>
      <c r="L9" s="194" t="s">
        <v>9</v>
      </c>
      <c r="M9" s="194" t="s">
        <v>10</v>
      </c>
      <c r="N9" s="194" t="s">
        <v>11</v>
      </c>
      <c r="O9" s="195" t="s">
        <v>12</v>
      </c>
      <c r="Q9" s="11"/>
    </row>
    <row r="10" spans="1:17" s="10" customFormat="1">
      <c r="A10" s="89"/>
      <c r="B10" s="8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11"/>
    </row>
    <row r="11" spans="1:17">
      <c r="A11" s="88" t="s">
        <v>77</v>
      </c>
      <c r="B11" s="209">
        <v>456.21100000000001</v>
      </c>
      <c r="C11" s="39">
        <v>456.23099999999999</v>
      </c>
      <c r="D11" s="39">
        <f>'FMPA Network'!C140</f>
        <v>650195.52</v>
      </c>
      <c r="E11" s="39">
        <f>'FMPA Network'!D140</f>
        <v>568576.05000000005</v>
      </c>
      <c r="F11" s="39"/>
      <c r="G11" s="39">
        <f>'FMPA Network'!F140</f>
        <v>689384.25</v>
      </c>
      <c r="H11" s="39">
        <f>'FMPA Network'!G140</f>
        <v>749789.94000000006</v>
      </c>
      <c r="I11" s="39">
        <f>'FMPA Network'!H140</f>
        <v>775700.58000000007</v>
      </c>
      <c r="J11" s="39">
        <f>'FMPA Network'!I140</f>
        <v>788978.67</v>
      </c>
      <c r="K11" s="39">
        <f>'FMPA Network'!J140</f>
        <v>719829.57000000007</v>
      </c>
      <c r="L11" s="39">
        <f>'FMPA Network'!K140</f>
        <v>665093.82000000007</v>
      </c>
      <c r="M11" s="39">
        <f>'FMPA Network'!L140</f>
        <v>595458.18000000005</v>
      </c>
      <c r="N11" s="39">
        <f>'FMPA Network'!M140</f>
        <v>571492.11</v>
      </c>
      <c r="O11" s="39">
        <f>SUM(C11:N11)</f>
        <v>6774954.921000001</v>
      </c>
      <c r="Q11" s="11"/>
    </row>
    <row r="12" spans="1:17">
      <c r="A12" s="88" t="s">
        <v>136</v>
      </c>
      <c r="B12" s="209">
        <v>456.221</v>
      </c>
      <c r="C12" s="39">
        <f>'FMPA Network'!B147</f>
        <v>5588.6303200000002</v>
      </c>
      <c r="D12" s="39">
        <f>'FMPA Network'!C147</f>
        <v>5209.7427200000002</v>
      </c>
      <c r="E12" s="39">
        <f>'FMPA Network'!D147</f>
        <v>4555.7602999999999</v>
      </c>
      <c r="F12" s="39">
        <f>'FMPA Network'!E147</f>
        <v>4895.7272000000003</v>
      </c>
      <c r="G12" s="39">
        <f>'FMPA Network'!F147</f>
        <v>5523.7455</v>
      </c>
      <c r="H12" s="39">
        <f>'FMPA Network'!G147</f>
        <v>6007.7508399999997</v>
      </c>
      <c r="I12" s="39">
        <f>'FMPA Network'!H147</f>
        <v>6215.3618799999995</v>
      </c>
      <c r="J12" s="39">
        <f>'FMPA Network'!I147</f>
        <v>6321.7536199999995</v>
      </c>
      <c r="K12" s="39">
        <f>'FMPA Network'!J147</f>
        <v>5767.6910200000002</v>
      </c>
      <c r="L12" s="39">
        <f>'FMPA Network'!K147</f>
        <v>5329.1165199999996</v>
      </c>
      <c r="M12" s="39">
        <f>'FMPA Network'!L147</f>
        <v>4771.1554799999994</v>
      </c>
      <c r="N12" s="39">
        <f>'FMPA Network'!M147</f>
        <v>4579.1254600000002</v>
      </c>
      <c r="O12" s="39">
        <f>SUM(C12:N12)</f>
        <v>64765.560860000005</v>
      </c>
      <c r="Q12" s="11"/>
    </row>
    <row r="13" spans="1:17">
      <c r="A13" s="88" t="s">
        <v>73</v>
      </c>
      <c r="B13" s="209">
        <v>456.22199999999998</v>
      </c>
      <c r="C13" s="39">
        <f>'FMPA Network'!B154</f>
        <v>30706.760000000002</v>
      </c>
      <c r="D13" s="39">
        <f>'FMPA Network'!C154</f>
        <v>28624.960000000003</v>
      </c>
      <c r="E13" s="39">
        <f>'FMPA Network'!D154</f>
        <v>25031.65</v>
      </c>
      <c r="F13" s="39">
        <f>'FMPA Network'!E154</f>
        <v>26899.600000000002</v>
      </c>
      <c r="G13" s="39">
        <f>'FMPA Network'!F154</f>
        <v>30350.250000000004</v>
      </c>
      <c r="H13" s="39">
        <f>'FMPA Network'!G154</f>
        <v>33009.620000000003</v>
      </c>
      <c r="I13" s="39">
        <f>'FMPA Network'!H154</f>
        <v>34150.340000000004</v>
      </c>
      <c r="J13" s="39">
        <f>'FMPA Network'!I154</f>
        <v>34734.910000000003</v>
      </c>
      <c r="K13" s="39">
        <f>'FMPA Network'!J154</f>
        <v>31690.610000000004</v>
      </c>
      <c r="L13" s="39">
        <f>'FMPA Network'!K154</f>
        <v>29280.860000000004</v>
      </c>
      <c r="M13" s="39">
        <f>'FMPA Network'!L154</f>
        <v>26215.140000000003</v>
      </c>
      <c r="N13" s="39">
        <f>'FMPA Network'!M154</f>
        <v>25160.030000000002</v>
      </c>
      <c r="O13" s="39">
        <f>SUM(C13:N13)</f>
        <v>355854.73000000004</v>
      </c>
      <c r="Q13" s="11"/>
    </row>
    <row r="14" spans="1:17">
      <c r="A14" s="88" t="s">
        <v>120</v>
      </c>
      <c r="B14" s="209">
        <v>456.21100000000001</v>
      </c>
      <c r="C14" s="39">
        <f>'Vero Beach Network'!B13</f>
        <v>297388.83</v>
      </c>
      <c r="D14" s="39">
        <f>'Vero Beach Network'!C13</f>
        <v>239008.80000000002</v>
      </c>
      <c r="E14" s="39">
        <f>'Vero Beach Network'!D13</f>
        <v>209018.22</v>
      </c>
      <c r="F14" s="39">
        <f>'Vero Beach Network'!E13</f>
        <v>216095.31</v>
      </c>
      <c r="G14" s="39">
        <f>'Vero Beach Network'!F13</f>
        <v>240516.12000000002</v>
      </c>
      <c r="H14" s="39">
        <f>'Vero Beach Network'!G13</f>
        <v>262750.68</v>
      </c>
      <c r="I14" s="39">
        <f>'Vero Beach Network'!H13</f>
        <v>260418.15000000002</v>
      </c>
      <c r="J14" s="39">
        <f>'Vero Beach Network'!I13</f>
        <v>280498.26</v>
      </c>
      <c r="K14" s="39">
        <f>'Vero Beach Network'!J13</f>
        <v>263819.16000000003</v>
      </c>
      <c r="L14" s="39">
        <f>'Vero Beach Network'!K13</f>
        <v>245779.02000000002</v>
      </c>
      <c r="M14" s="39">
        <f>'Vero Beach Network'!L13</f>
        <v>213163.35</v>
      </c>
      <c r="N14" s="39">
        <f>'Vero Beach Network'!M13</f>
        <v>224434.86000000002</v>
      </c>
      <c r="O14" s="39">
        <f>SUM(C14:N14)</f>
        <v>2952890.76</v>
      </c>
      <c r="Q14" s="11"/>
    </row>
    <row r="15" spans="1:17">
      <c r="A15" s="88" t="s">
        <v>137</v>
      </c>
      <c r="B15" s="209">
        <v>456.221</v>
      </c>
      <c r="C15" s="39">
        <f>'Vero Beach Network'!B20</f>
        <v>2382.8513800000001</v>
      </c>
      <c r="D15" s="39">
        <f>'Vero Beach Network'!C20</f>
        <v>1915.0768</v>
      </c>
      <c r="E15" s="39">
        <f>'Vero Beach Network'!D20</f>
        <v>1674.7749199999998</v>
      </c>
      <c r="F15" s="39">
        <f>'Vero Beach Network'!E20</f>
        <v>1731.4806599999999</v>
      </c>
      <c r="G15" s="39">
        <f>'Vero Beach Network'!F20</f>
        <v>1927.1543199999999</v>
      </c>
      <c r="H15" s="39">
        <f>'Vero Beach Network'!G20</f>
        <v>2105.3104800000001</v>
      </c>
      <c r="I15" s="39">
        <f>'Vero Beach Network'!H20</f>
        <v>2086.6208999999999</v>
      </c>
      <c r="J15" s="39">
        <f>'Vero Beach Network'!I20</f>
        <v>2247.5143600000001</v>
      </c>
      <c r="K15" s="39">
        <f>'Vero Beach Network'!J20</f>
        <v>2113.87176</v>
      </c>
      <c r="L15" s="39">
        <f>'Vero Beach Network'!K20</f>
        <v>1969.3237199999999</v>
      </c>
      <c r="M15" s="39">
        <f>'Vero Beach Network'!L20</f>
        <v>1707.9881</v>
      </c>
      <c r="N15" s="39">
        <f>'Vero Beach Network'!M20</f>
        <v>1798.30196</v>
      </c>
      <c r="O15" s="39">
        <f>SUM(C15:N15)</f>
        <v>23660.269359999998</v>
      </c>
      <c r="Q15" s="11"/>
    </row>
    <row r="16" spans="1:17">
      <c r="A16" s="88" t="s">
        <v>121</v>
      </c>
      <c r="B16" s="209">
        <v>456.22199999999998</v>
      </c>
      <c r="C16" s="39">
        <f>'Vero Beach Network'!B27</f>
        <v>18853.329600000001</v>
      </c>
      <c r="D16" s="39">
        <f>'Vero Beach Network'!C27</f>
        <v>15152.255999999999</v>
      </c>
      <c r="E16" s="39">
        <f>'Vero Beach Network'!D27</f>
        <v>13250.966399999999</v>
      </c>
      <c r="F16" s="39">
        <f>'Vero Beach Network'!E27</f>
        <v>13699.627200000001</v>
      </c>
      <c r="G16" s="39">
        <f>'Vero Beach Network'!F27</f>
        <v>15247.814399999999</v>
      </c>
      <c r="H16" s="39">
        <f>'Vero Beach Network'!G27</f>
        <v>16657.401600000001</v>
      </c>
      <c r="I16" s="39">
        <f>'Vero Beach Network'!H27</f>
        <v>16509.527999999998</v>
      </c>
      <c r="J16" s="39">
        <f>'Vero Beach Network'!I27</f>
        <v>17782.531200000001</v>
      </c>
      <c r="K16" s="39">
        <f>'Vero Beach Network'!J27</f>
        <v>16725.139200000001</v>
      </c>
      <c r="L16" s="39">
        <f>'Vero Beach Network'!K27</f>
        <v>15581.4624</v>
      </c>
      <c r="M16" s="39">
        <f>'Vero Beach Network'!L27</f>
        <v>13513.752</v>
      </c>
      <c r="N16" s="39">
        <f>'Vero Beach Network'!M27</f>
        <v>14228.323200000001</v>
      </c>
      <c r="O16" s="39">
        <f t="shared" ref="O16:O22" si="0">SUM(C16:N16)</f>
        <v>187202.1312</v>
      </c>
      <c r="Q16" s="11"/>
    </row>
    <row r="17" spans="1:17">
      <c r="A17" s="88" t="s">
        <v>78</v>
      </c>
      <c r="B17" s="209">
        <v>456.21100000000001</v>
      </c>
      <c r="C17" s="39" t="e">
        <f>'SECI Network'!#REF!</f>
        <v>#REF!</v>
      </c>
      <c r="D17" s="39" t="e">
        <f>'SECI Network'!#REF!</f>
        <v>#REF!</v>
      </c>
      <c r="E17" s="39" t="e">
        <f>'SECI Network'!#REF!</f>
        <v>#REF!</v>
      </c>
      <c r="F17" s="39" t="e">
        <f>'SECI Network'!#REF!</f>
        <v>#REF!</v>
      </c>
      <c r="G17" s="39" t="e">
        <f>'SECI Network'!#REF!</f>
        <v>#REF!</v>
      </c>
      <c r="H17" s="39" t="e">
        <f>'SECI Network'!#REF!</f>
        <v>#REF!</v>
      </c>
      <c r="I17" s="39" t="e">
        <f>'SECI Network'!#REF!</f>
        <v>#REF!</v>
      </c>
      <c r="J17" s="39" t="e">
        <f>'SECI Network'!#REF!</f>
        <v>#REF!</v>
      </c>
      <c r="K17" s="39" t="e">
        <f>'SECI Network'!#REF!</f>
        <v>#REF!</v>
      </c>
      <c r="L17" s="39" t="e">
        <f>'SECI Network'!#REF!</f>
        <v>#REF!</v>
      </c>
      <c r="M17" s="39" t="e">
        <f>'SECI Network'!#REF!</f>
        <v>#REF!</v>
      </c>
      <c r="N17" s="39" t="e">
        <f>'SECI Network'!#REF!</f>
        <v>#REF!</v>
      </c>
      <c r="O17" s="39" t="e">
        <f t="shared" si="0"/>
        <v>#REF!</v>
      </c>
      <c r="Q17" s="11"/>
    </row>
    <row r="18" spans="1:17">
      <c r="A18" s="88" t="s">
        <v>138</v>
      </c>
      <c r="B18" s="209">
        <v>456.221</v>
      </c>
      <c r="C18" s="39" t="e">
        <f>'SECI Network'!#REF!</f>
        <v>#REF!</v>
      </c>
      <c r="D18" s="39" t="e">
        <f>'SECI Network'!#REF!</f>
        <v>#REF!</v>
      </c>
      <c r="E18" s="39" t="e">
        <f>'SECI Network'!#REF!</f>
        <v>#REF!</v>
      </c>
      <c r="F18" s="39" t="e">
        <f>'SECI Network'!#REF!</f>
        <v>#REF!</v>
      </c>
      <c r="G18" s="39" t="e">
        <f>'SECI Network'!#REF!</f>
        <v>#REF!</v>
      </c>
      <c r="H18" s="39" t="e">
        <f>'SECI Network'!#REF!</f>
        <v>#REF!</v>
      </c>
      <c r="I18" s="39" t="e">
        <f>'SECI Network'!#REF!</f>
        <v>#REF!</v>
      </c>
      <c r="J18" s="39" t="e">
        <f>'SECI Network'!#REF!</f>
        <v>#REF!</v>
      </c>
      <c r="K18" s="39" t="e">
        <f>'SECI Network'!#REF!</f>
        <v>#REF!</v>
      </c>
      <c r="L18" s="39" t="e">
        <f>'SECI Network'!#REF!</f>
        <v>#REF!</v>
      </c>
      <c r="M18" s="39" t="e">
        <f>'SECI Network'!#REF!</f>
        <v>#REF!</v>
      </c>
      <c r="N18" s="39" t="e">
        <f>'SECI Network'!#REF!</f>
        <v>#REF!</v>
      </c>
      <c r="O18" s="39" t="e">
        <f t="shared" si="0"/>
        <v>#REF!</v>
      </c>
      <c r="Q18" s="11"/>
    </row>
    <row r="19" spans="1:17">
      <c r="A19" s="88" t="s">
        <v>74</v>
      </c>
      <c r="B19" s="209">
        <v>456.22199999999998</v>
      </c>
      <c r="C19" s="39" t="e">
        <f>'SECI Network'!#REF!</f>
        <v>#REF!</v>
      </c>
      <c r="D19" s="39" t="e">
        <f>'SECI Network'!#REF!</f>
        <v>#REF!</v>
      </c>
      <c r="E19" s="39" t="e">
        <f>'SECI Network'!#REF!</f>
        <v>#REF!</v>
      </c>
      <c r="F19" s="39" t="e">
        <f>'SECI Network'!#REF!</f>
        <v>#REF!</v>
      </c>
      <c r="G19" s="39" t="e">
        <f>'SECI Network'!#REF!</f>
        <v>#REF!</v>
      </c>
      <c r="H19" s="39" t="e">
        <f>'SECI Network'!#REF!</f>
        <v>#REF!</v>
      </c>
      <c r="I19" s="39" t="e">
        <f>'SECI Network'!#REF!</f>
        <v>#REF!</v>
      </c>
      <c r="J19" s="39" t="e">
        <f>'SECI Network'!#REF!</f>
        <v>#REF!</v>
      </c>
      <c r="K19" s="39" t="e">
        <f>'SECI Network'!#REF!</f>
        <v>#REF!</v>
      </c>
      <c r="L19" s="39" t="e">
        <f>'SECI Network'!#REF!</f>
        <v>#REF!</v>
      </c>
      <c r="M19" s="39" t="e">
        <f>'SECI Network'!#REF!</f>
        <v>#REF!</v>
      </c>
      <c r="N19" s="39" t="e">
        <f>'SECI Network'!#REF!</f>
        <v>#REF!</v>
      </c>
      <c r="O19" s="39" t="e">
        <f t="shared" si="0"/>
        <v>#REF!</v>
      </c>
      <c r="Q19" s="11"/>
    </row>
    <row r="20" spans="1:17">
      <c r="A20" s="88" t="s">
        <v>56</v>
      </c>
      <c r="B20" s="209">
        <v>456.22399999999999</v>
      </c>
      <c r="C20" s="39">
        <f>SECI_Regulation_Imbalance!B90</f>
        <v>4.8179999999999996</v>
      </c>
      <c r="D20" s="39">
        <f>SECI_Regulation_Imbalance!C90</f>
        <v>4.8179999999999996</v>
      </c>
      <c r="E20" s="39">
        <f>SECI_Regulation_Imbalance!D90</f>
        <v>4.8179999999999996</v>
      </c>
      <c r="F20" s="39">
        <f>SECI_Regulation_Imbalance!E90</f>
        <v>4.8179999999999996</v>
      </c>
      <c r="G20" s="39">
        <f>SECI_Regulation_Imbalance!F90</f>
        <v>4.8179999999999996</v>
      </c>
      <c r="H20" s="39">
        <f>SECI_Regulation_Imbalance!G90</f>
        <v>4.8179999999999996</v>
      </c>
      <c r="I20" s="39">
        <f>SECI_Regulation_Imbalance!H90</f>
        <v>4.8179999999999996</v>
      </c>
      <c r="J20" s="39">
        <f>SECI_Regulation_Imbalance!I90</f>
        <v>4.8179999999999996</v>
      </c>
      <c r="K20" s="39">
        <f>SECI_Regulation_Imbalance!J90</f>
        <v>4.8179999999999996</v>
      </c>
      <c r="L20" s="39">
        <f>SECI_Regulation_Imbalance!K90</f>
        <v>4.8179999999999996</v>
      </c>
      <c r="M20" s="39">
        <f>SECI_Regulation_Imbalance!L90</f>
        <v>4.8179999999999996</v>
      </c>
      <c r="N20" s="39">
        <f>SECI_Regulation_Imbalance!M90</f>
        <v>4.8179999999999996</v>
      </c>
      <c r="O20" s="39">
        <f t="shared" si="0"/>
        <v>57.815999999999981</v>
      </c>
      <c r="Q20" s="11"/>
    </row>
    <row r="21" spans="1:17">
      <c r="A21" s="88" t="s">
        <v>108</v>
      </c>
      <c r="B21" s="209">
        <v>456.24900000000002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f>'Radial Facilities'!H19</f>
        <v>39444.43</v>
      </c>
      <c r="J21" s="43">
        <f>'Radial Facilities'!I19</f>
        <v>39444.43</v>
      </c>
      <c r="K21" s="43">
        <f>'Radial Facilities'!J19</f>
        <v>39444.43</v>
      </c>
      <c r="L21" s="43">
        <f>'Radial Facilities'!K19</f>
        <v>39444.43</v>
      </c>
      <c r="M21" s="43">
        <f>'Radial Facilities'!L19</f>
        <v>39444.43</v>
      </c>
      <c r="N21" s="43">
        <f>'Radial Facilities'!M19</f>
        <v>39444.43</v>
      </c>
      <c r="O21" s="40">
        <f t="shared" si="0"/>
        <v>236666.58</v>
      </c>
      <c r="Q21" s="11"/>
    </row>
    <row r="22" spans="1:17">
      <c r="A22" s="88" t="s">
        <v>124</v>
      </c>
      <c r="B22" s="209">
        <v>456.21100000000001</v>
      </c>
      <c r="C22" s="43">
        <f>'LCEC Network'!B15</f>
        <v>291494.7</v>
      </c>
      <c r="D22" s="43">
        <f>'LCEC Network'!C15</f>
        <v>1230755.4000000001</v>
      </c>
      <c r="E22" s="43">
        <f>'LCEC Network'!D15</f>
        <v>900394.74</v>
      </c>
      <c r="F22" s="43" t="s">
        <v>201</v>
      </c>
      <c r="G22" s="43">
        <f>'LCEC Network'!F15</f>
        <v>1151404.8600000001</v>
      </c>
      <c r="H22" s="43">
        <f>'LCEC Network'!G15</f>
        <v>1178934.1200000001</v>
      </c>
      <c r="I22" s="43">
        <f>'LCEC Network'!H15</f>
        <v>1264763.9100000001</v>
      </c>
      <c r="J22" s="43">
        <f>'LCEC Network'!I15</f>
        <v>1174076.6700000002</v>
      </c>
      <c r="K22" s="43">
        <f>'LCEC Network'!J15</f>
        <v>1342495.83</v>
      </c>
      <c r="L22" s="43">
        <f>'LCEC Network'!K15</f>
        <v>1135210.71</v>
      </c>
      <c r="M22" s="43">
        <f>'LCEC Network'!L15</f>
        <v>1230755.4000000001</v>
      </c>
      <c r="N22" s="43">
        <f>'LCEC Network'!M15</f>
        <v>968410.17</v>
      </c>
      <c r="O22" s="40">
        <f t="shared" si="0"/>
        <v>11868696.510000002</v>
      </c>
      <c r="Q22" s="11"/>
    </row>
    <row r="23" spans="1:17">
      <c r="A23" s="88" t="s">
        <v>139</v>
      </c>
      <c r="B23" s="209">
        <v>456.221</v>
      </c>
      <c r="C23" s="43">
        <f>'LCEC Network'!B24</f>
        <v>2335.6241999999997</v>
      </c>
      <c r="D23" s="43">
        <f>'LCEC Network'!C24</f>
        <v>9861.5244000000002</v>
      </c>
      <c r="E23" s="43">
        <f>'LCEC Network'!D24</f>
        <v>7214.4836399999995</v>
      </c>
      <c r="F23" s="43">
        <f>'LCEC Network'!E24</f>
        <v>7603.7543399999995</v>
      </c>
      <c r="G23" s="43">
        <f>'LCEC Network'!F24</f>
        <v>9225.7219599999989</v>
      </c>
      <c r="H23" s="43">
        <f>'LCEC Network'!G24</f>
        <v>9446.3023199999989</v>
      </c>
      <c r="I23" s="43">
        <f>'LCEC Network'!H24</f>
        <v>10134.020259999999</v>
      </c>
      <c r="J23" s="43">
        <f>'LCEC Network'!I24</f>
        <v>9407.3816200000001</v>
      </c>
      <c r="K23" s="43">
        <f>'LCEC Network'!J24</f>
        <v>10756.85338</v>
      </c>
      <c r="L23" s="43">
        <f>'LCEC Network'!K24</f>
        <v>9095.9650600000004</v>
      </c>
      <c r="M23" s="43">
        <f>'LCEC Network'!L24</f>
        <v>9861.5244000000002</v>
      </c>
      <c r="N23" s="43">
        <f>'LCEC Network'!M24</f>
        <v>7759.4626199999993</v>
      </c>
      <c r="O23" s="40">
        <f t="shared" ref="O23:O28" si="1">SUM(C23:N23)</f>
        <v>102702.61820000001</v>
      </c>
      <c r="Q23" s="11"/>
    </row>
    <row r="24" spans="1:17">
      <c r="A24" s="88" t="s">
        <v>13</v>
      </c>
      <c r="B24" s="209">
        <v>456.21300000000002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f>'New Smyrna Beach'!H9</f>
        <v>13007.96</v>
      </c>
      <c r="J24" s="42">
        <f>'New Smyrna Beach'!I9</f>
        <v>13007.96</v>
      </c>
      <c r="K24" s="42">
        <f>'New Smyrna Beach'!J9</f>
        <v>13007.96</v>
      </c>
      <c r="L24" s="42">
        <f>'New Smyrna Beach'!K9</f>
        <v>13007.96</v>
      </c>
      <c r="M24" s="42">
        <f>'New Smyrna Beach'!L9</f>
        <v>13007.96</v>
      </c>
      <c r="N24" s="42">
        <f>'New Smyrna Beach'!M9</f>
        <v>13007.96</v>
      </c>
      <c r="O24" s="42">
        <f t="shared" si="1"/>
        <v>78047.759999999995</v>
      </c>
      <c r="Q24" s="11"/>
    </row>
    <row r="25" spans="1:17">
      <c r="A25" s="88" t="s">
        <v>14</v>
      </c>
      <c r="B25" s="209">
        <v>456.21100000000001</v>
      </c>
      <c r="C25" s="39" t="e">
        <f>'TSAS Demand Revenues (7)'!#REF!</f>
        <v>#REF!</v>
      </c>
      <c r="D25" s="287" t="e">
        <f>'TSAS Demand Revenues (7)'!#REF!</f>
        <v>#REF!</v>
      </c>
      <c r="E25" s="39" t="e">
        <f>'TSAS Demand Revenues (7)'!#REF!</f>
        <v>#REF!</v>
      </c>
      <c r="F25" s="39" t="e">
        <f>'TSAS Demand Revenues (7)'!#REF!</f>
        <v>#REF!</v>
      </c>
      <c r="G25" s="39" t="e">
        <f>'TSAS Demand Revenues (7)'!#REF!</f>
        <v>#REF!</v>
      </c>
      <c r="H25" s="39" t="e">
        <f>'TSAS Demand Revenues (7)'!#REF!</f>
        <v>#REF!</v>
      </c>
      <c r="I25" s="39" t="e">
        <f>'TSAS Demand Revenues (7)'!#REF!</f>
        <v>#REF!</v>
      </c>
      <c r="J25" s="39" t="e">
        <f>'TSAS Demand Revenues (7)'!#REF!</f>
        <v>#REF!</v>
      </c>
      <c r="K25" s="39" t="e">
        <f>'TSAS Demand Revenues (7)'!#REF!</f>
        <v>#REF!</v>
      </c>
      <c r="L25" s="39" t="e">
        <f>'TSAS Demand Revenues (7)'!#REF!</f>
        <v>#REF!</v>
      </c>
      <c r="M25" s="39" t="e">
        <f>'TSAS Demand Revenues (7)'!#REF!</f>
        <v>#REF!</v>
      </c>
      <c r="N25" s="39" t="e">
        <f>'TSAS Demand Revenues (7)'!#REF!</f>
        <v>#REF!</v>
      </c>
      <c r="O25" s="39" t="e">
        <f t="shared" si="1"/>
        <v>#REF!</v>
      </c>
      <c r="Q25" s="11"/>
    </row>
    <row r="26" spans="1:17">
      <c r="A26" s="88" t="s">
        <v>140</v>
      </c>
      <c r="B26" s="209">
        <v>456.221</v>
      </c>
      <c r="C26" s="39">
        <f>'TSAS Scheduling Revenue (1)'!B65</f>
        <v>6408.9334399999998</v>
      </c>
      <c r="D26" s="39">
        <f>'TSAS Scheduling Revenue (1)'!C65</f>
        <v>6408.9334399999998</v>
      </c>
      <c r="E26" s="39">
        <f>'TSAS Scheduling Revenue (1)'!D65</f>
        <v>6408.9334399999998</v>
      </c>
      <c r="F26" s="39">
        <f>'TSAS Scheduling Revenue (1)'!E65</f>
        <v>6408.9334399999998</v>
      </c>
      <c r="G26" s="39">
        <f>'TSAS Scheduling Revenue (1)'!F65</f>
        <v>6408.9334399999998</v>
      </c>
      <c r="H26" s="39">
        <f>'TSAS Scheduling Revenue (1)'!G65</f>
        <v>6408.9334399999998</v>
      </c>
      <c r="I26" s="39">
        <f>'TSAS Scheduling Revenue (1)'!H65</f>
        <v>6408.9334399999998</v>
      </c>
      <c r="J26" s="39">
        <f>'TSAS Scheduling Revenue (1)'!I65</f>
        <v>6408.9334399999998</v>
      </c>
      <c r="K26" s="39">
        <f>'TSAS Scheduling Revenue (1)'!J65</f>
        <v>6408.9334399999998</v>
      </c>
      <c r="L26" s="39">
        <f>'TSAS Scheduling Revenue (1)'!K65</f>
        <v>6408.9334399999998</v>
      </c>
      <c r="M26" s="39">
        <f>'TSAS Scheduling Revenue (1)'!L65</f>
        <v>6408.9334399999998</v>
      </c>
      <c r="N26" s="39">
        <f>'TSAS Scheduling Revenue (1)'!M65</f>
        <v>6408.9334399999998</v>
      </c>
      <c r="O26" s="39">
        <f t="shared" si="1"/>
        <v>76907.201279999994</v>
      </c>
      <c r="Q26" s="11"/>
    </row>
    <row r="27" spans="1:17">
      <c r="A27" s="88" t="s">
        <v>75</v>
      </c>
      <c r="B27" s="209">
        <v>456.22199999999998</v>
      </c>
      <c r="C27" s="39">
        <f>'TSAS Reactive Revenues (2)'!B64</f>
        <v>49566.719999999994</v>
      </c>
      <c r="D27" s="39">
        <f>'TSAS Reactive Revenues (2)'!C64</f>
        <v>49566.719999999994</v>
      </c>
      <c r="E27" s="39">
        <f>'TSAS Reactive Revenues (2)'!D64</f>
        <v>49566.719999999994</v>
      </c>
      <c r="F27" s="39" t="s">
        <v>194</v>
      </c>
      <c r="G27" s="39">
        <f>'TSAS Reactive Revenues (2)'!F64</f>
        <v>49566.719999999994</v>
      </c>
      <c r="H27" s="39">
        <f>'TSAS Reactive Revenues (2)'!G64</f>
        <v>49566.719999999994</v>
      </c>
      <c r="I27" s="39">
        <f>'TSAS Reactive Revenues (2)'!H64</f>
        <v>49566.719999999994</v>
      </c>
      <c r="J27" s="39">
        <f>'TSAS Reactive Revenues (2)'!I64</f>
        <v>49566.719999999994</v>
      </c>
      <c r="K27" s="39">
        <f>'TSAS Reactive Revenues (2)'!J64</f>
        <v>49566.719999999994</v>
      </c>
      <c r="L27" s="39">
        <f>'TSAS Reactive Revenues (2)'!K64</f>
        <v>49566.719999999994</v>
      </c>
      <c r="M27" s="39">
        <f>'TSAS Reactive Revenues (2)'!L64</f>
        <v>49566.719999999994</v>
      </c>
      <c r="N27" s="39">
        <f>'TSAS Reactive Revenues (2)'!M64</f>
        <v>49566.719999999994</v>
      </c>
      <c r="O27" s="39">
        <f t="shared" si="1"/>
        <v>545233.91999999981</v>
      </c>
      <c r="Q27" s="11"/>
    </row>
    <row r="28" spans="1:17">
      <c r="A28" s="88" t="s">
        <v>119</v>
      </c>
      <c r="B28" s="209">
        <v>456.14499999999998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f>Dynamic_Scheduling!H16</f>
        <v>7200</v>
      </c>
      <c r="J28" s="39">
        <f>Dynamic_Scheduling!I16</f>
        <v>7200</v>
      </c>
      <c r="K28" s="39">
        <f>Dynamic_Scheduling!J16</f>
        <v>7200</v>
      </c>
      <c r="L28" s="39">
        <f>Dynamic_Scheduling!K16</f>
        <v>7200</v>
      </c>
      <c r="M28" s="39">
        <f>Dynamic_Scheduling!L16</f>
        <v>7200</v>
      </c>
      <c r="N28" s="39">
        <f>Dynamic_Scheduling!M16</f>
        <v>7200</v>
      </c>
      <c r="O28" s="42">
        <f t="shared" si="1"/>
        <v>43200</v>
      </c>
      <c r="Q28" s="11"/>
    </row>
    <row r="29" spans="1:17">
      <c r="A29" s="88" t="s">
        <v>147</v>
      </c>
      <c r="B29" s="209">
        <v>456.21300000000002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f>st_nf!J9</f>
        <v>225520.52</v>
      </c>
      <c r="J29" s="39">
        <f>st_nf!K9</f>
        <v>328491.74</v>
      </c>
      <c r="K29" s="39">
        <f>st_nf!L9</f>
        <v>320710.51</v>
      </c>
      <c r="L29" s="39">
        <f>st_nf!M9</f>
        <v>438157.95</v>
      </c>
      <c r="M29" s="39">
        <f>st_nf!N9</f>
        <v>323720.68</v>
      </c>
      <c r="N29" s="39">
        <f>st_nf!O9</f>
        <v>226700.14</v>
      </c>
      <c r="O29" s="42">
        <f>SUM(C29:N29)</f>
        <v>1863301.54</v>
      </c>
      <c r="Q29" s="11"/>
    </row>
    <row r="30" spans="1:17">
      <c r="A30" s="88" t="s">
        <v>148</v>
      </c>
      <c r="B30" s="209">
        <v>456.22300000000001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0">
        <f>st_nf!J10</f>
        <v>25237.65</v>
      </c>
      <c r="J30" s="210">
        <f>st_nf!K10</f>
        <v>31769.99</v>
      </c>
      <c r="K30" s="210">
        <f>st_nf!L10</f>
        <v>41391.03</v>
      </c>
      <c r="L30" s="210">
        <f>st_nf!M10</f>
        <v>29168.31</v>
      </c>
      <c r="M30" s="210">
        <f>st_nf!N10</f>
        <v>28251.96</v>
      </c>
      <c r="N30" s="210">
        <f>st_nf!O10</f>
        <v>31973.599999999999</v>
      </c>
      <c r="O30" s="210">
        <f>SUM(C30:N30)</f>
        <v>187792.54</v>
      </c>
      <c r="Q30" s="11"/>
    </row>
    <row r="31" spans="1:17">
      <c r="A31" s="88" t="s">
        <v>149</v>
      </c>
      <c r="B31" s="88"/>
      <c r="C31" s="39" t="e">
        <f t="shared" ref="C31:O31" si="2">SUM(C11:C30)</f>
        <v>#REF!</v>
      </c>
      <c r="D31" s="39" t="e">
        <f t="shared" si="2"/>
        <v>#REF!</v>
      </c>
      <c r="E31" s="39" t="e">
        <f t="shared" si="2"/>
        <v>#REF!</v>
      </c>
      <c r="F31" s="39" t="e">
        <f t="shared" si="2"/>
        <v>#REF!</v>
      </c>
      <c r="G31" s="39" t="e">
        <f t="shared" si="2"/>
        <v>#REF!</v>
      </c>
      <c r="H31" s="39" t="e">
        <f t="shared" si="2"/>
        <v>#REF!</v>
      </c>
      <c r="I31" s="39" t="e">
        <f t="shared" si="2"/>
        <v>#REF!</v>
      </c>
      <c r="J31" s="39" t="e">
        <f t="shared" si="2"/>
        <v>#REF!</v>
      </c>
      <c r="K31" s="39" t="e">
        <f t="shared" si="2"/>
        <v>#REF!</v>
      </c>
      <c r="L31" s="39" t="e">
        <f t="shared" si="2"/>
        <v>#REF!</v>
      </c>
      <c r="M31" s="39" t="e">
        <f t="shared" si="2"/>
        <v>#REF!</v>
      </c>
      <c r="N31" s="39" t="e">
        <f t="shared" si="2"/>
        <v>#REF!</v>
      </c>
      <c r="O31" s="39" t="e">
        <f t="shared" si="2"/>
        <v>#REF!</v>
      </c>
      <c r="Q31" s="11"/>
    </row>
    <row r="32" spans="1:17">
      <c r="A32" s="87"/>
      <c r="B32" s="87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Q32" s="11"/>
    </row>
    <row r="33" spans="1:17">
      <c r="A33" s="88" t="s">
        <v>150</v>
      </c>
      <c r="B33" s="204">
        <v>456.22500000000002</v>
      </c>
      <c r="C33" s="302">
        <f>C7</f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3" t="e">
        <f>#REF!</f>
        <v>#REF!</v>
      </c>
      <c r="J33" s="43" t="e">
        <f>#REF!</f>
        <v>#REF!</v>
      </c>
      <c r="K33" s="43" t="e">
        <f>#REF!</f>
        <v>#REF!</v>
      </c>
      <c r="L33" s="43" t="e">
        <f>#REF!</f>
        <v>#REF!</v>
      </c>
      <c r="M33" s="43" t="e">
        <f>#REF!</f>
        <v>#REF!</v>
      </c>
      <c r="N33" s="43" t="e">
        <f>#REF!</f>
        <v>#REF!</v>
      </c>
      <c r="O33" s="40" t="e">
        <f>SUM(C33:N33)</f>
        <v>#REF!</v>
      </c>
      <c r="Q33" s="11"/>
    </row>
    <row r="34" spans="1:17">
      <c r="A34" s="88" t="s">
        <v>151</v>
      </c>
      <c r="B34" s="204">
        <v>456.23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3" t="e">
        <f>#REF!</f>
        <v>#REF!</v>
      </c>
      <c r="J34" s="43" t="e">
        <f>#REF!</f>
        <v>#REF!</v>
      </c>
      <c r="K34" s="43" t="e">
        <f>#REF!</f>
        <v>#REF!</v>
      </c>
      <c r="L34" s="43" t="e">
        <f>#REF!</f>
        <v>#REF!</v>
      </c>
      <c r="M34" s="43" t="e">
        <f>#REF!</f>
        <v>#REF!</v>
      </c>
      <c r="N34" s="43" t="e">
        <f>#REF!</f>
        <v>#REF!</v>
      </c>
      <c r="O34" s="40" t="e">
        <f>SUM(C34:N34)</f>
        <v>#REF!</v>
      </c>
      <c r="Q34" s="11"/>
    </row>
    <row r="35" spans="1:17">
      <c r="A35" s="88" t="s">
        <v>152</v>
      </c>
      <c r="B35" s="204">
        <v>456.23099999999999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3" t="e">
        <f>#REF!</f>
        <v>#REF!</v>
      </c>
      <c r="J35" s="43" t="e">
        <f>#REF!</f>
        <v>#REF!</v>
      </c>
      <c r="K35" s="43" t="e">
        <f>#REF!</f>
        <v>#REF!</v>
      </c>
      <c r="L35" s="43" t="e">
        <f>#REF!</f>
        <v>#REF!</v>
      </c>
      <c r="M35" s="43" t="e">
        <f>#REF!</f>
        <v>#REF!</v>
      </c>
      <c r="N35" s="43" t="e">
        <f>#REF!</f>
        <v>#REF!</v>
      </c>
      <c r="O35" s="40" t="e">
        <f>SUM(C35:N35)</f>
        <v>#REF!</v>
      </c>
      <c r="Q35" s="11"/>
    </row>
    <row r="36" spans="1:17">
      <c r="A36" s="88" t="s">
        <v>153</v>
      </c>
      <c r="B36" s="204">
        <v>456.23200000000003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3" t="e">
        <f>#REF!</f>
        <v>#REF!</v>
      </c>
      <c r="J36" s="43" t="e">
        <f>#REF!</f>
        <v>#REF!</v>
      </c>
      <c r="K36" s="43" t="e">
        <f>#REF!</f>
        <v>#REF!</v>
      </c>
      <c r="L36" s="43" t="e">
        <f>#REF!</f>
        <v>#REF!</v>
      </c>
      <c r="M36" s="43" t="e">
        <f>#REF!</f>
        <v>#REF!</v>
      </c>
      <c r="N36" s="43" t="e">
        <f>#REF!</f>
        <v>#REF!</v>
      </c>
      <c r="O36" s="40" t="e">
        <f>SUM(C36:N36)</f>
        <v>#REF!</v>
      </c>
      <c r="Q36" s="11"/>
    </row>
    <row r="37" spans="1:17">
      <c r="A37" s="88" t="s">
        <v>154</v>
      </c>
      <c r="B37" s="204">
        <v>456.233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3" t="e">
        <f>#REF!</f>
        <v>#REF!</v>
      </c>
      <c r="J37" s="43" t="e">
        <f>#REF!</f>
        <v>#REF!</v>
      </c>
      <c r="K37" s="43" t="e">
        <f>#REF!</f>
        <v>#REF!</v>
      </c>
      <c r="L37" s="43" t="e">
        <f>#REF!</f>
        <v>#REF!</v>
      </c>
      <c r="M37" s="43" t="e">
        <f>#REF!</f>
        <v>#REF!</v>
      </c>
      <c r="N37" s="43" t="e">
        <f>#REF!</f>
        <v>#REF!</v>
      </c>
      <c r="O37" s="40" t="e">
        <f>SUM(C37:N37)</f>
        <v>#REF!</v>
      </c>
      <c r="Q37" s="11"/>
    </row>
    <row r="38" spans="1:17">
      <c r="A38" s="88"/>
      <c r="B38" s="88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9"/>
      <c r="Q38" s="11"/>
    </row>
    <row r="39" spans="1:17">
      <c r="A39" s="88" t="s">
        <v>126</v>
      </c>
      <c r="B39" s="209">
        <v>456.25200000000001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f t="shared" ref="I39:N39" si="3">(400000+150000+11583.33+4833.33)*-1</f>
        <v>-566416.65999999992</v>
      </c>
      <c r="J39" s="43">
        <f t="shared" si="3"/>
        <v>-566416.65999999992</v>
      </c>
      <c r="K39" s="43">
        <f t="shared" si="3"/>
        <v>-566416.65999999992</v>
      </c>
      <c r="L39" s="43">
        <f t="shared" si="3"/>
        <v>-566416.65999999992</v>
      </c>
      <c r="M39" s="43">
        <f t="shared" si="3"/>
        <v>-566416.65999999992</v>
      </c>
      <c r="N39" s="43">
        <f t="shared" si="3"/>
        <v>-566416.65999999992</v>
      </c>
      <c r="O39" s="40">
        <f>SUM(C39:N39)</f>
        <v>-3398499.96</v>
      </c>
      <c r="Q39" s="11"/>
    </row>
    <row r="40" spans="1:17">
      <c r="A40" s="87"/>
      <c r="B40" s="87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Q40" s="11"/>
    </row>
    <row r="41" spans="1:17">
      <c r="A41" s="87" t="s">
        <v>72</v>
      </c>
      <c r="B41" s="87"/>
      <c r="C41" s="39" t="e">
        <f>C31+C33+C34+C35+C36+C37+C39</f>
        <v>#REF!</v>
      </c>
      <c r="D41" s="39" t="e">
        <f t="shared" ref="D41:O41" si="4">D31+D33+D34+D35+D36+D37+D39</f>
        <v>#REF!</v>
      </c>
      <c r="E41" s="39" t="e">
        <f t="shared" si="4"/>
        <v>#REF!</v>
      </c>
      <c r="F41" s="39" t="e">
        <f t="shared" si="4"/>
        <v>#REF!</v>
      </c>
      <c r="G41" s="39" t="e">
        <f t="shared" si="4"/>
        <v>#REF!</v>
      </c>
      <c r="H41" s="39" t="e">
        <f t="shared" si="4"/>
        <v>#REF!</v>
      </c>
      <c r="I41" s="39" t="e">
        <f t="shared" si="4"/>
        <v>#REF!</v>
      </c>
      <c r="J41" s="39" t="e">
        <f t="shared" si="4"/>
        <v>#REF!</v>
      </c>
      <c r="K41" s="39" t="e">
        <f t="shared" si="4"/>
        <v>#REF!</v>
      </c>
      <c r="L41" s="39" t="e">
        <f t="shared" si="4"/>
        <v>#REF!</v>
      </c>
      <c r="M41" s="39" t="e">
        <f t="shared" si="4"/>
        <v>#REF!</v>
      </c>
      <c r="N41" s="39" t="e">
        <f t="shared" si="4"/>
        <v>#REF!</v>
      </c>
      <c r="O41" s="39" t="e">
        <f t="shared" si="4"/>
        <v>#REF!</v>
      </c>
      <c r="Q41" s="11"/>
    </row>
    <row r="42" spans="1:17">
      <c r="A42" s="88"/>
      <c r="B42" s="88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Q42" s="11"/>
    </row>
    <row r="43" spans="1:17">
      <c r="A43" s="196" t="s">
        <v>109</v>
      </c>
      <c r="B43" s="202"/>
      <c r="C43" s="194" t="s">
        <v>0</v>
      </c>
      <c r="D43" s="194" t="s">
        <v>1</v>
      </c>
      <c r="E43" s="194" t="s">
        <v>2</v>
      </c>
      <c r="F43" s="194" t="s">
        <v>3</v>
      </c>
      <c r="G43" s="194" t="s">
        <v>4</v>
      </c>
      <c r="H43" s="194" t="s">
        <v>5</v>
      </c>
      <c r="I43" s="194" t="s">
        <v>6</v>
      </c>
      <c r="J43" s="194" t="s">
        <v>7</v>
      </c>
      <c r="K43" s="194" t="s">
        <v>8</v>
      </c>
      <c r="L43" s="194" t="s">
        <v>9</v>
      </c>
      <c r="M43" s="194" t="s">
        <v>10</v>
      </c>
      <c r="N43" s="194" t="s">
        <v>11</v>
      </c>
      <c r="O43" s="195" t="s">
        <v>12</v>
      </c>
      <c r="Q43" s="11"/>
    </row>
    <row r="44" spans="1:17">
      <c r="A44" s="89"/>
      <c r="B44" s="89"/>
      <c r="Q44" s="11"/>
    </row>
    <row r="45" spans="1:17">
      <c r="A45" s="88" t="s">
        <v>77</v>
      </c>
      <c r="B45" s="209">
        <v>456.21100000000001</v>
      </c>
      <c r="C45" s="39">
        <f>'FMPA Network'!B15</f>
        <v>669141.96000000008</v>
      </c>
      <c r="D45" s="39">
        <f>'FMPA Network'!C15</f>
        <v>624284.88</v>
      </c>
      <c r="E45" s="39">
        <f>'FMPA Network'!D15</f>
        <v>546066.42000000004</v>
      </c>
      <c r="F45" s="39">
        <f>'FMPA Network'!E15</f>
        <v>586714.77</v>
      </c>
      <c r="G45" s="39">
        <f>'FMPA Network'!F15</f>
        <v>661854.99</v>
      </c>
      <c r="H45" s="39">
        <f>'FMPA Network'!G15</f>
        <v>719991.75</v>
      </c>
      <c r="I45" s="39">
        <f>'FMPA Network'!H15</f>
        <v>744930.9</v>
      </c>
      <c r="J45" s="39">
        <f>'FMPA Network'!I15</f>
        <v>757561.86</v>
      </c>
      <c r="K45" s="39">
        <f>'FMPA Network'!J15</f>
        <v>691166.64</v>
      </c>
      <c r="L45" s="39">
        <f>'FMPA Network'!K15</f>
        <v>638536.05000000005</v>
      </c>
      <c r="M45" s="39">
        <f>'FMPA Network'!L15</f>
        <v>571654.29</v>
      </c>
      <c r="N45" s="39">
        <f>'FMPA Network'!M15</f>
        <v>548820.30000000005</v>
      </c>
      <c r="O45" s="39">
        <f>SUM(C45:N45)</f>
        <v>7760724.8100000005</v>
      </c>
      <c r="Q45" s="11"/>
    </row>
    <row r="46" spans="1:17">
      <c r="A46" s="88" t="s">
        <v>136</v>
      </c>
      <c r="B46" s="209">
        <v>456.221</v>
      </c>
      <c r="C46" s="39">
        <f>'FMPA Network'!B22</f>
        <v>5361.5525600000001</v>
      </c>
      <c r="D46" s="39">
        <f>'FMPA Network'!C22</f>
        <v>5002.1316799999995</v>
      </c>
      <c r="E46" s="39">
        <f>'FMPA Network'!D22</f>
        <v>4375.4001200000002</v>
      </c>
      <c r="F46" s="39">
        <f>'FMPA Network'!E22</f>
        <v>4701.0982199999999</v>
      </c>
      <c r="G46" s="39">
        <f>'FMPA Network'!F22</f>
        <v>5303.1651400000001</v>
      </c>
      <c r="H46" s="39">
        <f>'FMPA Network'!G22</f>
        <v>5768.9904999999999</v>
      </c>
      <c r="I46" s="39">
        <f>'FMPA Network'!H22</f>
        <v>5968.8173999999999</v>
      </c>
      <c r="J46" s="39">
        <f>'FMPA Network'!I22</f>
        <v>6070.0239599999995</v>
      </c>
      <c r="K46" s="39">
        <f>'FMPA Network'!J22</f>
        <v>5538.0270399999999</v>
      </c>
      <c r="L46" s="39">
        <f>'FMPA Network'!K22</f>
        <v>5116.3202999999994</v>
      </c>
      <c r="M46" s="39">
        <f>'FMPA Network'!L22</f>
        <v>4580.4249399999999</v>
      </c>
      <c r="N46" s="39">
        <f>'FMPA Network'!M22</f>
        <v>4397.4657999999999</v>
      </c>
      <c r="O46" s="39">
        <f>SUM(C46:N46)</f>
        <v>62183.417659999999</v>
      </c>
      <c r="Q46" s="309"/>
    </row>
    <row r="47" spans="1:17">
      <c r="A47" s="88" t="s">
        <v>76</v>
      </c>
      <c r="B47" s="209">
        <v>456.22199999999998</v>
      </c>
      <c r="C47" s="39">
        <f>'FMPA Network'!B29</f>
        <v>29459.08</v>
      </c>
      <c r="D47" s="39">
        <f>'FMPA Network'!C29</f>
        <v>27484.240000000002</v>
      </c>
      <c r="E47" s="39">
        <f>'FMPA Network'!D29</f>
        <v>24040.660000000003</v>
      </c>
      <c r="F47" s="39">
        <f>'FMPA Network'!E29</f>
        <v>25830.210000000003</v>
      </c>
      <c r="G47" s="39">
        <f>'FMPA Network'!F29</f>
        <v>29138.270000000004</v>
      </c>
      <c r="H47" s="39">
        <f>'FMPA Network'!G29</f>
        <v>31697.750000000004</v>
      </c>
      <c r="I47" s="39">
        <f>'FMPA Network'!H29</f>
        <v>32795.700000000004</v>
      </c>
      <c r="J47" s="39">
        <f>'FMPA Network'!I29</f>
        <v>33351.780000000006</v>
      </c>
      <c r="K47" s="39">
        <f>'FMPA Network'!J29</f>
        <v>30428.720000000001</v>
      </c>
      <c r="L47" s="39">
        <f>'FMPA Network'!K29</f>
        <v>28111.65</v>
      </c>
      <c r="M47" s="39">
        <f>'FMPA Network'!L29</f>
        <v>25167.170000000002</v>
      </c>
      <c r="N47" s="39">
        <f>'FMPA Network'!M29</f>
        <v>24161.9</v>
      </c>
      <c r="O47" s="39">
        <f>SUM(C47:N47)</f>
        <v>341667.13000000006</v>
      </c>
      <c r="Q47" s="11"/>
    </row>
    <row r="48" spans="1:17">
      <c r="A48" s="88" t="s">
        <v>120</v>
      </c>
      <c r="B48" s="209">
        <v>456.21100000000001</v>
      </c>
      <c r="C48" s="39">
        <f>'Vero Beach Network'!B13</f>
        <v>297388.83</v>
      </c>
      <c r="D48" s="39">
        <f>'Vero Beach Network'!C13</f>
        <v>239008.80000000002</v>
      </c>
      <c r="E48" s="39">
        <f>'Vero Beach Network'!D13</f>
        <v>209018.22</v>
      </c>
      <c r="F48" s="39">
        <f>'Vero Beach Network'!E13</f>
        <v>216095.31</v>
      </c>
      <c r="G48" s="39">
        <f>'Vero Beach Network'!F13</f>
        <v>240516.12000000002</v>
      </c>
      <c r="H48" s="39">
        <f>'Vero Beach Network'!G13</f>
        <v>262750.68</v>
      </c>
      <c r="I48" s="39">
        <f>'Vero Beach Network'!H13</f>
        <v>260418.15000000002</v>
      </c>
      <c r="J48" s="39">
        <f>'Vero Beach Network'!I13</f>
        <v>280498.26</v>
      </c>
      <c r="K48" s="39">
        <f>'Vero Beach Network'!J13</f>
        <v>263819.16000000003</v>
      </c>
      <c r="L48" s="39">
        <f>'Vero Beach Network'!K13</f>
        <v>245779.02000000002</v>
      </c>
      <c r="M48" s="39">
        <f>'Vero Beach Network'!L13</f>
        <v>213163.35</v>
      </c>
      <c r="N48" s="39">
        <f>'Vero Beach Network'!M13</f>
        <v>224434.86000000002</v>
      </c>
      <c r="O48" s="39">
        <f>SUM(C48:N48)</f>
        <v>2952890.76</v>
      </c>
      <c r="Q48" s="11"/>
    </row>
    <row r="49" spans="1:17">
      <c r="A49" s="88" t="s">
        <v>137</v>
      </c>
      <c r="B49" s="209">
        <v>456.221</v>
      </c>
      <c r="C49" s="39">
        <f>'Vero Beach Network'!B20</f>
        <v>2382.8513800000001</v>
      </c>
      <c r="D49" s="39">
        <f>'Vero Beach Network'!C20</f>
        <v>1915.0768</v>
      </c>
      <c r="E49" s="39">
        <f>'Vero Beach Network'!D20</f>
        <v>1674.7749199999998</v>
      </c>
      <c r="F49" s="39">
        <f>'Vero Beach Network'!E20</f>
        <v>1731.4806599999999</v>
      </c>
      <c r="G49" s="39">
        <f>'Vero Beach Network'!F20</f>
        <v>1927.1543199999999</v>
      </c>
      <c r="H49" s="39">
        <f>'Vero Beach Network'!G20</f>
        <v>2105.3104800000001</v>
      </c>
      <c r="I49" s="39">
        <f>'Vero Beach Network'!H20</f>
        <v>2086.6208999999999</v>
      </c>
      <c r="J49" s="39">
        <f>'Vero Beach Network'!I20</f>
        <v>2247.5143600000001</v>
      </c>
      <c r="K49" s="39">
        <f>'Vero Beach Network'!J20</f>
        <v>2113.87176</v>
      </c>
      <c r="L49" s="39">
        <f>'Vero Beach Network'!K20</f>
        <v>1969.3237199999999</v>
      </c>
      <c r="M49" s="39">
        <f>'Vero Beach Network'!L20</f>
        <v>1707.9881</v>
      </c>
      <c r="N49" s="39">
        <f>'Vero Beach Network'!M20</f>
        <v>1798.30196</v>
      </c>
      <c r="O49" s="39">
        <f t="shared" ref="O49:O75" si="5">SUM(C49:N49)</f>
        <v>23660.269359999998</v>
      </c>
      <c r="Q49" s="11"/>
    </row>
    <row r="50" spans="1:17">
      <c r="A50" s="88" t="s">
        <v>121</v>
      </c>
      <c r="B50" s="209">
        <v>456.22199999999998</v>
      </c>
      <c r="C50" s="39">
        <f>'Vero Beach Network'!B27</f>
        <v>18853.329600000001</v>
      </c>
      <c r="D50" s="39">
        <f>'Vero Beach Network'!C27</f>
        <v>15152.255999999999</v>
      </c>
      <c r="E50" s="39">
        <f>'Vero Beach Network'!D27</f>
        <v>13250.966399999999</v>
      </c>
      <c r="F50" s="39">
        <f>'Vero Beach Network'!E27</f>
        <v>13699.627200000001</v>
      </c>
      <c r="G50" s="39">
        <f>'Vero Beach Network'!F27</f>
        <v>15247.814399999999</v>
      </c>
      <c r="H50" s="39">
        <f>'Vero Beach Network'!G27</f>
        <v>16657.401600000001</v>
      </c>
      <c r="I50" s="39">
        <f>'Vero Beach Network'!H27</f>
        <v>16509.527999999998</v>
      </c>
      <c r="J50" s="39">
        <f>'Vero Beach Network'!I27</f>
        <v>17782.531200000001</v>
      </c>
      <c r="K50" s="39">
        <f>'Vero Beach Network'!J27</f>
        <v>16725.139200000001</v>
      </c>
      <c r="L50" s="39">
        <f>'Vero Beach Network'!K27</f>
        <v>15581.4624</v>
      </c>
      <c r="M50" s="39">
        <f>'Vero Beach Network'!L27</f>
        <v>13513.752</v>
      </c>
      <c r="N50" s="39">
        <f>'Vero Beach Network'!M27</f>
        <v>14228.323200000001</v>
      </c>
      <c r="O50" s="39">
        <f t="shared" si="5"/>
        <v>187202.1312</v>
      </c>
      <c r="Q50" s="11"/>
    </row>
    <row r="51" spans="1:17">
      <c r="A51" s="88" t="s">
        <v>78</v>
      </c>
      <c r="B51" s="209">
        <v>456.21100000000001</v>
      </c>
      <c r="C51" s="39">
        <f>'SECI Network'!B17</f>
        <v>895839.85736118141</v>
      </c>
      <c r="D51" s="42">
        <f>'SECI Network'!C17</f>
        <v>748937.78909831855</v>
      </c>
      <c r="E51" s="42">
        <f>'SECI Network'!D17</f>
        <v>644231.06469689275</v>
      </c>
      <c r="F51" s="39">
        <f>'SECI Network'!E17</f>
        <v>606869.70962812053</v>
      </c>
      <c r="G51" s="39">
        <f>'SECI Network'!F17</f>
        <v>682109.19001528306</v>
      </c>
      <c r="H51" s="39">
        <f>'SECI Network'!G17</f>
        <v>742258.65511971398</v>
      </c>
      <c r="I51" s="39">
        <f>'SECI Network'!H17</f>
        <v>736523.96332144679</v>
      </c>
      <c r="J51" s="39">
        <f>'SECI Network'!I17</f>
        <v>742443.33163525234</v>
      </c>
      <c r="K51" s="39">
        <f>'SECI Network'!J17</f>
        <v>691982.90371879784</v>
      </c>
      <c r="L51" s="39">
        <f>'SECI Network'!K17</f>
        <v>640148.74172185443</v>
      </c>
      <c r="M51" s="39">
        <f>'SECI Network'!L17</f>
        <v>550368.4156902706</v>
      </c>
      <c r="N51" s="39">
        <f>'SECI Network'!M17</f>
        <v>750813.71370351571</v>
      </c>
      <c r="O51" s="39">
        <f t="shared" si="5"/>
        <v>8432527.3357106466</v>
      </c>
      <c r="Q51" s="11"/>
    </row>
    <row r="52" spans="1:17">
      <c r="A52" s="88" t="s">
        <v>138</v>
      </c>
      <c r="B52" s="209">
        <v>456.221</v>
      </c>
      <c r="C52" s="39">
        <f>'SECI Network'!B22</f>
        <v>7177.9872847682082</v>
      </c>
      <c r="D52" s="39">
        <f>'SECI Network'!C22</f>
        <v>6000.9229139072813</v>
      </c>
      <c r="E52" s="39">
        <f>'SECI Network'!D22</f>
        <v>5161.9520529801339</v>
      </c>
      <c r="F52" s="39">
        <f>'SECI Network'!E22</f>
        <v>4862.5912582781475</v>
      </c>
      <c r="G52" s="39">
        <f>'SECI Network'!F22</f>
        <v>5465.4535099337772</v>
      </c>
      <c r="H52" s="39">
        <f>'SECI Network'!G22</f>
        <v>5947.4058278145631</v>
      </c>
      <c r="I52" s="39">
        <f>'SECI Network'!H22</f>
        <v>5901.4561589403966</v>
      </c>
      <c r="J52" s="39">
        <f>'SECI Network'!I22</f>
        <v>5948.8855629139089</v>
      </c>
      <c r="K52" s="39">
        <f>'SECI Network'!J22</f>
        <v>5544.5674172185436</v>
      </c>
      <c r="L52" s="39">
        <f>'SECI Network'!K22</f>
        <v>5129.242119205298</v>
      </c>
      <c r="M52" s="39">
        <f>'SECI Network'!L22</f>
        <v>4409.8701986755013</v>
      </c>
      <c r="N52" s="39">
        <f>'SECI Network'!M22</f>
        <v>6015.9539072847729</v>
      </c>
      <c r="O52" s="39">
        <f t="shared" si="5"/>
        <v>67566.288211920546</v>
      </c>
      <c r="Q52" s="11"/>
    </row>
    <row r="53" spans="1:17" s="10" customFormat="1">
      <c r="A53" s="88" t="s">
        <v>74</v>
      </c>
      <c r="B53" s="209">
        <v>456.22199999999998</v>
      </c>
      <c r="C53" s="39">
        <f>'SECI Network'!B27</f>
        <v>11268.425878756998</v>
      </c>
      <c r="D53" s="39">
        <f>'SECI Network'!C27</f>
        <v>9420.6011207335669</v>
      </c>
      <c r="E53" s="39">
        <f>'SECI Network'!D27</f>
        <v>8103.5354049923608</v>
      </c>
      <c r="F53" s="39">
        <f>'SECI Network'!E27</f>
        <v>7633.5812531839056</v>
      </c>
      <c r="G53" s="39">
        <f>'SECI Network'!F27</f>
        <v>8579.9898115129945</v>
      </c>
      <c r="H53" s="39">
        <f>'SECI Network'!G27</f>
        <v>9336.5868568517471</v>
      </c>
      <c r="I53" s="39">
        <f>'SECI Network'!H27</f>
        <v>9264.4523688232293</v>
      </c>
      <c r="J53" s="39">
        <f>'SECI Network'!I27</f>
        <v>9338.9098318899669</v>
      </c>
      <c r="K53" s="39">
        <f>'SECI Network'!J27</f>
        <v>8704.1874681609788</v>
      </c>
      <c r="L53" s="39">
        <f>'SECI Network'!K27</f>
        <v>8052.1854304635772</v>
      </c>
      <c r="M53" s="39">
        <f>'SECI Network'!L27</f>
        <v>6922.8731533367372</v>
      </c>
      <c r="N53" s="39">
        <f>'SECI Network'!M27</f>
        <v>9444.1976566479971</v>
      </c>
      <c r="O53" s="39">
        <f t="shared" si="5"/>
        <v>106069.52623535406</v>
      </c>
      <c r="P53" s="7"/>
      <c r="Q53" s="11"/>
    </row>
    <row r="54" spans="1:17">
      <c r="A54" s="88" t="s">
        <v>56</v>
      </c>
      <c r="B54" s="209">
        <v>456.22399999999999</v>
      </c>
      <c r="C54" s="39">
        <f>SECI_Regulation_Imbalance!B20</f>
        <v>36646.611221599574</v>
      </c>
      <c r="D54" s="39">
        <f>SECI_Regulation_Imbalance!C20</f>
        <v>30637.207934793663</v>
      </c>
      <c r="E54" s="39">
        <f>SECI_Regulation_Imbalance!D20</f>
        <v>26353.912667345907</v>
      </c>
      <c r="F54" s="39">
        <f>SECI_Regulation_Imbalance!E20</f>
        <v>24825.551272542038</v>
      </c>
      <c r="G54" s="39">
        <f>SECI_Regulation_Imbalance!F20</f>
        <v>27903.413865511982</v>
      </c>
      <c r="H54" s="39">
        <f>SECI_Regulation_Imbalance!G20</f>
        <v>30363.980946510408</v>
      </c>
      <c r="I54" s="39">
        <f>SECI_Regulation_Imbalance!H20</f>
        <v>30129.388771268463</v>
      </c>
      <c r="J54" s="39">
        <f>SECI_Regulation_Imbalance!I20</f>
        <v>30371.535609780953</v>
      </c>
      <c r="K54" s="39">
        <f>SECI_Regulation_Imbalance!J20</f>
        <v>28307.323274579725</v>
      </c>
      <c r="L54" s="39">
        <f>SECI_Regulation_Imbalance!K20</f>
        <v>26186.914847682117</v>
      </c>
      <c r="M54" s="39">
        <f>SECI_Regulation_Imbalance!L20</f>
        <v>22514.221925624068</v>
      </c>
      <c r="N54" s="39">
        <f>SECI_Regulation_Imbalance!M20</f>
        <v>30713.94740906778</v>
      </c>
      <c r="O54" s="39">
        <f t="shared" si="5"/>
        <v>344954.00974630669</v>
      </c>
      <c r="Q54" s="11"/>
    </row>
    <row r="55" spans="1:17">
      <c r="A55" s="88" t="s">
        <v>260</v>
      </c>
      <c r="B55" s="209">
        <v>456.24900000000002</v>
      </c>
      <c r="C55" s="43">
        <f>'Radial Facilities'!B19</f>
        <v>40458.6</v>
      </c>
      <c r="D55" s="43">
        <f>'Radial Facilities'!C19</f>
        <v>39444.43</v>
      </c>
      <c r="E55" s="43">
        <f>'Radial Facilities'!D19</f>
        <v>39444.43</v>
      </c>
      <c r="F55" s="43">
        <f>'Radial Facilities'!E19</f>
        <v>39444.43</v>
      </c>
      <c r="G55" s="43">
        <f>'Radial Facilities'!F19</f>
        <v>39444.43</v>
      </c>
      <c r="H55" s="43">
        <f>'Radial Facilities'!G19</f>
        <v>39444.43</v>
      </c>
      <c r="I55" s="43">
        <f>'Radial Facilities'!H19</f>
        <v>39444.43</v>
      </c>
      <c r="J55" s="43">
        <f>'Radial Facilities'!I19</f>
        <v>39444.43</v>
      </c>
      <c r="K55" s="43">
        <f>'Radial Facilities'!J19</f>
        <v>39444.43</v>
      </c>
      <c r="L55" s="43">
        <f>'Radial Facilities'!K19</f>
        <v>39444.43</v>
      </c>
      <c r="M55" s="43">
        <f>'Radial Facilities'!L19</f>
        <v>39444.43</v>
      </c>
      <c r="N55" s="43">
        <f>'Radial Facilities'!M19</f>
        <v>39444.43</v>
      </c>
      <c r="O55" s="40">
        <f t="shared" si="5"/>
        <v>474347.32999999996</v>
      </c>
      <c r="Q55" s="11"/>
    </row>
    <row r="56" spans="1:17">
      <c r="A56" s="88" t="s">
        <v>124</v>
      </c>
      <c r="B56" s="209">
        <v>456.21100000000001</v>
      </c>
      <c r="C56" s="43">
        <f>'LCEC Network'!B15</f>
        <v>291494.7</v>
      </c>
      <c r="D56" s="43">
        <f>'LCEC Network'!C15</f>
        <v>1230755.4000000001</v>
      </c>
      <c r="E56" s="43">
        <f>'LCEC Network'!D15</f>
        <v>900394.74</v>
      </c>
      <c r="F56" s="43">
        <f>'LCEC Network'!E15</f>
        <v>948977.19000000006</v>
      </c>
      <c r="G56" s="43">
        <f>'LCEC Network'!F15</f>
        <v>1151404.8600000001</v>
      </c>
      <c r="H56" s="43">
        <f>'LCEC Network'!G15</f>
        <v>1178934.1200000001</v>
      </c>
      <c r="I56" s="43">
        <f>'LCEC Network'!H15</f>
        <v>1264763.9100000001</v>
      </c>
      <c r="J56" s="43">
        <f>'LCEC Network'!I15</f>
        <v>1174076.6700000002</v>
      </c>
      <c r="K56" s="43">
        <f>'LCEC Network'!J15</f>
        <v>1342495.83</v>
      </c>
      <c r="L56" s="43">
        <f>'LCEC Network'!K15</f>
        <v>1135210.71</v>
      </c>
      <c r="M56" s="43">
        <f>'LCEC Network'!L15</f>
        <v>1230755.4000000001</v>
      </c>
      <c r="N56" s="43">
        <f>'LCEC Network'!M15</f>
        <v>968410.17</v>
      </c>
      <c r="O56" s="40">
        <f t="shared" si="5"/>
        <v>12817673.699999999</v>
      </c>
      <c r="Q56" s="11"/>
    </row>
    <row r="57" spans="1:17">
      <c r="A57" s="88" t="s">
        <v>139</v>
      </c>
      <c r="B57" s="209">
        <v>456.221</v>
      </c>
      <c r="C57" s="43">
        <f>'LCEC Network'!B24</f>
        <v>2335.6241999999997</v>
      </c>
      <c r="D57" s="43">
        <f>'LCEC Network'!C24</f>
        <v>9861.5244000000002</v>
      </c>
      <c r="E57" s="43">
        <f>'LCEC Network'!D24</f>
        <v>7214.4836399999995</v>
      </c>
      <c r="F57" s="43">
        <f>'LCEC Network'!E24</f>
        <v>7603.7543399999995</v>
      </c>
      <c r="G57" s="43">
        <f>'LCEC Network'!F24</f>
        <v>9225.7219599999989</v>
      </c>
      <c r="H57" s="43">
        <f>'LCEC Network'!G24</f>
        <v>9446.3023199999989</v>
      </c>
      <c r="I57" s="43">
        <f>'LCEC Network'!H24</f>
        <v>10134.020259999999</v>
      </c>
      <c r="J57" s="43">
        <f>'LCEC Network'!I24</f>
        <v>9407.3816200000001</v>
      </c>
      <c r="K57" s="43">
        <f>'LCEC Network'!J24</f>
        <v>10756.85338</v>
      </c>
      <c r="L57" s="43">
        <f>'LCEC Network'!K24</f>
        <v>9095.9650600000004</v>
      </c>
      <c r="M57" s="43">
        <f>'LCEC Network'!L24</f>
        <v>9861.5244000000002</v>
      </c>
      <c r="N57" s="43">
        <f>'LCEC Network'!M24</f>
        <v>7759.4626199999993</v>
      </c>
      <c r="O57" s="40">
        <f t="shared" si="5"/>
        <v>102702.61820000001</v>
      </c>
      <c r="Q57" s="11"/>
    </row>
    <row r="58" spans="1:17">
      <c r="A58" s="88" t="s">
        <v>177</v>
      </c>
      <c r="B58" s="209">
        <v>456.21100000000001</v>
      </c>
      <c r="C58" s="43">
        <f>'FKEC Network'!B17</f>
        <v>179755.86000000002</v>
      </c>
      <c r="D58" s="43">
        <f>'FKEC Network'!C17</f>
        <v>142508.52000000002</v>
      </c>
      <c r="E58" s="43">
        <f>'FKEC Network'!D17</f>
        <v>179755.86000000002</v>
      </c>
      <c r="F58" s="43">
        <f>'FKEC Network'!E17</f>
        <v>199188.84</v>
      </c>
      <c r="G58" s="43">
        <f>'FKEC Network'!F17</f>
        <v>208905.33000000002</v>
      </c>
      <c r="H58" s="43">
        <f>'FKEC Network'!G17</f>
        <v>199188.84</v>
      </c>
      <c r="I58" s="43">
        <f>'FKEC Network'!H17</f>
        <v>226718.1</v>
      </c>
      <c r="J58" s="43">
        <f>'FKEC Network'!I17</f>
        <v>244532.46000000002</v>
      </c>
      <c r="K58" s="43">
        <f>'FKEC Network'!J17</f>
        <v>236434.59000000003</v>
      </c>
      <c r="L58" s="43">
        <f>'FKEC Network'!K17</f>
        <v>207285.12000000002</v>
      </c>
      <c r="M58" s="43">
        <f>'FKEC Network'!L17</f>
        <v>221860.65000000002</v>
      </c>
      <c r="N58" s="43">
        <f>'FKEC Network'!M17</f>
        <v>186233.52000000002</v>
      </c>
      <c r="O58" s="40">
        <f>SUM(C58:N58)</f>
        <v>2432367.6900000004</v>
      </c>
      <c r="Q58" s="11"/>
    </row>
    <row r="59" spans="1:17">
      <c r="A59" s="88" t="s">
        <v>178</v>
      </c>
      <c r="B59" s="209">
        <v>456.221</v>
      </c>
      <c r="C59" s="43">
        <f>'FKEC Network'!B24</f>
        <v>1440.3079599999999</v>
      </c>
      <c r="D59" s="43">
        <f>'FKEC Network'!C24</f>
        <v>1141.8607199999999</v>
      </c>
      <c r="E59" s="43">
        <f>'FKEC Network'!D24</f>
        <v>1440.3079599999999</v>
      </c>
      <c r="F59" s="43">
        <f>'FKEC Network'!E24</f>
        <v>1596.0162399999999</v>
      </c>
      <c r="G59" s="43">
        <f>'FKEC Network'!F24</f>
        <v>1673.8703799999998</v>
      </c>
      <c r="H59" s="43">
        <f>'FKEC Network'!G24</f>
        <v>1596.0162399999999</v>
      </c>
      <c r="I59" s="43">
        <f>'FKEC Network'!H24</f>
        <v>1816.5965999999999</v>
      </c>
      <c r="J59" s="43">
        <f>'FKEC Network'!I24</f>
        <v>1959.33556</v>
      </c>
      <c r="K59" s="43">
        <f>'FKEC Network'!J24</f>
        <v>1894.45074</v>
      </c>
      <c r="L59" s="43">
        <f>'FKEC Network'!K24</f>
        <v>1660.88832</v>
      </c>
      <c r="M59" s="43">
        <f>'FKEC Network'!L24</f>
        <v>1777.6759</v>
      </c>
      <c r="N59" s="43">
        <f>'FKEC Network'!M24</f>
        <v>1492.21072</v>
      </c>
      <c r="O59" s="40">
        <f>SUM(C59:N59)</f>
        <v>19489.537339999999</v>
      </c>
      <c r="Q59" s="11"/>
    </row>
    <row r="60" spans="1:17">
      <c r="A60" s="88" t="s">
        <v>191</v>
      </c>
      <c r="B60" s="209">
        <v>456.21100000000001</v>
      </c>
      <c r="C60" s="43">
        <f>'Wauchula Network'!B17</f>
        <v>14575.53</v>
      </c>
      <c r="D60" s="43">
        <f>'Wauchula Network'!C17</f>
        <v>19432.98</v>
      </c>
      <c r="E60" s="43">
        <f>'Wauchula Network'!D17</f>
        <v>14575.53</v>
      </c>
      <c r="F60" s="43">
        <f>'Wauchula Network'!E17</f>
        <v>12955.320000000002</v>
      </c>
      <c r="G60" s="43">
        <f>'Wauchula Network'!F17</f>
        <v>19432.98</v>
      </c>
      <c r="H60" s="43">
        <f>'Wauchula Network'!G17</f>
        <v>21053.190000000002</v>
      </c>
      <c r="I60" s="43">
        <f>'Wauchula Network'!H17</f>
        <v>21053.190000000002</v>
      </c>
      <c r="J60" s="43">
        <f>'Wauchula Network'!I17</f>
        <v>21053.190000000002</v>
      </c>
      <c r="K60" s="43">
        <f>'Wauchula Network'!J17</f>
        <v>22671.81</v>
      </c>
      <c r="L60" s="43">
        <f>'Wauchula Network'!K17</f>
        <v>19432.98</v>
      </c>
      <c r="M60" s="43">
        <f>'Wauchula Network'!L17</f>
        <v>19432.98</v>
      </c>
      <c r="N60" s="43">
        <f>'Wauchula Network'!M17</f>
        <v>14575.53</v>
      </c>
      <c r="O60" s="40">
        <f>SUM(C60:N60)</f>
        <v>220245.21000000002</v>
      </c>
    </row>
    <row r="61" spans="1:17">
      <c r="A61" s="88" t="s">
        <v>192</v>
      </c>
      <c r="B61" s="209">
        <v>456.221</v>
      </c>
      <c r="C61" s="43">
        <f>'Wauchula Network'!B24</f>
        <v>116.78757999999999</v>
      </c>
      <c r="D61" s="43">
        <f>'Wauchula Network'!C24</f>
        <v>155.70828</v>
      </c>
      <c r="E61" s="43">
        <f>'Wauchula Network'!D24</f>
        <v>116.78757999999999</v>
      </c>
      <c r="F61" s="43">
        <f>'Wauchula Network'!E24</f>
        <v>103.80552</v>
      </c>
      <c r="G61" s="43">
        <f>'Wauchula Network'!F24</f>
        <v>155.70828</v>
      </c>
      <c r="H61" s="43">
        <f>'Wauchula Network'!G24</f>
        <v>168.69033999999999</v>
      </c>
      <c r="I61" s="43">
        <f>'Wauchula Network'!H24</f>
        <v>168.69033999999999</v>
      </c>
      <c r="J61" s="43">
        <f>'Wauchula Network'!I24</f>
        <v>168.69033999999999</v>
      </c>
      <c r="K61" s="43">
        <f>'Wauchula Network'!J24</f>
        <v>181.65966</v>
      </c>
      <c r="L61" s="43">
        <f>'Wauchula Network'!K24</f>
        <v>155.70828</v>
      </c>
      <c r="M61" s="43">
        <f>'Wauchula Network'!L24</f>
        <v>155.70828</v>
      </c>
      <c r="N61" s="43">
        <f>'Wauchula Network'!M24</f>
        <v>116.78757999999999</v>
      </c>
      <c r="O61" s="40">
        <f>SUM(C61:N61)</f>
        <v>1764.73206</v>
      </c>
    </row>
    <row r="62" spans="1:17">
      <c r="A62" s="88" t="s">
        <v>257</v>
      </c>
      <c r="B62" s="209">
        <v>456.21100000000001</v>
      </c>
      <c r="C62" s="43">
        <f>'Blountstown Network'!B16</f>
        <v>6477.6600000000008</v>
      </c>
      <c r="D62" s="43">
        <f>'Blountstown Network'!C16</f>
        <v>11336.7</v>
      </c>
      <c r="E62" s="43">
        <f>'Blountstown Network'!D16</f>
        <v>6477.6600000000008</v>
      </c>
      <c r="F62" s="43">
        <f>'Blountstown Network'!E16</f>
        <v>4859.04</v>
      </c>
      <c r="G62" s="43">
        <f>'Blountstown Network'!F16</f>
        <v>11336.7</v>
      </c>
      <c r="H62" s="43">
        <f>'Blountstown Network'!G16</f>
        <v>11336.7</v>
      </c>
      <c r="I62" s="43">
        <f>'Blountstown Network'!H16</f>
        <v>11336.7</v>
      </c>
      <c r="J62" s="43">
        <f>'Blountstown Network'!I16</f>
        <v>12955.320000000002</v>
      </c>
      <c r="K62" s="43">
        <f>'Blountstown Network'!J16</f>
        <v>12955.320000000002</v>
      </c>
      <c r="L62" s="43">
        <f>'Blountstown Network'!K16</f>
        <v>11336.7</v>
      </c>
      <c r="M62" s="43">
        <f>'Blountstown Network'!L16</f>
        <v>11336.7</v>
      </c>
      <c r="N62" s="43">
        <f>'Blountstown Network'!M16</f>
        <v>6477.6600000000008</v>
      </c>
      <c r="O62" s="40">
        <f t="shared" ref="O62:O64" si="6">SUM(C62:N62)</f>
        <v>118222.86000000002</v>
      </c>
    </row>
    <row r="63" spans="1:17">
      <c r="A63" s="88" t="s">
        <v>258</v>
      </c>
      <c r="B63" s="209">
        <v>456.221</v>
      </c>
      <c r="C63" s="43">
        <f>'Blountstown Network'!B23</f>
        <v>51.902760000000001</v>
      </c>
      <c r="D63" s="43">
        <f>'Blountstown Network'!C23</f>
        <v>90.836199999999991</v>
      </c>
      <c r="E63" s="43">
        <f>'Blountstown Network'!D23</f>
        <v>51.902760000000001</v>
      </c>
      <c r="F63" s="43">
        <f>'Blountstown Network'!E23</f>
        <v>38.933439999999997</v>
      </c>
      <c r="G63" s="43">
        <f>'Blountstown Network'!F23</f>
        <v>90.836199999999991</v>
      </c>
      <c r="H63" s="43">
        <f>'Blountstown Network'!G23</f>
        <v>90.836199999999991</v>
      </c>
      <c r="I63" s="43">
        <f>'Blountstown Network'!H23</f>
        <v>90.836199999999991</v>
      </c>
      <c r="J63" s="43">
        <f>'Blountstown Network'!I23</f>
        <v>103.80552</v>
      </c>
      <c r="K63" s="43">
        <f>'Blountstown Network'!J23</f>
        <v>103.80552</v>
      </c>
      <c r="L63" s="43">
        <f>'Blountstown Network'!K23</f>
        <v>90.836199999999991</v>
      </c>
      <c r="M63" s="43">
        <f>'Blountstown Network'!L23</f>
        <v>90.836199999999991</v>
      </c>
      <c r="N63" s="43">
        <f>'Blountstown Network'!M23</f>
        <v>51.902760000000001</v>
      </c>
      <c r="O63" s="40">
        <f t="shared" si="6"/>
        <v>947.26995999999986</v>
      </c>
    </row>
    <row r="64" spans="1:17">
      <c r="A64" s="88" t="s">
        <v>285</v>
      </c>
      <c r="B64" s="209">
        <v>456.21100000000001</v>
      </c>
      <c r="C64" s="43">
        <f>'Winter Park Network'!B17</f>
        <v>1.59</v>
      </c>
      <c r="D64" s="43">
        <f>'Winter Park Network'!C17</f>
        <v>3.18</v>
      </c>
      <c r="E64" s="43">
        <f>'Winter Park Network'!D17</f>
        <v>4.7700000000000005</v>
      </c>
      <c r="F64" s="43">
        <f>'Winter Park Network'!E17</f>
        <v>6.36</v>
      </c>
      <c r="G64" s="43">
        <f>'Winter Park Network'!F17</f>
        <v>7.95</v>
      </c>
      <c r="H64" s="43">
        <f>'Winter Park Network'!G17</f>
        <v>9.5400000000000009</v>
      </c>
      <c r="I64" s="43">
        <f>'Winter Park Network'!H17</f>
        <v>11.13</v>
      </c>
      <c r="J64" s="43">
        <f>'Winter Park Network'!I17</f>
        <v>12.72</v>
      </c>
      <c r="K64" s="43">
        <f>'Winter Park Network'!J17</f>
        <v>14.31</v>
      </c>
      <c r="L64" s="43">
        <f>'Winter Park Network'!K17</f>
        <v>15.9</v>
      </c>
      <c r="M64" s="43">
        <f>'Winter Park Network'!L17</f>
        <v>17.490000000000002</v>
      </c>
      <c r="N64" s="43">
        <f>'Winter Park Network'!M17</f>
        <v>19.080000000000002</v>
      </c>
      <c r="O64" s="40">
        <f t="shared" si="6"/>
        <v>124.02</v>
      </c>
    </row>
    <row r="65" spans="1:17">
      <c r="A65" s="88" t="s">
        <v>13</v>
      </c>
      <c r="B65" s="209">
        <v>456.21300000000002</v>
      </c>
      <c r="C65" s="42">
        <f>'New Smyrna Beach'!$B$9</f>
        <v>13007.96</v>
      </c>
      <c r="D65" s="42">
        <f>'New Smyrna Beach'!$C$9</f>
        <v>13007.96</v>
      </c>
      <c r="E65" s="42">
        <f>'New Smyrna Beach'!$D$9</f>
        <v>13007.96</v>
      </c>
      <c r="F65" s="42">
        <f>'New Smyrna Beach'!$E$9</f>
        <v>13007.96</v>
      </c>
      <c r="G65" s="42">
        <f>'New Smyrna Beach'!F9</f>
        <v>13007.96</v>
      </c>
      <c r="H65" s="42">
        <f>'New Smyrna Beach'!$G$9</f>
        <v>13007.96</v>
      </c>
      <c r="I65" s="42">
        <f>'New Smyrna Beach'!$H$9</f>
        <v>13007.96</v>
      </c>
      <c r="J65" s="42">
        <f>'New Smyrna Beach'!$I$9</f>
        <v>13007.96</v>
      </c>
      <c r="K65" s="42">
        <f>'New Smyrna Beach'!$J$9</f>
        <v>13007.96</v>
      </c>
      <c r="L65" s="42">
        <f>'New Smyrna Beach'!$K$9</f>
        <v>13007.96</v>
      </c>
      <c r="M65" s="42">
        <f>'New Smyrna Beach'!$L$9</f>
        <v>13007.96</v>
      </c>
      <c r="N65" s="42">
        <f>'New Smyrna Beach'!$M$9</f>
        <v>13007.96</v>
      </c>
      <c r="O65" s="42">
        <f>SUM(C65:N65)</f>
        <v>156095.51999999996</v>
      </c>
      <c r="Q65" s="11"/>
    </row>
    <row r="66" spans="1:17">
      <c r="A66" s="88" t="s">
        <v>347</v>
      </c>
      <c r="B66" s="209">
        <v>456.21100000000001</v>
      </c>
      <c r="C66" s="42">
        <f>'New Smyrna Network'!B16</f>
        <v>0</v>
      </c>
      <c r="D66" s="42">
        <f>'New Smyrna Network'!C16</f>
        <v>0</v>
      </c>
      <c r="E66" s="42">
        <f>'New Smyrna Network'!D16</f>
        <v>48582.450000000004</v>
      </c>
      <c r="F66" s="42">
        <f>'New Smyrna Network'!E16</f>
        <v>32388.300000000003</v>
      </c>
      <c r="G66" s="42">
        <f>'New Smyrna Network'!F16</f>
        <v>16194.150000000001</v>
      </c>
      <c r="H66" s="42">
        <f>'New Smyrna Network'!G16</f>
        <v>48582.450000000004</v>
      </c>
      <c r="I66" s="42">
        <f>'New Smyrna Network'!H16</f>
        <v>56680.32</v>
      </c>
      <c r="J66" s="42">
        <f>'New Smyrna Network'!I16</f>
        <v>56680.32</v>
      </c>
      <c r="K66" s="42">
        <f>'New Smyrna Network'!J16</f>
        <v>56680.32</v>
      </c>
      <c r="L66" s="42">
        <f>'New Smyrna Network'!K16</f>
        <v>40486.170000000006</v>
      </c>
      <c r="M66" s="42">
        <f>'New Smyrna Network'!L16</f>
        <v>32388.300000000003</v>
      </c>
      <c r="N66" s="42">
        <f>'New Smyrna Network'!M16</f>
        <v>32388.300000000003</v>
      </c>
      <c r="O66" s="42">
        <f t="shared" ref="O66:O67" si="7">SUM(C66:N66)</f>
        <v>421051.07999999996</v>
      </c>
      <c r="Q66" s="11"/>
    </row>
    <row r="67" spans="1:17">
      <c r="A67" s="88" t="s">
        <v>348</v>
      </c>
      <c r="B67" s="209">
        <v>456.221</v>
      </c>
      <c r="C67" s="42">
        <f>'New Smyrna Network'!B23</f>
        <v>0</v>
      </c>
      <c r="D67" s="42">
        <f>'New Smyrna Network'!C23</f>
        <v>0</v>
      </c>
      <c r="E67" s="42">
        <f>'New Smyrna Network'!D23</f>
        <v>389.27069999999998</v>
      </c>
      <c r="F67" s="42">
        <f>'New Smyrna Network'!E23</f>
        <v>259.5138</v>
      </c>
      <c r="G67" s="42">
        <f>'New Smyrna Network'!F23</f>
        <v>129.7569</v>
      </c>
      <c r="H67" s="42">
        <f>'New Smyrna Network'!G23</f>
        <v>389.27069999999998</v>
      </c>
      <c r="I67" s="42">
        <f>'New Smyrna Network'!H23</f>
        <v>454.15551999999997</v>
      </c>
      <c r="J67" s="42">
        <f>'New Smyrna Network'!I23</f>
        <v>454.15551999999997</v>
      </c>
      <c r="K67" s="42">
        <f>'New Smyrna Network'!J23</f>
        <v>454.15551999999997</v>
      </c>
      <c r="L67" s="42">
        <f>'New Smyrna Network'!K23</f>
        <v>324.39861999999999</v>
      </c>
      <c r="M67" s="42">
        <f>'New Smyrna Network'!L23</f>
        <v>259.5138</v>
      </c>
      <c r="N67" s="42">
        <f>'New Smyrna Network'!M23</f>
        <v>259.5138</v>
      </c>
      <c r="O67" s="42">
        <f t="shared" si="7"/>
        <v>3373.7048799999998</v>
      </c>
      <c r="Q67" s="11"/>
    </row>
    <row r="68" spans="1:17">
      <c r="A68" s="88" t="s">
        <v>310</v>
      </c>
      <c r="B68" s="209">
        <v>456.21100000000001</v>
      </c>
      <c r="C68" s="42">
        <f>'Lake Worth Network Transmission'!B16</f>
        <v>116597.88</v>
      </c>
      <c r="D68" s="42">
        <f>'Lake Worth Network Transmission'!C16</f>
        <v>116597.88</v>
      </c>
      <c r="E68" s="42">
        <f>'Lake Worth Network Transmission'!D16</f>
        <v>116597.88</v>
      </c>
      <c r="F68" s="42">
        <f>'Lake Worth Network Transmission'!E16</f>
        <v>116597.88</v>
      </c>
      <c r="G68" s="42">
        <f>'Lake Worth Network Transmission'!F16</f>
        <v>137651.07</v>
      </c>
      <c r="H68" s="42">
        <f>'Lake Worth Network Transmission'!G16</f>
        <v>137651.07</v>
      </c>
      <c r="I68" s="42">
        <f>'Lake Worth Network Transmission'!H16</f>
        <v>137651.07</v>
      </c>
      <c r="J68" s="42">
        <f>'Lake Worth Network Transmission'!I16</f>
        <v>137651.07</v>
      </c>
      <c r="K68" s="42">
        <f>'Lake Worth Network Transmission'!J16</f>
        <v>137651.07</v>
      </c>
      <c r="L68" s="42">
        <f>'Lake Worth Network Transmission'!K16</f>
        <v>116597.88</v>
      </c>
      <c r="M68" s="42">
        <f>'Lake Worth Network Transmission'!L16</f>
        <v>116597.88</v>
      </c>
      <c r="N68" s="42">
        <f>'Lake Worth Network Transmission'!M16</f>
        <v>116597.88</v>
      </c>
      <c r="O68" s="42">
        <f t="shared" ref="O68:O69" si="8">SUM(C68:N68)</f>
        <v>1504440.5100000002</v>
      </c>
      <c r="Q68" s="11"/>
    </row>
    <row r="69" spans="1:17">
      <c r="A69" s="88" t="s">
        <v>311</v>
      </c>
      <c r="B69" s="209">
        <v>456.221</v>
      </c>
      <c r="C69" s="42">
        <f>'Lake Worth Network Transmission'!B23</f>
        <v>934.24968000000001</v>
      </c>
      <c r="D69" s="42">
        <f>'Lake Worth Network Transmission'!C23</f>
        <v>934.24968000000001</v>
      </c>
      <c r="E69" s="42">
        <f>'Lake Worth Network Transmission'!D23</f>
        <v>934.24968000000001</v>
      </c>
      <c r="F69" s="42">
        <f>'Lake Worth Network Transmission'!E23</f>
        <v>934.24968000000001</v>
      </c>
      <c r="G69" s="42">
        <f>'Lake Worth Network Transmission'!F23</f>
        <v>1102.94002</v>
      </c>
      <c r="H69" s="42">
        <f>'Lake Worth Network Transmission'!G23</f>
        <v>1102.94002</v>
      </c>
      <c r="I69" s="42">
        <f>'Lake Worth Network Transmission'!H23</f>
        <v>1102.94002</v>
      </c>
      <c r="J69" s="42">
        <f>'Lake Worth Network Transmission'!I23</f>
        <v>1102.94002</v>
      </c>
      <c r="K69" s="42">
        <f>'Lake Worth Network Transmission'!J23</f>
        <v>1102.94002</v>
      </c>
      <c r="L69" s="42">
        <f>'Lake Worth Network Transmission'!K23</f>
        <v>934.24968000000001</v>
      </c>
      <c r="M69" s="42">
        <f>'Lake Worth Network Transmission'!L23</f>
        <v>934.24968000000001</v>
      </c>
      <c r="N69" s="42">
        <f>'Lake Worth Network Transmission'!M23</f>
        <v>934.24968000000001</v>
      </c>
      <c r="O69" s="42">
        <f t="shared" si="8"/>
        <v>12054.447860000002</v>
      </c>
      <c r="Q69" s="11"/>
    </row>
    <row r="70" spans="1:17">
      <c r="A70" s="88" t="s">
        <v>14</v>
      </c>
      <c r="B70" s="209">
        <v>456.21100000000001</v>
      </c>
      <c r="C70" s="39">
        <f>'TSAS Demand Revenues (7)'!B66</f>
        <v>799859.04</v>
      </c>
      <c r="D70" s="39">
        <f>'TSAS Demand Revenues (7)'!C66</f>
        <v>799859.04</v>
      </c>
      <c r="E70" s="39">
        <f>'TSAS Demand Revenues (7)'!D66</f>
        <v>799859.04</v>
      </c>
      <c r="F70" s="39">
        <f>'TSAS Demand Revenues (7)'!E66</f>
        <v>799859.04</v>
      </c>
      <c r="G70" s="39">
        <f>'TSAS Demand Revenues (7)'!F66</f>
        <v>799859.04</v>
      </c>
      <c r="H70" s="39">
        <f>'TSAS Demand Revenues (7)'!G66</f>
        <v>799859.04</v>
      </c>
      <c r="I70" s="39">
        <f>'TSAS Demand Revenues (7)'!H66</f>
        <v>799859.04</v>
      </c>
      <c r="J70" s="39">
        <f>'TSAS Demand Revenues (7)'!I66</f>
        <v>799859.04</v>
      </c>
      <c r="K70" s="39">
        <f>'TSAS Demand Revenues (7)'!J66</f>
        <v>799859.04</v>
      </c>
      <c r="L70" s="39">
        <f>'TSAS Demand Revenues (7)'!K66</f>
        <v>799859.04</v>
      </c>
      <c r="M70" s="39">
        <f>'TSAS Demand Revenues (7)'!L66</f>
        <v>799859.04</v>
      </c>
      <c r="N70" s="39">
        <f>'TSAS Demand Revenues (7)'!M66</f>
        <v>799859.04</v>
      </c>
      <c r="O70" s="42">
        <f t="shared" ref="O70:O73" si="9">SUM(C70:N70)</f>
        <v>9598308.4800000004</v>
      </c>
      <c r="Q70" s="11"/>
    </row>
    <row r="71" spans="1:17">
      <c r="A71" s="88" t="s">
        <v>140</v>
      </c>
      <c r="B71" s="209">
        <v>456.221</v>
      </c>
      <c r="C71" s="39">
        <f>'TSAS Scheduling Revenue (1)'!B65</f>
        <v>6408.9334399999998</v>
      </c>
      <c r="D71" s="39">
        <f>'TSAS Scheduling Revenue (1)'!C65</f>
        <v>6408.9334399999998</v>
      </c>
      <c r="E71" s="39">
        <f>'TSAS Scheduling Revenue (1)'!D65</f>
        <v>6408.9334399999998</v>
      </c>
      <c r="F71" s="39">
        <f>'TSAS Scheduling Revenue (1)'!E65</f>
        <v>6408.9334399999998</v>
      </c>
      <c r="G71" s="39">
        <f>'TSAS Scheduling Revenue (1)'!F65</f>
        <v>6408.9334399999998</v>
      </c>
      <c r="H71" s="39">
        <f>'TSAS Scheduling Revenue (1)'!G65</f>
        <v>6408.9334399999998</v>
      </c>
      <c r="I71" s="39">
        <f>'TSAS Scheduling Revenue (1)'!H65</f>
        <v>6408.9334399999998</v>
      </c>
      <c r="J71" s="39">
        <f>'TSAS Scheduling Revenue (1)'!I65</f>
        <v>6408.9334399999998</v>
      </c>
      <c r="K71" s="39">
        <f>'TSAS Scheduling Revenue (1)'!J65</f>
        <v>6408.9334399999998</v>
      </c>
      <c r="L71" s="39">
        <f>'TSAS Scheduling Revenue (1)'!K65</f>
        <v>6408.9334399999998</v>
      </c>
      <c r="M71" s="39">
        <f>'TSAS Scheduling Revenue (1)'!L65</f>
        <v>6408.9334399999998</v>
      </c>
      <c r="N71" s="39">
        <f>'TSAS Scheduling Revenue (1)'!M65</f>
        <v>6408.9334399999998</v>
      </c>
      <c r="O71" s="42">
        <f t="shared" si="9"/>
        <v>76907.201279999994</v>
      </c>
      <c r="Q71" s="11"/>
    </row>
    <row r="72" spans="1:17">
      <c r="A72" s="88" t="s">
        <v>75</v>
      </c>
      <c r="B72" s="209">
        <v>456.22199999999998</v>
      </c>
      <c r="C72" s="39">
        <f>'TSAS Reactive Revenues (2)'!B64</f>
        <v>49566.719999999994</v>
      </c>
      <c r="D72" s="39">
        <f>'TSAS Reactive Revenues (2)'!C64</f>
        <v>49566.719999999994</v>
      </c>
      <c r="E72" s="39">
        <f>'TSAS Reactive Revenues (2)'!D64</f>
        <v>49566.719999999994</v>
      </c>
      <c r="F72" s="39">
        <f>'TSAS Reactive Revenues (2)'!E64</f>
        <v>49566.719999999994</v>
      </c>
      <c r="G72" s="39">
        <f>'TSAS Reactive Revenues (2)'!F64</f>
        <v>49566.719999999994</v>
      </c>
      <c r="H72" s="39">
        <f>'TSAS Reactive Revenues (2)'!G64</f>
        <v>49566.719999999994</v>
      </c>
      <c r="I72" s="39">
        <f>'TSAS Reactive Revenues (2)'!H64</f>
        <v>49566.719999999994</v>
      </c>
      <c r="J72" s="39">
        <f>'TSAS Reactive Revenues (2)'!I64</f>
        <v>49566.719999999994</v>
      </c>
      <c r="K72" s="39">
        <f>'TSAS Reactive Revenues (2)'!J64</f>
        <v>49566.719999999994</v>
      </c>
      <c r="L72" s="39">
        <f>'TSAS Reactive Revenues (2)'!K64</f>
        <v>49566.719999999994</v>
      </c>
      <c r="M72" s="39">
        <f>'TSAS Reactive Revenues (2)'!L64</f>
        <v>49566.719999999994</v>
      </c>
      <c r="N72" s="39">
        <f>'TSAS Reactive Revenues (2)'!M64</f>
        <v>49566.719999999994</v>
      </c>
      <c r="O72" s="42">
        <f t="shared" si="9"/>
        <v>594800.63999999978</v>
      </c>
      <c r="Q72" s="11"/>
    </row>
    <row r="73" spans="1:17">
      <c r="A73" s="88" t="s">
        <v>119</v>
      </c>
      <c r="B73" s="209">
        <v>456.14499999999998</v>
      </c>
      <c r="C73" s="39">
        <f>Dynamic_Scheduling!B16</f>
        <v>7200</v>
      </c>
      <c r="D73" s="39">
        <f>Dynamic_Scheduling!C16</f>
        <v>7200</v>
      </c>
      <c r="E73" s="39">
        <f>Dynamic_Scheduling!D16</f>
        <v>7200</v>
      </c>
      <c r="F73" s="39">
        <f>Dynamic_Scheduling!E16</f>
        <v>7200</v>
      </c>
      <c r="G73" s="39">
        <f>Dynamic_Scheduling!F16</f>
        <v>7200</v>
      </c>
      <c r="H73" s="39">
        <f>Dynamic_Scheduling!G16</f>
        <v>7200</v>
      </c>
      <c r="I73" s="39">
        <f>Dynamic_Scheduling!H16</f>
        <v>7200</v>
      </c>
      <c r="J73" s="39">
        <f>Dynamic_Scheduling!I16</f>
        <v>7200</v>
      </c>
      <c r="K73" s="39">
        <f>Dynamic_Scheduling!J16</f>
        <v>7200</v>
      </c>
      <c r="L73" s="39">
        <f>Dynamic_Scheduling!K16</f>
        <v>7200</v>
      </c>
      <c r="M73" s="39">
        <f>Dynamic_Scheduling!L16</f>
        <v>7200</v>
      </c>
      <c r="N73" s="39">
        <f>Dynamic_Scheduling!M16</f>
        <v>7200</v>
      </c>
      <c r="O73" s="42">
        <f t="shared" si="9"/>
        <v>86400</v>
      </c>
      <c r="Q73" s="11"/>
    </row>
    <row r="74" spans="1:17">
      <c r="A74" s="88" t="s">
        <v>147</v>
      </c>
      <c r="B74" s="209">
        <v>456.21300000000002</v>
      </c>
      <c r="C74" s="42">
        <f>st_nf!D9</f>
        <v>252959.05</v>
      </c>
      <c r="D74" s="42">
        <f>st_nf!E9</f>
        <v>211139.89</v>
      </c>
      <c r="E74" s="42">
        <f>st_nf!F9</f>
        <v>230869.65</v>
      </c>
      <c r="F74" s="42">
        <f>st_nf!G9</f>
        <v>165524.70000000001</v>
      </c>
      <c r="G74" s="42">
        <f>st_nf!H9</f>
        <v>230869.65</v>
      </c>
      <c r="H74" s="42">
        <f>st_nf!I9</f>
        <v>338831.64</v>
      </c>
      <c r="I74" s="42">
        <f>st_nf!J9</f>
        <v>225520.52</v>
      </c>
      <c r="J74" s="42">
        <f>st_nf!K9</f>
        <v>328491.74</v>
      </c>
      <c r="K74" s="42">
        <f>st_nf!L9</f>
        <v>320710.51</v>
      </c>
      <c r="L74" s="42">
        <f>st_nf!M9</f>
        <v>438157.95</v>
      </c>
      <c r="M74" s="42">
        <f>st_nf!N9</f>
        <v>323720.68</v>
      </c>
      <c r="N74" s="42">
        <f>st_nf!O9</f>
        <v>226700.14</v>
      </c>
      <c r="O74" s="42">
        <f>SUM(C74:N74)</f>
        <v>3293496.1200000006</v>
      </c>
      <c r="Q74" s="11"/>
    </row>
    <row r="75" spans="1:17">
      <c r="A75" s="88" t="s">
        <v>148</v>
      </c>
      <c r="B75" s="209">
        <v>456.22300000000001</v>
      </c>
      <c r="C75" s="210">
        <f>st_nf!D10</f>
        <v>31266.38</v>
      </c>
      <c r="D75" s="210">
        <f>st_nf!E10</f>
        <v>33737.19</v>
      </c>
      <c r="E75" s="210">
        <f>st_nf!F10</f>
        <v>33995.410000000003</v>
      </c>
      <c r="F75" s="210">
        <f>st_nf!G10</f>
        <v>34925.39</v>
      </c>
      <c r="G75" s="210">
        <f>st_nf!H10</f>
        <v>33923.370000000003</v>
      </c>
      <c r="H75" s="210">
        <f>st_nf!I10</f>
        <v>16500.57</v>
      </c>
      <c r="I75" s="210">
        <f>st_nf!J10</f>
        <v>25237.65</v>
      </c>
      <c r="J75" s="210">
        <f>st_nf!K10</f>
        <v>31769.99</v>
      </c>
      <c r="K75" s="210">
        <f>st_nf!L10</f>
        <v>41391.03</v>
      </c>
      <c r="L75" s="210">
        <f>st_nf!M10</f>
        <v>29168.31</v>
      </c>
      <c r="M75" s="210">
        <f>st_nf!N10</f>
        <v>28251.96</v>
      </c>
      <c r="N75" s="210">
        <f>st_nf!O10</f>
        <v>31973.599999999999</v>
      </c>
      <c r="O75" s="210">
        <f t="shared" si="5"/>
        <v>372140.85</v>
      </c>
      <c r="Q75" s="11"/>
    </row>
    <row r="76" spans="1:17" ht="10.8" thickBot="1">
      <c r="A76" s="88" t="s">
        <v>149</v>
      </c>
      <c r="B76" s="88"/>
      <c r="C76" s="377">
        <f t="shared" ref="C76:O76" si="10">SUM(C45:C75)</f>
        <v>3788029.2609063052</v>
      </c>
      <c r="D76" s="377">
        <f t="shared" si="10"/>
        <v>4401026.9082677532</v>
      </c>
      <c r="E76" s="377">
        <f t="shared" si="10"/>
        <v>3939164.9420222114</v>
      </c>
      <c r="F76" s="377">
        <f t="shared" si="10"/>
        <v>3934410.3059521234</v>
      </c>
      <c r="G76" s="377">
        <f t="shared" si="10"/>
        <v>4415637.5382422423</v>
      </c>
      <c r="H76" s="377">
        <f t="shared" si="10"/>
        <v>4707247.7705908902</v>
      </c>
      <c r="I76" s="377">
        <f t="shared" si="10"/>
        <v>4742755.8893004777</v>
      </c>
      <c r="J76" s="377">
        <f t="shared" si="10"/>
        <v>4821521.5041798372</v>
      </c>
      <c r="K76" s="377">
        <f t="shared" si="10"/>
        <v>4845316.278158756</v>
      </c>
      <c r="L76" s="377">
        <f t="shared" si="10"/>
        <v>4540051.7601392046</v>
      </c>
      <c r="M76" s="377">
        <f t="shared" si="10"/>
        <v>4326930.9877079064</v>
      </c>
      <c r="N76" s="377">
        <f t="shared" si="10"/>
        <v>4124306.0542365154</v>
      </c>
      <c r="O76" s="377">
        <f t="shared" si="10"/>
        <v>52586399.199704215</v>
      </c>
      <c r="Q76" s="11"/>
    </row>
    <row r="77" spans="1:17" ht="10.8" thickTop="1">
      <c r="A77" s="87"/>
      <c r="B77" s="87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Q77" s="11"/>
    </row>
    <row r="78" spans="1:17">
      <c r="A78" s="88"/>
      <c r="B78" s="88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39"/>
      <c r="Q78" s="11"/>
    </row>
    <row r="79" spans="1:17">
      <c r="A79" s="88" t="s">
        <v>126</v>
      </c>
      <c r="B79" s="209">
        <v>456.25200000000001</v>
      </c>
      <c r="C79" s="43">
        <f>'SECI-Credit Settlement'!$B$10*(-1)</f>
        <v>-566426.91666666674</v>
      </c>
      <c r="D79" s="43">
        <f>'SECI-Credit Settlement'!$B$10*(-1)</f>
        <v>-566426.91666666674</v>
      </c>
      <c r="E79" s="43">
        <f>'SECI-Credit Settlement'!$B$10*(-1)</f>
        <v>-566426.91666666674</v>
      </c>
      <c r="F79" s="43">
        <f>'SECI-Credit Settlement'!$B$10*(-1)</f>
        <v>-566426.91666666674</v>
      </c>
      <c r="G79" s="43">
        <f>'SECI-Credit Settlement'!$B$10*(-1)</f>
        <v>-566426.91666666674</v>
      </c>
      <c r="H79" s="43">
        <f>'SECI-Credit Settlement'!$B$10*(-1)</f>
        <v>-566426.91666666674</v>
      </c>
      <c r="I79" s="43">
        <f>'SECI-Credit Settlement'!$B$10*(-1)</f>
        <v>-566426.91666666674</v>
      </c>
      <c r="J79" s="43">
        <f>'SECI-Credit Settlement'!$B$10*(-1)</f>
        <v>-566426.91666666674</v>
      </c>
      <c r="K79" s="43">
        <f>'SECI-Credit Settlement'!$B$10*(-1)</f>
        <v>-566426.91666666674</v>
      </c>
      <c r="L79" s="43">
        <f>'SECI-Credit Settlement'!$B$10*(-1)</f>
        <v>-566426.91666666674</v>
      </c>
      <c r="M79" s="43">
        <f>'SECI-Credit Settlement'!$B$10*(-1)</f>
        <v>-566426.91666666674</v>
      </c>
      <c r="N79" s="43">
        <f>'SECI-Credit Settlement'!$B$10*(-1)</f>
        <v>-566426.91666666674</v>
      </c>
      <c r="O79" s="40">
        <f>SUM(C79:N79)</f>
        <v>-6797123.0000000028</v>
      </c>
      <c r="Q79" s="11"/>
    </row>
    <row r="80" spans="1:17">
      <c r="A80" s="87"/>
      <c r="B80" s="87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Q80" s="11"/>
    </row>
    <row r="81" spans="1:17">
      <c r="A81" s="87" t="s">
        <v>110</v>
      </c>
      <c r="B81" s="87"/>
      <c r="C81" s="39">
        <f>C76+C79</f>
        <v>3221602.3442396382</v>
      </c>
      <c r="D81" s="39">
        <f t="shared" ref="D81:O81" si="11">D76+D79</f>
        <v>3834599.9916010862</v>
      </c>
      <c r="E81" s="39">
        <f t="shared" si="11"/>
        <v>3372738.0253555449</v>
      </c>
      <c r="F81" s="39">
        <f t="shared" si="11"/>
        <v>3367983.3892854564</v>
      </c>
      <c r="G81" s="39">
        <f t="shared" si="11"/>
        <v>3849210.6215755753</v>
      </c>
      <c r="H81" s="39">
        <f t="shared" si="11"/>
        <v>4140820.8539242232</v>
      </c>
      <c r="I81" s="39">
        <f t="shared" si="11"/>
        <v>4176328.9726338107</v>
      </c>
      <c r="J81" s="39">
        <f t="shared" si="11"/>
        <v>4255094.5875131702</v>
      </c>
      <c r="K81" s="39">
        <f t="shared" si="11"/>
        <v>4278889.361492089</v>
      </c>
      <c r="L81" s="39">
        <f t="shared" si="11"/>
        <v>3973624.8434725376</v>
      </c>
      <c r="M81" s="39">
        <f t="shared" si="11"/>
        <v>3760504.0710412394</v>
      </c>
      <c r="N81" s="39">
        <f t="shared" si="11"/>
        <v>3557879.1375698484</v>
      </c>
      <c r="O81" s="39">
        <f t="shared" si="11"/>
        <v>45789276.199704215</v>
      </c>
      <c r="Q81" s="11"/>
    </row>
    <row r="82" spans="1:17">
      <c r="A82" s="88"/>
      <c r="B82" s="88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Q82" s="11"/>
    </row>
    <row r="83" spans="1:17">
      <c r="A83" s="196" t="s">
        <v>141</v>
      </c>
      <c r="B83" s="202"/>
      <c r="C83" s="194" t="s">
        <v>0</v>
      </c>
      <c r="D83" s="194" t="s">
        <v>1</v>
      </c>
      <c r="E83" s="194" t="s">
        <v>2</v>
      </c>
      <c r="F83" s="194" t="s">
        <v>3</v>
      </c>
      <c r="G83" s="194" t="s">
        <v>4</v>
      </c>
      <c r="H83" s="194" t="s">
        <v>5</v>
      </c>
      <c r="I83" s="194" t="s">
        <v>6</v>
      </c>
      <c r="J83" s="194" t="s">
        <v>7</v>
      </c>
      <c r="K83" s="194" t="s">
        <v>8</v>
      </c>
      <c r="L83" s="194" t="s">
        <v>9</v>
      </c>
      <c r="M83" s="194" t="s">
        <v>10</v>
      </c>
      <c r="N83" s="194" t="s">
        <v>11</v>
      </c>
      <c r="O83" s="195" t="s">
        <v>12</v>
      </c>
      <c r="Q83" s="11"/>
    </row>
    <row r="84" spans="1:17">
      <c r="A84" s="89"/>
      <c r="B84" s="89"/>
      <c r="Q84" s="11"/>
    </row>
    <row r="85" spans="1:17">
      <c r="A85" s="88" t="s">
        <v>77</v>
      </c>
      <c r="B85" s="209">
        <v>456.21100000000001</v>
      </c>
      <c r="C85" s="39">
        <f>'FMPA Network'!B40</f>
        <v>674810.31000000017</v>
      </c>
      <c r="D85" s="39">
        <f>'FMPA Network'!C40</f>
        <v>629142.33000000007</v>
      </c>
      <c r="E85" s="39">
        <f>'FMPA Network'!D40</f>
        <v>550276.74</v>
      </c>
      <c r="F85" s="39">
        <f>'FMPA Network'!E40</f>
        <v>591247.86</v>
      </c>
      <c r="G85" s="39">
        <f>'FMPA Network'!F40</f>
        <v>667036.80000000005</v>
      </c>
      <c r="H85" s="39">
        <f>'FMPA Network'!G40</f>
        <v>725497.92</v>
      </c>
      <c r="I85" s="39">
        <f>'FMPA Network'!H40</f>
        <v>750599.25</v>
      </c>
      <c r="J85" s="39">
        <f>'FMPA Network'!I40</f>
        <v>763392.39</v>
      </c>
      <c r="K85" s="39">
        <f>'FMPA Network'!J40</f>
        <v>696510.63</v>
      </c>
      <c r="L85" s="39">
        <f>'FMPA Network'!K40</f>
        <v>643555.68000000005</v>
      </c>
      <c r="M85" s="39">
        <f>'FMPA Network'!L40</f>
        <v>576187.38</v>
      </c>
      <c r="N85" s="39">
        <f>'FMPA Network'!M40</f>
        <v>553030.62</v>
      </c>
      <c r="O85" s="39">
        <f>SUM(C85:N85)</f>
        <v>7821287.9099999992</v>
      </c>
      <c r="Q85" s="11"/>
    </row>
    <row r="86" spans="1:17">
      <c r="A86" s="88" t="s">
        <v>136</v>
      </c>
      <c r="B86" s="209">
        <v>456.221</v>
      </c>
      <c r="C86" s="39">
        <f>'FMPA Network'!B47</f>
        <v>5406.9706600000009</v>
      </c>
      <c r="D86" s="39">
        <f>'FMPA Network'!C47</f>
        <v>5041.0523800000001</v>
      </c>
      <c r="E86" s="39">
        <f>'FMPA Network'!D47</f>
        <v>4409.1356399999995</v>
      </c>
      <c r="F86" s="39">
        <f>'FMPA Network'!E47</f>
        <v>4737.4199600000002</v>
      </c>
      <c r="G86" s="39">
        <f>'FMPA Network'!F47</f>
        <v>5344.6848</v>
      </c>
      <c r="H86" s="39">
        <f>'FMPA Network'!G47</f>
        <v>5813.1091200000001</v>
      </c>
      <c r="I86" s="39">
        <f>'FMPA Network'!H47</f>
        <v>6014.2354999999998</v>
      </c>
      <c r="J86" s="39">
        <f>'FMPA Network'!I47</f>
        <v>6116.74154</v>
      </c>
      <c r="K86" s="39">
        <f>'FMPA Network'!J47</f>
        <v>5580.8461799999995</v>
      </c>
      <c r="L86" s="39">
        <f>'FMPA Network'!K47</f>
        <v>5156.5404799999997</v>
      </c>
      <c r="M86" s="39">
        <f>'FMPA Network'!L47</f>
        <v>4616.7466800000002</v>
      </c>
      <c r="N86" s="39">
        <f>'FMPA Network'!M47</f>
        <v>4431.2013200000001</v>
      </c>
      <c r="O86" s="39">
        <f>SUM(C86:N86)</f>
        <v>62668.684260000002</v>
      </c>
      <c r="Q86" s="11"/>
    </row>
    <row r="87" spans="1:17">
      <c r="A87" s="88" t="s">
        <v>76</v>
      </c>
      <c r="B87" s="209">
        <v>456.22199999999998</v>
      </c>
      <c r="C87" s="39">
        <f>'FMPA Network'!B54</f>
        <v>29708.630000000008</v>
      </c>
      <c r="D87" s="39">
        <f>'FMPA Network'!C54</f>
        <v>27698.090000000004</v>
      </c>
      <c r="E87" s="39">
        <f>'FMPA Network'!D54</f>
        <v>24226.020000000004</v>
      </c>
      <c r="F87" s="39">
        <f>'FMPA Network'!E54</f>
        <v>26029.780000000002</v>
      </c>
      <c r="G87" s="39">
        <f>'FMPA Network'!F54</f>
        <v>29366.400000000001</v>
      </c>
      <c r="H87" s="39">
        <f>'FMPA Network'!G54</f>
        <v>31940.160000000003</v>
      </c>
      <c r="I87" s="39">
        <f>'FMPA Network'!H54</f>
        <v>33045.25</v>
      </c>
      <c r="J87" s="39">
        <f>'FMPA Network'!I54</f>
        <v>33608.47</v>
      </c>
      <c r="K87" s="39">
        <f>'FMPA Network'!J54</f>
        <v>30663.99</v>
      </c>
      <c r="L87" s="39">
        <f>'FMPA Network'!K54</f>
        <v>28332.640000000003</v>
      </c>
      <c r="M87" s="39">
        <f>'FMPA Network'!L54</f>
        <v>25366.74</v>
      </c>
      <c r="N87" s="39">
        <f>'FMPA Network'!M54</f>
        <v>24347.260000000002</v>
      </c>
      <c r="O87" s="478">
        <f>SUM(C87:N87)</f>
        <v>344333.43000000005</v>
      </c>
      <c r="Q87" s="11"/>
    </row>
    <row r="88" spans="1:17">
      <c r="A88" s="88" t="s">
        <v>120</v>
      </c>
      <c r="B88" s="209">
        <v>456.21100000000001</v>
      </c>
      <c r="C88" s="39">
        <f>'Vero Beach Network'!B38</f>
        <v>283398.42000000004</v>
      </c>
      <c r="D88" s="39">
        <f>'Vero Beach Network'!C38</f>
        <v>244532.46000000002</v>
      </c>
      <c r="E88" s="39">
        <f>'Vero Beach Network'!D38</f>
        <v>195950.01</v>
      </c>
      <c r="F88" s="39">
        <f>'Vero Beach Network'!E38</f>
        <v>204046.29</v>
      </c>
      <c r="G88" s="39">
        <f>'Vero Beach Network'!F38</f>
        <v>223479.27000000002</v>
      </c>
      <c r="H88" s="39">
        <f>'Vero Beach Network'!G38</f>
        <v>246151.08000000002</v>
      </c>
      <c r="I88" s="39">
        <f>'Vero Beach Network'!H38</f>
        <v>244532.46000000002</v>
      </c>
      <c r="J88" s="39">
        <f>'Vero Beach Network'!I38</f>
        <v>262345.23000000004</v>
      </c>
      <c r="K88" s="39">
        <f>'Vero Beach Network'!J38</f>
        <v>247771.29</v>
      </c>
      <c r="L88" s="39">
        <f>'Vero Beach Network'!K38</f>
        <v>233195.76</v>
      </c>
      <c r="M88" s="39">
        <f>'Vero Beach Network'!L38</f>
        <v>199188.84</v>
      </c>
      <c r="N88" s="39">
        <f>'Vero Beach Network'!M38</f>
        <v>223479.27000000002</v>
      </c>
      <c r="O88" s="39">
        <f t="shared" ref="O88:O121" si="12">SUM(C88:N88)</f>
        <v>2808070.3800000004</v>
      </c>
      <c r="Q88" s="11"/>
    </row>
    <row r="89" spans="1:17">
      <c r="A89" s="88" t="s">
        <v>137</v>
      </c>
      <c r="B89" s="209">
        <v>456.221</v>
      </c>
      <c r="C89" s="39">
        <f>'Vero Beach Network'!B45</f>
        <v>2270.7521200000001</v>
      </c>
      <c r="D89" s="39">
        <f>'Vero Beach Network'!C45</f>
        <v>1959.33556</v>
      </c>
      <c r="E89" s="39">
        <f>'Vero Beach Network'!D45</f>
        <v>1570.06486</v>
      </c>
      <c r="F89" s="39">
        <f>'Vero Beach Network'!E45</f>
        <v>1634.93694</v>
      </c>
      <c r="G89" s="39">
        <f>'Vero Beach Network'!F45</f>
        <v>1790.6452199999999</v>
      </c>
      <c r="H89" s="39">
        <f>'Vero Beach Network'!G45</f>
        <v>1972.3048799999999</v>
      </c>
      <c r="I89" s="39">
        <f>'Vero Beach Network'!H45</f>
        <v>1959.33556</v>
      </c>
      <c r="J89" s="39">
        <f>'Vero Beach Network'!I45</f>
        <v>2102.06178</v>
      </c>
      <c r="K89" s="39">
        <f>'Vero Beach Network'!J45</f>
        <v>1985.28694</v>
      </c>
      <c r="L89" s="39">
        <f>'Vero Beach Network'!K45</f>
        <v>1868.49936</v>
      </c>
      <c r="M89" s="39">
        <f>'Vero Beach Network'!L45</f>
        <v>1596.0162399999999</v>
      </c>
      <c r="N89" s="39">
        <f>'Vero Beach Network'!M45</f>
        <v>1790.6452199999999</v>
      </c>
      <c r="O89" s="39">
        <f t="shared" si="12"/>
        <v>22499.884679999999</v>
      </c>
      <c r="Q89" s="11"/>
    </row>
    <row r="90" spans="1:17">
      <c r="A90" s="88" t="s">
        <v>121</v>
      </c>
      <c r="B90" s="209">
        <v>456.22199999999998</v>
      </c>
      <c r="C90" s="39">
        <f>'Vero Beach Network'!B52</f>
        <v>17966.3904</v>
      </c>
      <c r="D90" s="39">
        <f>'Vero Beach Network'!C52</f>
        <v>15502.4352</v>
      </c>
      <c r="E90" s="39">
        <f>'Vero Beach Network'!D52</f>
        <v>12422.4912</v>
      </c>
      <c r="F90" s="39">
        <f>'Vero Beach Network'!E52</f>
        <v>12935.764800000001</v>
      </c>
      <c r="G90" s="39">
        <f>'Vero Beach Network'!F52</f>
        <v>14167.742400000001</v>
      </c>
      <c r="H90" s="39">
        <f>'Vero Beach Network'!G52</f>
        <v>15605.0496</v>
      </c>
      <c r="I90" s="39">
        <f>'Vero Beach Network'!H52</f>
        <v>15502.4352</v>
      </c>
      <c r="J90" s="39">
        <f>'Vero Beach Network'!I52</f>
        <v>16631.6976</v>
      </c>
      <c r="K90" s="39">
        <f>'Vero Beach Network'!J52</f>
        <v>15707.764800000001</v>
      </c>
      <c r="L90" s="39">
        <f>'Vero Beach Network'!K52</f>
        <v>14783.7312</v>
      </c>
      <c r="M90" s="39">
        <f>'Vero Beach Network'!L52</f>
        <v>12627.8208</v>
      </c>
      <c r="N90" s="39">
        <f>'Vero Beach Network'!M52</f>
        <v>14167.742400000001</v>
      </c>
      <c r="O90" s="39">
        <f t="shared" si="12"/>
        <v>178021.06559999997</v>
      </c>
      <c r="Q90" s="11"/>
    </row>
    <row r="91" spans="1:17">
      <c r="A91" s="88" t="s">
        <v>78</v>
      </c>
      <c r="B91" s="209">
        <v>456.21100000000001</v>
      </c>
      <c r="C91" s="39">
        <f>'SECI Network'!B41</f>
        <v>918231.07488537906</v>
      </c>
      <c r="D91" s="39">
        <f>'SECI Network'!C41</f>
        <v>748937.78909831855</v>
      </c>
      <c r="E91" s="39">
        <f>'SECI Network'!D41</f>
        <v>644231.06469689275</v>
      </c>
      <c r="F91" s="39">
        <f>'SECI Network'!E41</f>
        <v>606869.70962812053</v>
      </c>
      <c r="G91" s="39">
        <f>'SECI Network'!F41</f>
        <v>682109.19001528306</v>
      </c>
      <c r="H91" s="39">
        <f>'SECI Network'!G41</f>
        <v>742258.65511971398</v>
      </c>
      <c r="I91" s="39">
        <f>'SECI Network'!H41</f>
        <v>736523.96332144679</v>
      </c>
      <c r="J91" s="39">
        <f>'SECI Network'!I41</f>
        <v>742443.33163525234</v>
      </c>
      <c r="K91" s="39">
        <f>'SECI Network'!J41</f>
        <v>691982.90371879784</v>
      </c>
      <c r="L91" s="39">
        <f>'SECI Network'!K41</f>
        <v>640148.74172185443</v>
      </c>
      <c r="M91" s="39">
        <f>'SECI Network'!L41</f>
        <v>550368.4156902706</v>
      </c>
      <c r="N91" s="39">
        <f>'SECI Network'!M41</f>
        <v>750813.71370351571</v>
      </c>
      <c r="O91" s="39">
        <f t="shared" si="12"/>
        <v>8454918.5532348454</v>
      </c>
      <c r="Q91" s="11"/>
    </row>
    <row r="92" spans="1:17">
      <c r="A92" s="88" t="s">
        <v>138</v>
      </c>
      <c r="B92" s="209">
        <v>456.221</v>
      </c>
      <c r="C92" s="39">
        <f>'SECI Network'!B46</f>
        <v>7357.3986754966845</v>
      </c>
      <c r="D92" s="39">
        <f>'SECI Network'!C46</f>
        <v>6000.9229139072813</v>
      </c>
      <c r="E92" s="39">
        <f>'SECI Network'!D46</f>
        <v>5161.9520529801339</v>
      </c>
      <c r="F92" s="39">
        <f>'SECI Network'!E46</f>
        <v>4862.5912582781475</v>
      </c>
      <c r="G92" s="39">
        <f>'SECI Network'!F46</f>
        <v>5465.4535099337772</v>
      </c>
      <c r="H92" s="39">
        <f>'SECI Network'!G46</f>
        <v>5947.4058278145631</v>
      </c>
      <c r="I92" s="39">
        <f>'SECI Network'!H46</f>
        <v>5901.4561589403966</v>
      </c>
      <c r="J92" s="39">
        <f>'SECI Network'!I46</f>
        <v>5948.8855629139089</v>
      </c>
      <c r="K92" s="39">
        <f>'SECI Network'!J46</f>
        <v>5544.5674172185436</v>
      </c>
      <c r="L92" s="39">
        <f>'SECI Network'!K46</f>
        <v>5129.242119205298</v>
      </c>
      <c r="M92" s="39">
        <f>'SECI Network'!L46</f>
        <v>4409.8701986755013</v>
      </c>
      <c r="N92" s="39">
        <f>'SECI Network'!M46</f>
        <v>6015.9539072847729</v>
      </c>
      <c r="O92" s="39">
        <f t="shared" si="12"/>
        <v>67745.699602649009</v>
      </c>
      <c r="Q92" s="11"/>
    </row>
    <row r="93" spans="1:17">
      <c r="A93" s="88" t="s">
        <v>74</v>
      </c>
      <c r="B93" s="209">
        <v>456.22199999999998</v>
      </c>
      <c r="C93" s="39">
        <f>'SECI Network'!B51</f>
        <v>11550.076413652567</v>
      </c>
      <c r="D93" s="39">
        <f>'SECI Network'!C51</f>
        <v>9420.6011207335669</v>
      </c>
      <c r="E93" s="39">
        <f>'SECI Network'!D51</f>
        <v>8103.5354049923608</v>
      </c>
      <c r="F93" s="39">
        <f>'SECI Network'!E51</f>
        <v>7633.5812531839056</v>
      </c>
      <c r="G93" s="39">
        <f>'SECI Network'!F51</f>
        <v>8579.9898115129945</v>
      </c>
      <c r="H93" s="39">
        <f>'SECI Network'!G51</f>
        <v>9336.5868568517471</v>
      </c>
      <c r="I93" s="39">
        <f>'SECI Network'!H51</f>
        <v>9264.4523688232293</v>
      </c>
      <c r="J93" s="39">
        <f>'SECI Network'!I51</f>
        <v>9338.9098318899669</v>
      </c>
      <c r="K93" s="39">
        <f>'SECI Network'!J51</f>
        <v>8704.1874681609788</v>
      </c>
      <c r="L93" s="39">
        <f>'SECI Network'!K51</f>
        <v>8052.1854304635772</v>
      </c>
      <c r="M93" s="39">
        <f>'SECI Network'!L51</f>
        <v>6922.8731533367372</v>
      </c>
      <c r="N93" s="39">
        <f>'SECI Network'!M51</f>
        <v>9444.1976566479971</v>
      </c>
      <c r="O93" s="39">
        <f t="shared" si="12"/>
        <v>106351.17677024963</v>
      </c>
      <c r="Q93" s="11"/>
    </row>
    <row r="94" spans="1:17">
      <c r="A94" s="88" t="s">
        <v>56</v>
      </c>
      <c r="B94" s="209">
        <v>456.22399999999999</v>
      </c>
      <c r="C94" s="39">
        <f>SECI_Regulation_Imbalance!B34</f>
        <v>37562.581008660192</v>
      </c>
      <c r="D94" s="39">
        <f>SECI_Regulation_Imbalance!C34</f>
        <v>30637.207934793663</v>
      </c>
      <c r="E94" s="39">
        <f>SECI_Regulation_Imbalance!D34</f>
        <v>26353.912667345907</v>
      </c>
      <c r="F94" s="39">
        <f>SECI_Regulation_Imbalance!E34</f>
        <v>24825.551272542038</v>
      </c>
      <c r="G94" s="39">
        <f>SECI_Regulation_Imbalance!F34</f>
        <v>27903.413865511982</v>
      </c>
      <c r="H94" s="39">
        <f>SECI_Regulation_Imbalance!G34</f>
        <v>30363.980946510408</v>
      </c>
      <c r="I94" s="39">
        <f>SECI_Regulation_Imbalance!H34</f>
        <v>30129.388771268463</v>
      </c>
      <c r="J94" s="39">
        <f>SECI_Regulation_Imbalance!I34</f>
        <v>30371.535609780953</v>
      </c>
      <c r="K94" s="39">
        <f>SECI_Regulation_Imbalance!J34</f>
        <v>28307.323274579725</v>
      </c>
      <c r="L94" s="39">
        <f>SECI_Regulation_Imbalance!K34</f>
        <v>26186.914847682117</v>
      </c>
      <c r="M94" s="39">
        <f>SECI_Regulation_Imbalance!L34</f>
        <v>22514.221925624068</v>
      </c>
      <c r="N94" s="39">
        <f>SECI_Regulation_Imbalance!M34</f>
        <v>30713.94740906778</v>
      </c>
      <c r="O94" s="39">
        <f t="shared" si="12"/>
        <v>345869.97953336727</v>
      </c>
      <c r="Q94" s="11"/>
    </row>
    <row r="95" spans="1:17">
      <c r="A95" s="88" t="s">
        <v>260</v>
      </c>
      <c r="B95" s="209">
        <v>456.24900000000002</v>
      </c>
      <c r="C95" s="43">
        <f>'Radial Facilities'!B35</f>
        <v>39444.43</v>
      </c>
      <c r="D95" s="43">
        <f>'Radial Facilities'!C35</f>
        <v>36916.36</v>
      </c>
      <c r="E95" s="43">
        <f>'Radial Facilities'!D35</f>
        <v>36916.36</v>
      </c>
      <c r="F95" s="43">
        <f>'Radial Facilities'!E35</f>
        <v>36916.36</v>
      </c>
      <c r="G95" s="43">
        <f>'Radial Facilities'!F35</f>
        <v>36916.36</v>
      </c>
      <c r="H95" s="43">
        <f>'Radial Facilities'!G35</f>
        <v>36916.36</v>
      </c>
      <c r="I95" s="43">
        <f>'Radial Facilities'!H35</f>
        <v>36916.36</v>
      </c>
      <c r="J95" s="43">
        <f>'Radial Facilities'!I35</f>
        <v>36916.36</v>
      </c>
      <c r="K95" s="43">
        <f>'Radial Facilities'!J35</f>
        <v>36916.36</v>
      </c>
      <c r="L95" s="43">
        <f>'Radial Facilities'!K35</f>
        <v>36916.36</v>
      </c>
      <c r="M95" s="43">
        <f>'Radial Facilities'!L35</f>
        <v>36916.36</v>
      </c>
      <c r="N95" s="43">
        <f>'Radial Facilities'!M35</f>
        <v>36916.36</v>
      </c>
      <c r="O95" s="40">
        <f>SUM(C95:N95)</f>
        <v>445524.3899999999</v>
      </c>
      <c r="Q95" s="11"/>
    </row>
    <row r="96" spans="1:17">
      <c r="A96" s="88" t="s">
        <v>124</v>
      </c>
      <c r="B96" s="209">
        <v>456.21100000000001</v>
      </c>
      <c r="C96" s="43">
        <f>'LCEC Network'!B34</f>
        <v>885630</v>
      </c>
      <c r="D96" s="43">
        <f>'LCEC Network'!C34</f>
        <v>931740</v>
      </c>
      <c r="E96" s="43">
        <f>'LCEC Network'!D34</f>
        <v>1442130</v>
      </c>
      <c r="F96" s="43">
        <f>'LCEC Network'!E34</f>
        <v>1093920</v>
      </c>
      <c r="G96" s="43">
        <f>'LCEC Network'!F34</f>
        <v>1251330</v>
      </c>
      <c r="H96" s="43">
        <f>'LCEC Network'!G34</f>
        <v>1209990</v>
      </c>
      <c r="I96" s="43">
        <f>'LCEC Network'!H34</f>
        <v>1329240</v>
      </c>
      <c r="J96" s="43">
        <f>'LCEC Network'!I34</f>
        <v>1186140</v>
      </c>
      <c r="K96" s="43">
        <f>'LCEC Network'!J34</f>
        <v>1221777.0228850534</v>
      </c>
      <c r="L96" s="43">
        <f>'LCEC Network'!K34</f>
        <v>1048618.5072707101</v>
      </c>
      <c r="M96" s="43">
        <f>'LCEC Network'!L34</f>
        <v>1083234.7760731583</v>
      </c>
      <c r="N96" s="43">
        <f>'LCEC Network'!M34</f>
        <v>966497.03695025016</v>
      </c>
      <c r="O96" s="40">
        <f t="shared" si="12"/>
        <v>13650247.343179174</v>
      </c>
      <c r="Q96" s="11"/>
    </row>
    <row r="97" spans="1:17">
      <c r="A97" s="88" t="s">
        <v>139</v>
      </c>
      <c r="B97" s="209">
        <v>456.221</v>
      </c>
      <c r="C97" s="43">
        <f>'LCEC Network'!B41</f>
        <v>7096.1799999999994</v>
      </c>
      <c r="D97" s="43">
        <f>'LCEC Network'!C41</f>
        <v>7465.6399999999994</v>
      </c>
      <c r="E97" s="43">
        <f>'LCEC Network'!D41</f>
        <v>11555.18</v>
      </c>
      <c r="F97" s="43">
        <f>'LCEC Network'!E41</f>
        <v>8765.119999999999</v>
      </c>
      <c r="G97" s="43">
        <f>'LCEC Network'!F41</f>
        <v>10026.379999999999</v>
      </c>
      <c r="H97" s="43">
        <f>'LCEC Network'!G41</f>
        <v>9695.14</v>
      </c>
      <c r="I97" s="43">
        <f>'LCEC Network'!H41</f>
        <v>10650.64</v>
      </c>
      <c r="J97" s="43">
        <f>'LCEC Network'!I41</f>
        <v>9504.0399999999991</v>
      </c>
      <c r="K97" s="43">
        <f>'LCEC Network'!J41</f>
        <v>9789.5844475192334</v>
      </c>
      <c r="L97" s="43">
        <f>'LCEC Network'!K41</f>
        <v>8402.1382280684556</v>
      </c>
      <c r="M97" s="43">
        <f>'LCEC Network'!L41</f>
        <v>8679.5038032528519</v>
      </c>
      <c r="N97" s="43">
        <f>'LCEC Network'!M41</f>
        <v>7744.1334910353371</v>
      </c>
      <c r="O97" s="40">
        <f t="shared" si="12"/>
        <v>109373.67996987586</v>
      </c>
      <c r="Q97" s="11"/>
    </row>
    <row r="98" spans="1:17">
      <c r="A98" s="88" t="s">
        <v>177</v>
      </c>
      <c r="B98" s="209">
        <v>456.21100000000001</v>
      </c>
      <c r="C98" s="43">
        <f>'FKEC Network'!B34</f>
        <v>166950</v>
      </c>
      <c r="D98" s="43">
        <f>'FKEC Network'!C34</f>
        <v>179670</v>
      </c>
      <c r="E98" s="43">
        <f>'FKEC Network'!D34</f>
        <v>184440</v>
      </c>
      <c r="F98" s="43">
        <f>'FKEC Network'!E34</f>
        <v>190800</v>
      </c>
      <c r="G98" s="43">
        <f>'FKEC Network'!F34</f>
        <v>240090</v>
      </c>
      <c r="H98" s="43">
        <f>'FKEC Network'!G34</f>
        <v>219420</v>
      </c>
      <c r="I98" s="43">
        <f>'FKEC Network'!H34</f>
        <v>232140</v>
      </c>
      <c r="J98" s="43">
        <f>'FKEC Network'!I34</f>
        <v>242958.34545341533</v>
      </c>
      <c r="K98" s="43">
        <f>'FKEC Network'!J34</f>
        <v>237051.87279440806</v>
      </c>
      <c r="L98" s="43">
        <f>'FKEC Network'!K34</f>
        <v>218662.04179935984</v>
      </c>
      <c r="M98" s="43">
        <f>'FKEC Network'!L34</f>
        <v>209045.71464560324</v>
      </c>
      <c r="N98" s="43">
        <f>'FKEC Network'!M34</f>
        <v>185414.8227009534</v>
      </c>
      <c r="O98" s="40">
        <f t="shared" si="12"/>
        <v>2506642.7973937402</v>
      </c>
      <c r="Q98" s="11"/>
    </row>
    <row r="99" spans="1:17">
      <c r="A99" s="88" t="s">
        <v>178</v>
      </c>
      <c r="B99" s="209">
        <v>456.221</v>
      </c>
      <c r="C99" s="43">
        <f>'FKEC Network'!B41</f>
        <v>1337.7</v>
      </c>
      <c r="D99" s="43">
        <f>'FKEC Network'!C41</f>
        <v>1439.62</v>
      </c>
      <c r="E99" s="43">
        <f>'FKEC Network'!D41</f>
        <v>1477.84</v>
      </c>
      <c r="F99" s="43">
        <f>'FKEC Network'!E41</f>
        <v>1528.8</v>
      </c>
      <c r="G99" s="43">
        <f>'FKEC Network'!F41</f>
        <v>1923.74</v>
      </c>
      <c r="H99" s="43">
        <f>'FKEC Network'!G41</f>
        <v>1758.12</v>
      </c>
      <c r="I99" s="43">
        <f>'FKEC Network'!H41</f>
        <v>1860.04</v>
      </c>
      <c r="J99" s="43">
        <f>'FKEC Network'!I41</f>
        <v>1946.7228434443466</v>
      </c>
      <c r="K99" s="43">
        <f>'FKEC Network'!J41</f>
        <v>1899.3967669187159</v>
      </c>
      <c r="L99" s="43">
        <f>'FKEC Network'!K41</f>
        <v>1752.0468003294618</v>
      </c>
      <c r="M99" s="43">
        <f>'FKEC Network'!L41</f>
        <v>1674.9952230094245</v>
      </c>
      <c r="N99" s="43">
        <f>'FKEC Network'!M41</f>
        <v>1485.6508435283938</v>
      </c>
      <c r="O99" s="40">
        <f t="shared" si="12"/>
        <v>20084.672477230342</v>
      </c>
      <c r="Q99" s="11"/>
    </row>
    <row r="100" spans="1:17">
      <c r="A100" s="88" t="s">
        <v>191</v>
      </c>
      <c r="B100" s="209">
        <v>456.21100000000001</v>
      </c>
      <c r="C100" s="43">
        <f>'Wauchula Network'!B34</f>
        <v>14310</v>
      </c>
      <c r="D100" s="43">
        <f>'Wauchula Network'!C34</f>
        <v>12720</v>
      </c>
      <c r="E100" s="43">
        <f>'Wauchula Network'!D34</f>
        <v>20670</v>
      </c>
      <c r="F100" s="43">
        <f>'Wauchula Network'!E34</f>
        <v>15900</v>
      </c>
      <c r="G100" s="43">
        <f>'Wauchula Network'!F34</f>
        <v>17490</v>
      </c>
      <c r="H100" s="43">
        <f>'Wauchula Network'!G34</f>
        <v>19080</v>
      </c>
      <c r="I100" s="43">
        <f>'Wauchula Network'!H34</f>
        <v>20670</v>
      </c>
      <c r="J100" s="43">
        <f>'Wauchula Network'!I34</f>
        <v>19080</v>
      </c>
      <c r="K100" s="43">
        <f>'Wauchula Network'!J34</f>
        <v>20670</v>
      </c>
      <c r="L100" s="43">
        <f>'Wauchula Network'!K34</f>
        <v>20670</v>
      </c>
      <c r="M100" s="43">
        <f>'Wauchula Network'!L34</f>
        <v>20670</v>
      </c>
      <c r="N100" s="43">
        <f>'Wauchula Network'!M34</f>
        <v>20670</v>
      </c>
      <c r="O100" s="40">
        <f t="shared" si="12"/>
        <v>222600</v>
      </c>
    </row>
    <row r="101" spans="1:17">
      <c r="A101" s="88" t="s">
        <v>192</v>
      </c>
      <c r="B101" s="209">
        <v>456.221</v>
      </c>
      <c r="C101" s="43">
        <f>'Wauchula Network'!B41</f>
        <v>114.66</v>
      </c>
      <c r="D101" s="43">
        <f>'Wauchula Network'!C41</f>
        <v>101.92</v>
      </c>
      <c r="E101" s="43">
        <f>'Wauchula Network'!D41</f>
        <v>165.62</v>
      </c>
      <c r="F101" s="43">
        <f>'Wauchula Network'!E41</f>
        <v>127.39999999999999</v>
      </c>
      <c r="G101" s="43">
        <f>'Wauchula Network'!F41</f>
        <v>140.13999999999999</v>
      </c>
      <c r="H101" s="43">
        <f>'Wauchula Network'!G41</f>
        <v>152.88</v>
      </c>
      <c r="I101" s="43">
        <f>'Wauchula Network'!H41</f>
        <v>165.62</v>
      </c>
      <c r="J101" s="43">
        <f>'Wauchula Network'!I41</f>
        <v>152.88</v>
      </c>
      <c r="K101" s="43">
        <f>'Wauchula Network'!J41</f>
        <v>165.62</v>
      </c>
      <c r="L101" s="43">
        <f>'Wauchula Network'!K41</f>
        <v>165.62</v>
      </c>
      <c r="M101" s="43">
        <f>'Wauchula Network'!L41</f>
        <v>165.62</v>
      </c>
      <c r="N101" s="43">
        <f>'Wauchula Network'!M41</f>
        <v>165.62</v>
      </c>
      <c r="O101" s="40">
        <f t="shared" si="12"/>
        <v>1783.5999999999995</v>
      </c>
    </row>
    <row r="102" spans="1:17">
      <c r="A102" s="88" t="s">
        <v>257</v>
      </c>
      <c r="B102" s="209">
        <v>456.21100000000001</v>
      </c>
      <c r="C102" s="43">
        <f>'Blountstown Network'!B33</f>
        <v>6360</v>
      </c>
      <c r="D102" s="43">
        <f>'Blountstown Network'!C33</f>
        <v>4770</v>
      </c>
      <c r="E102" s="43">
        <f>'Blountstown Network'!D33</f>
        <v>12720</v>
      </c>
      <c r="F102" s="43">
        <f>'Blountstown Network'!E33</f>
        <v>6360</v>
      </c>
      <c r="G102" s="43">
        <f>'Blountstown Network'!F33</f>
        <v>7950</v>
      </c>
      <c r="H102" s="43">
        <f>'Blountstown Network'!G33</f>
        <v>11130</v>
      </c>
      <c r="I102" s="43">
        <f>'Blountstown Network'!H33</f>
        <v>12720</v>
      </c>
      <c r="J102" s="43">
        <f>'Blountstown Network'!I33</f>
        <v>11130</v>
      </c>
      <c r="K102" s="43">
        <f>'Blountstown Network'!J33</f>
        <v>14310</v>
      </c>
      <c r="L102" s="43">
        <f>'Blountstown Network'!K33</f>
        <v>14310</v>
      </c>
      <c r="M102" s="43">
        <f>'Blountstown Network'!L33</f>
        <v>14310</v>
      </c>
      <c r="N102" s="43">
        <f>'Blountstown Network'!M33</f>
        <v>14310</v>
      </c>
      <c r="O102" s="40">
        <f t="shared" ref="O102:O108" si="13">SUM(C102:N102)</f>
        <v>130380</v>
      </c>
    </row>
    <row r="103" spans="1:17">
      <c r="A103" s="88" t="s">
        <v>258</v>
      </c>
      <c r="B103" s="209">
        <v>456.221</v>
      </c>
      <c r="C103" s="43">
        <f>'Blountstown Network'!B40</f>
        <v>50.96</v>
      </c>
      <c r="D103" s="43">
        <f>'Blountstown Network'!C40</f>
        <v>38.22</v>
      </c>
      <c r="E103" s="43">
        <f>'Blountstown Network'!D40</f>
        <v>101.92</v>
      </c>
      <c r="F103" s="43">
        <f>'Blountstown Network'!E40</f>
        <v>50.96</v>
      </c>
      <c r="G103" s="43">
        <f>'Blountstown Network'!F40</f>
        <v>63.699999999999996</v>
      </c>
      <c r="H103" s="43">
        <f>'Blountstown Network'!G40</f>
        <v>89.179999999999993</v>
      </c>
      <c r="I103" s="43">
        <f>'Blountstown Network'!H40</f>
        <v>101.92</v>
      </c>
      <c r="J103" s="43">
        <f>'Blountstown Network'!I40</f>
        <v>89.179999999999993</v>
      </c>
      <c r="K103" s="43">
        <f>'Blountstown Network'!J40</f>
        <v>114.66</v>
      </c>
      <c r="L103" s="43">
        <f>'Blountstown Network'!K40</f>
        <v>114.66</v>
      </c>
      <c r="M103" s="43">
        <f>'Blountstown Network'!L40</f>
        <v>114.66</v>
      </c>
      <c r="N103" s="43">
        <f>'Blountstown Network'!M40</f>
        <v>114.66</v>
      </c>
      <c r="O103" s="40">
        <f t="shared" si="13"/>
        <v>1044.68</v>
      </c>
    </row>
    <row r="104" spans="1:17">
      <c r="A104" s="88" t="s">
        <v>285</v>
      </c>
      <c r="B104" s="209">
        <v>456.21100000000001</v>
      </c>
      <c r="C104" s="43">
        <f>'Winter Park Network'!B27</f>
        <v>36570</v>
      </c>
      <c r="D104" s="43">
        <f>'Winter Park Network'!C27</f>
        <v>41340</v>
      </c>
      <c r="E104" s="43">
        <f>'Winter Park Network'!D27</f>
        <v>71550</v>
      </c>
      <c r="F104" s="43">
        <f>'Winter Park Network'!E27</f>
        <v>57240</v>
      </c>
      <c r="G104" s="43">
        <f>'Winter Park Network'!F27</f>
        <v>71550</v>
      </c>
      <c r="H104" s="43">
        <f>'Winter Park Network'!G27</f>
        <v>85860</v>
      </c>
      <c r="I104" s="43">
        <f>'Winter Park Network'!H27</f>
        <v>95400</v>
      </c>
      <c r="J104" s="43">
        <f>'Winter Park Network'!I27</f>
        <v>87450</v>
      </c>
      <c r="K104" s="43">
        <f>'Winter Park Network'!J27</f>
        <v>95400</v>
      </c>
      <c r="L104" s="43">
        <f>'Winter Park Network'!K27</f>
        <v>95400</v>
      </c>
      <c r="M104" s="43">
        <f>'Winter Park Network'!L27</f>
        <v>95400</v>
      </c>
      <c r="N104" s="43">
        <f>'Winter Park Network'!M27</f>
        <v>95400</v>
      </c>
      <c r="O104" s="40">
        <f t="shared" si="13"/>
        <v>928560</v>
      </c>
    </row>
    <row r="105" spans="1:17">
      <c r="A105" s="88" t="s">
        <v>416</v>
      </c>
      <c r="B105" s="209">
        <v>456.221</v>
      </c>
      <c r="C105" s="43">
        <f>'Winter Park Network'!B34</f>
        <v>293.02</v>
      </c>
      <c r="D105" s="43">
        <f>'Winter Park Network'!C34</f>
        <v>331.24</v>
      </c>
      <c r="E105" s="43">
        <f>'Winter Park Network'!D34</f>
        <v>573.29999999999995</v>
      </c>
      <c r="F105" s="43">
        <f>'Winter Park Network'!E34</f>
        <v>458.64</v>
      </c>
      <c r="G105" s="43">
        <f>'Winter Park Network'!F34</f>
        <v>573.29999999999995</v>
      </c>
      <c r="H105" s="43">
        <f>'Winter Park Network'!G34</f>
        <v>687.95999999999992</v>
      </c>
      <c r="I105" s="43">
        <f>'Winter Park Network'!H34</f>
        <v>764.4</v>
      </c>
      <c r="J105" s="43">
        <f>'Winter Park Network'!I34</f>
        <v>700.69999999999993</v>
      </c>
      <c r="K105" s="43">
        <f>'Winter Park Network'!J34</f>
        <v>764.4</v>
      </c>
      <c r="L105" s="43">
        <f>'Winter Park Network'!K34</f>
        <v>764.4</v>
      </c>
      <c r="M105" s="43">
        <f>'Winter Park Network'!L34</f>
        <v>764.4</v>
      </c>
      <c r="N105" s="43">
        <f>'Winter Park Network'!M34</f>
        <v>764.4</v>
      </c>
      <c r="O105" s="40">
        <f t="shared" si="13"/>
        <v>7440.1599999999989</v>
      </c>
    </row>
    <row r="106" spans="1:17">
      <c r="A106" s="88" t="s">
        <v>306</v>
      </c>
      <c r="B106" s="209">
        <v>456.21100000000001</v>
      </c>
      <c r="C106" s="43">
        <f>'New Smyrna Network'!B33</f>
        <v>31800</v>
      </c>
      <c r="D106" s="43">
        <f>'New Smyrna Network'!C33</f>
        <v>55650</v>
      </c>
      <c r="E106" s="43">
        <f>'New Smyrna Network'!D33</f>
        <v>63600</v>
      </c>
      <c r="F106" s="43">
        <f>'New Smyrna Network'!E33</f>
        <v>31800</v>
      </c>
      <c r="G106" s="43">
        <f>'New Smyrna Network'!F33</f>
        <v>31800</v>
      </c>
      <c r="H106" s="43">
        <f>'New Smyrna Network'!G33</f>
        <v>39750</v>
      </c>
      <c r="I106" s="43">
        <f>'New Smyrna Network'!H33</f>
        <v>63600</v>
      </c>
      <c r="J106" s="43">
        <f>'New Smyrna Network'!I33</f>
        <v>71550</v>
      </c>
      <c r="K106" s="43">
        <f>'New Smyrna Network'!J33</f>
        <v>71550</v>
      </c>
      <c r="L106" s="43">
        <f>'New Smyrna Network'!K33</f>
        <v>47700</v>
      </c>
      <c r="M106" s="43">
        <f>'New Smyrna Network'!L33</f>
        <v>31800</v>
      </c>
      <c r="N106" s="43">
        <f>'New Smyrna Network'!M33</f>
        <v>23850</v>
      </c>
      <c r="O106" s="40">
        <f t="shared" si="13"/>
        <v>564450</v>
      </c>
    </row>
    <row r="107" spans="1:17">
      <c r="A107" s="88" t="s">
        <v>307</v>
      </c>
      <c r="B107" s="209">
        <v>456.221</v>
      </c>
      <c r="C107" s="43">
        <f>'New Smyrna Network'!B40</f>
        <v>254.79999999999998</v>
      </c>
      <c r="D107" s="43">
        <f>'New Smyrna Network'!C40</f>
        <v>445.9</v>
      </c>
      <c r="E107" s="43">
        <f>'New Smyrna Network'!D40</f>
        <v>509.59999999999997</v>
      </c>
      <c r="F107" s="43">
        <f>'New Smyrna Network'!E40</f>
        <v>254.79999999999998</v>
      </c>
      <c r="G107" s="43">
        <f>'New Smyrna Network'!F40</f>
        <v>254.79999999999998</v>
      </c>
      <c r="H107" s="43">
        <f>'New Smyrna Network'!G40</f>
        <v>318.5</v>
      </c>
      <c r="I107" s="43">
        <f>'New Smyrna Network'!H40</f>
        <v>509.59999999999997</v>
      </c>
      <c r="J107" s="43">
        <f>'New Smyrna Network'!I40</f>
        <v>573.29999999999995</v>
      </c>
      <c r="K107" s="43">
        <f>'New Smyrna Network'!J40</f>
        <v>573.29999999999995</v>
      </c>
      <c r="L107" s="43">
        <f>'New Smyrna Network'!K40</f>
        <v>382.2</v>
      </c>
      <c r="M107" s="43">
        <f>'New Smyrna Network'!L40</f>
        <v>254.79999999999998</v>
      </c>
      <c r="N107" s="43">
        <f>'New Smyrna Network'!M40</f>
        <v>191.1</v>
      </c>
      <c r="O107" s="40">
        <f t="shared" si="13"/>
        <v>4522.7000000000007</v>
      </c>
    </row>
    <row r="108" spans="1:17">
      <c r="A108" s="88" t="s">
        <v>408</v>
      </c>
      <c r="B108" s="209">
        <v>456.22199999999998</v>
      </c>
      <c r="C108" s="43">
        <f>'New Smyrna Network'!B47</f>
        <v>2016</v>
      </c>
      <c r="D108" s="43">
        <f>'New Smyrna Network'!C47</f>
        <v>3528</v>
      </c>
      <c r="E108" s="43">
        <f>'New Smyrna Network'!D47</f>
        <v>4032</v>
      </c>
      <c r="F108" s="43">
        <f>'New Smyrna Network'!E47</f>
        <v>2016</v>
      </c>
      <c r="G108" s="43">
        <f>'New Smyrna Network'!F47</f>
        <v>2016</v>
      </c>
      <c r="H108" s="43">
        <f>'New Smyrna Network'!G47</f>
        <v>2520</v>
      </c>
      <c r="I108" s="43">
        <f>'New Smyrna Network'!H47</f>
        <v>4032</v>
      </c>
      <c r="J108" s="43">
        <f>'New Smyrna Network'!I47</f>
        <v>4536</v>
      </c>
      <c r="K108" s="43">
        <f>'New Smyrna Network'!J47</f>
        <v>4536</v>
      </c>
      <c r="L108" s="43">
        <f>'New Smyrna Network'!K47</f>
        <v>3024</v>
      </c>
      <c r="M108" s="43">
        <f>'New Smyrna Network'!L47</f>
        <v>2016</v>
      </c>
      <c r="N108" s="43">
        <f>'New Smyrna Network'!M47</f>
        <v>1512</v>
      </c>
      <c r="O108" s="40">
        <f t="shared" si="13"/>
        <v>35784</v>
      </c>
    </row>
    <row r="109" spans="1:17">
      <c r="A109" s="88" t="s">
        <v>13</v>
      </c>
      <c r="B109" s="209">
        <v>456.21300000000002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f>SUM(C109:N109)</f>
        <v>0</v>
      </c>
      <c r="Q109" s="11"/>
    </row>
    <row r="110" spans="1:17">
      <c r="A110" s="445" t="s">
        <v>360</v>
      </c>
      <c r="B110" s="209">
        <v>456.21100000000001</v>
      </c>
      <c r="C110" s="43">
        <f>'Georgia Trans Network'!B34</f>
        <v>29149.47</v>
      </c>
      <c r="D110" s="43">
        <f>'Georgia Trans Network'!C34</f>
        <v>29149.47</v>
      </c>
      <c r="E110" s="43">
        <f>'Georgia Trans Network'!D34</f>
        <v>29149.47</v>
      </c>
      <c r="F110" s="43">
        <f>'Georgia Trans Network'!E34</f>
        <v>29149.47</v>
      </c>
      <c r="G110" s="43">
        <f>'Georgia Trans Network'!F34</f>
        <v>29149.47</v>
      </c>
      <c r="H110" s="43">
        <f>'Georgia Trans Network'!G34</f>
        <v>24292.02</v>
      </c>
      <c r="I110" s="43">
        <f>'Georgia Trans Network'!H34</f>
        <v>24292.02</v>
      </c>
      <c r="J110" s="43">
        <f>'Georgia Trans Network'!I34</f>
        <v>24292.02</v>
      </c>
      <c r="K110" s="43">
        <f>'Georgia Trans Network'!J34</f>
        <v>24292.02</v>
      </c>
      <c r="L110" s="43">
        <f>'Georgia Trans Network'!K34</f>
        <v>29149.47</v>
      </c>
      <c r="M110" s="43">
        <f>'Georgia Trans Network'!L34</f>
        <v>29149.47</v>
      </c>
      <c r="N110" s="43">
        <f>'Georgia Trans Network'!M34</f>
        <v>29149.47</v>
      </c>
      <c r="O110" s="40">
        <f t="shared" ref="O110:O112" si="14">SUM(C110:N110)</f>
        <v>330363.83999999997</v>
      </c>
    </row>
    <row r="111" spans="1:17">
      <c r="A111" s="445" t="s">
        <v>361</v>
      </c>
      <c r="B111" s="209">
        <v>456.221</v>
      </c>
      <c r="C111" s="43">
        <f>'Georgia Trans Network'!B41</f>
        <v>233.56242</v>
      </c>
      <c r="D111" s="43">
        <f>'Georgia Trans Network'!C41</f>
        <v>233.56242</v>
      </c>
      <c r="E111" s="43">
        <f>'Georgia Trans Network'!D41</f>
        <v>233.56242</v>
      </c>
      <c r="F111" s="43">
        <f>'Georgia Trans Network'!E41</f>
        <v>233.56242</v>
      </c>
      <c r="G111" s="43">
        <f>'Georgia Trans Network'!F41</f>
        <v>233.56242</v>
      </c>
      <c r="H111" s="43">
        <f>'Georgia Trans Network'!G41</f>
        <v>194.64171999999999</v>
      </c>
      <c r="I111" s="43">
        <f>'Georgia Trans Network'!H41</f>
        <v>194.64171999999999</v>
      </c>
      <c r="J111" s="43">
        <f>'Georgia Trans Network'!I41</f>
        <v>194.64171999999999</v>
      </c>
      <c r="K111" s="43">
        <f>'Georgia Trans Network'!J41</f>
        <v>194.64171999999999</v>
      </c>
      <c r="L111" s="43">
        <f>'Georgia Trans Network'!K41</f>
        <v>233.56242</v>
      </c>
      <c r="M111" s="43">
        <f>'Georgia Trans Network'!L41</f>
        <v>233.56242</v>
      </c>
      <c r="N111" s="43">
        <f>'Georgia Trans Network'!M41</f>
        <v>233.56242</v>
      </c>
      <c r="O111" s="40">
        <f t="shared" si="14"/>
        <v>2647.066240000001</v>
      </c>
    </row>
    <row r="112" spans="1:17">
      <c r="A112" s="445" t="s">
        <v>405</v>
      </c>
      <c r="B112" s="209">
        <v>456.22199999999998</v>
      </c>
      <c r="C112" s="43">
        <f>'Georgia Trans Network'!B48</f>
        <v>1847.9664</v>
      </c>
      <c r="D112" s="43">
        <f>'Georgia Trans Network'!C48</f>
        <v>1847.9664</v>
      </c>
      <c r="E112" s="43">
        <f>'Georgia Trans Network'!D48</f>
        <v>1847.9664</v>
      </c>
      <c r="F112" s="43">
        <f>'Georgia Trans Network'!E48</f>
        <v>1847.9664</v>
      </c>
      <c r="G112" s="43">
        <f>'Georgia Trans Network'!F48</f>
        <v>1847.9664</v>
      </c>
      <c r="H112" s="43">
        <f>'Georgia Trans Network'!G48</f>
        <v>1540.0224000000001</v>
      </c>
      <c r="I112" s="43">
        <f>'Georgia Trans Network'!H48</f>
        <v>1540.0224000000001</v>
      </c>
      <c r="J112" s="43">
        <f>'Georgia Trans Network'!I48</f>
        <v>1540.0224000000001</v>
      </c>
      <c r="K112" s="43">
        <f>'Georgia Trans Network'!J48</f>
        <v>1540.0224000000001</v>
      </c>
      <c r="L112" s="43">
        <f>'Georgia Trans Network'!K48</f>
        <v>1847.9664</v>
      </c>
      <c r="M112" s="43">
        <f>'Georgia Trans Network'!L48</f>
        <v>1847.9664</v>
      </c>
      <c r="N112" s="43">
        <f>'Georgia Trans Network'!M48</f>
        <v>1847.9664</v>
      </c>
      <c r="O112" s="40">
        <f t="shared" si="14"/>
        <v>20943.820800000001</v>
      </c>
    </row>
    <row r="113" spans="1:17">
      <c r="A113" s="88" t="s">
        <v>310</v>
      </c>
      <c r="B113" s="209">
        <v>456.21100000000001</v>
      </c>
      <c r="C113" s="42">
        <f>'Lake Worth Network Transmission'!B33</f>
        <v>116597.88</v>
      </c>
      <c r="D113" s="42">
        <f>'Lake Worth Network Transmission'!C33</f>
        <v>116597.88</v>
      </c>
      <c r="E113" s="42">
        <f>'Lake Worth Network Transmission'!D33</f>
        <v>116597.88</v>
      </c>
      <c r="F113" s="42">
        <f>'Lake Worth Network Transmission'!E33</f>
        <v>116597.88</v>
      </c>
      <c r="G113" s="42">
        <f>'Lake Worth Network Transmission'!F33</f>
        <v>137651.07</v>
      </c>
      <c r="H113" s="42">
        <f>'Lake Worth Network Transmission'!G33</f>
        <v>137651.07</v>
      </c>
      <c r="I113" s="42">
        <f>'Lake Worth Network Transmission'!H33</f>
        <v>137651.07</v>
      </c>
      <c r="J113" s="42">
        <f>'Lake Worth Network Transmission'!I33</f>
        <v>137651.07</v>
      </c>
      <c r="K113" s="42">
        <f>'Lake Worth Network Transmission'!J33</f>
        <v>137651.07</v>
      </c>
      <c r="L113" s="42">
        <f>'Lake Worth Network Transmission'!K33</f>
        <v>116597.88</v>
      </c>
      <c r="M113" s="42">
        <f>'Lake Worth Network Transmission'!L33</f>
        <v>116597.88</v>
      </c>
      <c r="N113" s="42">
        <f>'Lake Worth Network Transmission'!M33</f>
        <v>116597.88</v>
      </c>
      <c r="O113" s="42">
        <f t="shared" si="12"/>
        <v>1504440.5100000002</v>
      </c>
      <c r="Q113" s="11"/>
    </row>
    <row r="114" spans="1:17">
      <c r="A114" s="88" t="s">
        <v>311</v>
      </c>
      <c r="B114" s="209">
        <v>456.221</v>
      </c>
      <c r="C114" s="42">
        <f>'Lake Worth Network Transmission'!B40</f>
        <v>934.24968000000001</v>
      </c>
      <c r="D114" s="42">
        <f>'Lake Worth Network Transmission'!C40</f>
        <v>934.24968000000001</v>
      </c>
      <c r="E114" s="42">
        <f>'Lake Worth Network Transmission'!D40</f>
        <v>934.24968000000001</v>
      </c>
      <c r="F114" s="42">
        <f>'Lake Worth Network Transmission'!E40</f>
        <v>934.24968000000001</v>
      </c>
      <c r="G114" s="42">
        <f>'Lake Worth Network Transmission'!F40</f>
        <v>1102.94002</v>
      </c>
      <c r="H114" s="42">
        <f>'Lake Worth Network Transmission'!G40</f>
        <v>1102.94002</v>
      </c>
      <c r="I114" s="42">
        <f>'Lake Worth Network Transmission'!H40</f>
        <v>1102.94002</v>
      </c>
      <c r="J114" s="42">
        <f>'Lake Worth Network Transmission'!I40</f>
        <v>1102.94002</v>
      </c>
      <c r="K114" s="42">
        <f>'Lake Worth Network Transmission'!J40</f>
        <v>1102.94002</v>
      </c>
      <c r="L114" s="42">
        <f>'Lake Worth Network Transmission'!K40</f>
        <v>934.24968000000001</v>
      </c>
      <c r="M114" s="42">
        <f>'Lake Worth Network Transmission'!L40</f>
        <v>934.24968000000001</v>
      </c>
      <c r="N114" s="42">
        <f>'Lake Worth Network Transmission'!M40</f>
        <v>934.24968000000001</v>
      </c>
      <c r="O114" s="42">
        <f t="shared" si="12"/>
        <v>12054.447860000002</v>
      </c>
      <c r="Q114" s="11"/>
    </row>
    <row r="115" spans="1:17">
      <c r="A115" s="88" t="s">
        <v>407</v>
      </c>
      <c r="B115" s="209">
        <v>456.22199999999998</v>
      </c>
      <c r="C115" s="42">
        <f>'Lake Worth Network Transmission'!B47</f>
        <v>7391.8656000000001</v>
      </c>
      <c r="D115" s="42">
        <f>'Lake Worth Network Transmission'!C47</f>
        <v>7391.8656000000001</v>
      </c>
      <c r="E115" s="42">
        <f>'Lake Worth Network Transmission'!D47</f>
        <v>7391.8656000000001</v>
      </c>
      <c r="F115" s="42">
        <f>'Lake Worth Network Transmission'!E47</f>
        <v>7391.8656000000001</v>
      </c>
      <c r="G115" s="42">
        <f>'Lake Worth Network Transmission'!F47</f>
        <v>8726.5583999999999</v>
      </c>
      <c r="H115" s="42">
        <f>'Lake Worth Network Transmission'!G47</f>
        <v>8726.5583999999999</v>
      </c>
      <c r="I115" s="42">
        <f>'Lake Worth Network Transmission'!H47</f>
        <v>8726.5583999999999</v>
      </c>
      <c r="J115" s="42">
        <f>'Lake Worth Network Transmission'!I47</f>
        <v>8726.5583999999999</v>
      </c>
      <c r="K115" s="42">
        <f>'Lake Worth Network Transmission'!J47</f>
        <v>8726.5583999999999</v>
      </c>
      <c r="L115" s="42">
        <f>'Lake Worth Network Transmission'!K47</f>
        <v>7391.8656000000001</v>
      </c>
      <c r="M115" s="42">
        <f>'Lake Worth Network Transmission'!L47</f>
        <v>7391.8656000000001</v>
      </c>
      <c r="N115" s="42">
        <f>'Lake Worth Network Transmission'!M47</f>
        <v>7391.8656000000001</v>
      </c>
      <c r="O115" s="42">
        <f t="shared" si="12"/>
        <v>95375.851200000019</v>
      </c>
      <c r="Q115" s="11"/>
    </row>
    <row r="116" spans="1:17">
      <c r="A116" s="88" t="s">
        <v>14</v>
      </c>
      <c r="B116" s="209">
        <v>456.21100000000001</v>
      </c>
      <c r="C116" s="39">
        <f>'TSAS Demand Revenues (7)'!B135</f>
        <v>806219.04</v>
      </c>
      <c r="D116" s="39">
        <f>'TSAS Demand Revenues (7)'!C135</f>
        <v>728309.04</v>
      </c>
      <c r="E116" s="39">
        <f>'TSAS Demand Revenues (7)'!D135</f>
        <v>728309.04</v>
      </c>
      <c r="F116" s="39">
        <f>'TSAS Demand Revenues (7)'!E135</f>
        <v>728309.04</v>
      </c>
      <c r="G116" s="39">
        <f>'TSAS Demand Revenues (7)'!F135</f>
        <v>728309.04</v>
      </c>
      <c r="H116" s="39">
        <f>'TSAS Demand Revenues (7)'!G135</f>
        <v>728309.04</v>
      </c>
      <c r="I116" s="39">
        <f>'TSAS Demand Revenues (7)'!H135</f>
        <v>728309.04</v>
      </c>
      <c r="J116" s="39">
        <f>'TSAS Demand Revenues (7)'!I135</f>
        <v>728309.04</v>
      </c>
      <c r="K116" s="39">
        <f>'TSAS Demand Revenues (7)'!J135</f>
        <v>728309.04</v>
      </c>
      <c r="L116" s="39">
        <f>'TSAS Demand Revenues (7)'!K135</f>
        <v>728309.04</v>
      </c>
      <c r="M116" s="39">
        <f>'TSAS Demand Revenues (7)'!L135</f>
        <v>728309.04</v>
      </c>
      <c r="N116" s="39">
        <f>'TSAS Demand Revenues (7)'!M135</f>
        <v>728309.04</v>
      </c>
      <c r="O116" s="42">
        <f t="shared" si="12"/>
        <v>8817618.4800000004</v>
      </c>
      <c r="Q116" s="11"/>
    </row>
    <row r="117" spans="1:17">
      <c r="A117" s="88" t="s">
        <v>140</v>
      </c>
      <c r="B117" s="209">
        <v>456.221</v>
      </c>
      <c r="C117" s="39">
        <f>'TSAS Scheduling Revenue (1)'!B140</f>
        <v>6459.8934399999998</v>
      </c>
      <c r="D117" s="39">
        <f>'TSAS Scheduling Revenue (1)'!C140</f>
        <v>5835.6334399999996</v>
      </c>
      <c r="E117" s="39">
        <f>'TSAS Scheduling Revenue (1)'!D140</f>
        <v>5835.6334399999996</v>
      </c>
      <c r="F117" s="39">
        <f>'TSAS Scheduling Revenue (1)'!E140</f>
        <v>5835.6334399999996</v>
      </c>
      <c r="G117" s="39">
        <f>'TSAS Scheduling Revenue (1)'!F140</f>
        <v>5835.6334399999996</v>
      </c>
      <c r="H117" s="39">
        <f>'TSAS Scheduling Revenue (1)'!G140</f>
        <v>5835.6334399999996</v>
      </c>
      <c r="I117" s="39">
        <f>'TSAS Scheduling Revenue (1)'!H140</f>
        <v>5835.6334399999996</v>
      </c>
      <c r="J117" s="39">
        <f>'TSAS Scheduling Revenue (1)'!I140</f>
        <v>5835.6334399999996</v>
      </c>
      <c r="K117" s="39">
        <f>'TSAS Scheduling Revenue (1)'!J140</f>
        <v>5835.6334399999996</v>
      </c>
      <c r="L117" s="39">
        <f>'TSAS Scheduling Revenue (1)'!K140</f>
        <v>5835.6334399999996</v>
      </c>
      <c r="M117" s="39">
        <f>'TSAS Scheduling Revenue (1)'!L140</f>
        <v>5835.6334399999996</v>
      </c>
      <c r="N117" s="39">
        <f>'TSAS Scheduling Revenue (1)'!M140</f>
        <v>5835.6334399999996</v>
      </c>
      <c r="O117" s="42">
        <f t="shared" si="12"/>
        <v>70651.861279999983</v>
      </c>
      <c r="Q117" s="11"/>
    </row>
    <row r="118" spans="1:17">
      <c r="A118" s="88" t="s">
        <v>75</v>
      </c>
      <c r="B118" s="209">
        <v>456.22199999999998</v>
      </c>
      <c r="C118" s="39">
        <f>'TSAS Reactive Revenues (2)'!B135</f>
        <v>49969.919999999998</v>
      </c>
      <c r="D118" s="42">
        <f>'TSAS Reactive Revenues (2)'!C135</f>
        <v>45030.720000000001</v>
      </c>
      <c r="E118" s="42">
        <f>'TSAS Reactive Revenues (2)'!D135</f>
        <v>45030.720000000001</v>
      </c>
      <c r="F118" s="39">
        <f>'TSAS Reactive Revenues (2)'!E135</f>
        <v>45030.720000000001</v>
      </c>
      <c r="G118" s="39">
        <f>'TSAS Reactive Revenues (2)'!F135</f>
        <v>45030.720000000001</v>
      </c>
      <c r="H118" s="39">
        <f>'TSAS Reactive Revenues (2)'!G135</f>
        <v>45030.720000000001</v>
      </c>
      <c r="I118" s="39">
        <f>'TSAS Reactive Revenues (2)'!H135</f>
        <v>45030.720000000001</v>
      </c>
      <c r="J118" s="39">
        <f>'TSAS Reactive Revenues (2)'!I135</f>
        <v>45030.720000000001</v>
      </c>
      <c r="K118" s="39">
        <f>'TSAS Reactive Revenues (2)'!J135</f>
        <v>45030.720000000001</v>
      </c>
      <c r="L118" s="39">
        <f>'TSAS Reactive Revenues (2)'!K135</f>
        <v>45030.720000000001</v>
      </c>
      <c r="M118" s="39">
        <f>'TSAS Reactive Revenues (2)'!L135</f>
        <v>45030.720000000001</v>
      </c>
      <c r="N118" s="39">
        <f>'TSAS Reactive Revenues (2)'!M135</f>
        <v>45030.720000000001</v>
      </c>
      <c r="O118" s="42">
        <f t="shared" si="12"/>
        <v>545307.83999999985</v>
      </c>
      <c r="Q118" s="11"/>
    </row>
    <row r="119" spans="1:17">
      <c r="A119" s="88" t="s">
        <v>119</v>
      </c>
      <c r="B119" s="209">
        <v>456.14499999999998</v>
      </c>
      <c r="C119" s="39">
        <f>Dynamic_Scheduling!B16</f>
        <v>7200</v>
      </c>
      <c r="D119" s="39">
        <f>Dynamic_Scheduling!C16</f>
        <v>7200</v>
      </c>
      <c r="E119" s="39">
        <f>Dynamic_Scheduling!D16</f>
        <v>7200</v>
      </c>
      <c r="F119" s="39">
        <f>Dynamic_Scheduling!E16</f>
        <v>7200</v>
      </c>
      <c r="G119" s="39">
        <f>Dynamic_Scheduling!F16</f>
        <v>7200</v>
      </c>
      <c r="H119" s="39">
        <f>Dynamic_Scheduling!G16</f>
        <v>7200</v>
      </c>
      <c r="I119" s="39">
        <f>Dynamic_Scheduling!H16</f>
        <v>7200</v>
      </c>
      <c r="J119" s="39">
        <f>Dynamic_Scheduling!I16</f>
        <v>7200</v>
      </c>
      <c r="K119" s="39">
        <f>Dynamic_Scheduling!J16</f>
        <v>7200</v>
      </c>
      <c r="L119" s="39">
        <f>Dynamic_Scheduling!K16</f>
        <v>7200</v>
      </c>
      <c r="M119" s="39">
        <f>Dynamic_Scheduling!L16</f>
        <v>7200</v>
      </c>
      <c r="N119" s="39">
        <f>Dynamic_Scheduling!M16</f>
        <v>7200</v>
      </c>
      <c r="O119" s="42">
        <f t="shared" si="12"/>
        <v>86400</v>
      </c>
      <c r="Q119" s="11"/>
    </row>
    <row r="120" spans="1:17">
      <c r="A120" s="88" t="s">
        <v>147</v>
      </c>
      <c r="B120" s="209">
        <v>456.21300000000002</v>
      </c>
      <c r="C120" s="42">
        <f>st_nf!D9</f>
        <v>252959.05</v>
      </c>
      <c r="D120" s="42">
        <f>st_nf!E9</f>
        <v>211139.89</v>
      </c>
      <c r="E120" s="42">
        <f>st_nf!F9</f>
        <v>230869.65</v>
      </c>
      <c r="F120" s="42">
        <f>st_nf!G9</f>
        <v>165524.70000000001</v>
      </c>
      <c r="G120" s="42">
        <f>st_nf!H9</f>
        <v>230869.65</v>
      </c>
      <c r="H120" s="42">
        <f>st_nf!I9</f>
        <v>338831.64</v>
      </c>
      <c r="I120" s="42">
        <f>st_nf!J9</f>
        <v>225520.52</v>
      </c>
      <c r="J120" s="42">
        <f>st_nf!K9</f>
        <v>328491.74</v>
      </c>
      <c r="K120" s="42">
        <f>st_nf!L9</f>
        <v>320710.51</v>
      </c>
      <c r="L120" s="42">
        <f>st_nf!M9</f>
        <v>438157.95</v>
      </c>
      <c r="M120" s="42">
        <f>st_nf!N9</f>
        <v>323720.68</v>
      </c>
      <c r="N120" s="42">
        <f>st_nf!O9</f>
        <v>226700.14</v>
      </c>
      <c r="O120" s="42">
        <f t="shared" si="12"/>
        <v>3293496.1200000006</v>
      </c>
      <c r="Q120" s="11"/>
    </row>
    <row r="121" spans="1:17">
      <c r="A121" s="88" t="s">
        <v>148</v>
      </c>
      <c r="B121" s="209">
        <v>456.22300000000001</v>
      </c>
      <c r="C121" s="210">
        <f>st_nf!D10</f>
        <v>31266.38</v>
      </c>
      <c r="D121" s="210">
        <f>st_nf!E10</f>
        <v>33737.19</v>
      </c>
      <c r="E121" s="210">
        <f>st_nf!F10</f>
        <v>33995.410000000003</v>
      </c>
      <c r="F121" s="210">
        <f>st_nf!G10</f>
        <v>34925.39</v>
      </c>
      <c r="G121" s="210">
        <f>st_nf!H10</f>
        <v>33923.370000000003</v>
      </c>
      <c r="H121" s="210">
        <f>st_nf!I10</f>
        <v>16500.57</v>
      </c>
      <c r="I121" s="210">
        <f>st_nf!J10</f>
        <v>25237.65</v>
      </c>
      <c r="J121" s="210">
        <f>st_nf!K10</f>
        <v>31769.99</v>
      </c>
      <c r="K121" s="210">
        <f>st_nf!L10</f>
        <v>41391.03</v>
      </c>
      <c r="L121" s="210">
        <f>st_nf!M10</f>
        <v>29168.31</v>
      </c>
      <c r="M121" s="210">
        <f>st_nf!N10</f>
        <v>28251.96</v>
      </c>
      <c r="N121" s="210">
        <f>st_nf!O10</f>
        <v>31973.599999999999</v>
      </c>
      <c r="O121" s="210">
        <f t="shared" si="12"/>
        <v>372140.85</v>
      </c>
      <c r="Q121" s="11"/>
    </row>
    <row r="122" spans="1:17" ht="10.8" thickBot="1">
      <c r="A122" s="88" t="s">
        <v>149</v>
      </c>
      <c r="B122" s="88"/>
      <c r="C122" s="377">
        <f t="shared" ref="C122:O122" si="15">SUM(C85:C121)</f>
        <v>4490719.6317031886</v>
      </c>
      <c r="D122" s="377">
        <f t="shared" si="15"/>
        <v>4182436.5917477538</v>
      </c>
      <c r="E122" s="377">
        <f t="shared" si="15"/>
        <v>4530542.1940622116</v>
      </c>
      <c r="F122" s="377">
        <f t="shared" si="15"/>
        <v>4073942.042652125</v>
      </c>
      <c r="G122" s="377">
        <f t="shared" si="15"/>
        <v>4567247.9903022423</v>
      </c>
      <c r="H122" s="377">
        <f t="shared" si="15"/>
        <v>4767469.2483308902</v>
      </c>
      <c r="I122" s="377">
        <f t="shared" si="15"/>
        <v>4852883.6228604792</v>
      </c>
      <c r="J122" s="377">
        <f t="shared" si="15"/>
        <v>4865171.157836698</v>
      </c>
      <c r="K122" s="377">
        <f t="shared" si="15"/>
        <v>4770261.1926726568</v>
      </c>
      <c r="L122" s="377">
        <f t="shared" si="15"/>
        <v>4513148.5567976739</v>
      </c>
      <c r="M122" s="377">
        <f t="shared" si="15"/>
        <v>4203348.7819729308</v>
      </c>
      <c r="N122" s="377">
        <f t="shared" si="15"/>
        <v>4174474.4631422847</v>
      </c>
      <c r="O122" s="377">
        <f t="shared" si="15"/>
        <v>53991645.474081129</v>
      </c>
      <c r="Q122" s="11"/>
    </row>
    <row r="123" spans="1:17" ht="10.8" thickTop="1">
      <c r="A123" s="88"/>
      <c r="B123" s="88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Q123" s="11"/>
    </row>
    <row r="124" spans="1:17">
      <c r="A124" s="88"/>
      <c r="B124" s="88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9"/>
      <c r="Q124" s="11"/>
    </row>
    <row r="125" spans="1:17">
      <c r="A125" s="88" t="s">
        <v>126</v>
      </c>
      <c r="B125" s="209">
        <v>456.25200000000001</v>
      </c>
      <c r="C125" s="43">
        <f>'SECI-Credit Settlement'!$B$10*(-1)</f>
        <v>-566426.91666666674</v>
      </c>
      <c r="D125" s="43">
        <f>'SECI-Credit Settlement'!$B$10*(-1)</f>
        <v>-566426.91666666674</v>
      </c>
      <c r="E125" s="43">
        <f>'SECI-Credit Settlement'!$B$10*(-1)</f>
        <v>-566426.91666666674</v>
      </c>
      <c r="F125" s="43">
        <f>'SECI-Credit Settlement'!$B$10*(-1)</f>
        <v>-566426.91666666674</v>
      </c>
      <c r="G125" s="43">
        <f>'SECI-Credit Settlement'!$B$10*(-1)</f>
        <v>-566426.91666666674</v>
      </c>
      <c r="H125" s="43">
        <f>'SECI-Credit Settlement'!$B$10*(-1)</f>
        <v>-566426.91666666674</v>
      </c>
      <c r="I125" s="43">
        <f>'SECI-Credit Settlement'!$B$10*(-1)</f>
        <v>-566426.91666666674</v>
      </c>
      <c r="J125" s="43">
        <f>'SECI-Credit Settlement'!$B$10*(-1)</f>
        <v>-566426.91666666674</v>
      </c>
      <c r="K125" s="43">
        <f>'SECI-Credit Settlement'!$B$10*(-1)</f>
        <v>-566426.91666666674</v>
      </c>
      <c r="L125" s="43">
        <f>'SECI-Credit Settlement'!$B$10*(-1)</f>
        <v>-566426.91666666674</v>
      </c>
      <c r="M125" s="43">
        <f>'SECI-Credit Settlement'!$B$10*(-1)</f>
        <v>-566426.91666666674</v>
      </c>
      <c r="N125" s="43">
        <f>'SECI-Credit Settlement'!$B$10*(-1)</f>
        <v>-566426.91666666674</v>
      </c>
      <c r="O125" s="40">
        <f>SUM(C125:N125)</f>
        <v>-6797123.0000000028</v>
      </c>
      <c r="Q125" s="11"/>
    </row>
    <row r="126" spans="1:17">
      <c r="A126" s="87"/>
      <c r="B126" s="87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Q126" s="11"/>
    </row>
    <row r="127" spans="1:17">
      <c r="A127" s="87" t="s">
        <v>142</v>
      </c>
      <c r="B127" s="87"/>
      <c r="C127" s="39">
        <f>C122+C125</f>
        <v>3924292.7150365217</v>
      </c>
      <c r="D127" s="39">
        <f t="shared" ref="D127:O127" si="16">D122+D125</f>
        <v>3616009.6750810873</v>
      </c>
      <c r="E127" s="39">
        <f t="shared" si="16"/>
        <v>3964115.2773955446</v>
      </c>
      <c r="F127" s="39">
        <f t="shared" si="16"/>
        <v>3507515.1259854585</v>
      </c>
      <c r="G127" s="39">
        <f t="shared" si="16"/>
        <v>4000821.0736355754</v>
      </c>
      <c r="H127" s="39">
        <f t="shared" si="16"/>
        <v>4201042.3316642232</v>
      </c>
      <c r="I127" s="39">
        <f t="shared" si="16"/>
        <v>4286456.7061938122</v>
      </c>
      <c r="J127" s="39">
        <f t="shared" si="16"/>
        <v>4298744.241170031</v>
      </c>
      <c r="K127" s="39">
        <f t="shared" si="16"/>
        <v>4203834.2760059899</v>
      </c>
      <c r="L127" s="39">
        <f t="shared" si="16"/>
        <v>3946721.6401310069</v>
      </c>
      <c r="M127" s="39">
        <f t="shared" si="16"/>
        <v>3636921.8653062638</v>
      </c>
      <c r="N127" s="39">
        <f t="shared" si="16"/>
        <v>3608047.5464756181</v>
      </c>
      <c r="O127" s="39">
        <f t="shared" si="16"/>
        <v>47194522.474081129</v>
      </c>
      <c r="Q127" s="11"/>
    </row>
    <row r="128" spans="1:17">
      <c r="A128" s="88"/>
      <c r="B128" s="88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Q128" s="11"/>
    </row>
    <row r="129" spans="1:17">
      <c r="A129" s="196" t="s">
        <v>174</v>
      </c>
      <c r="B129" s="202"/>
      <c r="C129" s="194" t="s">
        <v>0</v>
      </c>
      <c r="D129" s="194" t="s">
        <v>1</v>
      </c>
      <c r="E129" s="194" t="s">
        <v>2</v>
      </c>
      <c r="F129" s="194" t="s">
        <v>3</v>
      </c>
      <c r="G129" s="194" t="s">
        <v>4</v>
      </c>
      <c r="H129" s="194" t="s">
        <v>5</v>
      </c>
      <c r="I129" s="194" t="s">
        <v>6</v>
      </c>
      <c r="J129" s="194" t="s">
        <v>7</v>
      </c>
      <c r="K129" s="194" t="s">
        <v>8</v>
      </c>
      <c r="L129" s="194" t="s">
        <v>9</v>
      </c>
      <c r="M129" s="194" t="s">
        <v>10</v>
      </c>
      <c r="N129" s="194" t="s">
        <v>11</v>
      </c>
      <c r="O129" s="195" t="s">
        <v>12</v>
      </c>
    </row>
    <row r="130" spans="1:17">
      <c r="A130" s="89"/>
      <c r="B130" s="89"/>
    </row>
    <row r="131" spans="1:17">
      <c r="A131" s="88" t="s">
        <v>77</v>
      </c>
      <c r="B131" s="209">
        <v>456.21100000000001</v>
      </c>
      <c r="C131" s="39">
        <f>'FMPA Network'!B65</f>
        <v>680478.66</v>
      </c>
      <c r="D131" s="39">
        <f>'FMPA Network'!C65</f>
        <v>634163.55000000005</v>
      </c>
      <c r="E131" s="39">
        <f>'FMPA Network'!D65</f>
        <v>554649.24</v>
      </c>
      <c r="F131" s="39">
        <f>'FMPA Network'!E65</f>
        <v>595944.72</v>
      </c>
      <c r="G131" s="39">
        <f>'FMPA Network'!F65</f>
        <v>672380.79</v>
      </c>
      <c r="H131" s="39">
        <f>'FMPA Network'!G65</f>
        <v>731328.45000000007</v>
      </c>
      <c r="I131" s="39">
        <f>'FMPA Network'!H65</f>
        <v>756590.37</v>
      </c>
      <c r="J131" s="39">
        <f>'FMPA Network'!I65</f>
        <v>769545.69000000018</v>
      </c>
      <c r="K131" s="39">
        <f>'FMPA Network'!J65</f>
        <v>702016.8</v>
      </c>
      <c r="L131" s="39">
        <f>'FMPA Network'!K65</f>
        <v>648737.49</v>
      </c>
      <c r="M131" s="39">
        <f>'FMPA Network'!L65</f>
        <v>580722.06000000006</v>
      </c>
      <c r="N131" s="39">
        <f>'FMPA Network'!M65</f>
        <v>557403.12</v>
      </c>
      <c r="O131" s="39">
        <f>SUM(C131:N131)</f>
        <v>7883960.9400000004</v>
      </c>
    </row>
    <row r="132" spans="1:17">
      <c r="A132" s="88" t="s">
        <v>136</v>
      </c>
      <c r="B132" s="209">
        <v>456.221</v>
      </c>
      <c r="C132" s="39">
        <f>'FMPA Network'!B72</f>
        <v>5452.3887599999998</v>
      </c>
      <c r="D132" s="39">
        <f>'FMPA Network'!C72</f>
        <v>5081.2852999999996</v>
      </c>
      <c r="E132" s="39">
        <f>'FMPA Network'!D72</f>
        <v>4444.1706400000003</v>
      </c>
      <c r="F132" s="39">
        <f>'FMPA Network'!E72</f>
        <v>4775.0539200000003</v>
      </c>
      <c r="G132" s="39">
        <f>'FMPA Network'!F72</f>
        <v>5387.5039399999996</v>
      </c>
      <c r="H132" s="39">
        <f>'FMPA Network'!G72</f>
        <v>5859.8266999999996</v>
      </c>
      <c r="I132" s="39">
        <f>'FMPA Network'!H72</f>
        <v>6062.2398199999998</v>
      </c>
      <c r="J132" s="39">
        <f>'FMPA Network'!I72</f>
        <v>6166.0453400000006</v>
      </c>
      <c r="K132" s="39">
        <f>'FMPA Network'!J72</f>
        <v>5624.9647999999997</v>
      </c>
      <c r="L132" s="39">
        <f>'FMPA Network'!K72</f>
        <v>5198.0601399999996</v>
      </c>
      <c r="M132" s="39">
        <f>'FMPA Network'!L72</f>
        <v>4653.0811599999997</v>
      </c>
      <c r="N132" s="39">
        <f>'FMPA Network'!M72</f>
        <v>4466.23632</v>
      </c>
      <c r="O132" s="39">
        <f>SUM(C132:N132)</f>
        <v>63170.856840000008</v>
      </c>
    </row>
    <row r="133" spans="1:17">
      <c r="A133" s="88" t="s">
        <v>76</v>
      </c>
      <c r="B133" s="209">
        <v>456.22199999999998</v>
      </c>
      <c r="C133" s="39">
        <f>'FMPA Network'!B79</f>
        <v>29958.180000000004</v>
      </c>
      <c r="D133" s="39">
        <f>'FMPA Network'!C79</f>
        <v>27919.15</v>
      </c>
      <c r="E133" s="39">
        <f>'FMPA Network'!D79</f>
        <v>24418.520000000004</v>
      </c>
      <c r="F133" s="39">
        <f>'FMPA Network'!E79</f>
        <v>26236.560000000001</v>
      </c>
      <c r="G133" s="39">
        <f>'FMPA Network'!F79</f>
        <v>29601.670000000002</v>
      </c>
      <c r="H133" s="39">
        <f>'FMPA Network'!G79</f>
        <v>32196.850000000002</v>
      </c>
      <c r="I133" s="39">
        <f>'FMPA Network'!H79</f>
        <v>33309.01</v>
      </c>
      <c r="J133" s="39">
        <f>'FMPA Network'!I79</f>
        <v>33879.37000000001</v>
      </c>
      <c r="K133" s="39">
        <f>'FMPA Network'!J79</f>
        <v>30906.400000000001</v>
      </c>
      <c r="L133" s="39">
        <f>'FMPA Network'!K79</f>
        <v>28560.770000000004</v>
      </c>
      <c r="M133" s="39">
        <f>'FMPA Network'!L79</f>
        <v>25566.38</v>
      </c>
      <c r="N133" s="39">
        <f>'FMPA Network'!M79</f>
        <v>24539.760000000002</v>
      </c>
      <c r="O133" s="39">
        <f>SUM(C133:N133)</f>
        <v>347092.62000000011</v>
      </c>
    </row>
    <row r="134" spans="1:17">
      <c r="A134" s="88" t="s">
        <v>120</v>
      </c>
      <c r="B134" s="209">
        <v>456.21100000000001</v>
      </c>
      <c r="C134" s="39">
        <f>'Vero Beach Network'!B63</f>
        <v>286637.25</v>
      </c>
      <c r="D134" s="39">
        <f>'Vero Beach Network'!C63</f>
        <v>249389.91</v>
      </c>
      <c r="E134" s="39">
        <f>'Vero Beach Network'!D63</f>
        <v>199188.84</v>
      </c>
      <c r="F134" s="39">
        <f>'Vero Beach Network'!E63</f>
        <v>205666.5</v>
      </c>
      <c r="G134" s="39">
        <f>'Vero Beach Network'!F63</f>
        <v>226718.1</v>
      </c>
      <c r="H134" s="39">
        <f>'Vero Beach Network'!G63</f>
        <v>249389.91</v>
      </c>
      <c r="I134" s="39">
        <f>'Vero Beach Network'!H63</f>
        <v>246151.08000000002</v>
      </c>
      <c r="J134" s="39">
        <f>'Vero Beach Network'!I63</f>
        <v>265584.06</v>
      </c>
      <c r="K134" s="39">
        <f>'Vero Beach Network'!J63</f>
        <v>249389.91</v>
      </c>
      <c r="L134" s="39">
        <f>'Vero Beach Network'!K63</f>
        <v>234815.97</v>
      </c>
      <c r="M134" s="39">
        <f>'Vero Beach Network'!L63</f>
        <v>200807.46000000002</v>
      </c>
      <c r="N134" s="39">
        <f>'Vero Beach Network'!M63</f>
        <v>225099.48</v>
      </c>
      <c r="O134" s="39">
        <f t="shared" ref="O134:O172" si="17">SUM(C134:N134)</f>
        <v>2838838.47</v>
      </c>
    </row>
    <row r="135" spans="1:17">
      <c r="A135" s="88" t="s">
        <v>137</v>
      </c>
      <c r="B135" s="209">
        <v>456.221</v>
      </c>
      <c r="C135" s="39">
        <f>'Vero Beach Network'!B70</f>
        <v>2296.7035000000001</v>
      </c>
      <c r="D135" s="39">
        <f>'Vero Beach Network'!C70</f>
        <v>1998.2562599999999</v>
      </c>
      <c r="E135" s="39">
        <f>'Vero Beach Network'!D70</f>
        <v>1596.0162399999999</v>
      </c>
      <c r="F135" s="39">
        <f>'Vero Beach Network'!E70</f>
        <v>1647.9189999999999</v>
      </c>
      <c r="G135" s="39">
        <f>'Vero Beach Network'!F70</f>
        <v>1816.5965999999999</v>
      </c>
      <c r="H135" s="39">
        <f>'Vero Beach Network'!G70</f>
        <v>1998.2562599999999</v>
      </c>
      <c r="I135" s="39">
        <f>'Vero Beach Network'!H70</f>
        <v>1972.3048799999999</v>
      </c>
      <c r="J135" s="39">
        <f>'Vero Beach Network'!I70</f>
        <v>2128.01316</v>
      </c>
      <c r="K135" s="39">
        <f>'Vero Beach Network'!J70</f>
        <v>1998.2562599999999</v>
      </c>
      <c r="L135" s="39">
        <f>'Vero Beach Network'!K70</f>
        <v>1881.4814199999998</v>
      </c>
      <c r="M135" s="39">
        <f>'Vero Beach Network'!L70</f>
        <v>1608.9855599999999</v>
      </c>
      <c r="N135" s="39">
        <f>'Vero Beach Network'!M70</f>
        <v>1803.6272799999999</v>
      </c>
      <c r="O135" s="39">
        <f t="shared" si="17"/>
        <v>22746.416420000001</v>
      </c>
    </row>
    <row r="136" spans="1:17">
      <c r="A136" s="88" t="s">
        <v>121</v>
      </c>
      <c r="B136" s="209">
        <v>456.22199999999998</v>
      </c>
      <c r="C136" s="39">
        <f>'Vero Beach Network'!B77</f>
        <v>18171.72</v>
      </c>
      <c r="D136" s="39">
        <f>'Vero Beach Network'!C77</f>
        <v>15810.379199999999</v>
      </c>
      <c r="E136" s="39">
        <f>'Vero Beach Network'!D77</f>
        <v>12627.8208</v>
      </c>
      <c r="F136" s="39">
        <f>'Vero Beach Network'!E77</f>
        <v>13038.48</v>
      </c>
      <c r="G136" s="39">
        <f>'Vero Beach Network'!F77</f>
        <v>14373.072</v>
      </c>
      <c r="H136" s="39">
        <f>'Vero Beach Network'!G77</f>
        <v>15810.379199999999</v>
      </c>
      <c r="I136" s="39">
        <f>'Vero Beach Network'!H77</f>
        <v>15605.0496</v>
      </c>
      <c r="J136" s="39">
        <f>'Vero Beach Network'!I77</f>
        <v>16837.0272</v>
      </c>
      <c r="K136" s="39">
        <f>'Vero Beach Network'!J77</f>
        <v>15810.379199999999</v>
      </c>
      <c r="L136" s="39">
        <f>'Vero Beach Network'!K77</f>
        <v>14886.446400000001</v>
      </c>
      <c r="M136" s="39">
        <f>'Vero Beach Network'!L77</f>
        <v>12730.4352</v>
      </c>
      <c r="N136" s="39">
        <f>'Vero Beach Network'!M77</f>
        <v>14270.4576</v>
      </c>
      <c r="O136" s="39">
        <f t="shared" si="17"/>
        <v>179971.6464</v>
      </c>
    </row>
    <row r="137" spans="1:17">
      <c r="A137" s="88" t="s">
        <v>78</v>
      </c>
      <c r="B137" s="209">
        <v>456.21100000000001</v>
      </c>
      <c r="C137" s="39">
        <f>'SECI Network'!B65</f>
        <v>844758.98115129909</v>
      </c>
      <c r="D137" s="39">
        <f>'SECI Network'!C65</f>
        <v>692410.57564951607</v>
      </c>
      <c r="E137" s="39">
        <f>'SECI Network'!D65</f>
        <v>617629.54661232803</v>
      </c>
      <c r="F137" s="39">
        <f>'SECI Network'!E65</f>
        <v>584033.00050942437</v>
      </c>
      <c r="G137" s="39">
        <f>'SECI Network'!F65</f>
        <v>662863.95313295978</v>
      </c>
      <c r="H137" s="39">
        <f>'SECI Network'!G65</f>
        <v>717273.86653082015</v>
      </c>
      <c r="I137" s="39">
        <f>'SECI Network'!H65</f>
        <v>711281.59959246055</v>
      </c>
      <c r="J137" s="39">
        <f>'SECI Network'!I65</f>
        <v>709804.18746816099</v>
      </c>
      <c r="K137" s="39">
        <f>'SECI Network'!J65</f>
        <v>717921.85430463578</v>
      </c>
      <c r="L137" s="39">
        <f>'SECI Network'!K65</f>
        <v>622306.39836984209</v>
      </c>
      <c r="M137" s="39">
        <f>'SECI Network'!L65</f>
        <v>601084.79877738154</v>
      </c>
      <c r="N137" s="39">
        <f>'SECI Network'!M65</f>
        <v>651111.07488537952</v>
      </c>
      <c r="O137" s="39">
        <f t="shared" si="17"/>
        <v>8132479.8369842088</v>
      </c>
    </row>
    <row r="138" spans="1:17">
      <c r="A138" s="88" t="s">
        <v>138</v>
      </c>
      <c r="B138" s="209">
        <v>456.221</v>
      </c>
      <c r="C138" s="39">
        <f>'SECI Network'!B70</f>
        <v>6768.6977483443707</v>
      </c>
      <c r="D138" s="39">
        <f>'SECI Network'!C70</f>
        <v>5547.9941721854302</v>
      </c>
      <c r="E138" s="39">
        <f>'SECI Network'!D70</f>
        <v>4948.8052980132443</v>
      </c>
      <c r="F138" s="39">
        <f>'SECI Network'!E70</f>
        <v>4679.6103311258275</v>
      </c>
      <c r="G138" s="39">
        <f>'SECI Network'!F70</f>
        <v>5311.2495364238412</v>
      </c>
      <c r="H138" s="39">
        <f>'SECI Network'!G70</f>
        <v>5747.2132450331119</v>
      </c>
      <c r="I138" s="39">
        <f>'SECI Network'!H70</f>
        <v>5699.199735099337</v>
      </c>
      <c r="J138" s="39">
        <f>'SECI Network'!I70</f>
        <v>5687.3618543046359</v>
      </c>
      <c r="K138" s="39">
        <f>'SECI Network'!J70</f>
        <v>5752.4052980132446</v>
      </c>
      <c r="L138" s="39">
        <f>'SECI Network'!K70</f>
        <v>4986.2789403973511</v>
      </c>
      <c r="M138" s="39">
        <f>'SECI Network'!L70</f>
        <v>4816.2392052980122</v>
      </c>
      <c r="N138" s="39">
        <f>'SECI Network'!M70</f>
        <v>5217.0786754966884</v>
      </c>
      <c r="O138" s="39">
        <f t="shared" si="17"/>
        <v>65162.134039735094</v>
      </c>
    </row>
    <row r="139" spans="1:17">
      <c r="A139" s="88" t="s">
        <v>74</v>
      </c>
      <c r="B139" s="209">
        <v>456.22199999999998</v>
      </c>
      <c r="C139" s="39">
        <f>'SECI Network'!B75</f>
        <v>10625.899133978604</v>
      </c>
      <c r="D139" s="42">
        <f>'SECI Network'!C75</f>
        <v>8709.5669893020877</v>
      </c>
      <c r="E139" s="42">
        <f>'SECI Network'!D75</f>
        <v>7768.9251146204779</v>
      </c>
      <c r="F139" s="39">
        <f>'SECI Network'!E75</f>
        <v>7346.3270504330103</v>
      </c>
      <c r="G139" s="39">
        <f>'SECI Network'!F75</f>
        <v>8337.9113601630161</v>
      </c>
      <c r="H139" s="39">
        <f>'SECI Network'!G75</f>
        <v>9022.3127865511979</v>
      </c>
      <c r="I139" s="39">
        <f>'SECI Network'!H75</f>
        <v>8946.9383596535918</v>
      </c>
      <c r="J139" s="39">
        <f>'SECI Network'!I75</f>
        <v>8928.3545593479375</v>
      </c>
      <c r="K139" s="39">
        <f>'SECI Network'!J75</f>
        <v>9030.4635761589416</v>
      </c>
      <c r="L139" s="39">
        <f>'SECI Network'!K75</f>
        <v>7827.7534386143661</v>
      </c>
      <c r="M139" s="39">
        <f>'SECI Network'!L75</f>
        <v>7560.8150789607735</v>
      </c>
      <c r="N139" s="39">
        <f>'SECI Network'!M75</f>
        <v>8190.0764136525722</v>
      </c>
      <c r="O139" s="39">
        <f t="shared" si="17"/>
        <v>102295.34386143657</v>
      </c>
    </row>
    <row r="140" spans="1:17">
      <c r="A140" s="88" t="s">
        <v>56</v>
      </c>
      <c r="B140" s="209">
        <v>456.22399999999999</v>
      </c>
      <c r="C140" s="39">
        <f>SECI_Regulation_Imbalance!B48</f>
        <v>34557.017868568517</v>
      </c>
      <c r="D140" s="39">
        <f>SECI_Regulation_Imbalance!C48</f>
        <v>28324.818284258785</v>
      </c>
      <c r="E140" s="39">
        <f>SECI_Regulation_Imbalance!D48</f>
        <v>25265.709811512985</v>
      </c>
      <c r="F140" s="39">
        <f>SECI_Regulation_Imbalance!E48</f>
        <v>23891.35751706571</v>
      </c>
      <c r="G140" s="39">
        <f>SECI_Regulation_Imbalance!F48</f>
        <v>27116.13842995415</v>
      </c>
      <c r="H140" s="39">
        <f>SECI_Regulation_Imbalance!G48</f>
        <v>29341.914528782472</v>
      </c>
      <c r="I140" s="39">
        <f>SECI_Regulation_Imbalance!H48</f>
        <v>29096.785586347421</v>
      </c>
      <c r="J140" s="39">
        <f>SECI_Regulation_Imbalance!I48</f>
        <v>29036.348280183392</v>
      </c>
      <c r="K140" s="39">
        <f>SECI_Regulation_Imbalance!J48</f>
        <v>29368.422119205294</v>
      </c>
      <c r="L140" s="39">
        <f>SECI_Regulation_Imbalance!K48</f>
        <v>25457.028345389706</v>
      </c>
      <c r="M140" s="39">
        <f>SECI_Regulation_Imbalance!L48</f>
        <v>24588.904759042278</v>
      </c>
      <c r="N140" s="39">
        <f>SECI_Regulation_Imbalance!M48</f>
        <v>26635.357008660212</v>
      </c>
      <c r="O140" s="39">
        <f t="shared" si="17"/>
        <v>332679.80253897089</v>
      </c>
      <c r="Q140" s="11"/>
    </row>
    <row r="141" spans="1:17">
      <c r="A141" s="88" t="s">
        <v>260</v>
      </c>
      <c r="B141" s="209">
        <v>456.24900000000002</v>
      </c>
      <c r="C141" s="43">
        <f>'Radial Facilities'!B49</f>
        <v>36916.160000000003</v>
      </c>
      <c r="D141" s="43">
        <f>'Radial Facilities'!C49</f>
        <v>20838.830000000002</v>
      </c>
      <c r="E141" s="43">
        <f>'Radial Facilities'!D49</f>
        <v>20838.830000000002</v>
      </c>
      <c r="F141" s="43">
        <f>'Radial Facilities'!E49</f>
        <v>20838.830000000002</v>
      </c>
      <c r="G141" s="43">
        <f>'Radial Facilities'!F49</f>
        <v>20838.830000000002</v>
      </c>
      <c r="H141" s="43">
        <f>'Radial Facilities'!G49</f>
        <v>20838.830000000002</v>
      </c>
      <c r="I141" s="43">
        <f>'Radial Facilities'!H49</f>
        <v>20838.830000000002</v>
      </c>
      <c r="J141" s="43">
        <f>'Radial Facilities'!I49</f>
        <v>20838.830000000002</v>
      </c>
      <c r="K141" s="43">
        <f>'Radial Facilities'!J49</f>
        <v>20838.830000000002</v>
      </c>
      <c r="L141" s="43">
        <f>'Radial Facilities'!K49</f>
        <v>20838.830000000002</v>
      </c>
      <c r="M141" s="43">
        <f>'Radial Facilities'!L49</f>
        <v>20838.830000000002</v>
      </c>
      <c r="N141" s="43">
        <f>'Radial Facilities'!M49</f>
        <v>20838.830000000002</v>
      </c>
      <c r="O141" s="40">
        <f>SUM(C141:N141)</f>
        <v>266143.2900000001</v>
      </c>
      <c r="Q141" s="11"/>
    </row>
    <row r="142" spans="1:17">
      <c r="A142" s="88" t="s">
        <v>124</v>
      </c>
      <c r="B142" s="209">
        <v>456.21100000000001</v>
      </c>
      <c r="C142" s="43">
        <f>'LCEC Network'!B51</f>
        <v>979205.97348210914</v>
      </c>
      <c r="D142" s="43">
        <f>'LCEC Network'!C51</f>
        <v>1183633.8318344825</v>
      </c>
      <c r="E142" s="43">
        <f>'LCEC Network'!D51</f>
        <v>1062564.4337811479</v>
      </c>
      <c r="F142" s="43">
        <f>'LCEC Network'!E51</f>
        <v>979076.64291727066</v>
      </c>
      <c r="G142" s="43">
        <f>'LCEC Network'!F51</f>
        <v>954245.71039465175</v>
      </c>
      <c r="H142" s="43">
        <f>'LCEC Network'!G51</f>
        <v>1107139.4458231418</v>
      </c>
      <c r="I142" s="43">
        <f>'LCEC Network'!H51</f>
        <v>1217697.365363033</v>
      </c>
      <c r="J142" s="43">
        <f>'LCEC Network'!I51</f>
        <v>1184397.406078181</v>
      </c>
      <c r="K142" s="43">
        <f>'LCEC Network'!J51</f>
        <v>1238677.3418478183</v>
      </c>
      <c r="L142" s="43">
        <f>'LCEC Network'!K51</f>
        <v>1063709.5482281453</v>
      </c>
      <c r="M142" s="43">
        <f>'LCEC Network'!L51</f>
        <v>1122969.9913188091</v>
      </c>
      <c r="N142" s="43">
        <f>'LCEC Network'!M51</f>
        <v>923685.8588208704</v>
      </c>
      <c r="O142" s="40">
        <f t="shared" si="17"/>
        <v>13017003.54988966</v>
      </c>
      <c r="Q142" s="11"/>
    </row>
    <row r="143" spans="1:17">
      <c r="A143" s="88" t="s">
        <v>139</v>
      </c>
      <c r="B143" s="209">
        <v>456.221</v>
      </c>
      <c r="C143" s="43">
        <f>'LCEC Network'!B58</f>
        <v>7845.9648441270874</v>
      </c>
      <c r="D143" s="43">
        <f>'LCEC Network'!C58</f>
        <v>9483.9591305479898</v>
      </c>
      <c r="E143" s="43">
        <f>'LCEC Network'!D58</f>
        <v>8513.8810606112093</v>
      </c>
      <c r="F143" s="43">
        <f>'LCEC Network'!E58</f>
        <v>7844.9285728088225</v>
      </c>
      <c r="G143" s="43">
        <f>'LCEC Network'!F58</f>
        <v>7645.9687738540015</v>
      </c>
      <c r="H143" s="43">
        <f>'LCEC Network'!G58</f>
        <v>8871.0418489225322</v>
      </c>
      <c r="I143" s="43">
        <f>'LCEC Network'!H58</f>
        <v>9756.8958708962527</v>
      </c>
      <c r="J143" s="43">
        <f>'LCEC Network'!I58</f>
        <v>9490.0773292050453</v>
      </c>
      <c r="K143" s="43">
        <f>'LCEC Network'!J58</f>
        <v>9924.9995818498155</v>
      </c>
      <c r="L143" s="43">
        <f>'LCEC Network'!K58</f>
        <v>8523.0563801424978</v>
      </c>
      <c r="M143" s="43">
        <f>'LCEC Network'!L58</f>
        <v>8997.8853392463061</v>
      </c>
      <c r="N143" s="43">
        <f>'LCEC Network'!M58</f>
        <v>7401.1055606150239</v>
      </c>
      <c r="O143" s="40">
        <f t="shared" si="17"/>
        <v>104299.76429282659</v>
      </c>
      <c r="Q143" s="11"/>
    </row>
    <row r="144" spans="1:17">
      <c r="A144" s="88" t="s">
        <v>177</v>
      </c>
      <c r="B144" s="209">
        <v>456.21100000000001</v>
      </c>
      <c r="C144" s="43">
        <f>'FKEC Network'!B51</f>
        <v>176745.81549489938</v>
      </c>
      <c r="D144" s="43">
        <f>'FKEC Network'!C51</f>
        <v>177052.56309409605</v>
      </c>
      <c r="E144" s="43">
        <f>'FKEC Network'!D51</f>
        <v>188390.28222283014</v>
      </c>
      <c r="F144" s="43">
        <f>'FKEC Network'!E51</f>
        <v>178776.81820412428</v>
      </c>
      <c r="G144" s="43">
        <f>'FKEC Network'!F51</f>
        <v>212306.88824831211</v>
      </c>
      <c r="H144" s="43">
        <f>'FKEC Network'!G51</f>
        <v>225680.05422529814</v>
      </c>
      <c r="I144" s="43">
        <f>'FKEC Network'!H51</f>
        <v>232259.80207984356</v>
      </c>
      <c r="J144" s="43">
        <f>'FKEC Network'!I51</f>
        <v>251595.84327524205</v>
      </c>
      <c r="K144" s="43">
        <f>'FKEC Network'!J51</f>
        <v>245429.66211712058</v>
      </c>
      <c r="L144" s="43">
        <f>'FKEC Network'!K51</f>
        <v>226419.16173604131</v>
      </c>
      <c r="M144" s="43">
        <f>'FKEC Network'!L51</f>
        <v>216475.10025673741</v>
      </c>
      <c r="N144" s="43">
        <f>'FKEC Network'!M51</f>
        <v>192051.5073776363</v>
      </c>
      <c r="O144" s="40">
        <f t="shared" si="17"/>
        <v>2523183.498332181</v>
      </c>
      <c r="Q144" s="11"/>
    </row>
    <row r="145" spans="1:17">
      <c r="A145" s="88" t="s">
        <v>178</v>
      </c>
      <c r="B145" s="209">
        <v>456.221</v>
      </c>
      <c r="C145" s="43">
        <f>'FKEC Network'!B58</f>
        <v>1416.1897417641624</v>
      </c>
      <c r="D145" s="43">
        <f>'FKEC Network'!C58</f>
        <v>1418.6475810181028</v>
      </c>
      <c r="E145" s="43">
        <f>'FKEC Network'!D58</f>
        <v>1509.4919468672049</v>
      </c>
      <c r="F145" s="43">
        <f>'FKEC Network'!E58</f>
        <v>1432.463310641851</v>
      </c>
      <c r="G145" s="43">
        <f>'FKEC Network'!F58</f>
        <v>1701.1256328827019</v>
      </c>
      <c r="H145" s="43">
        <f>'FKEC Network'!G58</f>
        <v>1808.279176622829</v>
      </c>
      <c r="I145" s="43">
        <f>'FKEC Network'!H58</f>
        <v>1860.9999235831488</v>
      </c>
      <c r="J145" s="43">
        <f>'FKEC Network'!I58</f>
        <v>2015.9314737903039</v>
      </c>
      <c r="K145" s="43">
        <f>'FKEC Network'!J58</f>
        <v>1966.5244624981863</v>
      </c>
      <c r="L145" s="43">
        <f>'FKEC Network'!K58</f>
        <v>1814.2013336585949</v>
      </c>
      <c r="M145" s="43">
        <f>'FKEC Network'!L58</f>
        <v>1734.5237592898329</v>
      </c>
      <c r="N145" s="43">
        <f>'FKEC Network'!M58</f>
        <v>1538.8278012522555</v>
      </c>
      <c r="O145" s="40">
        <f t="shared" si="17"/>
        <v>20217.206143869178</v>
      </c>
      <c r="Q145" s="11"/>
    </row>
    <row r="146" spans="1:17">
      <c r="A146" s="88" t="s">
        <v>191</v>
      </c>
      <c r="B146" s="209">
        <v>456.21100000000001</v>
      </c>
      <c r="C146" s="43">
        <f>'Wauchula Network'!B51</f>
        <v>20670</v>
      </c>
      <c r="D146" s="43">
        <f>'Wauchula Network'!C51</f>
        <v>20670</v>
      </c>
      <c r="E146" s="43">
        <f>'Wauchula Network'!D51</f>
        <v>20670</v>
      </c>
      <c r="F146" s="43">
        <f>'Wauchula Network'!E51</f>
        <v>20670</v>
      </c>
      <c r="G146" s="43">
        <f>'Wauchula Network'!F51</f>
        <v>20670</v>
      </c>
      <c r="H146" s="43">
        <f>'Wauchula Network'!G51</f>
        <v>20670</v>
      </c>
      <c r="I146" s="43">
        <f>'Wauchula Network'!H51</f>
        <v>20670</v>
      </c>
      <c r="J146" s="43">
        <f>'Wauchula Network'!I51</f>
        <v>20670</v>
      </c>
      <c r="K146" s="43">
        <f>'Wauchula Network'!J51</f>
        <v>20670</v>
      </c>
      <c r="L146" s="43">
        <f>'Wauchula Network'!K51</f>
        <v>20670</v>
      </c>
      <c r="M146" s="43">
        <f>'Wauchula Network'!L51</f>
        <v>20670</v>
      </c>
      <c r="N146" s="43">
        <f>'Wauchula Network'!M51</f>
        <v>20670</v>
      </c>
      <c r="O146" s="40">
        <f t="shared" si="17"/>
        <v>248040</v>
      </c>
    </row>
    <row r="147" spans="1:17">
      <c r="A147" s="88" t="s">
        <v>192</v>
      </c>
      <c r="B147" s="209">
        <v>456.221</v>
      </c>
      <c r="C147" s="43">
        <f>'Wauchula Network'!B58</f>
        <v>165.62</v>
      </c>
      <c r="D147" s="43">
        <f>'Wauchula Network'!C58</f>
        <v>165.62</v>
      </c>
      <c r="E147" s="43">
        <f>'Wauchula Network'!D58</f>
        <v>165.62</v>
      </c>
      <c r="F147" s="43">
        <f>'Wauchula Network'!E58</f>
        <v>165.62</v>
      </c>
      <c r="G147" s="43">
        <f>'Wauchula Network'!F58</f>
        <v>165.62</v>
      </c>
      <c r="H147" s="43">
        <f>'Wauchula Network'!G58</f>
        <v>165.62</v>
      </c>
      <c r="I147" s="43">
        <f>'Wauchula Network'!H58</f>
        <v>165.62</v>
      </c>
      <c r="J147" s="43">
        <f>'Wauchula Network'!I58</f>
        <v>165.62</v>
      </c>
      <c r="K147" s="43">
        <f>'Wauchula Network'!J58</f>
        <v>165.62</v>
      </c>
      <c r="L147" s="43">
        <f>'Wauchula Network'!K58</f>
        <v>165.62</v>
      </c>
      <c r="M147" s="43">
        <f>'Wauchula Network'!L58</f>
        <v>165.62</v>
      </c>
      <c r="N147" s="43">
        <f>'Wauchula Network'!M58</f>
        <v>165.62</v>
      </c>
      <c r="O147" s="40">
        <f t="shared" si="17"/>
        <v>1987.4399999999996</v>
      </c>
    </row>
    <row r="148" spans="1:17">
      <c r="A148" s="88" t="s">
        <v>257</v>
      </c>
      <c r="B148" s="209">
        <v>456.21100000000001</v>
      </c>
      <c r="C148" s="43">
        <f>'Blountstown Network'!B50</f>
        <v>14310</v>
      </c>
      <c r="D148" s="43">
        <f>'Blountstown Network'!C50</f>
        <v>14310</v>
      </c>
      <c r="E148" s="43">
        <f>'Blountstown Network'!D50</f>
        <v>14310</v>
      </c>
      <c r="F148" s="43">
        <f>'Blountstown Network'!E50</f>
        <v>14310</v>
      </c>
      <c r="G148" s="43">
        <f>'Blountstown Network'!F50</f>
        <v>14310</v>
      </c>
      <c r="H148" s="43">
        <f>'Blountstown Network'!G50</f>
        <v>14310</v>
      </c>
      <c r="I148" s="43">
        <f>'Blountstown Network'!H50</f>
        <v>14310</v>
      </c>
      <c r="J148" s="43">
        <f>'Blountstown Network'!I50</f>
        <v>14310</v>
      </c>
      <c r="K148" s="43">
        <f>'Blountstown Network'!J50</f>
        <v>14310</v>
      </c>
      <c r="L148" s="43">
        <f>'Blountstown Network'!K50</f>
        <v>14310</v>
      </c>
      <c r="M148" s="43">
        <f>'Blountstown Network'!L50</f>
        <v>14310</v>
      </c>
      <c r="N148" s="43">
        <f>'Blountstown Network'!M50</f>
        <v>14310</v>
      </c>
      <c r="O148" s="40">
        <f t="shared" ref="O148:O154" si="18">SUM(C148:N148)</f>
        <v>171720</v>
      </c>
    </row>
    <row r="149" spans="1:17">
      <c r="A149" s="88" t="s">
        <v>258</v>
      </c>
      <c r="B149" s="209">
        <v>456.221</v>
      </c>
      <c r="C149" s="43">
        <f>'Blountstown Network'!B57</f>
        <v>114.66</v>
      </c>
      <c r="D149" s="43">
        <f>'Blountstown Network'!C57</f>
        <v>114.66</v>
      </c>
      <c r="E149" s="43">
        <f>'Blountstown Network'!D57</f>
        <v>114.66</v>
      </c>
      <c r="F149" s="43">
        <f>'Blountstown Network'!E57</f>
        <v>114.66</v>
      </c>
      <c r="G149" s="43">
        <f>'Blountstown Network'!F57</f>
        <v>114.66</v>
      </c>
      <c r="H149" s="43">
        <f>'Blountstown Network'!G57</f>
        <v>114.66</v>
      </c>
      <c r="I149" s="43">
        <f>'Blountstown Network'!H57</f>
        <v>114.66</v>
      </c>
      <c r="J149" s="43">
        <f>'Blountstown Network'!I57</f>
        <v>114.66</v>
      </c>
      <c r="K149" s="43">
        <f>'Blountstown Network'!J57</f>
        <v>114.66</v>
      </c>
      <c r="L149" s="43">
        <f>'Blountstown Network'!K57</f>
        <v>114.66</v>
      </c>
      <c r="M149" s="43">
        <f>'Blountstown Network'!L57</f>
        <v>114.66</v>
      </c>
      <c r="N149" s="43">
        <f>'Blountstown Network'!M57</f>
        <v>114.66</v>
      </c>
      <c r="O149" s="40">
        <f t="shared" si="18"/>
        <v>1375.92</v>
      </c>
    </row>
    <row r="150" spans="1:17">
      <c r="A150" s="88" t="s">
        <v>285</v>
      </c>
      <c r="B150" s="209">
        <v>456.21100000000001</v>
      </c>
      <c r="C150" s="43">
        <f>'Winter Park Network'!B44</f>
        <v>95400</v>
      </c>
      <c r="D150" s="43">
        <f>'Winter Park Network'!C44</f>
        <v>95400</v>
      </c>
      <c r="E150" s="43">
        <f>'Winter Park Network'!D44</f>
        <v>95400</v>
      </c>
      <c r="F150" s="43">
        <f>'Winter Park Network'!E44</f>
        <v>95400</v>
      </c>
      <c r="G150" s="43">
        <f>'Winter Park Network'!F44</f>
        <v>95400</v>
      </c>
      <c r="H150" s="43">
        <f>'Winter Park Network'!G44</f>
        <v>95400</v>
      </c>
      <c r="I150" s="43">
        <f>'Winter Park Network'!H44</f>
        <v>95400</v>
      </c>
      <c r="J150" s="43">
        <f>'Winter Park Network'!I44</f>
        <v>95400</v>
      </c>
      <c r="K150" s="43">
        <f>'Winter Park Network'!J44</f>
        <v>95400</v>
      </c>
      <c r="L150" s="43">
        <f>'Winter Park Network'!K44</f>
        <v>95400</v>
      </c>
      <c r="M150" s="43">
        <f>'Winter Park Network'!L44</f>
        <v>95400</v>
      </c>
      <c r="N150" s="43">
        <f>'Winter Park Network'!M44</f>
        <v>95400</v>
      </c>
      <c r="O150" s="40">
        <f t="shared" si="18"/>
        <v>1144800</v>
      </c>
    </row>
    <row r="151" spans="1:17">
      <c r="A151" s="88" t="s">
        <v>416</v>
      </c>
      <c r="B151" s="209">
        <v>456.221</v>
      </c>
      <c r="C151" s="43">
        <f>'Winter Park Network'!B51</f>
        <v>764.4</v>
      </c>
      <c r="D151" s="43">
        <f>'Winter Park Network'!C51</f>
        <v>764.4</v>
      </c>
      <c r="E151" s="43">
        <f>'Winter Park Network'!D51</f>
        <v>764.4</v>
      </c>
      <c r="F151" s="43">
        <f>'Winter Park Network'!E51</f>
        <v>764.4</v>
      </c>
      <c r="G151" s="43">
        <f>'Winter Park Network'!F51</f>
        <v>764.4</v>
      </c>
      <c r="H151" s="43">
        <f>'Winter Park Network'!G51</f>
        <v>764.4</v>
      </c>
      <c r="I151" s="43">
        <f>'Winter Park Network'!H51</f>
        <v>764.4</v>
      </c>
      <c r="J151" s="43">
        <f>'Winter Park Network'!I51</f>
        <v>764.4</v>
      </c>
      <c r="K151" s="43">
        <f>'Winter Park Network'!J51</f>
        <v>764.4</v>
      </c>
      <c r="L151" s="43">
        <f>'Winter Park Network'!K51</f>
        <v>764.4</v>
      </c>
      <c r="M151" s="43">
        <f>'Winter Park Network'!L51</f>
        <v>764.4</v>
      </c>
      <c r="N151" s="43">
        <f>'Winter Park Network'!M51</f>
        <v>764.4</v>
      </c>
      <c r="O151" s="40">
        <f t="shared" si="18"/>
        <v>9172.7999999999975</v>
      </c>
    </row>
    <row r="152" spans="1:17">
      <c r="A152" s="88" t="s">
        <v>306</v>
      </c>
      <c r="B152" s="209">
        <v>456.21100000000001</v>
      </c>
      <c r="C152" s="43">
        <f>'New Smyrna Network'!B56</f>
        <v>31800</v>
      </c>
      <c r="D152" s="43">
        <f>'New Smyrna Network'!C56</f>
        <v>63600</v>
      </c>
      <c r="E152" s="43">
        <f>'New Smyrna Network'!D56</f>
        <v>63600</v>
      </c>
      <c r="F152" s="43">
        <f>'New Smyrna Network'!E56</f>
        <v>39750</v>
      </c>
      <c r="G152" s="43">
        <f>'New Smyrna Network'!F56</f>
        <v>31800</v>
      </c>
      <c r="H152" s="43">
        <f>'New Smyrna Network'!G56</f>
        <v>47700</v>
      </c>
      <c r="I152" s="43">
        <f>'New Smyrna Network'!H56</f>
        <v>63600</v>
      </c>
      <c r="J152" s="43">
        <f>'New Smyrna Network'!I56</f>
        <v>71550</v>
      </c>
      <c r="K152" s="43">
        <f>'New Smyrna Network'!J56</f>
        <v>71550</v>
      </c>
      <c r="L152" s="43">
        <f>'New Smyrna Network'!K56</f>
        <v>55650</v>
      </c>
      <c r="M152" s="43">
        <f>'New Smyrna Network'!L56</f>
        <v>39750</v>
      </c>
      <c r="N152" s="43">
        <f>'New Smyrna Network'!M56</f>
        <v>31800</v>
      </c>
      <c r="O152" s="40">
        <f t="shared" si="18"/>
        <v>612150</v>
      </c>
    </row>
    <row r="153" spans="1:17">
      <c r="A153" s="88" t="s">
        <v>307</v>
      </c>
      <c r="B153" s="209">
        <v>456.221</v>
      </c>
      <c r="C153" s="43">
        <f>'New Smyrna Network'!B63</f>
        <v>254.79999999999998</v>
      </c>
      <c r="D153" s="43">
        <f>'New Smyrna Network'!C63</f>
        <v>509.59999999999997</v>
      </c>
      <c r="E153" s="43">
        <f>'New Smyrna Network'!D63</f>
        <v>509.59999999999997</v>
      </c>
      <c r="F153" s="43">
        <f>'New Smyrna Network'!E63</f>
        <v>318.5</v>
      </c>
      <c r="G153" s="43">
        <f>'New Smyrna Network'!F63</f>
        <v>254.79999999999998</v>
      </c>
      <c r="H153" s="43">
        <f>'New Smyrna Network'!G63</f>
        <v>382.2</v>
      </c>
      <c r="I153" s="43">
        <f>'New Smyrna Network'!H63</f>
        <v>509.59999999999997</v>
      </c>
      <c r="J153" s="43">
        <f>'New Smyrna Network'!I63</f>
        <v>573.29999999999995</v>
      </c>
      <c r="K153" s="43">
        <f>'New Smyrna Network'!J63</f>
        <v>573.29999999999995</v>
      </c>
      <c r="L153" s="43">
        <f>'New Smyrna Network'!K63</f>
        <v>445.9</v>
      </c>
      <c r="M153" s="43">
        <f>'New Smyrna Network'!L63</f>
        <v>318.5</v>
      </c>
      <c r="N153" s="43">
        <f>'New Smyrna Network'!M63</f>
        <v>254.79999999999998</v>
      </c>
      <c r="O153" s="40">
        <f t="shared" si="18"/>
        <v>4904.8999999999996</v>
      </c>
    </row>
    <row r="154" spans="1:17">
      <c r="A154" s="88" t="s">
        <v>408</v>
      </c>
      <c r="B154" s="209">
        <v>456.22199999999998</v>
      </c>
      <c r="C154" s="43">
        <f>'New Smyrna Network'!B70</f>
        <v>2016</v>
      </c>
      <c r="D154" s="43">
        <f>'New Smyrna Network'!C70</f>
        <v>4032</v>
      </c>
      <c r="E154" s="43">
        <f>'New Smyrna Network'!D70</f>
        <v>4032</v>
      </c>
      <c r="F154" s="43">
        <f>'New Smyrna Network'!E70</f>
        <v>2520</v>
      </c>
      <c r="G154" s="43">
        <f>'New Smyrna Network'!F70</f>
        <v>2016</v>
      </c>
      <c r="H154" s="43">
        <f>'New Smyrna Network'!G70</f>
        <v>3024</v>
      </c>
      <c r="I154" s="43">
        <f>'New Smyrna Network'!H70</f>
        <v>4032</v>
      </c>
      <c r="J154" s="43">
        <f>'New Smyrna Network'!I70</f>
        <v>4536</v>
      </c>
      <c r="K154" s="43">
        <f>'New Smyrna Network'!J70</f>
        <v>4536</v>
      </c>
      <c r="L154" s="43">
        <f>'New Smyrna Network'!K70</f>
        <v>3528</v>
      </c>
      <c r="M154" s="43">
        <f>'New Smyrna Network'!L70</f>
        <v>2520</v>
      </c>
      <c r="N154" s="43">
        <f>'New Smyrna Network'!M70</f>
        <v>2016</v>
      </c>
      <c r="O154" s="40">
        <f t="shared" si="18"/>
        <v>38808</v>
      </c>
    </row>
    <row r="155" spans="1:17">
      <c r="A155" s="88" t="s">
        <v>13</v>
      </c>
      <c r="B155" s="209">
        <v>456.21300000000002</v>
      </c>
      <c r="C155" s="42">
        <v>0</v>
      </c>
      <c r="D155" s="42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f t="shared" si="17"/>
        <v>0</v>
      </c>
    </row>
    <row r="156" spans="1:17">
      <c r="A156" s="445" t="s">
        <v>360</v>
      </c>
      <c r="B156" s="209">
        <v>456.21100000000001</v>
      </c>
      <c r="C156" s="43">
        <f>'Georgia Trans Network'!B57</f>
        <v>29149.47</v>
      </c>
      <c r="D156" s="43">
        <f>'Georgia Trans Network'!C57</f>
        <v>29149.47</v>
      </c>
      <c r="E156" s="43">
        <f>'Georgia Trans Network'!D57</f>
        <v>29149.47</v>
      </c>
      <c r="F156" s="43">
        <f>'Georgia Trans Network'!E57</f>
        <v>29149.47</v>
      </c>
      <c r="G156" s="43">
        <f>'Georgia Trans Network'!F57</f>
        <v>29149.47</v>
      </c>
      <c r="H156" s="43">
        <f>'Georgia Trans Network'!G57</f>
        <v>25020.240000000002</v>
      </c>
      <c r="I156" s="43">
        <f>'Georgia Trans Network'!H57</f>
        <v>25020.240000000002</v>
      </c>
      <c r="J156" s="43">
        <f>'Georgia Trans Network'!I57</f>
        <v>25020.240000000002</v>
      </c>
      <c r="K156" s="43">
        <f>'Georgia Trans Network'!J57</f>
        <v>25020.240000000002</v>
      </c>
      <c r="L156" s="43">
        <f>'Georgia Trans Network'!K57</f>
        <v>29877.690000000002</v>
      </c>
      <c r="M156" s="43">
        <f>'Georgia Trans Network'!L57</f>
        <v>29877.690000000002</v>
      </c>
      <c r="N156" s="43">
        <f>'Georgia Trans Network'!M57</f>
        <v>29877.690000000002</v>
      </c>
      <c r="O156" s="40">
        <f t="shared" si="17"/>
        <v>335461.38</v>
      </c>
    </row>
    <row r="157" spans="1:17">
      <c r="A157" s="445" t="s">
        <v>361</v>
      </c>
      <c r="B157" s="209">
        <v>456.221</v>
      </c>
      <c r="C157" s="43">
        <f>'Georgia Trans Network'!B64</f>
        <v>233.56242</v>
      </c>
      <c r="D157" s="43">
        <f>'Georgia Trans Network'!C64</f>
        <v>233.56242</v>
      </c>
      <c r="E157" s="43">
        <f>'Georgia Trans Network'!D64</f>
        <v>233.56242</v>
      </c>
      <c r="F157" s="43">
        <f>'Georgia Trans Network'!E64</f>
        <v>233.56242</v>
      </c>
      <c r="G157" s="43">
        <f>'Georgia Trans Network'!F64</f>
        <v>233.56242</v>
      </c>
      <c r="H157" s="43">
        <f>'Georgia Trans Network'!G64</f>
        <v>200.47664</v>
      </c>
      <c r="I157" s="43">
        <f>'Georgia Trans Network'!H64</f>
        <v>200.47664</v>
      </c>
      <c r="J157" s="43">
        <f>'Georgia Trans Network'!I64</f>
        <v>200.47664</v>
      </c>
      <c r="K157" s="43">
        <f>'Georgia Trans Network'!J64</f>
        <v>200.47664</v>
      </c>
      <c r="L157" s="43">
        <f>'Georgia Trans Network'!K64</f>
        <v>239.39733999999999</v>
      </c>
      <c r="M157" s="43">
        <f>'Georgia Trans Network'!L64</f>
        <v>239.39733999999999</v>
      </c>
      <c r="N157" s="43">
        <f>'Georgia Trans Network'!M64</f>
        <v>239.39733999999999</v>
      </c>
      <c r="O157" s="40">
        <f t="shared" si="17"/>
        <v>2687.9106800000004</v>
      </c>
    </row>
    <row r="158" spans="1:17">
      <c r="A158" s="445" t="s">
        <v>405</v>
      </c>
      <c r="B158" s="209">
        <v>456.22199999999998</v>
      </c>
      <c r="C158" s="43">
        <f>'Georgia Trans Network'!B71</f>
        <v>1847.9664</v>
      </c>
      <c r="D158" s="43">
        <f>'Georgia Trans Network'!C71</f>
        <v>1847.9664</v>
      </c>
      <c r="E158" s="43">
        <f>'Georgia Trans Network'!D71</f>
        <v>1847.9664</v>
      </c>
      <c r="F158" s="43">
        <f>'Georgia Trans Network'!E71</f>
        <v>1847.9664</v>
      </c>
      <c r="G158" s="43">
        <f>'Georgia Trans Network'!F71</f>
        <v>1847.9664</v>
      </c>
      <c r="H158" s="43">
        <f>'Georgia Trans Network'!G71</f>
        <v>1586.1887999999999</v>
      </c>
      <c r="I158" s="43">
        <f>'Georgia Trans Network'!H71</f>
        <v>1586.1887999999999</v>
      </c>
      <c r="J158" s="43">
        <f>'Georgia Trans Network'!I71</f>
        <v>1586.1887999999999</v>
      </c>
      <c r="K158" s="43">
        <f>'Georgia Trans Network'!J71</f>
        <v>1586.1887999999999</v>
      </c>
      <c r="L158" s="43">
        <f>'Georgia Trans Network'!K71</f>
        <v>1894.1328000000001</v>
      </c>
      <c r="M158" s="43">
        <f>'Georgia Trans Network'!L71</f>
        <v>1894.1328000000001</v>
      </c>
      <c r="N158" s="43">
        <f>'Georgia Trans Network'!M71</f>
        <v>1894.1328000000001</v>
      </c>
      <c r="O158" s="40">
        <f t="shared" si="17"/>
        <v>21266.9856</v>
      </c>
    </row>
    <row r="159" spans="1:17">
      <c r="A159" s="88" t="s">
        <v>310</v>
      </c>
      <c r="B159" s="209">
        <v>456.21100000000001</v>
      </c>
      <c r="C159" s="42">
        <f>'Lake Worth Network Transmission'!B56</f>
        <v>111620.09096370422</v>
      </c>
      <c r="D159" s="42">
        <f>'Lake Worth Network Transmission'!C56</f>
        <v>109000.16644350573</v>
      </c>
      <c r="E159" s="42">
        <f>'Lake Worth Network Transmission'!D56</f>
        <v>113879.9746123753</v>
      </c>
      <c r="F159" s="42">
        <f>'Lake Worth Network Transmission'!E56</f>
        <v>119168.05286252589</v>
      </c>
      <c r="G159" s="42">
        <f>'Lake Worth Network Transmission'!F56</f>
        <v>133331.72167484864</v>
      </c>
      <c r="H159" s="42">
        <f>'Lake Worth Network Transmission'!G56</f>
        <v>140045.47700785709</v>
      </c>
      <c r="I159" s="42">
        <f>'Lake Worth Network Transmission'!H56</f>
        <v>145629.29051652999</v>
      </c>
      <c r="J159" s="42">
        <f>'Lake Worth Network Transmission'!I56</f>
        <v>146479.57348559448</v>
      </c>
      <c r="K159" s="42">
        <f>'Lake Worth Network Transmission'!J56</f>
        <v>141403.66847771002</v>
      </c>
      <c r="L159" s="42">
        <f>'Lake Worth Network Transmission'!K56</f>
        <v>132741.84115780395</v>
      </c>
      <c r="M159" s="42">
        <f>'Lake Worth Network Transmission'!L56</f>
        <v>118382.07550646634</v>
      </c>
      <c r="N159" s="42">
        <f>'Lake Worth Network Transmission'!M56</f>
        <v>112389.99191651247</v>
      </c>
      <c r="O159" s="42">
        <f t="shared" si="17"/>
        <v>1524071.9246254342</v>
      </c>
      <c r="Q159" s="11"/>
    </row>
    <row r="160" spans="1:17">
      <c r="A160" s="88" t="s">
        <v>311</v>
      </c>
      <c r="B160" s="209">
        <v>456.221</v>
      </c>
      <c r="C160" s="42">
        <f>'Lake Worth Network Transmission'!B63</f>
        <v>894.36475401106395</v>
      </c>
      <c r="D160" s="42">
        <f>'Lake Worth Network Transmission'!C63</f>
        <v>873.37240282406469</v>
      </c>
      <c r="E160" s="42">
        <f>'Lake Worth Network Transmission'!D63</f>
        <v>912.47224940984984</v>
      </c>
      <c r="F160" s="42">
        <f>'Lake Worth Network Transmission'!E63</f>
        <v>954.84339211860356</v>
      </c>
      <c r="G160" s="42">
        <f>'Lake Worth Network Transmission'!F63</f>
        <v>1068.3309019733153</v>
      </c>
      <c r="H160" s="42">
        <f>'Lake Worth Network Transmission'!G63</f>
        <v>1122.1253943899994</v>
      </c>
      <c r="I160" s="42">
        <f>'Lake Worth Network Transmission'!H63</f>
        <v>1166.8661391072906</v>
      </c>
      <c r="J160" s="42">
        <f>'Lake Worth Network Transmission'!I63</f>
        <v>1173.679098243065</v>
      </c>
      <c r="K160" s="42">
        <f>'Lake Worth Network Transmission'!J63</f>
        <v>1133.0080103182549</v>
      </c>
      <c r="L160" s="42">
        <f>'Lake Worth Network Transmission'!K63</f>
        <v>1063.6044379562404</v>
      </c>
      <c r="M160" s="42">
        <f>'Lake Worth Network Transmission'!L63</f>
        <v>948.54568676250381</v>
      </c>
      <c r="N160" s="42">
        <f>'Lake Worth Network Transmission'!M63</f>
        <v>900.53364592224443</v>
      </c>
      <c r="O160" s="42">
        <f t="shared" si="17"/>
        <v>12211.746113036497</v>
      </c>
      <c r="Q160" s="11"/>
    </row>
    <row r="161" spans="1:17">
      <c r="A161" s="88" t="s">
        <v>407</v>
      </c>
      <c r="B161" s="209">
        <v>456.22199999999998</v>
      </c>
      <c r="C161" s="42">
        <f>'Lake Worth Network Transmission'!B70</f>
        <v>7076.2925592084184</v>
      </c>
      <c r="D161" s="42">
        <f>'Lake Worth Network Transmission'!C70</f>
        <v>6910.1992311354579</v>
      </c>
      <c r="E161" s="42">
        <f>'Lake Worth Network Transmission'!D70</f>
        <v>7219.5606546713398</v>
      </c>
      <c r="F161" s="42">
        <f>'Lake Worth Network Transmission'!E70</f>
        <v>7554.804860718622</v>
      </c>
      <c r="G161" s="42">
        <f>'Lake Worth Network Transmission'!F70</f>
        <v>8452.7280156130455</v>
      </c>
      <c r="H161" s="42">
        <f>'Lake Worth Network Transmission'!G70</f>
        <v>8878.3547687999962</v>
      </c>
      <c r="I161" s="42">
        <f>'Lake Worth Network Transmission'!H70</f>
        <v>9232.3474742554863</v>
      </c>
      <c r="J161" s="42">
        <f>'Lake Worth Network Transmission'!I70</f>
        <v>9286.2522058791965</v>
      </c>
      <c r="K161" s="42">
        <f>'Lake Worth Network Transmission'!J70</f>
        <v>8964.4589827378422</v>
      </c>
      <c r="L161" s="42">
        <f>'Lake Worth Network Transmission'!K70</f>
        <v>8415.3318167966281</v>
      </c>
      <c r="M161" s="42">
        <f>'Lake Worth Network Transmission'!L70</f>
        <v>7504.9768622967331</v>
      </c>
      <c r="N161" s="42">
        <f>'Lake Worth Network Transmission'!M70</f>
        <v>7125.1013743298463</v>
      </c>
      <c r="O161" s="42">
        <f t="shared" si="17"/>
        <v>96620.408806442603</v>
      </c>
      <c r="Q161" s="11"/>
    </row>
    <row r="162" spans="1:17">
      <c r="A162" s="445" t="s">
        <v>421</v>
      </c>
      <c r="B162" s="209">
        <v>456.21100000000001</v>
      </c>
      <c r="C162" s="42">
        <f>'Homestead Network Transmission'!B56</f>
        <v>28620</v>
      </c>
      <c r="D162" s="42">
        <f>'Homestead Network Transmission'!C56</f>
        <v>9540</v>
      </c>
      <c r="E162" s="42">
        <f>'Homestead Network Transmission'!D56</f>
        <v>0</v>
      </c>
      <c r="F162" s="42">
        <f>'Homestead Network Transmission'!E56</f>
        <v>4770</v>
      </c>
      <c r="G162" s="42">
        <f>'Homestead Network Transmission'!F56</f>
        <v>19080</v>
      </c>
      <c r="H162" s="42">
        <f>'Homestead Network Transmission'!G56</f>
        <v>31800</v>
      </c>
      <c r="I162" s="42">
        <f>'Homestead Network Transmission'!H56</f>
        <v>39750</v>
      </c>
      <c r="J162" s="42">
        <f>'Homestead Network Transmission'!I56</f>
        <v>28620</v>
      </c>
      <c r="K162" s="42">
        <f>'Homestead Network Transmission'!J56</f>
        <v>33390</v>
      </c>
      <c r="L162" s="42">
        <f>'Homestead Network Transmission'!K56</f>
        <v>12720</v>
      </c>
      <c r="M162" s="42">
        <f>'Homestead Network Transmission'!L56</f>
        <v>0</v>
      </c>
      <c r="N162" s="42">
        <f>'Homestead Network Transmission'!M56</f>
        <v>0</v>
      </c>
      <c r="O162" s="42">
        <f t="shared" si="17"/>
        <v>208290</v>
      </c>
      <c r="Q162" s="11"/>
    </row>
    <row r="163" spans="1:17">
      <c r="A163" s="445" t="s">
        <v>422</v>
      </c>
      <c r="B163" s="209">
        <v>456.221</v>
      </c>
      <c r="C163" s="42">
        <f>'Homestead Network Transmission'!B63</f>
        <v>229.32</v>
      </c>
      <c r="D163" s="42">
        <f>'Homestead Network Transmission'!C63</f>
        <v>76.44</v>
      </c>
      <c r="E163" s="42">
        <f>'Homestead Network Transmission'!D63</f>
        <v>0</v>
      </c>
      <c r="F163" s="42">
        <f>'Homestead Network Transmission'!E63</f>
        <v>38.22</v>
      </c>
      <c r="G163" s="42">
        <f>'Homestead Network Transmission'!F63</f>
        <v>152.88</v>
      </c>
      <c r="H163" s="42">
        <f>'Homestead Network Transmission'!G63</f>
        <v>254.79999999999998</v>
      </c>
      <c r="I163" s="42">
        <f>'Homestead Network Transmission'!H63</f>
        <v>318.5</v>
      </c>
      <c r="J163" s="42">
        <f>'Homestead Network Transmission'!I63</f>
        <v>229.32</v>
      </c>
      <c r="K163" s="42">
        <f>'Homestead Network Transmission'!J63</f>
        <v>267.53999999999996</v>
      </c>
      <c r="L163" s="42">
        <f>'Homestead Network Transmission'!K63</f>
        <v>101.92</v>
      </c>
      <c r="M163" s="42">
        <f>'Homestead Network Transmission'!L63</f>
        <v>0</v>
      </c>
      <c r="N163" s="42">
        <f>'Homestead Network Transmission'!M63</f>
        <v>0</v>
      </c>
      <c r="O163" s="42">
        <f t="shared" si="17"/>
        <v>1668.9399999999998</v>
      </c>
      <c r="Q163" s="11"/>
    </row>
    <row r="164" spans="1:17">
      <c r="A164" s="445" t="s">
        <v>423</v>
      </c>
      <c r="B164" s="209">
        <v>456.22199999999998</v>
      </c>
      <c r="C164" s="42">
        <f>'Homestead Network Transmission'!B70</f>
        <v>1814.4</v>
      </c>
      <c r="D164" s="42">
        <f>'Homestead Network Transmission'!C70</f>
        <v>604.79999999999995</v>
      </c>
      <c r="E164" s="42">
        <f>'Homestead Network Transmission'!D70</f>
        <v>0</v>
      </c>
      <c r="F164" s="42">
        <f>'Homestead Network Transmission'!E70</f>
        <v>302.39999999999998</v>
      </c>
      <c r="G164" s="42">
        <f>'Homestead Network Transmission'!F70</f>
        <v>1209.5999999999999</v>
      </c>
      <c r="H164" s="42">
        <f>'Homestead Network Transmission'!G70</f>
        <v>2016</v>
      </c>
      <c r="I164" s="42">
        <f>'Homestead Network Transmission'!H70</f>
        <v>2520</v>
      </c>
      <c r="J164" s="42">
        <f>'Homestead Network Transmission'!I70</f>
        <v>1814.4</v>
      </c>
      <c r="K164" s="42">
        <f>'Homestead Network Transmission'!J70</f>
        <v>2116.8000000000002</v>
      </c>
      <c r="L164" s="42">
        <f>'Homestead Network Transmission'!K70</f>
        <v>806.4</v>
      </c>
      <c r="M164" s="42">
        <f>'Homestead Network Transmission'!L70</f>
        <v>0</v>
      </c>
      <c r="N164" s="42">
        <f>'Homestead Network Transmission'!M70</f>
        <v>0</v>
      </c>
      <c r="O164" s="42">
        <f t="shared" si="17"/>
        <v>13204.800000000001</v>
      </c>
      <c r="Q164" s="11"/>
    </row>
    <row r="165" spans="1:17">
      <c r="A165" s="445" t="s">
        <v>433</v>
      </c>
      <c r="B165" s="209">
        <v>456.21100000000001</v>
      </c>
      <c r="C165" s="42">
        <f>'Quincy Transmission'!B43</f>
        <v>30210</v>
      </c>
      <c r="D165" s="42">
        <f>'Quincy Transmission'!C43</f>
        <v>37801.152900000001</v>
      </c>
      <c r="E165" s="42">
        <f>'Quincy Transmission'!D43</f>
        <v>34605.873</v>
      </c>
      <c r="F165" s="42">
        <f>'Quincy Transmission'!E43</f>
        <v>31031.950500000003</v>
      </c>
      <c r="G165" s="42">
        <f>'Quincy Transmission'!F43</f>
        <v>36658.785600000003</v>
      </c>
      <c r="H165" s="42">
        <f>'Quincy Transmission'!G43</f>
        <v>44015.270400000001</v>
      </c>
      <c r="I165" s="42">
        <f>'Quincy Transmission'!H43</f>
        <v>43510.413600000007</v>
      </c>
      <c r="J165" s="42">
        <f>'Quincy Transmission'!I43</f>
        <v>30210</v>
      </c>
      <c r="K165" s="42">
        <f>'Quincy Transmission'!J43</f>
        <v>40197.934800000003</v>
      </c>
      <c r="L165" s="42">
        <f>'Quincy Transmission'!K43</f>
        <v>35417.25</v>
      </c>
      <c r="M165" s="42">
        <f>'Quincy Transmission'!L43</f>
        <v>40755.595500000003</v>
      </c>
      <c r="N165" s="42">
        <f>'Quincy Transmission'!M43</f>
        <v>36624.012300000002</v>
      </c>
      <c r="O165" s="42">
        <f t="shared" si="17"/>
        <v>441038.23859999998</v>
      </c>
      <c r="Q165" s="11"/>
    </row>
    <row r="166" spans="1:17">
      <c r="A166" s="445" t="s">
        <v>434</v>
      </c>
      <c r="B166" s="209">
        <v>456.221</v>
      </c>
      <c r="C166" s="42">
        <f>'Quincy Transmission'!B50</f>
        <v>242.06</v>
      </c>
      <c r="D166" s="42">
        <f>'Quincy Transmission'!C50</f>
        <v>302.88470940000002</v>
      </c>
      <c r="E166" s="42">
        <f>'Quincy Transmission'!D50</f>
        <v>277.28227800000002</v>
      </c>
      <c r="F166" s="42">
        <f>'Quincy Transmission'!E50</f>
        <v>248.64594299999999</v>
      </c>
      <c r="G166" s="42">
        <f>'Quincy Transmission'!F50</f>
        <v>293.73140159999997</v>
      </c>
      <c r="H166" s="42">
        <f>'Quincy Transmission'!G50</f>
        <v>352.67581439999998</v>
      </c>
      <c r="I166" s="42">
        <f>'Quincy Transmission'!H50</f>
        <v>348.63060960000001</v>
      </c>
      <c r="J166" s="42">
        <f>'Quincy Transmission'!I50</f>
        <v>242.06</v>
      </c>
      <c r="K166" s="42">
        <f>'Quincy Transmission'!J50</f>
        <v>322.08911280000001</v>
      </c>
      <c r="L166" s="42">
        <f>'Quincy Transmission'!K50</f>
        <v>283.7835</v>
      </c>
      <c r="M166" s="42">
        <f>'Quincy Transmission'!L50</f>
        <v>326.557413</v>
      </c>
      <c r="N166" s="42">
        <f>'Quincy Transmission'!M50</f>
        <v>293.45277779999998</v>
      </c>
      <c r="O166" s="42">
        <f t="shared" si="17"/>
        <v>3533.8535595999997</v>
      </c>
      <c r="Q166" s="11"/>
    </row>
    <row r="167" spans="1:17">
      <c r="A167" s="88" t="s">
        <v>14</v>
      </c>
      <c r="B167" s="209">
        <v>456.21100000000001</v>
      </c>
      <c r="C167" s="39">
        <f>'TSAS Demand Revenues (7)'!B204</f>
        <v>728309.04</v>
      </c>
      <c r="D167" s="39">
        <f>'TSAS Demand Revenues (7)'!C204</f>
        <v>728309.04</v>
      </c>
      <c r="E167" s="39">
        <f>'TSAS Demand Revenues (7)'!D204</f>
        <v>473909.04000000004</v>
      </c>
      <c r="F167" s="39">
        <f>'TSAS Demand Revenues (7)'!E204</f>
        <v>473909.04000000004</v>
      </c>
      <c r="G167" s="39">
        <f>'TSAS Demand Revenues (7)'!F204</f>
        <v>473909.04000000004</v>
      </c>
      <c r="H167" s="39">
        <f>'TSAS Demand Revenues (7)'!G204</f>
        <v>473909.04000000004</v>
      </c>
      <c r="I167" s="39">
        <f>'TSAS Demand Revenues (7)'!H204</f>
        <v>473909.04000000004</v>
      </c>
      <c r="J167" s="39">
        <f>'TSAS Demand Revenues (7)'!I204</f>
        <v>473909.04000000004</v>
      </c>
      <c r="K167" s="39">
        <f>'TSAS Demand Revenues (7)'!J204</f>
        <v>473909.04000000004</v>
      </c>
      <c r="L167" s="39">
        <f>'TSAS Demand Revenues (7)'!K204</f>
        <v>473909.04000000004</v>
      </c>
      <c r="M167" s="39">
        <f>'TSAS Demand Revenues (7)'!L204</f>
        <v>472319.04000000004</v>
      </c>
      <c r="N167" s="39">
        <f>'TSAS Demand Revenues (7)'!M204</f>
        <v>472319.04000000004</v>
      </c>
      <c r="O167" s="42">
        <f t="shared" si="17"/>
        <v>6192528.4800000004</v>
      </c>
    </row>
    <row r="168" spans="1:17">
      <c r="A168" s="88" t="s">
        <v>140</v>
      </c>
      <c r="B168" s="209">
        <v>456.221</v>
      </c>
      <c r="C168" s="39">
        <f>'TSAS Scheduling Revenue (1)'!B206</f>
        <v>5835.6334399999996</v>
      </c>
      <c r="D168" s="39">
        <f>'TSAS Scheduling Revenue (1)'!C206</f>
        <v>5835.6334399999996</v>
      </c>
      <c r="E168" s="39">
        <f>'TSAS Scheduling Revenue (1)'!D206</f>
        <v>3797.23344</v>
      </c>
      <c r="F168" s="39">
        <f>'TSAS Scheduling Revenue (1)'!E206</f>
        <v>3797.23344</v>
      </c>
      <c r="G168" s="39">
        <f>'TSAS Scheduling Revenue (1)'!F206</f>
        <v>3797.23344</v>
      </c>
      <c r="H168" s="39">
        <f>'TSAS Scheduling Revenue (1)'!G206</f>
        <v>3797.23344</v>
      </c>
      <c r="I168" s="39">
        <f>'TSAS Scheduling Revenue (1)'!H206</f>
        <v>3797.23344</v>
      </c>
      <c r="J168" s="39">
        <f>'TSAS Scheduling Revenue (1)'!I206</f>
        <v>3797.23344</v>
      </c>
      <c r="K168" s="39">
        <f>'TSAS Scheduling Revenue (1)'!J206</f>
        <v>3797.23344</v>
      </c>
      <c r="L168" s="39">
        <f>'TSAS Scheduling Revenue (1)'!K206</f>
        <v>3797.23344</v>
      </c>
      <c r="M168" s="39">
        <f>'TSAS Scheduling Revenue (1)'!L206</f>
        <v>3784.4934400000002</v>
      </c>
      <c r="N168" s="39">
        <f>'TSAS Scheduling Revenue (1)'!M206</f>
        <v>3784.4934400000002</v>
      </c>
      <c r="O168" s="42">
        <f t="shared" si="17"/>
        <v>49618.121279999992</v>
      </c>
    </row>
    <row r="169" spans="1:17">
      <c r="A169" s="88" t="s">
        <v>75</v>
      </c>
      <c r="B169" s="209">
        <v>456.22199999999998</v>
      </c>
      <c r="C169" s="39">
        <f>'TSAS Reactive Revenues (2)'!B205</f>
        <v>45030.720000000001</v>
      </c>
      <c r="D169" s="39">
        <f>'TSAS Reactive Revenues (2)'!C205</f>
        <v>45030.720000000001</v>
      </c>
      <c r="E169" s="39">
        <f>'TSAS Reactive Revenues (2)'!D205</f>
        <v>28902.720000000001</v>
      </c>
      <c r="F169" s="39">
        <f>'TSAS Reactive Revenues (2)'!E205</f>
        <v>28902.720000000001</v>
      </c>
      <c r="G169" s="39">
        <f>'TSAS Reactive Revenues (2)'!F205</f>
        <v>28902.720000000001</v>
      </c>
      <c r="H169" s="39">
        <f>'TSAS Reactive Revenues (2)'!G205</f>
        <v>28902.720000000001</v>
      </c>
      <c r="I169" s="39">
        <f>'TSAS Reactive Revenues (2)'!H205</f>
        <v>28902.720000000001</v>
      </c>
      <c r="J169" s="39">
        <f>'TSAS Reactive Revenues (2)'!I205</f>
        <v>28902.720000000001</v>
      </c>
      <c r="K169" s="39">
        <f>'TSAS Reactive Revenues (2)'!J205</f>
        <v>28902.720000000001</v>
      </c>
      <c r="L169" s="39">
        <f>'TSAS Reactive Revenues (2)'!K205</f>
        <v>28902.720000000001</v>
      </c>
      <c r="M169" s="39">
        <f>'TSAS Reactive Revenues (2)'!L205</f>
        <v>28801.919999999998</v>
      </c>
      <c r="N169" s="39">
        <f>'TSAS Reactive Revenues (2)'!M205</f>
        <v>28801.919999999998</v>
      </c>
      <c r="O169" s="42">
        <f t="shared" si="17"/>
        <v>378887.03999999992</v>
      </c>
    </row>
    <row r="170" spans="1:17">
      <c r="A170" s="88" t="s">
        <v>119</v>
      </c>
      <c r="B170" s="209">
        <v>456.14499999999998</v>
      </c>
      <c r="C170" s="39">
        <f>Dynamic_Scheduling!B16</f>
        <v>7200</v>
      </c>
      <c r="D170" s="39">
        <f>Dynamic_Scheduling!C16</f>
        <v>7200</v>
      </c>
      <c r="E170" s="39">
        <f>Dynamic_Scheduling!D16</f>
        <v>7200</v>
      </c>
      <c r="F170" s="39">
        <f>Dynamic_Scheduling!E16</f>
        <v>7200</v>
      </c>
      <c r="G170" s="39">
        <f>Dynamic_Scheduling!F16</f>
        <v>7200</v>
      </c>
      <c r="H170" s="39">
        <f>Dynamic_Scheduling!G16</f>
        <v>7200</v>
      </c>
      <c r="I170" s="39">
        <f>Dynamic_Scheduling!H16</f>
        <v>7200</v>
      </c>
      <c r="J170" s="39">
        <f>Dynamic_Scheduling!I16</f>
        <v>7200</v>
      </c>
      <c r="K170" s="39">
        <f>Dynamic_Scheduling!J16</f>
        <v>7200</v>
      </c>
      <c r="L170" s="39">
        <f>Dynamic_Scheduling!K16</f>
        <v>7200</v>
      </c>
      <c r="M170" s="39">
        <f>Dynamic_Scheduling!L16</f>
        <v>7200</v>
      </c>
      <c r="N170" s="39">
        <f>Dynamic_Scheduling!M16</f>
        <v>7200</v>
      </c>
      <c r="O170" s="42">
        <f t="shared" si="17"/>
        <v>86400</v>
      </c>
    </row>
    <row r="171" spans="1:17">
      <c r="A171" s="88" t="s">
        <v>147</v>
      </c>
      <c r="B171" s="209">
        <v>456.21300000000002</v>
      </c>
      <c r="C171" s="39">
        <f>st_nf!D9</f>
        <v>252959.05</v>
      </c>
      <c r="D171" s="39">
        <f>st_nf!E9</f>
        <v>211139.89</v>
      </c>
      <c r="E171" s="39">
        <f>st_nf!F9</f>
        <v>230869.65</v>
      </c>
      <c r="F171" s="39">
        <f>st_nf!G9</f>
        <v>165524.70000000001</v>
      </c>
      <c r="G171" s="39">
        <f>st_nf!H9</f>
        <v>230869.65</v>
      </c>
      <c r="H171" s="39">
        <f>st_nf!I9</f>
        <v>338831.64</v>
      </c>
      <c r="I171" s="39">
        <f>st_nf!J9</f>
        <v>225520.52</v>
      </c>
      <c r="J171" s="39">
        <f>st_nf!K9</f>
        <v>328491.74</v>
      </c>
      <c r="K171" s="39">
        <f>st_nf!L9</f>
        <v>320710.51</v>
      </c>
      <c r="L171" s="39">
        <f>st_nf!M9</f>
        <v>438157.95</v>
      </c>
      <c r="M171" s="39">
        <f>st_nf!N9</f>
        <v>323720.68</v>
      </c>
      <c r="N171" s="39">
        <f>st_nf!O9</f>
        <v>226700.14</v>
      </c>
      <c r="O171" s="42">
        <f t="shared" si="17"/>
        <v>3293496.1200000006</v>
      </c>
    </row>
    <row r="172" spans="1:17">
      <c r="A172" s="88" t="s">
        <v>148</v>
      </c>
      <c r="B172" s="209">
        <v>456.22300000000001</v>
      </c>
      <c r="C172" s="210">
        <f>st_nf!D10</f>
        <v>31266.38</v>
      </c>
      <c r="D172" s="210">
        <f>st_nf!E10</f>
        <v>33737.19</v>
      </c>
      <c r="E172" s="210">
        <f>st_nf!F10</f>
        <v>33995.410000000003</v>
      </c>
      <c r="F172" s="210">
        <f>st_nf!G10</f>
        <v>34925.39</v>
      </c>
      <c r="G172" s="210">
        <f>st_nf!H10</f>
        <v>33923.370000000003</v>
      </c>
      <c r="H172" s="210">
        <f>st_nf!I10</f>
        <v>16500.57</v>
      </c>
      <c r="I172" s="210">
        <f>st_nf!J10</f>
        <v>25237.65</v>
      </c>
      <c r="J172" s="210">
        <f>st_nf!K10</f>
        <v>31769.99</v>
      </c>
      <c r="K172" s="210">
        <f>st_nf!L10</f>
        <v>41391.03</v>
      </c>
      <c r="L172" s="210">
        <f>st_nf!M10</f>
        <v>29168.31</v>
      </c>
      <c r="M172" s="210">
        <f>st_nf!N10</f>
        <v>28251.96</v>
      </c>
      <c r="N172" s="210">
        <f>st_nf!O10</f>
        <v>31973.599999999999</v>
      </c>
      <c r="O172" s="210">
        <f t="shared" si="17"/>
        <v>372140.85</v>
      </c>
    </row>
    <row r="173" spans="1:17" ht="10.8" thickBot="1">
      <c r="A173" s="88" t="s">
        <v>149</v>
      </c>
      <c r="B173" s="88"/>
      <c r="C173" s="377">
        <f t="shared" ref="C173:O173" si="19">SUM(C131:C172)</f>
        <v>4569869.4322620127</v>
      </c>
      <c r="D173" s="377">
        <f t="shared" si="19"/>
        <v>4488942.0854422729</v>
      </c>
      <c r="E173" s="377">
        <f t="shared" si="19"/>
        <v>3900721.0085823881</v>
      </c>
      <c r="F173" s="377">
        <f t="shared" si="19"/>
        <v>3738801.3911512587</v>
      </c>
      <c r="G173" s="377">
        <f t="shared" si="19"/>
        <v>4026221.7779032374</v>
      </c>
      <c r="H173" s="377">
        <f t="shared" si="19"/>
        <v>4469270.3225906203</v>
      </c>
      <c r="I173" s="377">
        <f t="shared" si="19"/>
        <v>4530544.8680304093</v>
      </c>
      <c r="J173" s="377">
        <f t="shared" si="19"/>
        <v>4642951.4396881331</v>
      </c>
      <c r="K173" s="377">
        <f t="shared" si="19"/>
        <v>4623254.1318308655</v>
      </c>
      <c r="L173" s="377">
        <f t="shared" si="19"/>
        <v>4311707.6592247877</v>
      </c>
      <c r="M173" s="377">
        <f t="shared" si="19"/>
        <v>4073175.7349632904</v>
      </c>
      <c r="N173" s="377">
        <f t="shared" si="19"/>
        <v>3789871.3833381282</v>
      </c>
      <c r="O173" s="377">
        <f t="shared" si="19"/>
        <v>51165331.235007398</v>
      </c>
    </row>
    <row r="174" spans="1:17" ht="10.8" thickTop="1">
      <c r="A174" s="88"/>
      <c r="B174" s="88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</row>
    <row r="175" spans="1:17">
      <c r="A175" s="88"/>
      <c r="B175" s="88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39"/>
    </row>
    <row r="176" spans="1:17">
      <c r="A176" s="88" t="s">
        <v>126</v>
      </c>
      <c r="B176" s="209">
        <v>456.25200000000001</v>
      </c>
      <c r="C176" s="43">
        <f>'SECI-Credit Settlement'!$B$10*(-1)</f>
        <v>-566426.91666666674</v>
      </c>
      <c r="D176" s="43">
        <f>'SECI-Credit Settlement'!$B$10*(-1)</f>
        <v>-566426.91666666674</v>
      </c>
      <c r="E176" s="43">
        <f>'SECI-Credit Settlement'!$B$10*(-1)</f>
        <v>-566426.91666666674</v>
      </c>
      <c r="F176" s="43">
        <f>'SECI-Credit Settlement'!$B$10*(-1)</f>
        <v>-566426.91666666674</v>
      </c>
      <c r="G176" s="43">
        <f>'SECI-Credit Settlement'!$B$10*(-1)</f>
        <v>-566426.91666666674</v>
      </c>
      <c r="H176" s="43">
        <f>'SECI-Credit Settlement'!$B$10*(-1)</f>
        <v>-566426.91666666674</v>
      </c>
      <c r="I176" s="43">
        <f>'SECI-Credit Settlement'!$B$10*(-1)</f>
        <v>-566426.91666666674</v>
      </c>
      <c r="J176" s="43">
        <f>'SECI-Credit Settlement'!$B$10*(-1)</f>
        <v>-566426.91666666674</v>
      </c>
      <c r="K176" s="43">
        <f>'SECI-Credit Settlement'!$B$10*(-1)</f>
        <v>-566426.91666666674</v>
      </c>
      <c r="L176" s="43">
        <f>'SECI-Credit Settlement'!$B$10*(-1)</f>
        <v>-566426.91666666674</v>
      </c>
      <c r="M176" s="43">
        <f>'SECI-Credit Settlement'!$B$10*(-1)</f>
        <v>-566426.91666666674</v>
      </c>
      <c r="N176" s="43">
        <f>'SECI-Credit Settlement'!$B$10*(-1)</f>
        <v>-566426.91666666674</v>
      </c>
      <c r="O176" s="40">
        <f>SUM(C176:N176)</f>
        <v>-6797123.0000000028</v>
      </c>
    </row>
    <row r="177" spans="1:15" s="6" customFormat="1">
      <c r="A177" s="87"/>
      <c r="B177" s="87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</row>
    <row r="178" spans="1:15" s="6" customFormat="1">
      <c r="A178" s="87" t="s">
        <v>175</v>
      </c>
      <c r="B178" s="87"/>
      <c r="C178" s="39">
        <f>C173+C176</f>
        <v>4003442.5155953458</v>
      </c>
      <c r="D178" s="39">
        <f t="shared" ref="D178:O178" si="20">D173+D176</f>
        <v>3922515.168775606</v>
      </c>
      <c r="E178" s="39">
        <f t="shared" si="20"/>
        <v>3334294.0919157211</v>
      </c>
      <c r="F178" s="39">
        <f t="shared" si="20"/>
        <v>3172374.4744845917</v>
      </c>
      <c r="G178" s="39">
        <f t="shared" si="20"/>
        <v>3459794.8612365704</v>
      </c>
      <c r="H178" s="39">
        <f t="shared" si="20"/>
        <v>3902843.4059239533</v>
      </c>
      <c r="I178" s="39">
        <f t="shared" si="20"/>
        <v>3964117.9513637424</v>
      </c>
      <c r="J178" s="39">
        <f t="shared" si="20"/>
        <v>4076524.5230214661</v>
      </c>
      <c r="K178" s="39">
        <f t="shared" si="20"/>
        <v>4056827.2151641985</v>
      </c>
      <c r="L178" s="39">
        <f t="shared" si="20"/>
        <v>3745280.7425581207</v>
      </c>
      <c r="M178" s="39">
        <f t="shared" si="20"/>
        <v>3506748.8182966234</v>
      </c>
      <c r="N178" s="39">
        <f t="shared" si="20"/>
        <v>3223444.4666714612</v>
      </c>
      <c r="O178" s="39">
        <f t="shared" si="20"/>
        <v>44368208.235007398</v>
      </c>
    </row>
    <row r="179" spans="1:15" s="6" customFormat="1">
      <c r="A179" s="89"/>
      <c r="B179" s="89"/>
    </row>
    <row r="180" spans="1:15" s="6" customFormat="1">
      <c r="A180" s="196" t="s">
        <v>202</v>
      </c>
      <c r="B180" s="202"/>
      <c r="C180" s="194" t="s">
        <v>0</v>
      </c>
      <c r="D180" s="194" t="s">
        <v>1</v>
      </c>
      <c r="E180" s="194" t="s">
        <v>2</v>
      </c>
      <c r="F180" s="194" t="s">
        <v>3</v>
      </c>
      <c r="G180" s="194" t="s">
        <v>4</v>
      </c>
      <c r="H180" s="194" t="s">
        <v>5</v>
      </c>
      <c r="I180" s="194" t="s">
        <v>6</v>
      </c>
      <c r="J180" s="194" t="s">
        <v>7</v>
      </c>
      <c r="K180" s="194" t="s">
        <v>8</v>
      </c>
      <c r="L180" s="194" t="s">
        <v>9</v>
      </c>
      <c r="M180" s="194" t="s">
        <v>10</v>
      </c>
      <c r="N180" s="194" t="s">
        <v>11</v>
      </c>
      <c r="O180" s="195" t="s">
        <v>12</v>
      </c>
    </row>
    <row r="181" spans="1:15" s="6" customFormat="1">
      <c r="A181" s="89"/>
      <c r="B181" s="89"/>
    </row>
    <row r="182" spans="1:15" s="6" customFormat="1">
      <c r="A182" s="88" t="s">
        <v>77</v>
      </c>
      <c r="B182" s="209">
        <v>456.21100000000001</v>
      </c>
      <c r="C182" s="39">
        <f>'FMPA Network'!B90</f>
        <v>686307.6</v>
      </c>
      <c r="D182" s="39">
        <f>'FMPA Network'!C90</f>
        <v>639345.36</v>
      </c>
      <c r="E182" s="39">
        <f>'FMPA Network'!D90</f>
        <v>559183.92000000004</v>
      </c>
      <c r="F182" s="39">
        <f>'FMPA Network'!E90</f>
        <v>600803.76</v>
      </c>
      <c r="G182" s="39">
        <f>'FMPA Network'!F90</f>
        <v>677886.96000000008</v>
      </c>
      <c r="H182" s="39">
        <f>'FMPA Network'!G90</f>
        <v>737319.57000000007</v>
      </c>
      <c r="I182" s="39">
        <f>'FMPA Network'!H90</f>
        <v>762905.85000000009</v>
      </c>
      <c r="J182" s="39">
        <f>'FMPA Network'!I90</f>
        <v>775861.17</v>
      </c>
      <c r="K182" s="39">
        <f>'FMPA Network'!J90</f>
        <v>707845.74</v>
      </c>
      <c r="L182" s="39">
        <f>'FMPA Network'!K90</f>
        <v>654081.48</v>
      </c>
      <c r="M182" s="39">
        <f>'FMPA Network'!L90</f>
        <v>585581.1</v>
      </c>
      <c r="N182" s="39">
        <f>'FMPA Network'!M90</f>
        <v>562098.39</v>
      </c>
      <c r="O182" s="39">
        <f>SUM(C182:N182)</f>
        <v>7949220.8999999994</v>
      </c>
    </row>
    <row r="183" spans="1:15" s="6" customFormat="1">
      <c r="A183" s="88" t="s">
        <v>136</v>
      </c>
      <c r="B183" s="209">
        <v>456.221</v>
      </c>
      <c r="C183" s="39">
        <f>'FMPA Network'!B97</f>
        <v>5499.0936000000002</v>
      </c>
      <c r="D183" s="39">
        <f>'FMPA Network'!C97</f>
        <v>5122.8049599999995</v>
      </c>
      <c r="E183" s="39">
        <f>'FMPA Network'!D97</f>
        <v>4480.5051199999998</v>
      </c>
      <c r="F183" s="39">
        <f>'FMPA Network'!E97</f>
        <v>4813.9873600000001</v>
      </c>
      <c r="G183" s="39">
        <f>'FMPA Network'!F97</f>
        <v>5431.6225599999998</v>
      </c>
      <c r="H183" s="39">
        <f>'FMPA Network'!G97</f>
        <v>5907.8310199999996</v>
      </c>
      <c r="I183" s="39">
        <f>'FMPA Network'!H97</f>
        <v>6112.8431</v>
      </c>
      <c r="J183" s="39">
        <f>'FMPA Network'!I97</f>
        <v>6216.6486199999999</v>
      </c>
      <c r="K183" s="39">
        <f>'FMPA Network'!J97</f>
        <v>5671.6696400000001</v>
      </c>
      <c r="L183" s="39">
        <f>'FMPA Network'!K97</f>
        <v>5240.8792800000001</v>
      </c>
      <c r="M183" s="39">
        <f>'FMPA Network'!L97</f>
        <v>4692.0145999999995</v>
      </c>
      <c r="N183" s="39">
        <f>'FMPA Network'!M97</f>
        <v>4503.85754</v>
      </c>
      <c r="O183" s="39">
        <f>SUM(C183:N183)</f>
        <v>63693.757399999995</v>
      </c>
    </row>
    <row r="184" spans="1:15" s="6" customFormat="1">
      <c r="A184" s="88" t="s">
        <v>76</v>
      </c>
      <c r="B184" s="209">
        <v>456.22199999999998</v>
      </c>
      <c r="C184" s="39">
        <f>'FMPA Network'!B104</f>
        <v>30214.800000000003</v>
      </c>
      <c r="D184" s="39">
        <f>'FMPA Network'!C104</f>
        <v>28147.280000000002</v>
      </c>
      <c r="E184" s="39">
        <f>'FMPA Network'!D104</f>
        <v>24618.160000000003</v>
      </c>
      <c r="F184" s="39">
        <f>'FMPA Network'!E104</f>
        <v>26450.480000000003</v>
      </c>
      <c r="G184" s="39">
        <f>'FMPA Network'!F104</f>
        <v>29844.080000000002</v>
      </c>
      <c r="H184" s="39">
        <f>'FMPA Network'!G104</f>
        <v>32460.610000000004</v>
      </c>
      <c r="I184" s="39">
        <f>'FMPA Network'!H104</f>
        <v>33587.050000000003</v>
      </c>
      <c r="J184" s="39">
        <f>'FMPA Network'!I104</f>
        <v>34157.410000000003</v>
      </c>
      <c r="K184" s="39">
        <f>'FMPA Network'!J104</f>
        <v>31163.020000000004</v>
      </c>
      <c r="L184" s="39">
        <f>'FMPA Network'!K104</f>
        <v>28796.040000000005</v>
      </c>
      <c r="M184" s="39">
        <f>'FMPA Network'!L104</f>
        <v>25780.300000000003</v>
      </c>
      <c r="N184" s="39">
        <f>'FMPA Network'!M104</f>
        <v>24746.47</v>
      </c>
      <c r="O184" s="39">
        <f>SUM(C184:N184)</f>
        <v>349965.69999999995</v>
      </c>
    </row>
    <row r="185" spans="1:15" s="6" customFormat="1">
      <c r="A185" s="88" t="s">
        <v>120</v>
      </c>
      <c r="B185" s="209">
        <v>456.21100000000001</v>
      </c>
      <c r="C185" s="39">
        <f>'Vero Beach Network'!B88</f>
        <v>289876.08</v>
      </c>
      <c r="D185" s="39">
        <f>'Vero Beach Network'!C88</f>
        <v>251010.12000000002</v>
      </c>
      <c r="E185" s="39">
        <f>'Vero Beach Network'!D88</f>
        <v>200807.46000000002</v>
      </c>
      <c r="F185" s="39">
        <f>'Vero Beach Network'!E88</f>
        <v>207285.12000000002</v>
      </c>
      <c r="G185" s="39">
        <f>'Vero Beach Network'!F88</f>
        <v>228338.31</v>
      </c>
      <c r="H185" s="39">
        <f>'Vero Beach Network'!G88</f>
        <v>251010.12000000002</v>
      </c>
      <c r="I185" s="39">
        <f>'Vero Beach Network'!H88</f>
        <v>249389.91</v>
      </c>
      <c r="J185" s="39">
        <f>'Vero Beach Network'!I88</f>
        <v>267204.27</v>
      </c>
      <c r="K185" s="39">
        <f>'Vero Beach Network'!J88</f>
        <v>252628.74000000002</v>
      </c>
      <c r="L185" s="39">
        <f>'Vero Beach Network'!K88</f>
        <v>238054.80000000002</v>
      </c>
      <c r="M185" s="39">
        <f>'Vero Beach Network'!L88</f>
        <v>202427.67</v>
      </c>
      <c r="N185" s="39">
        <f>'Vero Beach Network'!M88</f>
        <v>228338.31</v>
      </c>
      <c r="O185" s="39">
        <f t="shared" ref="O185:O222" si="21">SUM(C185:N185)</f>
        <v>2866370.91</v>
      </c>
    </row>
    <row r="186" spans="1:15" s="6" customFormat="1">
      <c r="A186" s="88" t="s">
        <v>137</v>
      </c>
      <c r="B186" s="209">
        <v>456.221</v>
      </c>
      <c r="C186" s="39">
        <f>'Vero Beach Network'!B95</f>
        <v>2322.65488</v>
      </c>
      <c r="D186" s="39">
        <f>'Vero Beach Network'!C95</f>
        <v>2011.2383199999999</v>
      </c>
      <c r="E186" s="39">
        <f>'Vero Beach Network'!D95</f>
        <v>1608.9855599999999</v>
      </c>
      <c r="F186" s="39">
        <f>'Vero Beach Network'!E95</f>
        <v>1660.88832</v>
      </c>
      <c r="G186" s="39">
        <f>'Vero Beach Network'!F95</f>
        <v>1829.5786599999999</v>
      </c>
      <c r="H186" s="39">
        <f>'Vero Beach Network'!G95</f>
        <v>2011.2383199999999</v>
      </c>
      <c r="I186" s="39">
        <f>'Vero Beach Network'!H95</f>
        <v>1998.2562599999999</v>
      </c>
      <c r="J186" s="39">
        <f>'Vero Beach Network'!I95</f>
        <v>2140.9952199999998</v>
      </c>
      <c r="K186" s="39">
        <f>'Vero Beach Network'!J95</f>
        <v>2024.2076399999999</v>
      </c>
      <c r="L186" s="39">
        <f>'Vero Beach Network'!K95</f>
        <v>1907.4328</v>
      </c>
      <c r="M186" s="39">
        <f>'Vero Beach Network'!L95</f>
        <v>1621.9676199999999</v>
      </c>
      <c r="N186" s="39">
        <f>'Vero Beach Network'!M95</f>
        <v>1829.5786599999999</v>
      </c>
      <c r="O186" s="39">
        <f t="shared" si="21"/>
        <v>22967.022259999998</v>
      </c>
    </row>
    <row r="187" spans="1:15" s="6" customFormat="1">
      <c r="A187" s="88" t="s">
        <v>121</v>
      </c>
      <c r="B187" s="209">
        <v>456.22199999999998</v>
      </c>
      <c r="C187" s="39">
        <f>'Vero Beach Network'!B102</f>
        <v>18377.049599999998</v>
      </c>
      <c r="D187" s="39">
        <f>'Vero Beach Network'!C102</f>
        <v>15913.0944</v>
      </c>
      <c r="E187" s="39">
        <f>'Vero Beach Network'!D102</f>
        <v>12730.4352</v>
      </c>
      <c r="F187" s="39">
        <f>'Vero Beach Network'!E102</f>
        <v>13141.0944</v>
      </c>
      <c r="G187" s="39">
        <f>'Vero Beach Network'!F102</f>
        <v>14475.787200000001</v>
      </c>
      <c r="H187" s="39">
        <f>'Vero Beach Network'!G102</f>
        <v>15913.0944</v>
      </c>
      <c r="I187" s="39">
        <f>'Vero Beach Network'!H102</f>
        <v>15810.379199999999</v>
      </c>
      <c r="J187" s="39">
        <f>'Vero Beach Network'!I102</f>
        <v>16939.742399999999</v>
      </c>
      <c r="K187" s="39">
        <f>'Vero Beach Network'!J102</f>
        <v>16015.7088</v>
      </c>
      <c r="L187" s="39">
        <f>'Vero Beach Network'!K102</f>
        <v>15091.776</v>
      </c>
      <c r="M187" s="39">
        <f>'Vero Beach Network'!L102</f>
        <v>12833.1504</v>
      </c>
      <c r="N187" s="39">
        <f>'Vero Beach Network'!M102</f>
        <v>14475.787200000001</v>
      </c>
      <c r="O187" s="39">
        <f t="shared" si="21"/>
        <v>181717.09920000003</v>
      </c>
    </row>
    <row r="188" spans="1:15" s="6" customFormat="1">
      <c r="A188" s="88" t="s">
        <v>78</v>
      </c>
      <c r="B188" s="209">
        <v>456.21100000000001</v>
      </c>
      <c r="C188" s="39">
        <f>'SECI Network'!B89</f>
        <v>860553.6831380541</v>
      </c>
      <c r="D188" s="39">
        <f>'SECI Network'!C89</f>
        <v>683307.96739684162</v>
      </c>
      <c r="E188" s="39">
        <f>'SECI Network'!D89</f>
        <v>628616.17931737134</v>
      </c>
      <c r="F188" s="39">
        <f>'SECI Network'!E89</f>
        <v>594809.03718797758</v>
      </c>
      <c r="G188" s="39">
        <f>'SECI Network'!F89</f>
        <v>673361.35506877233</v>
      </c>
      <c r="H188" s="39">
        <f>'SECI Network'!G89</f>
        <v>728970.04584819148</v>
      </c>
      <c r="I188" s="39">
        <f>'SECI Network'!H89</f>
        <v>723151.11563932756</v>
      </c>
      <c r="J188" s="39">
        <f>'SECI Network'!I89</f>
        <v>721455.00764136517</v>
      </c>
      <c r="K188" s="39">
        <f>'SECI Network'!J89</f>
        <v>729976.04686704034</v>
      </c>
      <c r="L188" s="39">
        <f>'SECI Network'!K89</f>
        <v>633205.55272542033</v>
      </c>
      <c r="M188" s="39">
        <f>'SECI Network'!L89</f>
        <v>610861.31431482418</v>
      </c>
      <c r="N188" s="39">
        <f>'SECI Network'!M89</f>
        <v>661514.51859398885</v>
      </c>
      <c r="O188" s="39">
        <f t="shared" si="21"/>
        <v>8249781.8237391748</v>
      </c>
    </row>
    <row r="189" spans="1:15" s="6" customFormat="1">
      <c r="A189" s="88" t="s">
        <v>138</v>
      </c>
      <c r="B189" s="209">
        <v>456.221</v>
      </c>
      <c r="C189" s="39">
        <f>'SECI Network'!B94</f>
        <v>6895.2540397350995</v>
      </c>
      <c r="D189" s="39">
        <f>'SECI Network'!C94</f>
        <v>5475.0588079470199</v>
      </c>
      <c r="E189" s="39">
        <f>'SECI Network'!D94</f>
        <v>5036.8365562913905</v>
      </c>
      <c r="F189" s="39">
        <f>'SECI Network'!E94</f>
        <v>4765.9541721854303</v>
      </c>
      <c r="G189" s="39">
        <f>'SECI Network'!F94</f>
        <v>5395.3607947019864</v>
      </c>
      <c r="H189" s="39">
        <f>'SECI Network'!G94</f>
        <v>5840.9298013245025</v>
      </c>
      <c r="I189" s="39">
        <f>'SECI Network'!H94</f>
        <v>5794.3051655629142</v>
      </c>
      <c r="J189" s="39">
        <f>'SECI Network'!I94</f>
        <v>5780.7149668874163</v>
      </c>
      <c r="K189" s="39">
        <f>'SECI Network'!J94</f>
        <v>5848.9904635761586</v>
      </c>
      <c r="L189" s="39">
        <f>'SECI Network'!K94</f>
        <v>5073.6092715231789</v>
      </c>
      <c r="M189" s="39">
        <f>'SECI Network'!L94</f>
        <v>4894.5743046357611</v>
      </c>
      <c r="N189" s="39">
        <f>'SECI Network'!M94</f>
        <v>5300.4370860927147</v>
      </c>
      <c r="O189" s="39">
        <f t="shared" si="21"/>
        <v>66102.02543046356</v>
      </c>
    </row>
    <row r="190" spans="1:15" s="6" customFormat="1">
      <c r="A190" s="88" t="s">
        <v>74</v>
      </c>
      <c r="B190" s="209">
        <v>456.22199999999998</v>
      </c>
      <c r="C190" s="39">
        <f>'SECI Network'!B99</f>
        <v>10824.574630667346</v>
      </c>
      <c r="D190" s="39">
        <f>'SECI Network'!C99</f>
        <v>8595.0687722873154</v>
      </c>
      <c r="E190" s="39">
        <f>'SECI Network'!D99</f>
        <v>7907.1217524197655</v>
      </c>
      <c r="F190" s="39">
        <f>'SECI Network'!E99</f>
        <v>7481.874681609781</v>
      </c>
      <c r="G190" s="39">
        <f>'SECI Network'!F99</f>
        <v>8469.954151808457</v>
      </c>
      <c r="H190" s="39">
        <f>'SECI Network'!G99</f>
        <v>9169.4345389709615</v>
      </c>
      <c r="I190" s="39">
        <f>'SECI Network'!H99</f>
        <v>9096.2404482934289</v>
      </c>
      <c r="J190" s="39">
        <f>'SECI Network'!I99</f>
        <v>9074.9057564951599</v>
      </c>
      <c r="K190" s="39">
        <f>'SECI Network'!J99</f>
        <v>9182.0886398369839</v>
      </c>
      <c r="L190" s="39">
        <f>'SECI Network'!K99</f>
        <v>7964.8497198166069</v>
      </c>
      <c r="M190" s="39">
        <f>'SECI Network'!L99</f>
        <v>7683.7901171676003</v>
      </c>
      <c r="N190" s="39">
        <f>'SECI Network'!M99</f>
        <v>8320.9373408048905</v>
      </c>
      <c r="O190" s="39">
        <f t="shared" si="21"/>
        <v>103770.84055017828</v>
      </c>
    </row>
    <row r="191" spans="1:15" s="6" customFormat="1">
      <c r="A191" s="88" t="s">
        <v>56</v>
      </c>
      <c r="B191" s="209">
        <v>456.22399999999999</v>
      </c>
      <c r="C191" s="39">
        <f>SECI_Regulation_Imbalance!B62</f>
        <v>35203.140385124803</v>
      </c>
      <c r="D191" s="39">
        <f>SECI_Regulation_Imbalance!C62</f>
        <v>27952.452907794192</v>
      </c>
      <c r="E191" s="39">
        <f>SECI_Regulation_Imbalance!D62</f>
        <v>25715.146007131938</v>
      </c>
      <c r="F191" s="39">
        <f>SECI_Regulation_Imbalance!E62</f>
        <v>24332.178745797246</v>
      </c>
      <c r="G191" s="39">
        <f>SECI_Regulation_Imbalance!F62</f>
        <v>27545.56139480387</v>
      </c>
      <c r="H191" s="39">
        <f>SECI_Regulation_Imbalance!G62</f>
        <v>29820.376535914413</v>
      </c>
      <c r="I191" s="39">
        <f>SECI_Regulation_Imbalance!H62</f>
        <v>29582.338373917471</v>
      </c>
      <c r="J191" s="39">
        <f>SECI_Regulation_Imbalance!I62</f>
        <v>29512.954755985731</v>
      </c>
      <c r="K191" s="39">
        <f>SECI_Regulation_Imbalance!J62</f>
        <v>29861.529570045845</v>
      </c>
      <c r="L191" s="39">
        <f>SECI_Regulation_Imbalance!K62</f>
        <v>25902.886016301574</v>
      </c>
      <c r="M191" s="39">
        <f>SECI_Regulation_Imbalance!L62</f>
        <v>24988.838029546605</v>
      </c>
      <c r="N191" s="39">
        <f>SECI_Regulation_Imbalance!M62</f>
        <v>27060.936372898621</v>
      </c>
      <c r="O191" s="39">
        <f t="shared" si="21"/>
        <v>337478.33909526229</v>
      </c>
    </row>
    <row r="192" spans="1:15" s="6" customFormat="1">
      <c r="A192" s="88" t="s">
        <v>260</v>
      </c>
      <c r="B192" s="209">
        <v>456.24900000000002</v>
      </c>
      <c r="C192" s="43">
        <f>'Radial Facilities'!B63</f>
        <v>20838.830000000002</v>
      </c>
      <c r="D192" s="43">
        <f>'Radial Facilities'!C63</f>
        <v>20622.16</v>
      </c>
      <c r="E192" s="43">
        <f>'Radial Facilities'!D63</f>
        <v>20622.16</v>
      </c>
      <c r="F192" s="43">
        <f>'Radial Facilities'!E63</f>
        <v>20622.16</v>
      </c>
      <c r="G192" s="43">
        <f>'Radial Facilities'!F63</f>
        <v>20622.16</v>
      </c>
      <c r="H192" s="43">
        <f>'Radial Facilities'!G63</f>
        <v>20622.16</v>
      </c>
      <c r="I192" s="43">
        <f>'Radial Facilities'!H63</f>
        <v>20622.16</v>
      </c>
      <c r="J192" s="43">
        <f>'Radial Facilities'!I63</f>
        <v>20622.16</v>
      </c>
      <c r="K192" s="43">
        <f>'Radial Facilities'!J63</f>
        <v>20622.16</v>
      </c>
      <c r="L192" s="43">
        <f>'Radial Facilities'!K63</f>
        <v>20622.16</v>
      </c>
      <c r="M192" s="43">
        <f>'Radial Facilities'!L63</f>
        <v>20622.16</v>
      </c>
      <c r="N192" s="43">
        <f>'Radial Facilities'!M63</f>
        <v>20622.16</v>
      </c>
      <c r="O192" s="40">
        <f>SUM(C192:N192)</f>
        <v>247682.59000000003</v>
      </c>
    </row>
    <row r="193" spans="1:15" s="6" customFormat="1">
      <c r="A193" s="88" t="s">
        <v>124</v>
      </c>
      <c r="B193" s="209">
        <v>456.21100000000001</v>
      </c>
      <c r="C193" s="43">
        <f>'LCEC Network'!B68</f>
        <v>867619.57021550392</v>
      </c>
      <c r="D193" s="43">
        <f>'LCEC Network'!C68</f>
        <v>1184816.912721721</v>
      </c>
      <c r="E193" s="43">
        <f>'LCEC Network'!D68</f>
        <v>1063623.8247854579</v>
      </c>
      <c r="F193" s="43">
        <f>'LCEC Network'!E68</f>
        <v>980154.1300518089</v>
      </c>
      <c r="G193" s="43">
        <f>'LCEC Network'!F68</f>
        <v>960229.98477907828</v>
      </c>
      <c r="H193" s="43">
        <f>'LCEC Network'!G68</f>
        <v>1112685.1728869586</v>
      </c>
      <c r="I193" s="43">
        <f>'LCEC Network'!H68</f>
        <v>1221966.5257909165</v>
      </c>
      <c r="J193" s="43">
        <f>'LCEC Network'!I68</f>
        <v>1191107.114385304</v>
      </c>
      <c r="K193" s="43">
        <f>'LCEC Network'!J68</f>
        <v>1245726.3264794385</v>
      </c>
      <c r="L193" s="43">
        <f>'LCEC Network'!K68</f>
        <v>1069777.3682947713</v>
      </c>
      <c r="M193" s="43">
        <f>'LCEC Network'!L68</f>
        <v>1126783.8027800731</v>
      </c>
      <c r="N193" s="43">
        <f>'LCEC Network'!M68</f>
        <v>925566.22383386642</v>
      </c>
      <c r="O193" s="40">
        <f t="shared" si="21"/>
        <v>12950056.957004899</v>
      </c>
    </row>
    <row r="194" spans="1:15" s="6" customFormat="1">
      <c r="A194" s="88" t="str">
        <f>A143</f>
        <v xml:space="preserve">   LCEC Network Transmission Service Scheduling Revenues</v>
      </c>
      <c r="B194" s="209">
        <v>456.221</v>
      </c>
      <c r="C194" s="43">
        <f>'LCEC Network'!B75</f>
        <v>6951.8700154374328</v>
      </c>
      <c r="D194" s="43">
        <f>'LCEC Network'!C75</f>
        <v>9493.4386591664934</v>
      </c>
      <c r="E194" s="43">
        <f>'LCEC Network'!D75</f>
        <v>8522.3695143186997</v>
      </c>
      <c r="F194" s="43">
        <f>'LCEC Network'!E75</f>
        <v>7853.5620231824178</v>
      </c>
      <c r="G194" s="43">
        <f>'LCEC Network'!F75</f>
        <v>7693.9182428210424</v>
      </c>
      <c r="H194" s="43">
        <f>'LCEC Network'!G75</f>
        <v>8915.4774230061957</v>
      </c>
      <c r="I194" s="43">
        <f>'LCEC Network'!H75</f>
        <v>9791.1028544504879</v>
      </c>
      <c r="J194" s="43">
        <f>'LCEC Network'!I75</f>
        <v>9543.8393945086609</v>
      </c>
      <c r="K194" s="43">
        <f>'LCEC Network'!J75</f>
        <v>9981.4801253761289</v>
      </c>
      <c r="L194" s="43">
        <f>'LCEC Network'!K75</f>
        <v>8571.6752654562169</v>
      </c>
      <c r="M194" s="43">
        <f>'LCEC Network'!L75</f>
        <v>9028.4438034076302</v>
      </c>
      <c r="N194" s="43">
        <f>'LCEC Network'!M75</f>
        <v>7416.172133109093</v>
      </c>
      <c r="O194" s="40">
        <f t="shared" si="21"/>
        <v>103763.3494542405</v>
      </c>
    </row>
    <row r="195" spans="1:15" s="6" customFormat="1">
      <c r="A195" s="88" t="s">
        <v>177</v>
      </c>
      <c r="B195" s="209">
        <v>456.21100000000001</v>
      </c>
      <c r="C195" s="43">
        <f>'FKEC Network'!B68</f>
        <v>183053.72930234752</v>
      </c>
      <c r="D195" s="43">
        <f>'FKEC Network'!C68</f>
        <v>178721.3945374875</v>
      </c>
      <c r="E195" s="43">
        <f>'FKEC Network'!D68</f>
        <v>190165.97877931414</v>
      </c>
      <c r="F195" s="43">
        <f>'FKEC Network'!E68</f>
        <v>180461.90183327213</v>
      </c>
      <c r="G195" s="43">
        <f>'FKEC Network'!F68</f>
        <v>214308.01381557705</v>
      </c>
      <c r="H195" s="43">
        <f>'FKEC Network'!G68</f>
        <v>227807.23026870456</v>
      </c>
      <c r="I195" s="43">
        <f>'FKEC Network'!H68</f>
        <v>234448.99637318298</v>
      </c>
      <c r="J195" s="43">
        <f>'FKEC Network'!I68</f>
        <v>252394.86626460147</v>
      </c>
      <c r="K195" s="43">
        <f>'FKEC Network'!J68</f>
        <v>247742.99060061914</v>
      </c>
      <c r="L195" s="43">
        <f>'FKEC Network'!K68</f>
        <v>228553.30433125814</v>
      </c>
      <c r="M195" s="43">
        <f>'FKEC Network'!L68</f>
        <v>218515.51383622203</v>
      </c>
      <c r="N195" s="43">
        <f>'FKEC Network'!M68</f>
        <v>193861.71327729442</v>
      </c>
      <c r="O195" s="40">
        <f t="shared" si="21"/>
        <v>2550035.633219881</v>
      </c>
    </row>
    <row r="196" spans="1:15" s="6" customFormat="1">
      <c r="A196" s="88" t="s">
        <v>178</v>
      </c>
      <c r="B196" s="209">
        <v>456.221</v>
      </c>
      <c r="C196" s="43">
        <f>'FKEC Network'!B75</f>
        <v>1466.732397051514</v>
      </c>
      <c r="D196" s="43">
        <f>'FKEC Network'!C75</f>
        <v>1432.0192241557174</v>
      </c>
      <c r="E196" s="43">
        <f>'FKEC Network'!D75</f>
        <v>1523.7198551248189</v>
      </c>
      <c r="F196" s="43">
        <f>'FKEC Network'!E75</f>
        <v>1445.9651756955261</v>
      </c>
      <c r="G196" s="43">
        <f>'FKEC Network'!F75</f>
        <v>1717.1598088116048</v>
      </c>
      <c r="H196" s="43">
        <f>'FKEC Network'!G75</f>
        <v>1825.3233419014439</v>
      </c>
      <c r="I196" s="43">
        <f>'FKEC Network'!H75</f>
        <v>1878.5410149650006</v>
      </c>
      <c r="J196" s="43">
        <f>'FKEC Network'!I75</f>
        <v>2022.3337083088193</v>
      </c>
      <c r="K196" s="43">
        <f>'FKEC Network'!J75</f>
        <v>1985.0601888376652</v>
      </c>
      <c r="L196" s="43">
        <f>'FKEC Network'!K75</f>
        <v>1831.3013189812757</v>
      </c>
      <c r="M196" s="43">
        <f>'FKEC Network'!L75</f>
        <v>1750.8727335053261</v>
      </c>
      <c r="N196" s="43">
        <f>'FKEC Network'!M75</f>
        <v>1553.3322183350508</v>
      </c>
      <c r="O196" s="40">
        <f t="shared" si="21"/>
        <v>20432.360985673764</v>
      </c>
    </row>
    <row r="197" spans="1:15" s="6" customFormat="1">
      <c r="A197" s="88" t="s">
        <v>191</v>
      </c>
      <c r="B197" s="209">
        <v>456.21100000000001</v>
      </c>
      <c r="C197" s="43">
        <f>'Wauchula Network'!B68</f>
        <v>20670</v>
      </c>
      <c r="D197" s="43">
        <f>'Wauchula Network'!C68</f>
        <v>0</v>
      </c>
      <c r="E197" s="43">
        <f>'Wauchula Network'!D68</f>
        <v>0</v>
      </c>
      <c r="F197" s="43">
        <f>'Wauchula Network'!E68</f>
        <v>0</v>
      </c>
      <c r="G197" s="43">
        <f>'Wauchula Network'!F68</f>
        <v>0</v>
      </c>
      <c r="H197" s="43">
        <f>'Wauchula Network'!G68</f>
        <v>0</v>
      </c>
      <c r="I197" s="43">
        <f>'Wauchula Network'!H68</f>
        <v>0</v>
      </c>
      <c r="J197" s="43">
        <f>'Wauchula Network'!I68</f>
        <v>0</v>
      </c>
      <c r="K197" s="43">
        <f>'Wauchula Network'!J68</f>
        <v>0</v>
      </c>
      <c r="L197" s="43">
        <f>'Wauchula Network'!K68</f>
        <v>0</v>
      </c>
      <c r="M197" s="43">
        <f>'Wauchula Network'!L68</f>
        <v>0</v>
      </c>
      <c r="N197" s="43">
        <f>'Wauchula Network'!M68</f>
        <v>0</v>
      </c>
      <c r="O197" s="40">
        <f>SUM(C197:N197)</f>
        <v>20670</v>
      </c>
    </row>
    <row r="198" spans="1:15" s="6" customFormat="1">
      <c r="A198" s="88" t="s">
        <v>192</v>
      </c>
      <c r="B198" s="209">
        <v>456.221</v>
      </c>
      <c r="C198" s="43">
        <f>'Wauchula Network'!B75</f>
        <v>162.61168384879724</v>
      </c>
      <c r="D198" s="43">
        <f>'Wauchula Network'!C75</f>
        <v>0</v>
      </c>
      <c r="E198" s="43">
        <f>'Wauchula Network'!D75</f>
        <v>0</v>
      </c>
      <c r="F198" s="43">
        <f>'Wauchula Network'!E75</f>
        <v>0</v>
      </c>
      <c r="G198" s="43">
        <f>'Wauchula Network'!F75</f>
        <v>0</v>
      </c>
      <c r="H198" s="43">
        <f>'Wauchula Network'!G75</f>
        <v>0</v>
      </c>
      <c r="I198" s="43">
        <f>'Wauchula Network'!H75</f>
        <v>0</v>
      </c>
      <c r="J198" s="43">
        <f>'Wauchula Network'!I75</f>
        <v>0</v>
      </c>
      <c r="K198" s="43">
        <f>'Wauchula Network'!J75</f>
        <v>0</v>
      </c>
      <c r="L198" s="43">
        <f>'Wauchula Network'!K75</f>
        <v>0</v>
      </c>
      <c r="M198" s="43">
        <f>'Wauchula Network'!L75</f>
        <v>0</v>
      </c>
      <c r="N198" s="43">
        <f>'Wauchula Network'!M75</f>
        <v>0</v>
      </c>
      <c r="O198" s="40">
        <f>SUM(C198:N198)</f>
        <v>162.61168384879724</v>
      </c>
    </row>
    <row r="199" spans="1:15" s="6" customFormat="1">
      <c r="A199" s="88" t="s">
        <v>257</v>
      </c>
      <c r="B199" s="209">
        <v>456.21100000000001</v>
      </c>
      <c r="C199" s="43">
        <f>'Blountstown Network'!B67</f>
        <v>14310</v>
      </c>
      <c r="D199" s="43">
        <f>'Blountstown Network'!C67</f>
        <v>0</v>
      </c>
      <c r="E199" s="43">
        <f>'Blountstown Network'!D67</f>
        <v>0</v>
      </c>
      <c r="F199" s="43">
        <f>'Blountstown Network'!E67</f>
        <v>0</v>
      </c>
      <c r="G199" s="43">
        <f>'Blountstown Network'!F67</f>
        <v>0</v>
      </c>
      <c r="H199" s="43">
        <f>'Blountstown Network'!G67</f>
        <v>0</v>
      </c>
      <c r="I199" s="43">
        <f>'Blountstown Network'!H67</f>
        <v>0</v>
      </c>
      <c r="J199" s="43">
        <f>'Blountstown Network'!I67</f>
        <v>0</v>
      </c>
      <c r="K199" s="43">
        <f>'Blountstown Network'!J67</f>
        <v>0</v>
      </c>
      <c r="L199" s="43">
        <f>'Blountstown Network'!K67</f>
        <v>0</v>
      </c>
      <c r="M199" s="43">
        <f>'Blountstown Network'!L67</f>
        <v>0</v>
      </c>
      <c r="N199" s="43">
        <f>'Blountstown Network'!M67</f>
        <v>0</v>
      </c>
      <c r="O199" s="40">
        <f t="shared" ref="O199:O217" si="22">SUM(C199:N199)</f>
        <v>14310</v>
      </c>
    </row>
    <row r="200" spans="1:15" s="6" customFormat="1">
      <c r="A200" s="88" t="s">
        <v>258</v>
      </c>
      <c r="B200" s="209">
        <v>456.221</v>
      </c>
      <c r="C200" s="43">
        <f>'Blountstown Network'!B74</f>
        <v>114.66</v>
      </c>
      <c r="D200" s="43">
        <f>'Blountstown Network'!C74</f>
        <v>0</v>
      </c>
      <c r="E200" s="43">
        <f>'Blountstown Network'!D74</f>
        <v>0</v>
      </c>
      <c r="F200" s="43">
        <f>'Blountstown Network'!E74</f>
        <v>0</v>
      </c>
      <c r="G200" s="43">
        <f>'Blountstown Network'!F74</f>
        <v>0</v>
      </c>
      <c r="H200" s="43">
        <f>'Blountstown Network'!G74</f>
        <v>0</v>
      </c>
      <c r="I200" s="43">
        <f>'Blountstown Network'!H74</f>
        <v>0</v>
      </c>
      <c r="J200" s="43">
        <f>'Blountstown Network'!I74</f>
        <v>0</v>
      </c>
      <c r="K200" s="43">
        <f>'Blountstown Network'!J74</f>
        <v>0</v>
      </c>
      <c r="L200" s="43">
        <f>'Blountstown Network'!K74</f>
        <v>0</v>
      </c>
      <c r="M200" s="43">
        <f>'Blountstown Network'!L74</f>
        <v>0</v>
      </c>
      <c r="N200" s="43">
        <f>'Blountstown Network'!M74</f>
        <v>0</v>
      </c>
      <c r="O200" s="40">
        <f t="shared" si="22"/>
        <v>114.66</v>
      </c>
    </row>
    <row r="201" spans="1:15" s="6" customFormat="1">
      <c r="A201" s="88" t="s">
        <v>285</v>
      </c>
      <c r="B201" s="209">
        <v>456.21100000000001</v>
      </c>
      <c r="C201" s="43">
        <f>'Winter Park Network'!B61</f>
        <v>95400</v>
      </c>
      <c r="D201" s="43">
        <f>'Winter Park Network'!C61</f>
        <v>95400</v>
      </c>
      <c r="E201" s="43">
        <f>'Winter Park Network'!D61</f>
        <v>69905.737275000007</v>
      </c>
      <c r="F201" s="43">
        <f>'Winter Park Network'!E61</f>
        <v>75271.074615000005</v>
      </c>
      <c r="G201" s="43">
        <f>'Winter Park Network'!F61</f>
        <v>103439.09565</v>
      </c>
      <c r="H201" s="43">
        <f>'Winter Park Network'!G61</f>
        <v>106121.76431999999</v>
      </c>
      <c r="I201" s="43">
        <f>'Winter Park Network'!H61</f>
        <v>102097.76131499998</v>
      </c>
      <c r="J201" s="43">
        <f>'Winter Park Network'!I61</f>
        <v>114169.77032999998</v>
      </c>
      <c r="K201" s="43">
        <f>'Winter Park Network'!J61</f>
        <v>95400</v>
      </c>
      <c r="L201" s="43">
        <f>'Winter Park Network'!K61</f>
        <v>96732.423975000012</v>
      </c>
      <c r="M201" s="43">
        <f>'Winter Park Network'!L61</f>
        <v>68564.40294</v>
      </c>
      <c r="N201" s="43">
        <f>'Winter Park Network'!M61</f>
        <v>68564.40294</v>
      </c>
      <c r="O201" s="40">
        <f t="shared" si="22"/>
        <v>1091066.4333599999</v>
      </c>
    </row>
    <row r="202" spans="1:15" s="6" customFormat="1">
      <c r="A202" s="88" t="s">
        <v>416</v>
      </c>
      <c r="B202" s="209">
        <v>456.221</v>
      </c>
      <c r="C202" s="43">
        <f>'Winter Park Network'!B68</f>
        <v>764.4</v>
      </c>
      <c r="D202" s="43">
        <f>'Winter Park Network'!C68</f>
        <v>764.4</v>
      </c>
      <c r="E202" s="43">
        <f>'Winter Park Network'!D68</f>
        <v>560.12521564999997</v>
      </c>
      <c r="F202" s="43">
        <f>'Winter Park Network'!E68</f>
        <v>603.11540288999993</v>
      </c>
      <c r="G202" s="43">
        <f>'Winter Park Network'!F68</f>
        <v>828.81388589999995</v>
      </c>
      <c r="H202" s="43">
        <f>'Winter Park Network'!G68</f>
        <v>850.30897951999987</v>
      </c>
      <c r="I202" s="43">
        <f>'Winter Park Network'!H68</f>
        <v>818.06633908999981</v>
      </c>
      <c r="J202" s="43">
        <f>'Winter Park Network'!I68</f>
        <v>914.79426037999986</v>
      </c>
      <c r="K202" s="43">
        <f>'Winter Park Network'!J68</f>
        <v>764.4</v>
      </c>
      <c r="L202" s="43">
        <f>'Winter Park Network'!K68</f>
        <v>775.07615184999997</v>
      </c>
      <c r="M202" s="43">
        <f>'Winter Park Network'!L68</f>
        <v>549.37766883999996</v>
      </c>
      <c r="N202" s="43">
        <f>'Winter Park Network'!M68</f>
        <v>549.37766883999996</v>
      </c>
      <c r="O202" s="40">
        <f t="shared" si="22"/>
        <v>8742.255572959999</v>
      </c>
    </row>
    <row r="203" spans="1:15" s="6" customFormat="1">
      <c r="A203" s="88" t="s">
        <v>306</v>
      </c>
      <c r="B203" s="209">
        <v>456.21100000000001</v>
      </c>
      <c r="C203" s="43">
        <f>'New Smyrna Network'!B79</f>
        <v>39750</v>
      </c>
      <c r="D203" s="43">
        <f>'New Smyrna Network'!C79</f>
        <v>71550</v>
      </c>
      <c r="E203" s="43">
        <f>'New Smyrna Network'!D79</f>
        <v>71550</v>
      </c>
      <c r="F203" s="43">
        <f>'New Smyrna Network'!E79</f>
        <v>47700</v>
      </c>
      <c r="G203" s="43">
        <f>'New Smyrna Network'!F79</f>
        <v>31800</v>
      </c>
      <c r="H203" s="43">
        <f>'New Smyrna Network'!G79</f>
        <v>47700</v>
      </c>
      <c r="I203" s="43">
        <f>'New Smyrna Network'!H79</f>
        <v>71550</v>
      </c>
      <c r="J203" s="43">
        <f>'New Smyrna Network'!I79</f>
        <v>71550</v>
      </c>
      <c r="K203" s="43">
        <f>'New Smyrna Network'!J79</f>
        <v>71550</v>
      </c>
      <c r="L203" s="43">
        <f>'New Smyrna Network'!K79</f>
        <v>47700</v>
      </c>
      <c r="M203" s="43">
        <f>'New Smyrna Network'!L79</f>
        <v>55650</v>
      </c>
      <c r="N203" s="43">
        <f>'New Smyrna Network'!M79</f>
        <v>0</v>
      </c>
      <c r="O203" s="40">
        <f t="shared" si="22"/>
        <v>628050</v>
      </c>
    </row>
    <row r="204" spans="1:15" s="6" customFormat="1">
      <c r="A204" s="88" t="s">
        <v>307</v>
      </c>
      <c r="B204" s="209">
        <v>456.221</v>
      </c>
      <c r="C204" s="43">
        <f>'New Smyrna Network'!B86</f>
        <v>318.5</v>
      </c>
      <c r="D204" s="43">
        <f>'New Smyrna Network'!C86</f>
        <v>573.29999999999995</v>
      </c>
      <c r="E204" s="43">
        <f>'New Smyrna Network'!D86</f>
        <v>573.29999999999995</v>
      </c>
      <c r="F204" s="43">
        <f>'New Smyrna Network'!E86</f>
        <v>382.2</v>
      </c>
      <c r="G204" s="43">
        <f>'New Smyrna Network'!F86</f>
        <v>254.79999999999998</v>
      </c>
      <c r="H204" s="43">
        <f>'New Smyrna Network'!G86</f>
        <v>382.2</v>
      </c>
      <c r="I204" s="43">
        <f>'New Smyrna Network'!H86</f>
        <v>573.29999999999995</v>
      </c>
      <c r="J204" s="43">
        <f>'New Smyrna Network'!I86</f>
        <v>573.29999999999995</v>
      </c>
      <c r="K204" s="43">
        <f>'New Smyrna Network'!J86</f>
        <v>573.29999999999995</v>
      </c>
      <c r="L204" s="43">
        <f>'New Smyrna Network'!K86</f>
        <v>382.2</v>
      </c>
      <c r="M204" s="43">
        <f>'New Smyrna Network'!L86</f>
        <v>445.9</v>
      </c>
      <c r="N204" s="43">
        <f>'New Smyrna Network'!M86</f>
        <v>0</v>
      </c>
      <c r="O204" s="40">
        <f t="shared" si="22"/>
        <v>5032.2999999999993</v>
      </c>
    </row>
    <row r="205" spans="1:15" s="6" customFormat="1">
      <c r="A205" s="88" t="s">
        <v>408</v>
      </c>
      <c r="B205" s="209">
        <v>456.22199999999998</v>
      </c>
      <c r="C205" s="43">
        <f>'New Smyrna Network'!B93</f>
        <v>2520</v>
      </c>
      <c r="D205" s="43">
        <f>'New Smyrna Network'!C93</f>
        <v>4536</v>
      </c>
      <c r="E205" s="43">
        <f>'New Smyrna Network'!D93</f>
        <v>4536</v>
      </c>
      <c r="F205" s="43">
        <f>'New Smyrna Network'!E93</f>
        <v>3024</v>
      </c>
      <c r="G205" s="43">
        <f>'New Smyrna Network'!F93</f>
        <v>2016</v>
      </c>
      <c r="H205" s="43">
        <f>'New Smyrna Network'!G93</f>
        <v>3024</v>
      </c>
      <c r="I205" s="43">
        <f>'New Smyrna Network'!H93</f>
        <v>4536</v>
      </c>
      <c r="J205" s="43">
        <f>'New Smyrna Network'!I93</f>
        <v>4536</v>
      </c>
      <c r="K205" s="43">
        <f>'New Smyrna Network'!J93</f>
        <v>4536</v>
      </c>
      <c r="L205" s="43">
        <f>'New Smyrna Network'!K93</f>
        <v>3024</v>
      </c>
      <c r="M205" s="43">
        <f>'New Smyrna Network'!L93</f>
        <v>3528</v>
      </c>
      <c r="N205" s="43">
        <f>'New Smyrna Network'!M93</f>
        <v>0</v>
      </c>
      <c r="O205" s="40">
        <f t="shared" si="22"/>
        <v>39816</v>
      </c>
    </row>
    <row r="206" spans="1:15" s="6" customFormat="1">
      <c r="A206" s="88" t="s">
        <v>13</v>
      </c>
      <c r="B206" s="209">
        <v>456.21300000000002</v>
      </c>
      <c r="C206" s="42">
        <v>0</v>
      </c>
      <c r="D206" s="42">
        <v>0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40">
        <f t="shared" si="22"/>
        <v>0</v>
      </c>
    </row>
    <row r="207" spans="1:15" s="6" customFormat="1">
      <c r="A207" s="445" t="s">
        <v>360</v>
      </c>
      <c r="B207" s="209">
        <v>456.21100000000001</v>
      </c>
      <c r="C207" s="43">
        <f>'Georgia Trans Network'!B80</f>
        <v>29877.690000000002</v>
      </c>
      <c r="D207" s="43">
        <f>'Georgia Trans Network'!C80</f>
        <v>29877.690000000002</v>
      </c>
      <c r="E207" s="43">
        <f>'Georgia Trans Network'!D80</f>
        <v>29877.690000000002</v>
      </c>
      <c r="F207" s="43">
        <f>'Georgia Trans Network'!E80</f>
        <v>29877.690000000002</v>
      </c>
      <c r="G207" s="43">
        <f>'Georgia Trans Network'!F80</f>
        <v>29877.690000000002</v>
      </c>
      <c r="H207" s="43">
        <f>'Georgia Trans Network'!G80</f>
        <v>25770.720000000001</v>
      </c>
      <c r="I207" s="43">
        <f>'Georgia Trans Network'!H80</f>
        <v>25770.720000000001</v>
      </c>
      <c r="J207" s="43">
        <f>'Georgia Trans Network'!I80</f>
        <v>25770.720000000001</v>
      </c>
      <c r="K207" s="43">
        <f>'Georgia Trans Network'!J80</f>
        <v>25770.720000000001</v>
      </c>
      <c r="L207" s="43">
        <f>'Georgia Trans Network'!K80</f>
        <v>30624.99</v>
      </c>
      <c r="M207" s="43">
        <f>'Georgia Trans Network'!L80</f>
        <v>30624.99</v>
      </c>
      <c r="N207" s="43">
        <f>'Georgia Trans Network'!M80</f>
        <v>30624.99</v>
      </c>
      <c r="O207" s="40">
        <f t="shared" si="22"/>
        <v>344346.3</v>
      </c>
    </row>
    <row r="208" spans="1:15" s="6" customFormat="1">
      <c r="A208" s="445" t="s">
        <v>361</v>
      </c>
      <c r="B208" s="209">
        <v>456.221</v>
      </c>
      <c r="C208" s="43">
        <f>'Georgia Trans Network'!B87</f>
        <v>239.39733999999999</v>
      </c>
      <c r="D208" s="43">
        <f>'Georgia Trans Network'!C87</f>
        <v>239.39733999999999</v>
      </c>
      <c r="E208" s="43">
        <f>'Georgia Trans Network'!D87</f>
        <v>239.39733999999999</v>
      </c>
      <c r="F208" s="43">
        <f>'Georgia Trans Network'!E87</f>
        <v>239.39733999999999</v>
      </c>
      <c r="G208" s="43">
        <f>'Georgia Trans Network'!F87</f>
        <v>239.39733999999999</v>
      </c>
      <c r="H208" s="43">
        <f>'Georgia Trans Network'!G87</f>
        <v>206.48991999999998</v>
      </c>
      <c r="I208" s="43">
        <f>'Georgia Trans Network'!H87</f>
        <v>206.48991999999998</v>
      </c>
      <c r="J208" s="43">
        <f>'Georgia Trans Network'!I87</f>
        <v>206.48991999999998</v>
      </c>
      <c r="K208" s="43">
        <f>'Georgia Trans Network'!J87</f>
        <v>206.48991999999998</v>
      </c>
      <c r="L208" s="43">
        <f>'Georgia Trans Network'!K87</f>
        <v>245.38513999999998</v>
      </c>
      <c r="M208" s="43">
        <f>'Georgia Trans Network'!L87</f>
        <v>245.38513999999998</v>
      </c>
      <c r="N208" s="43">
        <f>'Georgia Trans Network'!M87</f>
        <v>245.38513999999998</v>
      </c>
      <c r="O208" s="40">
        <f t="shared" si="22"/>
        <v>2759.1017999999995</v>
      </c>
    </row>
    <row r="209" spans="1:17">
      <c r="A209" s="445" t="s">
        <v>405</v>
      </c>
      <c r="B209" s="209">
        <v>456.22199999999998</v>
      </c>
      <c r="C209" s="43">
        <f>'Georgia Trans Network'!B94</f>
        <v>1894.1328000000001</v>
      </c>
      <c r="D209" s="43">
        <f>'Georgia Trans Network'!C94</f>
        <v>1894.1328000000001</v>
      </c>
      <c r="E209" s="43">
        <f>'Georgia Trans Network'!D94</f>
        <v>1894.1328000000001</v>
      </c>
      <c r="F209" s="43">
        <f>'Georgia Trans Network'!E94</f>
        <v>1894.1328000000001</v>
      </c>
      <c r="G209" s="43">
        <f>'Georgia Trans Network'!F94</f>
        <v>1894.1328000000001</v>
      </c>
      <c r="H209" s="43">
        <f>'Georgia Trans Network'!G94</f>
        <v>1633.7664</v>
      </c>
      <c r="I209" s="43">
        <f>'Georgia Trans Network'!H94</f>
        <v>1633.7664</v>
      </c>
      <c r="J209" s="43">
        <f>'Georgia Trans Network'!I94</f>
        <v>1633.7664</v>
      </c>
      <c r="K209" s="43">
        <f>'Georgia Trans Network'!J94</f>
        <v>1633.7664</v>
      </c>
      <c r="L209" s="43">
        <f>'Georgia Trans Network'!K94</f>
        <v>1941.5088000000001</v>
      </c>
      <c r="M209" s="43">
        <f>'Georgia Trans Network'!L94</f>
        <v>1941.5088000000001</v>
      </c>
      <c r="N209" s="43">
        <f>'Georgia Trans Network'!M94</f>
        <v>1941.5088000000001</v>
      </c>
      <c r="O209" s="40">
        <f t="shared" si="22"/>
        <v>21830.256000000001</v>
      </c>
    </row>
    <row r="210" spans="1:17">
      <c r="A210" s="88" t="s">
        <v>310</v>
      </c>
      <c r="B210" s="209">
        <v>456.21100000000001</v>
      </c>
      <c r="C210" s="42">
        <f>'Lake Worth Network Transmission'!B79</f>
        <v>112361.40297620524</v>
      </c>
      <c r="D210" s="42">
        <f>'Lake Worth Network Transmission'!C79</f>
        <v>109738.82696588789</v>
      </c>
      <c r="E210" s="42">
        <f>'Lake Worth Network Transmission'!D79</f>
        <v>114576.203519082</v>
      </c>
      <c r="F210" s="42">
        <f>'Lake Worth Network Transmission'!E79</f>
        <v>119805.36252101908</v>
      </c>
      <c r="G210" s="42">
        <f>'Lake Worth Network Transmission'!F79</f>
        <v>133861.73765706795</v>
      </c>
      <c r="H210" s="42">
        <f>'Lake Worth Network Transmission'!G79</f>
        <v>140541.30532309346</v>
      </c>
      <c r="I210" s="42">
        <f>'Lake Worth Network Transmission'!H79</f>
        <v>146079.10168028538</v>
      </c>
      <c r="J210" s="42">
        <f>'Lake Worth Network Transmission'!I79</f>
        <v>146925.04865256179</v>
      </c>
      <c r="K210" s="42">
        <f>'Lake Worth Network Transmission'!J79</f>
        <v>141843.00681890332</v>
      </c>
      <c r="L210" s="42">
        <f>'Lake Worth Network Transmission'!K79</f>
        <v>133210.886909163</v>
      </c>
      <c r="M210" s="42">
        <f>'Lake Worth Network Transmission'!L79</f>
        <v>118941.83253004502</v>
      </c>
      <c r="N210" s="42">
        <f>'Lake Worth Network Transmission'!M79</f>
        <v>112980.26768671493</v>
      </c>
      <c r="O210" s="42">
        <f t="shared" si="22"/>
        <v>1530864.9832400291</v>
      </c>
      <c r="Q210" s="11"/>
    </row>
    <row r="211" spans="1:17">
      <c r="A211" s="88" t="s">
        <v>311</v>
      </c>
      <c r="B211" s="209">
        <v>456.221</v>
      </c>
      <c r="C211" s="42">
        <f>'Lake Worth Network Transmission'!B86</f>
        <v>900.3045747904747</v>
      </c>
      <c r="D211" s="42">
        <f>'Lake Worth Network Transmission'!C86</f>
        <v>879.2909783304475</v>
      </c>
      <c r="E211" s="42">
        <f>'Lake Worth Network Transmission'!D86</f>
        <v>918.05083825981421</v>
      </c>
      <c r="F211" s="42">
        <f>'Lake Worth Network Transmission'!E86</f>
        <v>959.9498858602409</v>
      </c>
      <c r="G211" s="42">
        <f>'Lake Worth Network Transmission'!F86</f>
        <v>1072.5776966987708</v>
      </c>
      <c r="H211" s="42">
        <f>'Lake Worth Network Transmission'!G86</f>
        <v>1126.0982577460443</v>
      </c>
      <c r="I211" s="42">
        <f>'Lake Worth Network Transmission'!H86</f>
        <v>1170.4702864193937</v>
      </c>
      <c r="J211" s="42">
        <f>'Lake Worth Network Transmission'!I86</f>
        <v>1177.2485030400235</v>
      </c>
      <c r="K211" s="42">
        <f>'Lake Worth Network Transmission'!J86</f>
        <v>1136.5282433162442</v>
      </c>
      <c r="L211" s="42">
        <f>'Lake Worth Network Transmission'!K86</f>
        <v>1067.3627039136709</v>
      </c>
      <c r="M211" s="42">
        <f>'Lake Worth Network Transmission'!L86</f>
        <v>953.03078391998326</v>
      </c>
      <c r="N211" s="42">
        <f>'Lake Worth Network Transmission'!M86</f>
        <v>905.26327693631947</v>
      </c>
      <c r="O211" s="42">
        <f t="shared" si="22"/>
        <v>12266.176029231427</v>
      </c>
      <c r="Q211" s="11"/>
    </row>
    <row r="212" spans="1:17">
      <c r="A212" s="88" t="s">
        <v>407</v>
      </c>
      <c r="B212" s="209">
        <v>456.22199999999998</v>
      </c>
      <c r="C212" s="42">
        <f>'Lake Worth Network Transmission'!B93</f>
        <v>7123.2889433971623</v>
      </c>
      <c r="D212" s="42">
        <f>'Lake Worth Network Transmission'!C93</f>
        <v>6957.0275208562889</v>
      </c>
      <c r="E212" s="42">
        <f>'Lake Worth Network Transmission'!D93</f>
        <v>7263.6989400776511</v>
      </c>
      <c r="F212" s="42">
        <f>'Lake Worth Network Transmission'!E93</f>
        <v>7595.2078881249827</v>
      </c>
      <c r="G212" s="42">
        <f>'Lake Worth Network Transmission'!F93</f>
        <v>8486.3290288254393</v>
      </c>
      <c r="H212" s="42">
        <f>'Lake Worth Network Transmission'!G93</f>
        <v>8909.7884129357353</v>
      </c>
      <c r="I212" s="42">
        <f>'Lake Worth Network Transmission'!H93</f>
        <v>9260.8638046369615</v>
      </c>
      <c r="J212" s="42">
        <f>'Lake Worth Network Transmission'!I93</f>
        <v>9314.4936504265588</v>
      </c>
      <c r="K212" s="42">
        <f>'Lake Worth Network Transmission'!J93</f>
        <v>8992.3113756889652</v>
      </c>
      <c r="L212" s="42">
        <f>'Lake Worth Network Transmission'!K93</f>
        <v>8445.0675474488253</v>
      </c>
      <c r="M212" s="42">
        <f>'Lake Worth Network Transmission'!L93</f>
        <v>7540.4633453009674</v>
      </c>
      <c r="N212" s="42">
        <f>'Lake Worth Network Transmission'!M93</f>
        <v>7162.5226307049461</v>
      </c>
      <c r="O212" s="42">
        <f t="shared" si="22"/>
        <v>97051.063088424489</v>
      </c>
      <c r="Q212" s="11"/>
    </row>
    <row r="213" spans="1:17">
      <c r="A213" s="445" t="s">
        <v>421</v>
      </c>
      <c r="B213" s="209">
        <v>456.21100000000001</v>
      </c>
      <c r="C213" s="42">
        <f>'Homestead Network Transmission'!B79</f>
        <v>33390</v>
      </c>
      <c r="D213" s="42">
        <f>'Homestead Network Transmission'!C79</f>
        <v>9540</v>
      </c>
      <c r="E213" s="42">
        <f>'Homestead Network Transmission'!D79</f>
        <v>0</v>
      </c>
      <c r="F213" s="42">
        <f>'Homestead Network Transmission'!E79</f>
        <v>4770</v>
      </c>
      <c r="G213" s="42">
        <f>'Homestead Network Transmission'!F79</f>
        <v>19080</v>
      </c>
      <c r="H213" s="42">
        <f>'Homestead Network Transmission'!G79</f>
        <v>31800</v>
      </c>
      <c r="I213" s="42">
        <f>'Homestead Network Transmission'!H79</f>
        <v>39750</v>
      </c>
      <c r="J213" s="42">
        <f>'Homestead Network Transmission'!I79</f>
        <v>33390</v>
      </c>
      <c r="K213" s="42">
        <f>'Homestead Network Transmission'!J79</f>
        <v>33390</v>
      </c>
      <c r="L213" s="42">
        <f>'Homestead Network Transmission'!K79</f>
        <v>12720</v>
      </c>
      <c r="M213" s="42">
        <f>'Homestead Network Transmission'!L79</f>
        <v>0</v>
      </c>
      <c r="N213" s="42">
        <f>'Homestead Network Transmission'!M79</f>
        <v>0</v>
      </c>
      <c r="O213" s="42">
        <f t="shared" si="22"/>
        <v>217830</v>
      </c>
      <c r="Q213" s="11"/>
    </row>
    <row r="214" spans="1:17">
      <c r="A214" s="445" t="s">
        <v>422</v>
      </c>
      <c r="B214" s="209">
        <v>456.221</v>
      </c>
      <c r="C214" s="42">
        <f>'Homestead Network Transmission'!B86</f>
        <v>267.53999999999996</v>
      </c>
      <c r="D214" s="42">
        <f>'Homestead Network Transmission'!C86</f>
        <v>76.44</v>
      </c>
      <c r="E214" s="42">
        <f>'Homestead Network Transmission'!D86</f>
        <v>0</v>
      </c>
      <c r="F214" s="42">
        <f>'Homestead Network Transmission'!E86</f>
        <v>38.22</v>
      </c>
      <c r="G214" s="42">
        <f>'Homestead Network Transmission'!F86</f>
        <v>152.88</v>
      </c>
      <c r="H214" s="42">
        <f>'Homestead Network Transmission'!G86</f>
        <v>254.79999999999998</v>
      </c>
      <c r="I214" s="42">
        <f>'Homestead Network Transmission'!H86</f>
        <v>318.5</v>
      </c>
      <c r="J214" s="42">
        <f>'Homestead Network Transmission'!I86</f>
        <v>267.53999999999996</v>
      </c>
      <c r="K214" s="42">
        <f>'Homestead Network Transmission'!J86</f>
        <v>267.53999999999996</v>
      </c>
      <c r="L214" s="42">
        <f>'Homestead Network Transmission'!K86</f>
        <v>101.92</v>
      </c>
      <c r="M214" s="42">
        <f>'Homestead Network Transmission'!L86</f>
        <v>0</v>
      </c>
      <c r="N214" s="42">
        <f>'Homestead Network Transmission'!M86</f>
        <v>0</v>
      </c>
      <c r="O214" s="42">
        <f t="shared" si="22"/>
        <v>1745.3799999999999</v>
      </c>
      <c r="Q214" s="11"/>
    </row>
    <row r="215" spans="1:17">
      <c r="A215" s="445" t="s">
        <v>423</v>
      </c>
      <c r="B215" s="209">
        <v>456.22199999999998</v>
      </c>
      <c r="C215" s="42">
        <f>'Homestead Network Transmission'!B93</f>
        <v>2116.8000000000002</v>
      </c>
      <c r="D215" s="42">
        <f>'Homestead Network Transmission'!C93</f>
        <v>604.79999999999995</v>
      </c>
      <c r="E215" s="42">
        <f>'Homestead Network Transmission'!D93</f>
        <v>0</v>
      </c>
      <c r="F215" s="42">
        <f>'Homestead Network Transmission'!E93</f>
        <v>302.39999999999998</v>
      </c>
      <c r="G215" s="42">
        <f>'Homestead Network Transmission'!F93</f>
        <v>1209.5999999999999</v>
      </c>
      <c r="H215" s="42">
        <f>'Homestead Network Transmission'!G93</f>
        <v>2016</v>
      </c>
      <c r="I215" s="42">
        <f>'Homestead Network Transmission'!H93</f>
        <v>2520</v>
      </c>
      <c r="J215" s="42">
        <f>'Homestead Network Transmission'!I93</f>
        <v>2116.8000000000002</v>
      </c>
      <c r="K215" s="42">
        <f>'Homestead Network Transmission'!J93</f>
        <v>2116.8000000000002</v>
      </c>
      <c r="L215" s="42">
        <f>'Homestead Network Transmission'!K93</f>
        <v>806.4</v>
      </c>
      <c r="M215" s="42">
        <f>'Homestead Network Transmission'!L93</f>
        <v>0</v>
      </c>
      <c r="N215" s="42">
        <f>'Homestead Network Transmission'!M93</f>
        <v>0</v>
      </c>
      <c r="O215" s="42">
        <f t="shared" si="22"/>
        <v>13809.6</v>
      </c>
      <c r="Q215" s="11"/>
    </row>
    <row r="216" spans="1:17">
      <c r="A216" s="445" t="s">
        <v>433</v>
      </c>
      <c r="B216" s="209">
        <v>456.21100000000001</v>
      </c>
      <c r="C216" s="42">
        <f>'Quincy Transmission'!B60</f>
        <v>30210</v>
      </c>
      <c r="D216" s="42">
        <f>'Quincy Transmission'!C60</f>
        <v>37801.152900000001</v>
      </c>
      <c r="E216" s="42">
        <f>'Quincy Transmission'!D60</f>
        <v>34605.873</v>
      </c>
      <c r="F216" s="42">
        <f>'Quincy Transmission'!E60</f>
        <v>31031.950500000003</v>
      </c>
      <c r="G216" s="42">
        <f>'Quincy Transmission'!F60</f>
        <v>36658.785600000003</v>
      </c>
      <c r="H216" s="42">
        <f>'Quincy Transmission'!G60</f>
        <v>44015.270400000001</v>
      </c>
      <c r="I216" s="42">
        <f>'Quincy Transmission'!H60</f>
        <v>43510.413600000007</v>
      </c>
      <c r="J216" s="42">
        <f>'Quincy Transmission'!I60</f>
        <v>30210</v>
      </c>
      <c r="K216" s="42">
        <f>'Quincy Transmission'!J60</f>
        <v>40197.934800000003</v>
      </c>
      <c r="L216" s="42">
        <f>'Quincy Transmission'!K60</f>
        <v>35417.25</v>
      </c>
      <c r="M216" s="42">
        <f>'Quincy Transmission'!L60</f>
        <v>40755.595500000003</v>
      </c>
      <c r="N216" s="42">
        <f>'Quincy Transmission'!M60</f>
        <v>36624.012300000002</v>
      </c>
      <c r="O216" s="42">
        <f t="shared" si="22"/>
        <v>441038.23859999998</v>
      </c>
      <c r="Q216" s="11"/>
    </row>
    <row r="217" spans="1:17">
      <c r="A217" s="445" t="s">
        <v>434</v>
      </c>
      <c r="B217" s="209">
        <v>456.221</v>
      </c>
      <c r="C217" s="42">
        <f>'Quincy Transmission'!B67</f>
        <v>242.06</v>
      </c>
      <c r="D217" s="42">
        <f>'Quincy Transmission'!C67</f>
        <v>302.88470940000002</v>
      </c>
      <c r="E217" s="42">
        <f>'Quincy Transmission'!D67</f>
        <v>277.28227800000002</v>
      </c>
      <c r="F217" s="42">
        <f>'Quincy Transmission'!E67</f>
        <v>248.64594299999999</v>
      </c>
      <c r="G217" s="42">
        <f>'Quincy Transmission'!F67</f>
        <v>293.73140159999997</v>
      </c>
      <c r="H217" s="42">
        <f>'Quincy Transmission'!G67</f>
        <v>352.67581439999998</v>
      </c>
      <c r="I217" s="42">
        <f>'Quincy Transmission'!H67</f>
        <v>348.63060960000001</v>
      </c>
      <c r="J217" s="42">
        <f>'Quincy Transmission'!I67</f>
        <v>242.06</v>
      </c>
      <c r="K217" s="42">
        <f>'Quincy Transmission'!J67</f>
        <v>322.08911280000001</v>
      </c>
      <c r="L217" s="42">
        <f>'Quincy Transmission'!K67</f>
        <v>283.7835</v>
      </c>
      <c r="M217" s="42">
        <f>'Quincy Transmission'!L67</f>
        <v>326.557413</v>
      </c>
      <c r="N217" s="42">
        <f>'Quincy Transmission'!M67</f>
        <v>293.45277779999998</v>
      </c>
      <c r="O217" s="42">
        <f t="shared" si="22"/>
        <v>3533.8535595999997</v>
      </c>
      <c r="Q217" s="11"/>
    </row>
    <row r="218" spans="1:17">
      <c r="A218" s="88" t="s">
        <v>14</v>
      </c>
      <c r="B218" s="209">
        <v>456.21100000000001</v>
      </c>
      <c r="C218" s="39">
        <f>'TSAS Demand Revenues (7)'!B264</f>
        <v>472319.04000000004</v>
      </c>
      <c r="D218" s="39">
        <f>'TSAS Demand Revenues (7)'!C264</f>
        <v>472319.04000000004</v>
      </c>
      <c r="E218" s="39">
        <f>'TSAS Demand Revenues (7)'!D264</f>
        <v>472319.04000000004</v>
      </c>
      <c r="F218" s="39">
        <f>'TSAS Demand Revenues (7)'!E264</f>
        <v>472319.04000000004</v>
      </c>
      <c r="G218" s="39">
        <f>'TSAS Demand Revenues (7)'!F264</f>
        <v>472319.04000000004</v>
      </c>
      <c r="H218" s="39">
        <f>'TSAS Demand Revenues (7)'!G264</f>
        <v>472319.04000000004</v>
      </c>
      <c r="I218" s="39">
        <f>'TSAS Demand Revenues (7)'!H264</f>
        <v>472319.04000000004</v>
      </c>
      <c r="J218" s="39">
        <f>'TSAS Demand Revenues (7)'!I264</f>
        <v>472319.04000000004</v>
      </c>
      <c r="K218" s="39">
        <f>'TSAS Demand Revenues (7)'!J264</f>
        <v>472319.04000000004</v>
      </c>
      <c r="L218" s="39">
        <f>'TSAS Demand Revenues (7)'!K264</f>
        <v>472319.04000000004</v>
      </c>
      <c r="M218" s="39">
        <f>'TSAS Demand Revenues (7)'!L264</f>
        <v>472319.04000000004</v>
      </c>
      <c r="N218" s="39">
        <f>'TSAS Demand Revenues (7)'!M264</f>
        <v>472319.04000000004</v>
      </c>
      <c r="O218" s="42">
        <f t="shared" si="21"/>
        <v>5667828.4800000004</v>
      </c>
    </row>
    <row r="219" spans="1:17">
      <c r="A219" s="88" t="s">
        <v>140</v>
      </c>
      <c r="B219" s="209">
        <v>456.221</v>
      </c>
      <c r="C219" s="39">
        <f>'TSAS Scheduling Revenue (1)'!B266</f>
        <v>3784.4934400000002</v>
      </c>
      <c r="D219" s="39">
        <f>'TSAS Scheduling Revenue (1)'!C266</f>
        <v>3784.4934400000002</v>
      </c>
      <c r="E219" s="39">
        <f>'TSAS Scheduling Revenue (1)'!D266</f>
        <v>3784.4934400000002</v>
      </c>
      <c r="F219" s="39">
        <f>'TSAS Scheduling Revenue (1)'!E266</f>
        <v>3784.4934400000002</v>
      </c>
      <c r="G219" s="39">
        <f>'TSAS Scheduling Revenue (1)'!F266</f>
        <v>3784.4934400000002</v>
      </c>
      <c r="H219" s="39">
        <f>'TSAS Scheduling Revenue (1)'!G266</f>
        <v>3784.4934400000002</v>
      </c>
      <c r="I219" s="39">
        <f>'TSAS Scheduling Revenue (1)'!H266</f>
        <v>3784.4934400000002</v>
      </c>
      <c r="J219" s="39">
        <f>'TSAS Scheduling Revenue (1)'!I266</f>
        <v>3784.4934400000002</v>
      </c>
      <c r="K219" s="39">
        <f>'TSAS Scheduling Revenue (1)'!J266</f>
        <v>3784.4934400000002</v>
      </c>
      <c r="L219" s="39">
        <f>'TSAS Scheduling Revenue (1)'!K266</f>
        <v>3784.4934400000002</v>
      </c>
      <c r="M219" s="39">
        <f>'TSAS Scheduling Revenue (1)'!L266</f>
        <v>3784.4934400000002</v>
      </c>
      <c r="N219" s="39">
        <f>'TSAS Scheduling Revenue (1)'!M266</f>
        <v>3784.4934400000002</v>
      </c>
      <c r="O219" s="42">
        <f t="shared" si="21"/>
        <v>45413.921279999988</v>
      </c>
    </row>
    <row r="220" spans="1:17">
      <c r="A220" s="88" t="s">
        <v>75</v>
      </c>
      <c r="B220" s="209">
        <v>456.22199999999998</v>
      </c>
      <c r="C220" s="39">
        <f>'TSAS Reactive Revenues (2)'!B265</f>
        <v>28801.919999999998</v>
      </c>
      <c r="D220" s="39">
        <f>'TSAS Reactive Revenues (2)'!C265</f>
        <v>28801.919999999998</v>
      </c>
      <c r="E220" s="39">
        <f>'TSAS Reactive Revenues (2)'!D265</f>
        <v>28801.919999999998</v>
      </c>
      <c r="F220" s="39">
        <f>'TSAS Reactive Revenues (2)'!E265</f>
        <v>28801.919999999998</v>
      </c>
      <c r="G220" s="39">
        <f>'TSAS Reactive Revenues (2)'!F265</f>
        <v>28801.919999999998</v>
      </c>
      <c r="H220" s="39">
        <f>'TSAS Reactive Revenues (2)'!G265</f>
        <v>28801.919999999998</v>
      </c>
      <c r="I220" s="39">
        <f>'TSAS Reactive Revenues (2)'!H265</f>
        <v>28801.919999999998</v>
      </c>
      <c r="J220" s="39">
        <f>'TSAS Reactive Revenues (2)'!I265</f>
        <v>28801.919999999998</v>
      </c>
      <c r="K220" s="39">
        <f>'TSAS Reactive Revenues (2)'!J265</f>
        <v>28801.919999999998</v>
      </c>
      <c r="L220" s="39">
        <f>'TSAS Reactive Revenues (2)'!K265</f>
        <v>28801.919999999998</v>
      </c>
      <c r="M220" s="39">
        <f>'TSAS Reactive Revenues (2)'!L265</f>
        <v>28801.919999999998</v>
      </c>
      <c r="N220" s="39">
        <f>'TSAS Reactive Revenues (2)'!M265</f>
        <v>28801.919999999998</v>
      </c>
      <c r="O220" s="42">
        <f t="shared" si="21"/>
        <v>345623.03999999986</v>
      </c>
    </row>
    <row r="221" spans="1:17">
      <c r="A221" s="88" t="s">
        <v>119</v>
      </c>
      <c r="B221" s="209">
        <v>456.14499999999998</v>
      </c>
      <c r="C221" s="39">
        <f>Dynamic_Scheduling!B16</f>
        <v>7200</v>
      </c>
      <c r="D221" s="39">
        <f>Dynamic_Scheduling!C16</f>
        <v>7200</v>
      </c>
      <c r="E221" s="39">
        <f>Dynamic_Scheduling!D16</f>
        <v>7200</v>
      </c>
      <c r="F221" s="39">
        <f>Dynamic_Scheduling!E16</f>
        <v>7200</v>
      </c>
      <c r="G221" s="39">
        <f>Dynamic_Scheduling!F16</f>
        <v>7200</v>
      </c>
      <c r="H221" s="39">
        <f>Dynamic_Scheduling!G16</f>
        <v>7200</v>
      </c>
      <c r="I221" s="39">
        <f>Dynamic_Scheduling!H16</f>
        <v>7200</v>
      </c>
      <c r="J221" s="39">
        <f>Dynamic_Scheduling!I16</f>
        <v>7200</v>
      </c>
      <c r="K221" s="39">
        <f>Dynamic_Scheduling!J16</f>
        <v>7200</v>
      </c>
      <c r="L221" s="39">
        <f>Dynamic_Scheduling!K16</f>
        <v>7200</v>
      </c>
      <c r="M221" s="39">
        <f>Dynamic_Scheduling!L16</f>
        <v>7200</v>
      </c>
      <c r="N221" s="39">
        <f>Dynamic_Scheduling!M16</f>
        <v>7200</v>
      </c>
      <c r="O221" s="42">
        <f t="shared" si="21"/>
        <v>86400</v>
      </c>
    </row>
    <row r="222" spans="1:17">
      <c r="A222" s="88" t="s">
        <v>147</v>
      </c>
      <c r="B222" s="209">
        <v>456.21300000000002</v>
      </c>
      <c r="C222" s="39">
        <f>st_nf!D9</f>
        <v>252959.05</v>
      </c>
      <c r="D222" s="39">
        <f>st_nf!E9</f>
        <v>211139.89</v>
      </c>
      <c r="E222" s="39">
        <f>st_nf!F9</f>
        <v>230869.65</v>
      </c>
      <c r="F222" s="39">
        <f>st_nf!G9</f>
        <v>165524.70000000001</v>
      </c>
      <c r="G222" s="39">
        <f>st_nf!H9</f>
        <v>230869.65</v>
      </c>
      <c r="H222" s="39">
        <f>st_nf!I9</f>
        <v>338831.64</v>
      </c>
      <c r="I222" s="39">
        <f>st_nf!J9</f>
        <v>225520.52</v>
      </c>
      <c r="J222" s="39">
        <f>st_nf!K9</f>
        <v>328491.74</v>
      </c>
      <c r="K222" s="39">
        <f>st_nf!L9</f>
        <v>320710.51</v>
      </c>
      <c r="L222" s="39">
        <f>st_nf!M9</f>
        <v>438157.95</v>
      </c>
      <c r="M222" s="39">
        <f>st_nf!N9</f>
        <v>323720.68</v>
      </c>
      <c r="N222" s="39">
        <f>st_nf!O9</f>
        <v>226700.14</v>
      </c>
      <c r="O222" s="42">
        <f t="shared" si="21"/>
        <v>3293496.1200000006</v>
      </c>
    </row>
    <row r="223" spans="1:17">
      <c r="A223" s="88" t="s">
        <v>148</v>
      </c>
      <c r="B223" s="209">
        <v>456.22300000000001</v>
      </c>
      <c r="C223" s="210">
        <f>st_nf!D10</f>
        <v>31266.38</v>
      </c>
      <c r="D223" s="210">
        <f>st_nf!E10</f>
        <v>33737.19</v>
      </c>
      <c r="E223" s="210">
        <f>st_nf!F10</f>
        <v>33995.410000000003</v>
      </c>
      <c r="F223" s="210">
        <f>st_nf!G10</f>
        <v>34925.39</v>
      </c>
      <c r="G223" s="210">
        <f>st_nf!H10</f>
        <v>33923.370000000003</v>
      </c>
      <c r="H223" s="210">
        <f>st_nf!I10</f>
        <v>16500.57</v>
      </c>
      <c r="I223" s="210">
        <f>st_nf!J10</f>
        <v>25237.65</v>
      </c>
      <c r="J223" s="210">
        <f>st_nf!K10</f>
        <v>31769.99</v>
      </c>
      <c r="K223" s="210">
        <f>st_nf!L10</f>
        <v>41391.03</v>
      </c>
      <c r="L223" s="210">
        <f>st_nf!M10</f>
        <v>29168.31</v>
      </c>
      <c r="M223" s="210">
        <f>st_nf!N10</f>
        <v>28251.96</v>
      </c>
      <c r="N223" s="210">
        <f>st_nf!O10</f>
        <v>31973.599999999999</v>
      </c>
      <c r="O223" s="210">
        <f>SUM(C223:N223)</f>
        <v>372140.85</v>
      </c>
    </row>
    <row r="224" spans="1:17" ht="10.8" thickBot="1">
      <c r="A224" s="88" t="s">
        <v>149</v>
      </c>
      <c r="B224" s="88"/>
      <c r="C224" s="377">
        <f t="shared" ref="C224:O224" si="23">SUM(C182:C223)</f>
        <v>4214968.333962163</v>
      </c>
      <c r="D224" s="377">
        <f t="shared" si="23"/>
        <v>4189684.2473618751</v>
      </c>
      <c r="E224" s="377">
        <f t="shared" si="23"/>
        <v>3868910.8070934997</v>
      </c>
      <c r="F224" s="377">
        <f t="shared" si="23"/>
        <v>3712380.9842874226</v>
      </c>
      <c r="G224" s="377">
        <f t="shared" si="23"/>
        <v>4025213.8509764667</v>
      </c>
      <c r="H224" s="377">
        <f t="shared" si="23"/>
        <v>4472421.4656526679</v>
      </c>
      <c r="I224" s="377">
        <f t="shared" si="23"/>
        <v>4539143.3216156494</v>
      </c>
      <c r="J224" s="377">
        <f t="shared" si="23"/>
        <v>4659399.3482698649</v>
      </c>
      <c r="K224" s="377">
        <f t="shared" si="23"/>
        <v>4619183.6391254785</v>
      </c>
      <c r="L224" s="377">
        <f t="shared" si="23"/>
        <v>4297585.083190904</v>
      </c>
      <c r="M224" s="377">
        <f t="shared" si="23"/>
        <v>4052210.6501004887</v>
      </c>
      <c r="N224" s="377">
        <f t="shared" si="23"/>
        <v>3717879.2009173864</v>
      </c>
      <c r="O224" s="377">
        <f t="shared" si="23"/>
        <v>50368980.93255385</v>
      </c>
    </row>
    <row r="225" spans="1:15" s="6" customFormat="1" ht="10.8" thickTop="1">
      <c r="A225" s="88"/>
      <c r="B225" s="88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</row>
    <row r="226" spans="1:15" s="6" customFormat="1">
      <c r="A226" s="88"/>
      <c r="B226" s="88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39"/>
    </row>
    <row r="227" spans="1:15" s="6" customFormat="1">
      <c r="A227" s="88" t="s">
        <v>126</v>
      </c>
      <c r="B227" s="209">
        <v>456.25200000000001</v>
      </c>
      <c r="C227" s="43">
        <f>'SECI-Credit Settlement'!$B$10*(-1)</f>
        <v>-566426.91666666674</v>
      </c>
      <c r="D227" s="43">
        <f>'SECI-Credit Settlement'!$B$10*(-1)</f>
        <v>-566426.91666666674</v>
      </c>
      <c r="E227" s="43">
        <f>'SECI-Credit Settlement'!$B$10*(-1)</f>
        <v>-566426.91666666674</v>
      </c>
      <c r="F227" s="43">
        <f>'SECI-Credit Settlement'!$B$10*(-1)</f>
        <v>-566426.91666666674</v>
      </c>
      <c r="G227" s="43">
        <f>'SECI-Credit Settlement'!$B$10*(-1)</f>
        <v>-566426.91666666674</v>
      </c>
      <c r="H227" s="43">
        <f>'SECI-Credit Settlement'!$B$10*(-1)</f>
        <v>-566426.91666666674</v>
      </c>
      <c r="I227" s="43">
        <f>'SECI-Credit Settlement'!$B$10*(-1)</f>
        <v>-566426.91666666674</v>
      </c>
      <c r="J227" s="43">
        <f>'SECI-Credit Settlement'!$B$10*(-1)</f>
        <v>-566426.91666666674</v>
      </c>
      <c r="K227" s="43">
        <f>'SECI-Credit Settlement'!$B$10*(-1)</f>
        <v>-566426.91666666674</v>
      </c>
      <c r="L227" s="43">
        <f>'SECI-Credit Settlement'!$B$10*(-1)</f>
        <v>-566426.91666666674</v>
      </c>
      <c r="M227" s="43">
        <f>'SECI-Credit Settlement'!$B$10*(-1)</f>
        <v>-566426.91666666674</v>
      </c>
      <c r="N227" s="43">
        <f>'SECI-Credit Settlement'!$B$10*(-1)</f>
        <v>-566426.91666666674</v>
      </c>
      <c r="O227" s="40">
        <f>SUM(C227:N227)</f>
        <v>-6797123.0000000028</v>
      </c>
    </row>
    <row r="228" spans="1:15" s="6" customFormat="1">
      <c r="A228" s="87"/>
      <c r="B228" s="87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</row>
    <row r="229" spans="1:15" s="6" customFormat="1">
      <c r="A229" s="87" t="s">
        <v>230</v>
      </c>
      <c r="B229" s="87"/>
      <c r="C229" s="39">
        <f>C224+C227</f>
        <v>3648541.417295496</v>
      </c>
      <c r="D229" s="39">
        <f t="shared" ref="D229:O229" si="24">D224+D227</f>
        <v>3623257.3306952082</v>
      </c>
      <c r="E229" s="39">
        <f t="shared" si="24"/>
        <v>3302483.8904268332</v>
      </c>
      <c r="F229" s="39">
        <f t="shared" si="24"/>
        <v>3145954.0676207561</v>
      </c>
      <c r="G229" s="39">
        <f t="shared" si="24"/>
        <v>3458786.9343098002</v>
      </c>
      <c r="H229" s="39">
        <f t="shared" si="24"/>
        <v>3905994.5489860009</v>
      </c>
      <c r="I229" s="39">
        <f t="shared" si="24"/>
        <v>3972716.4049489824</v>
      </c>
      <c r="J229" s="39">
        <f t="shared" si="24"/>
        <v>4092972.4316031979</v>
      </c>
      <c r="K229" s="39">
        <f t="shared" si="24"/>
        <v>4052756.7224588115</v>
      </c>
      <c r="L229" s="39">
        <f t="shared" si="24"/>
        <v>3731158.166524237</v>
      </c>
      <c r="M229" s="39">
        <f t="shared" si="24"/>
        <v>3485783.7334338222</v>
      </c>
      <c r="N229" s="39">
        <f t="shared" si="24"/>
        <v>3151452.2842507195</v>
      </c>
      <c r="O229" s="39">
        <f t="shared" si="24"/>
        <v>43571857.93255385</v>
      </c>
    </row>
    <row r="230" spans="1:15" s="6" customFormat="1"/>
    <row r="231" spans="1:15" s="6" customFormat="1"/>
    <row r="232" spans="1:15" s="6" customFormat="1">
      <c r="A232" s="196" t="s">
        <v>203</v>
      </c>
      <c r="B232" s="202"/>
      <c r="C232" s="194" t="s">
        <v>0</v>
      </c>
      <c r="D232" s="194" t="s">
        <v>1</v>
      </c>
      <c r="E232" s="194" t="s">
        <v>2</v>
      </c>
      <c r="F232" s="194" t="s">
        <v>3</v>
      </c>
      <c r="G232" s="194" t="s">
        <v>4</v>
      </c>
      <c r="H232" s="194" t="s">
        <v>5</v>
      </c>
      <c r="I232" s="194" t="s">
        <v>6</v>
      </c>
      <c r="J232" s="194" t="s">
        <v>7</v>
      </c>
      <c r="K232" s="194" t="s">
        <v>8</v>
      </c>
      <c r="L232" s="194" t="s">
        <v>9</v>
      </c>
      <c r="M232" s="194" t="s">
        <v>10</v>
      </c>
      <c r="N232" s="194" t="s">
        <v>11</v>
      </c>
      <c r="O232" s="195" t="s">
        <v>12</v>
      </c>
    </row>
    <row r="233" spans="1:15" s="6" customFormat="1">
      <c r="A233" s="89"/>
      <c r="B233" s="89"/>
    </row>
    <row r="234" spans="1:15" s="6" customFormat="1">
      <c r="A234" s="88" t="s">
        <v>77</v>
      </c>
      <c r="B234" s="209">
        <v>456.21100000000001</v>
      </c>
      <c r="C234" s="39">
        <f>'FMPA Network'!B115</f>
        <v>691813.77000000014</v>
      </c>
      <c r="D234" s="39">
        <f>'FMPA Network'!C115</f>
        <v>644851.53</v>
      </c>
      <c r="E234" s="39">
        <f>'FMPA Network'!D115</f>
        <v>564042.96000000008</v>
      </c>
      <c r="F234" s="39">
        <f>'FMPA Network'!E115</f>
        <v>605985.57000000007</v>
      </c>
      <c r="G234" s="39">
        <f>'FMPA Network'!F115</f>
        <v>683717.49</v>
      </c>
      <c r="H234" s="39">
        <f>'FMPA Network'!G115</f>
        <v>743635.05</v>
      </c>
      <c r="I234" s="39">
        <f>'FMPA Network'!H115</f>
        <v>769383.51</v>
      </c>
      <c r="J234" s="39">
        <f>'FMPA Network'!I115</f>
        <v>782501.01</v>
      </c>
      <c r="K234" s="39">
        <f>'FMPA Network'!J115</f>
        <v>713838.45000000007</v>
      </c>
      <c r="L234" s="39">
        <f>'FMPA Network'!K115</f>
        <v>659587.65</v>
      </c>
      <c r="M234" s="39">
        <f>'FMPA Network'!L115</f>
        <v>590600.73</v>
      </c>
      <c r="N234" s="39">
        <f>'FMPA Network'!M115</f>
        <v>566795.25</v>
      </c>
      <c r="O234" s="39">
        <f t="shared" ref="O234:O248" si="25">SUM(C234:N234)</f>
        <v>8016752.9700000007</v>
      </c>
    </row>
    <row r="235" spans="1:15" s="6" customFormat="1">
      <c r="A235" s="88" t="s">
        <v>136</v>
      </c>
      <c r="B235" s="209">
        <v>456.221</v>
      </c>
      <c r="C235" s="39">
        <f>'FMPA Network'!B122</f>
        <v>5543.2122200000003</v>
      </c>
      <c r="D235" s="39">
        <f>'FMPA Network'!C122</f>
        <v>5166.9235799999997</v>
      </c>
      <c r="E235" s="39">
        <f>'FMPA Network'!D122</f>
        <v>4519.4385599999996</v>
      </c>
      <c r="F235" s="39">
        <f>'FMPA Network'!E122</f>
        <v>4855.50702</v>
      </c>
      <c r="G235" s="39">
        <f>'FMPA Network'!F122</f>
        <v>5478.3401400000002</v>
      </c>
      <c r="H235" s="39">
        <f>'FMPA Network'!G122</f>
        <v>5958.4342999999999</v>
      </c>
      <c r="I235" s="39">
        <f>'FMPA Network'!H122</f>
        <v>6164.74586</v>
      </c>
      <c r="J235" s="39">
        <f>'FMPA Network'!I122</f>
        <v>6269.8508599999996</v>
      </c>
      <c r="K235" s="39">
        <f>'FMPA Network'!J122</f>
        <v>5719.6867000000002</v>
      </c>
      <c r="L235" s="39">
        <f>'FMPA Network'!K122</f>
        <v>5284.9978999999994</v>
      </c>
      <c r="M235" s="39">
        <f>'FMPA Network'!L122</f>
        <v>4732.2347799999998</v>
      </c>
      <c r="N235" s="39">
        <f>'FMPA Network'!M122</f>
        <v>4541.4915000000001</v>
      </c>
      <c r="O235" s="39">
        <f>SUM(C235:N235)</f>
        <v>64234.863419999994</v>
      </c>
    </row>
    <row r="236" spans="1:15" s="6" customFormat="1">
      <c r="A236" s="88" t="s">
        <v>76</v>
      </c>
      <c r="B236" s="209">
        <v>456.22199999999998</v>
      </c>
      <c r="C236" s="39">
        <f>'FMPA Network'!B129</f>
        <v>30457.210000000006</v>
      </c>
      <c r="D236" s="39">
        <f>'FMPA Network'!C129</f>
        <v>28389.690000000002</v>
      </c>
      <c r="E236" s="39">
        <f>'FMPA Network'!D129</f>
        <v>24832.080000000002</v>
      </c>
      <c r="F236" s="39">
        <f>'FMPA Network'!E129</f>
        <v>26678.610000000004</v>
      </c>
      <c r="G236" s="39">
        <f>'FMPA Network'!F129</f>
        <v>30100.770000000004</v>
      </c>
      <c r="H236" s="39">
        <f>'FMPA Network'!G129</f>
        <v>32738.65</v>
      </c>
      <c r="I236" s="39">
        <f>'FMPA Network'!H129</f>
        <v>33872.230000000003</v>
      </c>
      <c r="J236" s="39">
        <f>'FMPA Network'!I129</f>
        <v>34449.730000000003</v>
      </c>
      <c r="K236" s="39">
        <f>'FMPA Network'!J129</f>
        <v>31426.850000000002</v>
      </c>
      <c r="L236" s="39">
        <f>'FMPA Network'!K129</f>
        <v>29038.450000000004</v>
      </c>
      <c r="M236" s="39">
        <f>'FMPA Network'!L129</f>
        <v>26001.29</v>
      </c>
      <c r="N236" s="39">
        <f>'FMPA Network'!M129</f>
        <v>24953.250000000004</v>
      </c>
      <c r="O236" s="39">
        <f>SUM(C236:N236)</f>
        <v>352938.81</v>
      </c>
    </row>
    <row r="237" spans="1:15" s="6" customFormat="1">
      <c r="A237" s="88" t="s">
        <v>120</v>
      </c>
      <c r="B237" s="209">
        <v>456.21100000000001</v>
      </c>
      <c r="C237" s="39">
        <f>'Vero Beach Network'!B113</f>
        <v>291494.7</v>
      </c>
      <c r="D237" s="39">
        <f>'Vero Beach Network'!C113</f>
        <v>254248.95</v>
      </c>
      <c r="E237" s="39">
        <f>'Vero Beach Network'!D113</f>
        <v>202427.67</v>
      </c>
      <c r="F237" s="39">
        <f>'Vero Beach Network'!E113</f>
        <v>208905.33000000002</v>
      </c>
      <c r="G237" s="39">
        <f>'Vero Beach Network'!F113</f>
        <v>231577.14</v>
      </c>
      <c r="H237" s="39">
        <f>'Vero Beach Network'!G113</f>
        <v>254248.95</v>
      </c>
      <c r="I237" s="39">
        <f>'Vero Beach Network'!H113</f>
        <v>251010.12000000002</v>
      </c>
      <c r="J237" s="39">
        <f>'Vero Beach Network'!I113</f>
        <v>268822.89</v>
      </c>
      <c r="K237" s="39">
        <f>'Vero Beach Network'!J113</f>
        <v>254248.95</v>
      </c>
      <c r="L237" s="39">
        <f>'Vero Beach Network'!K113</f>
        <v>239673.42</v>
      </c>
      <c r="M237" s="39">
        <f>'Vero Beach Network'!L113</f>
        <v>204046.29</v>
      </c>
      <c r="N237" s="39">
        <f>'Vero Beach Network'!M113</f>
        <v>229956.93000000002</v>
      </c>
      <c r="O237" s="39">
        <f t="shared" si="25"/>
        <v>2890661.3400000003</v>
      </c>
    </row>
    <row r="238" spans="1:15" s="6" customFormat="1">
      <c r="A238" s="88" t="s">
        <v>137</v>
      </c>
      <c r="B238" s="209">
        <v>456.221</v>
      </c>
      <c r="C238" s="39">
        <f>'Vero Beach Network'!B120</f>
        <v>2335.6241999999997</v>
      </c>
      <c r="D238" s="39">
        <f>'Vero Beach Network'!C120</f>
        <v>2037.1896999999999</v>
      </c>
      <c r="E238" s="39">
        <f>'Vero Beach Network'!D120</f>
        <v>1621.9676199999999</v>
      </c>
      <c r="F238" s="39">
        <f>'Vero Beach Network'!E120</f>
        <v>1673.8703799999998</v>
      </c>
      <c r="G238" s="39">
        <f>'Vero Beach Network'!F120</f>
        <v>1855.5300399999999</v>
      </c>
      <c r="H238" s="39">
        <f>'Vero Beach Network'!G120</f>
        <v>2037.1896999999999</v>
      </c>
      <c r="I238" s="39">
        <f>'Vero Beach Network'!H120</f>
        <v>2011.2383199999999</v>
      </c>
      <c r="J238" s="39">
        <f>'Vero Beach Network'!I120</f>
        <v>2153.9645399999999</v>
      </c>
      <c r="K238" s="39">
        <f>'Vero Beach Network'!J120</f>
        <v>2037.1896999999999</v>
      </c>
      <c r="L238" s="39">
        <f>'Vero Beach Network'!K120</f>
        <v>1920.40212</v>
      </c>
      <c r="M238" s="39">
        <f>'Vero Beach Network'!L120</f>
        <v>1634.93694</v>
      </c>
      <c r="N238" s="39">
        <f>'Vero Beach Network'!M120</f>
        <v>1842.5479800000001</v>
      </c>
      <c r="O238" s="39">
        <f t="shared" si="25"/>
        <v>23161.651239999996</v>
      </c>
    </row>
    <row r="239" spans="1:15" s="6" customFormat="1">
      <c r="A239" s="88" t="s">
        <v>121</v>
      </c>
      <c r="B239" s="209">
        <v>456.22199999999998</v>
      </c>
      <c r="C239" s="39">
        <f>'Vero Beach Network'!B127</f>
        <v>18479.664000000001</v>
      </c>
      <c r="D239" s="39">
        <f>'Vero Beach Network'!C127</f>
        <v>16118.424000000001</v>
      </c>
      <c r="E239" s="39">
        <f>'Vero Beach Network'!D127</f>
        <v>12833.1504</v>
      </c>
      <c r="F239" s="39">
        <f>'Vero Beach Network'!E127</f>
        <v>13243.809600000001</v>
      </c>
      <c r="G239" s="39">
        <f>'Vero Beach Network'!F127</f>
        <v>14681.1168</v>
      </c>
      <c r="H239" s="39">
        <f>'Vero Beach Network'!G127</f>
        <v>16118.424000000001</v>
      </c>
      <c r="I239" s="39">
        <f>'Vero Beach Network'!H127</f>
        <v>15913.0944</v>
      </c>
      <c r="J239" s="39">
        <f>'Vero Beach Network'!I127</f>
        <v>17042.356800000001</v>
      </c>
      <c r="K239" s="39">
        <f>'Vero Beach Network'!J127</f>
        <v>16118.424000000001</v>
      </c>
      <c r="L239" s="39">
        <f>'Vero Beach Network'!K127</f>
        <v>15194.3904</v>
      </c>
      <c r="M239" s="39">
        <f>'Vero Beach Network'!L127</f>
        <v>12935.764800000001</v>
      </c>
      <c r="N239" s="39">
        <f>'Vero Beach Network'!M127</f>
        <v>14578.401599999999</v>
      </c>
      <c r="O239" s="39">
        <f t="shared" si="25"/>
        <v>183257.02080000003</v>
      </c>
    </row>
    <row r="240" spans="1:15" s="6" customFormat="1">
      <c r="A240" s="88" t="s">
        <v>78</v>
      </c>
      <c r="B240" s="209">
        <v>456.21100000000001</v>
      </c>
      <c r="C240" s="39">
        <f>'SECI Network'!B113</f>
        <v>882978.92002037703</v>
      </c>
      <c r="D240" s="39">
        <f>'SECI Network'!C113</f>
        <v>703609.42435048393</v>
      </c>
      <c r="E240" s="39">
        <f>'SECI Network'!D113</f>
        <v>646889.43453897105</v>
      </c>
      <c r="F240" s="39">
        <f>'SECI Network'!E113</f>
        <v>612465.0840550178</v>
      </c>
      <c r="G240" s="39">
        <f>'SECI Network'!F113</f>
        <v>691383.51502801839</v>
      </c>
      <c r="H240" s="39">
        <f>'SECI Network'!G113</f>
        <v>742780.28527763626</v>
      </c>
      <c r="I240" s="39">
        <f>'SECI Network'!H113</f>
        <v>736987.27457972488</v>
      </c>
      <c r="J240" s="39">
        <f>'SECI Network'!I113</f>
        <v>734673.95822720323</v>
      </c>
      <c r="K240" s="39">
        <f>'SECI Network'!J113</f>
        <v>744343.55578196631</v>
      </c>
      <c r="L240" s="39">
        <f>'SECI Network'!K113</f>
        <v>647049.81151299027</v>
      </c>
      <c r="M240" s="39">
        <f>'SECI Network'!L113</f>
        <v>623702.81202241464</v>
      </c>
      <c r="N240" s="39">
        <f>'SECI Network'!M113</f>
        <v>674752.90881304129</v>
      </c>
      <c r="O240" s="39">
        <f t="shared" si="25"/>
        <v>8441616.9842078462</v>
      </c>
    </row>
    <row r="241" spans="1:15" s="6" customFormat="1">
      <c r="A241" s="88" t="s">
        <v>138</v>
      </c>
      <c r="B241" s="209">
        <v>456.221</v>
      </c>
      <c r="C241" s="39">
        <f>'SECI Network'!B118</f>
        <v>7074.9380132450333</v>
      </c>
      <c r="D241" s="39">
        <f>'SECI Network'!C118</f>
        <v>5637.7258278145691</v>
      </c>
      <c r="E241" s="39">
        <f>'SECI Network'!D118</f>
        <v>5183.2524503311261</v>
      </c>
      <c r="F241" s="39">
        <f>'SECI Network'!E118</f>
        <v>4907.4246357615893</v>
      </c>
      <c r="G241" s="39">
        <f>'SECI Network'!F118</f>
        <v>5539.7647682119205</v>
      </c>
      <c r="H241" s="39">
        <f>'SECI Network'!G118</f>
        <v>5951.5854304635759</v>
      </c>
      <c r="I241" s="39">
        <f>'SECI Network'!H118</f>
        <v>5905.1684768211917</v>
      </c>
      <c r="J241" s="39">
        <f>'SECI Network'!I118</f>
        <v>5886.6328476821191</v>
      </c>
      <c r="K241" s="39">
        <f>'SECI Network'!J118</f>
        <v>5964.1112582781452</v>
      </c>
      <c r="L241" s="39">
        <f>'SECI Network'!K118</f>
        <v>5184.537483443708</v>
      </c>
      <c r="M241" s="39">
        <f>'SECI Network'!L118</f>
        <v>4997.4678145695361</v>
      </c>
      <c r="N241" s="39">
        <f>'SECI Network'!M118</f>
        <v>5406.510728476821</v>
      </c>
      <c r="O241" s="39">
        <f t="shared" si="25"/>
        <v>67639.119735099332</v>
      </c>
    </row>
    <row r="242" spans="1:15" s="6" customFormat="1">
      <c r="A242" s="88" t="s">
        <v>74</v>
      </c>
      <c r="B242" s="209">
        <v>456.22199999999998</v>
      </c>
      <c r="C242" s="39">
        <f>'SECI Network'!B123</f>
        <v>11106.653082017321</v>
      </c>
      <c r="D242" s="39">
        <f>'SECI Network'!C123</f>
        <v>8850.4330106979105</v>
      </c>
      <c r="E242" s="39">
        <f>'SECI Network'!D123</f>
        <v>8136.9740193581256</v>
      </c>
      <c r="F242" s="39">
        <f>'SECI Network'!E123</f>
        <v>7703.9633214467649</v>
      </c>
      <c r="G242" s="39">
        <f>'SECI Network'!F123</f>
        <v>8696.6479877738147</v>
      </c>
      <c r="H242" s="39">
        <f>'SECI Network'!G123</f>
        <v>9343.1482424859896</v>
      </c>
      <c r="I242" s="39">
        <f>'SECI Network'!H123</f>
        <v>9270.280183392766</v>
      </c>
      <c r="J242" s="39">
        <f>'SECI Network'!I123</f>
        <v>9241.1818644931227</v>
      </c>
      <c r="K242" s="39">
        <f>'SECI Network'!J123</f>
        <v>9362.8120224146714</v>
      </c>
      <c r="L242" s="39">
        <f>'SECI Network'!K123</f>
        <v>8138.991339786041</v>
      </c>
      <c r="M242" s="39">
        <f>'SECI Network'!L123</f>
        <v>7845.3183902190522</v>
      </c>
      <c r="N242" s="39">
        <f>'SECI Network'!M123</f>
        <v>8487.4579724910836</v>
      </c>
      <c r="O242" s="39">
        <f t="shared" si="25"/>
        <v>106183.86143657666</v>
      </c>
    </row>
    <row r="243" spans="1:15" s="6" customFormat="1">
      <c r="A243" s="88" t="s">
        <v>56</v>
      </c>
      <c r="B243" s="209">
        <v>456.22399999999999</v>
      </c>
      <c r="C243" s="39">
        <f>SECI_Regulation_Imbalance!B76</f>
        <v>36120.501820682628</v>
      </c>
      <c r="D243" s="39">
        <f>SECI_Regulation_Imbalance!C76</f>
        <v>28782.935715741205</v>
      </c>
      <c r="E243" s="39">
        <f>SECI_Regulation_Imbalance!D76</f>
        <v>26462.660057055527</v>
      </c>
      <c r="F243" s="39">
        <f>SECI_Regulation_Imbalance!E76</f>
        <v>25054.444315843095</v>
      </c>
      <c r="G243" s="39">
        <f>SECI_Regulation_Imbalance!F76</f>
        <v>28282.803753438609</v>
      </c>
      <c r="H243" s="39">
        <f>SECI_Regulation_Imbalance!G76</f>
        <v>30385.319556800809</v>
      </c>
      <c r="I243" s="39">
        <f>SECI_Regulation_Imbalance!H76</f>
        <v>30148.34169842078</v>
      </c>
      <c r="J243" s="39">
        <f>SECI_Regulation_Imbalance!I76</f>
        <v>30053.70960061131</v>
      </c>
      <c r="K243" s="39">
        <f>SECI_Regulation_Imbalance!J76</f>
        <v>30449.269118695869</v>
      </c>
      <c r="L243" s="39">
        <f>SECI_Regulation_Imbalance!K76</f>
        <v>26469.22068568517</v>
      </c>
      <c r="M243" s="39">
        <f>SECI_Regulation_Imbalance!L76</f>
        <v>25514.152202750887</v>
      </c>
      <c r="N243" s="39">
        <f>SECI_Regulation_Imbalance!M76</f>
        <v>27602.486445236878</v>
      </c>
      <c r="O243" s="39">
        <f t="shared" si="25"/>
        <v>345325.84497096279</v>
      </c>
    </row>
    <row r="244" spans="1:15" s="6" customFormat="1">
      <c r="A244" s="88" t="s">
        <v>260</v>
      </c>
      <c r="B244" s="209">
        <v>456.24900000000002</v>
      </c>
      <c r="C244" s="43">
        <f>'Radial Facilities'!B77</f>
        <v>20622.16</v>
      </c>
      <c r="D244" s="43">
        <f>'Radial Facilities'!C77</f>
        <v>20405.489999999998</v>
      </c>
      <c r="E244" s="43">
        <f>'Radial Facilities'!D77</f>
        <v>20405.489999999998</v>
      </c>
      <c r="F244" s="43">
        <f>'Radial Facilities'!E77</f>
        <v>20405.489999999998</v>
      </c>
      <c r="G244" s="43">
        <f>'Radial Facilities'!F77</f>
        <v>20405.489999999998</v>
      </c>
      <c r="H244" s="43">
        <f>'Radial Facilities'!G77</f>
        <v>20405.489999999998</v>
      </c>
      <c r="I244" s="43">
        <f>'Radial Facilities'!H77</f>
        <v>20405.489999999998</v>
      </c>
      <c r="J244" s="43">
        <f>'Radial Facilities'!I77</f>
        <v>20405.489999999998</v>
      </c>
      <c r="K244" s="43">
        <f>'Radial Facilities'!J77</f>
        <v>20405.489999999998</v>
      </c>
      <c r="L244" s="43">
        <f>'Radial Facilities'!K77</f>
        <v>20405.489999999998</v>
      </c>
      <c r="M244" s="43">
        <f>'Radial Facilities'!L77</f>
        <v>20405.489999999998</v>
      </c>
      <c r="N244" s="43">
        <f>'Radial Facilities'!M77</f>
        <v>20405.489999999998</v>
      </c>
      <c r="O244" s="40">
        <f t="shared" si="25"/>
        <v>245082.54999999993</v>
      </c>
    </row>
    <row r="245" spans="1:15" s="6" customFormat="1">
      <c r="A245" s="88" t="s">
        <v>124</v>
      </c>
      <c r="B245" s="209">
        <v>456.21100000000001</v>
      </c>
      <c r="C245" s="43">
        <f>'LCEC Network'!B85</f>
        <v>870016.4611237247</v>
      </c>
      <c r="D245" s="43">
        <f>'LCEC Network'!C85</f>
        <v>1185999.9936089597</v>
      </c>
      <c r="E245" s="43">
        <f>'LCEC Network'!D85</f>
        <v>1064689.5405121818</v>
      </c>
      <c r="F245" s="43">
        <f>'LCEC Network'!E85</f>
        <v>981233.19939946721</v>
      </c>
      <c r="G245" s="43">
        <f>'LCEC Network'!F85</f>
        <v>966264.38125860307</v>
      </c>
      <c r="H245" s="43">
        <f>'LCEC Network'!G85</f>
        <v>1118459.2715716555</v>
      </c>
      <c r="I245" s="43">
        <f>'LCEC Network'!H85</f>
        <v>1226254.5693463837</v>
      </c>
      <c r="J245" s="43">
        <f>'LCEC Network'!I85</f>
        <v>1197859.4240150116</v>
      </c>
      <c r="K245" s="43">
        <f>'LCEC Network'!J85</f>
        <v>1252819.1714598774</v>
      </c>
      <c r="L245" s="43">
        <f>'LCEC Network'!K85</f>
        <v>1075883.1914098314</v>
      </c>
      <c r="M245" s="43">
        <f>'LCEC Network'!L85</f>
        <v>1130610.2532188396</v>
      </c>
      <c r="N245" s="43">
        <f>'LCEC Network'!M85</f>
        <v>927459.22995619313</v>
      </c>
      <c r="O245" s="40">
        <f t="shared" si="25"/>
        <v>12997548.686880728</v>
      </c>
    </row>
    <row r="246" spans="1:15" s="6" customFormat="1">
      <c r="A246" s="88" t="s">
        <v>139</v>
      </c>
      <c r="B246" s="209">
        <v>456.221</v>
      </c>
      <c r="C246" s="43">
        <f>'LCEC Network'!B92</f>
        <v>6971.0752922743713</v>
      </c>
      <c r="D246" s="43">
        <f>'LCEC Network'!C92</f>
        <v>9502.9181877849969</v>
      </c>
      <c r="E246" s="43">
        <f>'LCEC Network'!D92</f>
        <v>8530.9086453617583</v>
      </c>
      <c r="F246" s="43">
        <f>'LCEC Network'!E92</f>
        <v>7862.2081511630258</v>
      </c>
      <c r="G246" s="43">
        <f>'LCEC Network'!F92</f>
        <v>7742.2693190154732</v>
      </c>
      <c r="H246" s="43">
        <f>'LCEC Network'!G92</f>
        <v>8961.7428426559054</v>
      </c>
      <c r="I246" s="43">
        <f>'LCEC Network'!H92</f>
        <v>9825.4611405490105</v>
      </c>
      <c r="J246" s="43">
        <f>'LCEC Network'!I92</f>
        <v>9597.9428062586467</v>
      </c>
      <c r="K246" s="43">
        <f>'LCEC Network'!J92</f>
        <v>10038.312103395494</v>
      </c>
      <c r="L246" s="43">
        <f>'LCEC Network'!K92</f>
        <v>8620.5986531831768</v>
      </c>
      <c r="M246" s="43">
        <f>'LCEC Network'!L92</f>
        <v>9059.1035383698218</v>
      </c>
      <c r="N246" s="43">
        <f>'LCEC Network'!M92</f>
        <v>7431.3399934854715</v>
      </c>
      <c r="O246" s="40">
        <f t="shared" si="25"/>
        <v>104143.88067349714</v>
      </c>
    </row>
    <row r="247" spans="1:15" s="6" customFormat="1">
      <c r="A247" s="88" t="s">
        <v>177</v>
      </c>
      <c r="B247" s="209">
        <v>456.21100000000001</v>
      </c>
      <c r="C247" s="43">
        <f>'FKEC Network'!B85</f>
        <v>184779.12550080568</v>
      </c>
      <c r="D247" s="43">
        <f>'FKEC Network'!C85</f>
        <v>180405.95576381907</v>
      </c>
      <c r="E247" s="43">
        <f>'FKEC Network'!D85</f>
        <v>191958.41238944817</v>
      </c>
      <c r="F247" s="43">
        <f>'FKEC Network'!E85</f>
        <v>182162.86843240311</v>
      </c>
      <c r="G247" s="43">
        <f>'FKEC Network'!F85</f>
        <v>216328.00124629348</v>
      </c>
      <c r="H247" s="43">
        <f>'FKEC Network'!G85</f>
        <v>229954.45628035106</v>
      </c>
      <c r="I247" s="43">
        <f>'FKEC Network'!H85</f>
        <v>236658.82519566218</v>
      </c>
      <c r="J247" s="43">
        <f>'FKEC Network'!I85</f>
        <v>256361.6804990033</v>
      </c>
      <c r="K247" s="43">
        <f>'FKEC Network'!J85</f>
        <v>250078.12365584876</v>
      </c>
      <c r="L247" s="43">
        <f>'FKEC Network'!K85</f>
        <v>230707.56255883502</v>
      </c>
      <c r="M247" s="43">
        <f>'FKEC Network'!L85</f>
        <v>220575.15959331242</v>
      </c>
      <c r="N247" s="43">
        <f>'FKEC Network'!M85</f>
        <v>195688.98150280409</v>
      </c>
      <c r="O247" s="40">
        <f t="shared" si="25"/>
        <v>2575659.1526185861</v>
      </c>
    </row>
    <row r="248" spans="1:15" s="6" customFormat="1">
      <c r="A248" s="88" t="s">
        <v>178</v>
      </c>
      <c r="B248" s="209">
        <v>456.221</v>
      </c>
      <c r="C248" s="43">
        <f>'FKEC Network'!B92</f>
        <v>1480.5572697360153</v>
      </c>
      <c r="D248" s="43">
        <f>'FKEC Network'!C92</f>
        <v>1445.5169034157577</v>
      </c>
      <c r="E248" s="43">
        <f>'FKEC Network'!D92</f>
        <v>1538.0818703406096</v>
      </c>
      <c r="F248" s="43">
        <f>'FKEC Network'!E92</f>
        <v>1459.5943042948525</v>
      </c>
      <c r="G248" s="43">
        <f>'FKEC Network'!F92</f>
        <v>1733.3451169042635</v>
      </c>
      <c r="H248" s="43">
        <f>'FKEC Network'!G92</f>
        <v>1842.5281591268379</v>
      </c>
      <c r="I248" s="43">
        <f>'FKEC Network'!H92</f>
        <v>1896.2474421337961</v>
      </c>
      <c r="J248" s="43">
        <f>'FKEC Network'!I92</f>
        <v>2054.1181192184285</v>
      </c>
      <c r="K248" s="43">
        <f>'FKEC Network'!J92</f>
        <v>2003.7706260223351</v>
      </c>
      <c r="L248" s="43">
        <f>'FKEC Network'!K92</f>
        <v>1848.562482389659</v>
      </c>
      <c r="M248" s="43">
        <f>'FKEC Network'!L92</f>
        <v>1767.375807055849</v>
      </c>
      <c r="N248" s="43">
        <f>'FKEC Network'!M92</f>
        <v>1567.9733486451094</v>
      </c>
      <c r="O248" s="40">
        <f t="shared" si="25"/>
        <v>20637.671449283513</v>
      </c>
    </row>
    <row r="249" spans="1:15" s="6" customFormat="1">
      <c r="A249" s="88" t="s">
        <v>191</v>
      </c>
      <c r="B249" s="209">
        <v>456.21100000000001</v>
      </c>
      <c r="C249" s="43">
        <f>'Wauchula Network'!B85</f>
        <v>0</v>
      </c>
      <c r="D249" s="43">
        <f>'Wauchula Network'!C85</f>
        <v>0</v>
      </c>
      <c r="E249" s="43">
        <f>'Wauchula Network'!D85</f>
        <v>0</v>
      </c>
      <c r="F249" s="43">
        <f>'Wauchula Network'!E85</f>
        <v>0</v>
      </c>
      <c r="G249" s="43">
        <f>'Wauchula Network'!F85</f>
        <v>0</v>
      </c>
      <c r="H249" s="43">
        <f>'Wauchula Network'!G85</f>
        <v>0</v>
      </c>
      <c r="I249" s="43">
        <f>'Wauchula Network'!H85</f>
        <v>0</v>
      </c>
      <c r="J249" s="43">
        <f>'Wauchula Network'!I85</f>
        <v>0</v>
      </c>
      <c r="K249" s="43">
        <f>'Wauchula Network'!J85</f>
        <v>0</v>
      </c>
      <c r="L249" s="43">
        <f>'Wauchula Network'!K85</f>
        <v>0</v>
      </c>
      <c r="M249" s="43">
        <f>'Wauchula Network'!L85</f>
        <v>0</v>
      </c>
      <c r="N249" s="43">
        <f>'Wauchula Network'!M85</f>
        <v>0</v>
      </c>
      <c r="O249" s="40">
        <f>SUM(C249:N249)</f>
        <v>0</v>
      </c>
    </row>
    <row r="250" spans="1:15" s="6" customFormat="1">
      <c r="A250" s="88" t="s">
        <v>192</v>
      </c>
      <c r="B250" s="209">
        <v>456.221</v>
      </c>
      <c r="C250" s="43">
        <f>'Wauchula Network'!B92</f>
        <v>0</v>
      </c>
      <c r="D250" s="43">
        <f>'Wauchula Network'!C92</f>
        <v>0</v>
      </c>
      <c r="E250" s="43">
        <f>'Wauchula Network'!D92</f>
        <v>0</v>
      </c>
      <c r="F250" s="43">
        <f>'Wauchula Network'!E92</f>
        <v>0</v>
      </c>
      <c r="G250" s="43">
        <f>'Wauchula Network'!F92</f>
        <v>0</v>
      </c>
      <c r="H250" s="43">
        <f>'Wauchula Network'!G92</f>
        <v>0</v>
      </c>
      <c r="I250" s="43">
        <f>'Wauchula Network'!H92</f>
        <v>0</v>
      </c>
      <c r="J250" s="43">
        <f>'Wauchula Network'!I92</f>
        <v>0</v>
      </c>
      <c r="K250" s="43">
        <f>'Wauchula Network'!J92</f>
        <v>0</v>
      </c>
      <c r="L250" s="43">
        <f>'Wauchula Network'!K92</f>
        <v>0</v>
      </c>
      <c r="M250" s="43">
        <f>'Wauchula Network'!L92</f>
        <v>0</v>
      </c>
      <c r="N250" s="43">
        <f>'Wauchula Network'!M92</f>
        <v>0</v>
      </c>
      <c r="O250" s="40">
        <f>SUM(C250:N250)</f>
        <v>0</v>
      </c>
    </row>
    <row r="251" spans="1:15" s="6" customFormat="1">
      <c r="A251" s="88" t="s">
        <v>257</v>
      </c>
      <c r="B251" s="209">
        <v>456.21100000000001</v>
      </c>
      <c r="C251" s="43">
        <f>'Blountstown Network'!B83</f>
        <v>0</v>
      </c>
      <c r="D251" s="43">
        <f>'Blountstown Network'!C83</f>
        <v>0</v>
      </c>
      <c r="E251" s="43">
        <f>'Blountstown Network'!D83</f>
        <v>0</v>
      </c>
      <c r="F251" s="43">
        <f>'Blountstown Network'!E83</f>
        <v>0</v>
      </c>
      <c r="G251" s="43">
        <f>'Blountstown Network'!F83</f>
        <v>0</v>
      </c>
      <c r="H251" s="43">
        <f>'Blountstown Network'!G83</f>
        <v>0</v>
      </c>
      <c r="I251" s="43">
        <f>'Blountstown Network'!H83</f>
        <v>0</v>
      </c>
      <c r="J251" s="43">
        <f>'Blountstown Network'!I83</f>
        <v>0</v>
      </c>
      <c r="K251" s="43">
        <f>'Blountstown Network'!J83</f>
        <v>0</v>
      </c>
      <c r="L251" s="43">
        <f>'Blountstown Network'!K83</f>
        <v>0</v>
      </c>
      <c r="M251" s="43">
        <f>'Blountstown Network'!L83</f>
        <v>0</v>
      </c>
      <c r="N251" s="43">
        <f>'Blountstown Network'!M83</f>
        <v>0</v>
      </c>
      <c r="O251" s="40">
        <f t="shared" ref="O251:O269" si="26">SUM(C251:N251)</f>
        <v>0</v>
      </c>
    </row>
    <row r="252" spans="1:15" s="6" customFormat="1">
      <c r="A252" s="88" t="s">
        <v>258</v>
      </c>
      <c r="B252" s="209">
        <v>456.221</v>
      </c>
      <c r="C252" s="43">
        <f>'Blountstown Network'!B90</f>
        <v>0</v>
      </c>
      <c r="D252" s="43">
        <f>'Blountstown Network'!C90</f>
        <v>0</v>
      </c>
      <c r="E252" s="43">
        <f>'Blountstown Network'!D90</f>
        <v>0</v>
      </c>
      <c r="F252" s="43">
        <f>'Blountstown Network'!E90</f>
        <v>0</v>
      </c>
      <c r="G252" s="43">
        <f>'Blountstown Network'!F90</f>
        <v>0</v>
      </c>
      <c r="H252" s="43">
        <f>'Blountstown Network'!G90</f>
        <v>0</v>
      </c>
      <c r="I252" s="43">
        <f>'Blountstown Network'!H90</f>
        <v>0</v>
      </c>
      <c r="J252" s="43">
        <f>'Blountstown Network'!I90</f>
        <v>0</v>
      </c>
      <c r="K252" s="43">
        <f>'Blountstown Network'!J90</f>
        <v>0</v>
      </c>
      <c r="L252" s="43">
        <f>'Blountstown Network'!K90</f>
        <v>0</v>
      </c>
      <c r="M252" s="43">
        <f>'Blountstown Network'!L90</f>
        <v>0</v>
      </c>
      <c r="N252" s="43">
        <f>'Blountstown Network'!M90</f>
        <v>0</v>
      </c>
      <c r="O252" s="40">
        <f t="shared" si="26"/>
        <v>0</v>
      </c>
    </row>
    <row r="253" spans="1:15" s="6" customFormat="1">
      <c r="A253" s="88" t="s">
        <v>285</v>
      </c>
      <c r="B253" s="209">
        <v>456.21100000000001</v>
      </c>
      <c r="C253" s="43">
        <f>'Winter Park Network'!B77</f>
        <v>100756.42697999999</v>
      </c>
      <c r="D253" s="43">
        <f>'Winter Park Network'!C77</f>
        <v>95400</v>
      </c>
      <c r="E253" s="43">
        <f>'Winter Park Network'!D77</f>
        <v>69905.737275000007</v>
      </c>
      <c r="F253" s="43">
        <f>'Winter Park Network'!E77</f>
        <v>75271.074615000005</v>
      </c>
      <c r="G253" s="43">
        <f>'Winter Park Network'!F77</f>
        <v>103439.09565</v>
      </c>
      <c r="H253" s="43">
        <f>'Winter Park Network'!G77</f>
        <v>106121.76431999999</v>
      </c>
      <c r="I253" s="43">
        <f>'Winter Park Network'!H77</f>
        <v>102097.76131499998</v>
      </c>
      <c r="J253" s="43">
        <f>'Winter Park Network'!I77</f>
        <v>114169.77032999998</v>
      </c>
      <c r="K253" s="43">
        <f>'Winter Park Network'!J77</f>
        <v>95400</v>
      </c>
      <c r="L253" s="43">
        <f>'Winter Park Network'!K77</f>
        <v>96732.423975000012</v>
      </c>
      <c r="M253" s="43">
        <f>'Winter Park Network'!L77</f>
        <v>68564.40294</v>
      </c>
      <c r="N253" s="43">
        <f>'Winter Park Network'!M77</f>
        <v>68564.40294</v>
      </c>
      <c r="O253" s="40">
        <f t="shared" si="26"/>
        <v>1096422.8603399999</v>
      </c>
    </row>
    <row r="254" spans="1:15" s="6" customFormat="1">
      <c r="A254" s="88" t="s">
        <v>416</v>
      </c>
      <c r="B254" s="209">
        <v>456.221</v>
      </c>
      <c r="C254" s="43">
        <f>'Winter Park Network'!B84</f>
        <v>807.31879227999991</v>
      </c>
      <c r="D254" s="43">
        <f>'Winter Park Network'!C84</f>
        <v>764.4</v>
      </c>
      <c r="E254" s="43">
        <f>'Winter Park Network'!D84</f>
        <v>560.12521564999997</v>
      </c>
      <c r="F254" s="43">
        <f>'Winter Park Network'!E84</f>
        <v>603.11540288999993</v>
      </c>
      <c r="G254" s="43">
        <f>'Winter Park Network'!F84</f>
        <v>828.81388589999995</v>
      </c>
      <c r="H254" s="43">
        <f>'Winter Park Network'!G84</f>
        <v>850.30897951999987</v>
      </c>
      <c r="I254" s="43">
        <f>'Winter Park Network'!H84</f>
        <v>818.06633908999981</v>
      </c>
      <c r="J254" s="43">
        <f>'Winter Park Network'!I84</f>
        <v>914.79426037999986</v>
      </c>
      <c r="K254" s="43">
        <f>'Winter Park Network'!J84</f>
        <v>764.4</v>
      </c>
      <c r="L254" s="43">
        <f>'Winter Park Network'!K84</f>
        <v>775.07615184999997</v>
      </c>
      <c r="M254" s="43">
        <f>'Winter Park Network'!L84</f>
        <v>549.37766883999996</v>
      </c>
      <c r="N254" s="43">
        <f>'Winter Park Network'!M84</f>
        <v>549.37766883999996</v>
      </c>
      <c r="O254" s="40">
        <f t="shared" si="26"/>
        <v>8785.17436524</v>
      </c>
    </row>
    <row r="255" spans="1:15" s="6" customFormat="1">
      <c r="A255" s="88" t="s">
        <v>306</v>
      </c>
      <c r="B255" s="209">
        <v>456.21100000000001</v>
      </c>
      <c r="C255" s="43">
        <f>'New Smyrna Network'!B102</f>
        <v>71550</v>
      </c>
      <c r="D255" s="43">
        <f>'New Smyrna Network'!C102</f>
        <v>71550</v>
      </c>
      <c r="E255" s="43">
        <f>'New Smyrna Network'!D102</f>
        <v>47700</v>
      </c>
      <c r="F255" s="43">
        <f>'New Smyrna Network'!E102</f>
        <v>31800</v>
      </c>
      <c r="G255" s="43">
        <f>'New Smyrna Network'!F102</f>
        <v>47700</v>
      </c>
      <c r="H255" s="43">
        <f>'New Smyrna Network'!G102</f>
        <v>71550</v>
      </c>
      <c r="I255" s="43">
        <f>'New Smyrna Network'!H102</f>
        <v>71550</v>
      </c>
      <c r="J255" s="43">
        <f>'New Smyrna Network'!I102</f>
        <v>71550</v>
      </c>
      <c r="K255" s="43">
        <f>'New Smyrna Network'!J102</f>
        <v>55650</v>
      </c>
      <c r="L255" s="43">
        <f>'New Smyrna Network'!K102</f>
        <v>47700</v>
      </c>
      <c r="M255" s="43">
        <f>'New Smyrna Network'!L102</f>
        <v>31800</v>
      </c>
      <c r="N255" s="43">
        <f>'New Smyrna Network'!M102</f>
        <v>47700</v>
      </c>
      <c r="O255" s="40">
        <f t="shared" si="26"/>
        <v>667800</v>
      </c>
    </row>
    <row r="256" spans="1:15" s="6" customFormat="1">
      <c r="A256" s="88" t="s">
        <v>307</v>
      </c>
      <c r="B256" s="209">
        <v>456.221</v>
      </c>
      <c r="C256" s="43">
        <f>'New Smyrna Network'!B109</f>
        <v>573.29999999999995</v>
      </c>
      <c r="D256" s="43">
        <f>'New Smyrna Network'!C109</f>
        <v>573.29999999999995</v>
      </c>
      <c r="E256" s="43">
        <f>'New Smyrna Network'!D109</f>
        <v>382.2</v>
      </c>
      <c r="F256" s="43">
        <f>'New Smyrna Network'!E109</f>
        <v>254.79999999999998</v>
      </c>
      <c r="G256" s="43">
        <f>'New Smyrna Network'!F109</f>
        <v>382.2</v>
      </c>
      <c r="H256" s="43">
        <f>'New Smyrna Network'!G109</f>
        <v>573.29999999999995</v>
      </c>
      <c r="I256" s="43">
        <f>'New Smyrna Network'!H109</f>
        <v>573.29999999999995</v>
      </c>
      <c r="J256" s="43">
        <f>'New Smyrna Network'!I109</f>
        <v>573.29999999999995</v>
      </c>
      <c r="K256" s="43">
        <f>'New Smyrna Network'!J109</f>
        <v>445.9</v>
      </c>
      <c r="L256" s="43">
        <f>'New Smyrna Network'!K109</f>
        <v>382.2</v>
      </c>
      <c r="M256" s="43">
        <f>'New Smyrna Network'!L109</f>
        <v>254.79999999999998</v>
      </c>
      <c r="N256" s="43">
        <f>'New Smyrna Network'!M109</f>
        <v>382.2</v>
      </c>
      <c r="O256" s="40">
        <f t="shared" si="26"/>
        <v>5350.7999999999993</v>
      </c>
    </row>
    <row r="257" spans="1:17">
      <c r="A257" s="88" t="s">
        <v>408</v>
      </c>
      <c r="B257" s="209">
        <v>456.22199999999998</v>
      </c>
      <c r="C257" s="43">
        <f>'New Smyrna Network'!B116</f>
        <v>4536</v>
      </c>
      <c r="D257" s="43">
        <f>'New Smyrna Network'!C116</f>
        <v>4536</v>
      </c>
      <c r="E257" s="43">
        <f>'New Smyrna Network'!D116</f>
        <v>3024</v>
      </c>
      <c r="F257" s="43">
        <f>'New Smyrna Network'!E116</f>
        <v>2016</v>
      </c>
      <c r="G257" s="43">
        <f>'New Smyrna Network'!F116</f>
        <v>3024</v>
      </c>
      <c r="H257" s="43">
        <f>'New Smyrna Network'!G116</f>
        <v>4536</v>
      </c>
      <c r="I257" s="43">
        <f>'New Smyrna Network'!H116</f>
        <v>4536</v>
      </c>
      <c r="J257" s="43">
        <f>'New Smyrna Network'!I116</f>
        <v>4536</v>
      </c>
      <c r="K257" s="43">
        <f>'New Smyrna Network'!J116</f>
        <v>3528</v>
      </c>
      <c r="L257" s="43">
        <f>'New Smyrna Network'!K116</f>
        <v>3024</v>
      </c>
      <c r="M257" s="43">
        <f>'New Smyrna Network'!L116</f>
        <v>2016</v>
      </c>
      <c r="N257" s="43">
        <f>'New Smyrna Network'!M116</f>
        <v>3024</v>
      </c>
      <c r="O257" s="40">
        <f t="shared" si="26"/>
        <v>42336</v>
      </c>
    </row>
    <row r="258" spans="1:17">
      <c r="A258" s="88" t="s">
        <v>13</v>
      </c>
      <c r="B258" s="209">
        <v>456.21300000000002</v>
      </c>
      <c r="C258" s="42">
        <v>0</v>
      </c>
      <c r="D258" s="42">
        <v>0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  <c r="O258" s="40">
        <f t="shared" si="26"/>
        <v>0</v>
      </c>
    </row>
    <row r="259" spans="1:17">
      <c r="A259" s="445" t="s">
        <v>360</v>
      </c>
      <c r="B259" s="209">
        <v>456.21100000000001</v>
      </c>
      <c r="C259" s="43">
        <f>'Georgia Trans Network'!B103</f>
        <v>30624.99</v>
      </c>
      <c r="D259" s="43">
        <f>'Georgia Trans Network'!C103</f>
        <v>30624.99</v>
      </c>
      <c r="E259" s="43">
        <f>'Georgia Trans Network'!D103</f>
        <v>30624.99</v>
      </c>
      <c r="F259" s="43">
        <f>'Georgia Trans Network'!E103</f>
        <v>30624.99</v>
      </c>
      <c r="G259" s="43">
        <f>'Georgia Trans Network'!F103</f>
        <v>30624.99</v>
      </c>
      <c r="H259" s="43">
        <f>'Georgia Trans Network'!G103</f>
        <v>37069.26</v>
      </c>
      <c r="I259" s="43">
        <f>'Georgia Trans Network'!H103</f>
        <v>37069.26</v>
      </c>
      <c r="J259" s="43">
        <f>'Georgia Trans Network'!I103</f>
        <v>37069.26</v>
      </c>
      <c r="K259" s="43">
        <f>'Georgia Trans Network'!J103</f>
        <v>37069.26</v>
      </c>
      <c r="L259" s="43">
        <f>'Georgia Trans Network'!K103</f>
        <v>41917.170000000006</v>
      </c>
      <c r="M259" s="43">
        <f>'Georgia Trans Network'!L103</f>
        <v>41917.170000000006</v>
      </c>
      <c r="N259" s="43">
        <f>'Georgia Trans Network'!M103</f>
        <v>41917.170000000006</v>
      </c>
      <c r="O259" s="40">
        <f t="shared" si="26"/>
        <v>427153.5</v>
      </c>
    </row>
    <row r="260" spans="1:17">
      <c r="A260" s="445" t="s">
        <v>361</v>
      </c>
      <c r="B260" s="209">
        <v>456.221</v>
      </c>
      <c r="C260" s="43">
        <f>'Georgia Trans Network'!B110</f>
        <v>245.38513999999998</v>
      </c>
      <c r="D260" s="43">
        <f>'Georgia Trans Network'!C110</f>
        <v>245.38513999999998</v>
      </c>
      <c r="E260" s="43">
        <f>'Georgia Trans Network'!D110</f>
        <v>245.38513999999998</v>
      </c>
      <c r="F260" s="43">
        <f>'Georgia Trans Network'!E110</f>
        <v>245.38513999999998</v>
      </c>
      <c r="G260" s="43">
        <f>'Georgia Trans Network'!F110</f>
        <v>245.38513999999998</v>
      </c>
      <c r="H260" s="43">
        <f>'Georgia Trans Network'!G110</f>
        <v>297.02035999999998</v>
      </c>
      <c r="I260" s="43">
        <f>'Georgia Trans Network'!H110</f>
        <v>297.02035999999998</v>
      </c>
      <c r="J260" s="43">
        <f>'Georgia Trans Network'!I110</f>
        <v>297.02035999999998</v>
      </c>
      <c r="K260" s="43">
        <f>'Georgia Trans Network'!J110</f>
        <v>297.02035999999998</v>
      </c>
      <c r="L260" s="43">
        <f>'Georgia Trans Network'!K110</f>
        <v>335.86462</v>
      </c>
      <c r="M260" s="43">
        <f>'Georgia Trans Network'!L110</f>
        <v>335.86462</v>
      </c>
      <c r="N260" s="43">
        <f>'Georgia Trans Network'!M110</f>
        <v>335.86462</v>
      </c>
      <c r="O260" s="40">
        <f t="shared" si="26"/>
        <v>3422.6009999999992</v>
      </c>
    </row>
    <row r="261" spans="1:17">
      <c r="A261" s="445" t="s">
        <v>405</v>
      </c>
      <c r="B261" s="209">
        <v>456.22199999999998</v>
      </c>
      <c r="C261" s="43">
        <f>'Georgia Trans Network'!B117</f>
        <v>1941.5088000000001</v>
      </c>
      <c r="D261" s="43">
        <f>'Georgia Trans Network'!C117</f>
        <v>1941.5088000000001</v>
      </c>
      <c r="E261" s="43">
        <f>'Georgia Trans Network'!D117</f>
        <v>1941.5088000000001</v>
      </c>
      <c r="F261" s="43">
        <f>'Georgia Trans Network'!E117</f>
        <v>1941.5088000000001</v>
      </c>
      <c r="G261" s="43">
        <f>'Georgia Trans Network'!F117</f>
        <v>1941.5088000000001</v>
      </c>
      <c r="H261" s="43">
        <f>'Georgia Trans Network'!G117</f>
        <v>2350.0511999999999</v>
      </c>
      <c r="I261" s="43">
        <f>'Georgia Trans Network'!H117</f>
        <v>2350.0511999999999</v>
      </c>
      <c r="J261" s="43">
        <f>'Georgia Trans Network'!I117</f>
        <v>2350.0511999999999</v>
      </c>
      <c r="K261" s="43">
        <f>'Georgia Trans Network'!J117</f>
        <v>2350.0511999999999</v>
      </c>
      <c r="L261" s="43">
        <f>'Georgia Trans Network'!K117</f>
        <v>2657.3904000000002</v>
      </c>
      <c r="M261" s="43">
        <f>'Georgia Trans Network'!L117</f>
        <v>2657.3904000000002</v>
      </c>
      <c r="N261" s="43">
        <f>'Georgia Trans Network'!M117</f>
        <v>2657.3904000000002</v>
      </c>
      <c r="O261" s="40">
        <f t="shared" si="26"/>
        <v>27079.920000000002</v>
      </c>
    </row>
    <row r="262" spans="1:17">
      <c r="A262" s="88" t="s">
        <v>310</v>
      </c>
      <c r="B262" s="209">
        <v>456.21100000000001</v>
      </c>
      <c r="C262" s="42">
        <f>'Lake Worth Network Transmission'!B102</f>
        <v>113029.82943549796</v>
      </c>
      <c r="D262" s="42">
        <f>'Lake Worth Network Transmission'!C102</f>
        <v>110436.91187530295</v>
      </c>
      <c r="E262" s="42">
        <f>'Lake Worth Network Transmission'!D102</f>
        <v>115234.36586166371</v>
      </c>
      <c r="F262" s="42">
        <f>'Lake Worth Network Transmission'!E102</f>
        <v>120407.46343480251</v>
      </c>
      <c r="G262" s="42">
        <f>'Lake Worth Network Transmission'!F102</f>
        <v>134365.28161810196</v>
      </c>
      <c r="H262" s="42">
        <f>'Lake Worth Network Transmission'!G102</f>
        <v>140980.48089659927</v>
      </c>
      <c r="I262" s="42">
        <f>'Lake Worth Network Transmission'!H102</f>
        <v>146475.10941476247</v>
      </c>
      <c r="J262" s="42">
        <f>'Lake Worth Network Transmission'!I102</f>
        <v>147302.80432457462</v>
      </c>
      <c r="K262" s="42">
        <f>'Lake Worth Network Transmission'!J102</f>
        <v>142260.22712944556</v>
      </c>
      <c r="L262" s="42">
        <f>'Lake Worth Network Transmission'!K102</f>
        <v>133668.10708629957</v>
      </c>
      <c r="M262" s="42">
        <f>'Lake Worth Network Transmission'!L102</f>
        <v>119450.83814698063</v>
      </c>
      <c r="N262" s="42">
        <f>'Lake Worth Network Transmission'!M102</f>
        <v>113483.47075853206</v>
      </c>
      <c r="O262" s="42">
        <f t="shared" si="26"/>
        <v>1537094.889982563</v>
      </c>
      <c r="Q262" s="11"/>
    </row>
    <row r="263" spans="1:17">
      <c r="A263" s="88" t="s">
        <v>311</v>
      </c>
      <c r="B263" s="209">
        <v>456.221</v>
      </c>
      <c r="C263" s="42">
        <f>'Lake Worth Network Transmission'!B109</f>
        <v>905.6603943448074</v>
      </c>
      <c r="D263" s="42">
        <f>'Lake Worth Network Transmission'!C109</f>
        <v>884.88443854802483</v>
      </c>
      <c r="E263" s="42">
        <f>'Lake Worth Network Transmission'!D109</f>
        <v>923.32441577207271</v>
      </c>
      <c r="F263" s="42">
        <f>'Lake Worth Network Transmission'!E109</f>
        <v>964.77426676690811</v>
      </c>
      <c r="G263" s="42">
        <f>'Lake Worth Network Transmission'!F109</f>
        <v>1076.6123822733452</v>
      </c>
      <c r="H263" s="42">
        <f>'Lake Worth Network Transmission'!G109</f>
        <v>1129.6171865551412</v>
      </c>
      <c r="I263" s="42">
        <f>'Lake Worth Network Transmission'!H109</f>
        <v>1173.6433295245745</v>
      </c>
      <c r="J263" s="42">
        <f>'Lake Worth Network Transmission'!I109</f>
        <v>1180.2753000597991</v>
      </c>
      <c r="K263" s="42">
        <f>'Lake Worth Network Transmission'!J109</f>
        <v>1139.8712538548027</v>
      </c>
      <c r="L263" s="42">
        <f>'Lake Worth Network Transmission'!K109</f>
        <v>1071.0262165279601</v>
      </c>
      <c r="M263" s="42">
        <f>'Lake Worth Network Transmission'!L109</f>
        <v>957.10923144184471</v>
      </c>
      <c r="N263" s="42">
        <f>'Lake Worth Network Transmission'!M109</f>
        <v>909.29523110924424</v>
      </c>
      <c r="O263" s="42">
        <f t="shared" si="26"/>
        <v>12316.093646778525</v>
      </c>
      <c r="Q263" s="11"/>
    </row>
    <row r="264" spans="1:17">
      <c r="A264" s="88" t="s">
        <v>407</v>
      </c>
      <c r="B264" s="209">
        <v>456.22199999999998</v>
      </c>
      <c r="C264" s="42">
        <f>'Lake Worth Network Transmission'!B116</f>
        <v>7165.6646585523231</v>
      </c>
      <c r="D264" s="42">
        <f>'Lake Worth Network Transmission'!C116</f>
        <v>7001.283469830526</v>
      </c>
      <c r="E264" s="42">
        <f>'Lake Worth Network Transmission'!D116</f>
        <v>7305.4239489658503</v>
      </c>
      <c r="F264" s="42">
        <f>'Lake Worth Network Transmission'!E116</f>
        <v>7633.3788139799335</v>
      </c>
      <c r="G264" s="42">
        <f>'Lake Worth Network Transmission'!F116</f>
        <v>8518.2518157891063</v>
      </c>
      <c r="H264" s="42">
        <f>'Lake Worth Network Transmission'!G116</f>
        <v>8937.6304870296881</v>
      </c>
      <c r="I264" s="42">
        <f>'Lake Worth Network Transmission'!H116</f>
        <v>9285.9692006339974</v>
      </c>
      <c r="J264" s="42">
        <f>'Lake Worth Network Transmission'!I116</f>
        <v>9338.4419345390706</v>
      </c>
      <c r="K264" s="42">
        <f>'Lake Worth Network Transmission'!J116</f>
        <v>9018.7615689610757</v>
      </c>
      <c r="L264" s="42">
        <f>'Lake Worth Network Transmission'!K116</f>
        <v>8474.0535813201241</v>
      </c>
      <c r="M264" s="42">
        <f>'Lake Worth Network Transmission'!L116</f>
        <v>7572.7323806387722</v>
      </c>
      <c r="N264" s="42">
        <f>'Lake Worth Network Transmission'!M116</f>
        <v>7194.4238065786358</v>
      </c>
      <c r="O264" s="42">
        <f t="shared" si="26"/>
        <v>97446.015666819105</v>
      </c>
      <c r="Q264" s="11"/>
    </row>
    <row r="265" spans="1:17">
      <c r="A265" s="445" t="s">
        <v>421</v>
      </c>
      <c r="B265" s="209">
        <v>456.21100000000001</v>
      </c>
      <c r="C265" s="42">
        <f>'Homestead Network Transmission'!B102</f>
        <v>38160</v>
      </c>
      <c r="D265" s="42">
        <f>'Homestead Network Transmission'!C102</f>
        <v>9540</v>
      </c>
      <c r="E265" s="42">
        <f>'Homestead Network Transmission'!D102</f>
        <v>0</v>
      </c>
      <c r="F265" s="42">
        <f>'Homestead Network Transmission'!E102</f>
        <v>4770</v>
      </c>
      <c r="G265" s="42">
        <f>'Homestead Network Transmission'!F102</f>
        <v>19080</v>
      </c>
      <c r="H265" s="42">
        <f>'Homestead Network Transmission'!G102</f>
        <v>31800</v>
      </c>
      <c r="I265" s="42">
        <f>'Homestead Network Transmission'!H102</f>
        <v>39750</v>
      </c>
      <c r="J265" s="42">
        <f>'Homestead Network Transmission'!I102</f>
        <v>38160</v>
      </c>
      <c r="K265" s="42">
        <f>'Homestead Network Transmission'!J102</f>
        <v>33390</v>
      </c>
      <c r="L265" s="42">
        <f>'Homestead Network Transmission'!K102</f>
        <v>12720</v>
      </c>
      <c r="M265" s="42">
        <f>'Homestead Network Transmission'!L102</f>
        <v>0</v>
      </c>
      <c r="N265" s="42">
        <f>'Homestead Network Transmission'!M102</f>
        <v>0</v>
      </c>
      <c r="O265" s="42">
        <f t="shared" si="26"/>
        <v>227370</v>
      </c>
      <c r="Q265" s="11"/>
    </row>
    <row r="266" spans="1:17">
      <c r="A266" s="445" t="s">
        <v>422</v>
      </c>
      <c r="B266" s="209">
        <v>456.221</v>
      </c>
      <c r="C266" s="42">
        <f>'Homestead Network Transmission'!B109</f>
        <v>305.76</v>
      </c>
      <c r="D266" s="42">
        <f>'Homestead Network Transmission'!C109</f>
        <v>76.44</v>
      </c>
      <c r="E266" s="42">
        <f>'Homestead Network Transmission'!D109</f>
        <v>0</v>
      </c>
      <c r="F266" s="42">
        <f>'Homestead Network Transmission'!E109</f>
        <v>38.22</v>
      </c>
      <c r="G266" s="42">
        <f>'Homestead Network Transmission'!F109</f>
        <v>152.88</v>
      </c>
      <c r="H266" s="42">
        <f>'Homestead Network Transmission'!G109</f>
        <v>254.79999999999998</v>
      </c>
      <c r="I266" s="42">
        <f>'Homestead Network Transmission'!H109</f>
        <v>318.5</v>
      </c>
      <c r="J266" s="42">
        <f>'Homestead Network Transmission'!I109</f>
        <v>305.76</v>
      </c>
      <c r="K266" s="42">
        <f>'Homestead Network Transmission'!J109</f>
        <v>267.53999999999996</v>
      </c>
      <c r="L266" s="42">
        <f>'Homestead Network Transmission'!K109</f>
        <v>101.92</v>
      </c>
      <c r="M266" s="42">
        <f>'Homestead Network Transmission'!L109</f>
        <v>0</v>
      </c>
      <c r="N266" s="42">
        <f>'Homestead Network Transmission'!M109</f>
        <v>0</v>
      </c>
      <c r="O266" s="42">
        <f t="shared" si="26"/>
        <v>1821.82</v>
      </c>
      <c r="Q266" s="11"/>
    </row>
    <row r="267" spans="1:17">
      <c r="A267" s="445" t="s">
        <v>423</v>
      </c>
      <c r="B267" s="209">
        <v>456.22199999999998</v>
      </c>
      <c r="C267" s="42">
        <f>'Homestead Network Transmission'!B116</f>
        <v>2419.1999999999998</v>
      </c>
      <c r="D267" s="42">
        <f>'Homestead Network Transmission'!C116</f>
        <v>604.79999999999995</v>
      </c>
      <c r="E267" s="42">
        <f>'Homestead Network Transmission'!D116</f>
        <v>0</v>
      </c>
      <c r="F267" s="42">
        <f>'Homestead Network Transmission'!E116</f>
        <v>302.39999999999998</v>
      </c>
      <c r="G267" s="42">
        <f>'Homestead Network Transmission'!F116</f>
        <v>1209.5999999999999</v>
      </c>
      <c r="H267" s="42">
        <f>'Homestead Network Transmission'!G116</f>
        <v>2016</v>
      </c>
      <c r="I267" s="42">
        <f>'Homestead Network Transmission'!H116</f>
        <v>2520</v>
      </c>
      <c r="J267" s="42">
        <f>'Homestead Network Transmission'!I116</f>
        <v>2419.1999999999998</v>
      </c>
      <c r="K267" s="42">
        <f>'Homestead Network Transmission'!J116</f>
        <v>2116.8000000000002</v>
      </c>
      <c r="L267" s="42">
        <f>'Homestead Network Transmission'!K116</f>
        <v>806.4</v>
      </c>
      <c r="M267" s="42">
        <f>'Homestead Network Transmission'!L116</f>
        <v>0</v>
      </c>
      <c r="N267" s="42">
        <f>'Homestead Network Transmission'!M116</f>
        <v>0</v>
      </c>
      <c r="O267" s="42">
        <f t="shared" si="26"/>
        <v>14414.4</v>
      </c>
      <c r="Q267" s="11"/>
    </row>
    <row r="268" spans="1:17">
      <c r="A268" s="445" t="s">
        <v>433</v>
      </c>
      <c r="B268" s="209">
        <v>456.21100000000001</v>
      </c>
      <c r="C268" s="42">
        <f>'Quincy Transmission'!B76</f>
        <v>30210</v>
      </c>
      <c r="D268" s="42">
        <f>'Quincy Transmission'!C76</f>
        <v>37801.152900000001</v>
      </c>
      <c r="E268" s="42">
        <f>'Quincy Transmission'!D76</f>
        <v>34605.873</v>
      </c>
      <c r="F268" s="42">
        <f>'Quincy Transmission'!E76</f>
        <v>31031.950500000003</v>
      </c>
      <c r="G268" s="42">
        <f>'Quincy Transmission'!F76</f>
        <v>36658.785600000003</v>
      </c>
      <c r="H268" s="42">
        <f>'Quincy Transmission'!G76</f>
        <v>44015.270400000001</v>
      </c>
      <c r="I268" s="42">
        <f>'Quincy Transmission'!H76</f>
        <v>43510.413600000007</v>
      </c>
      <c r="J268" s="42">
        <f>'Quincy Transmission'!I76</f>
        <v>30210</v>
      </c>
      <c r="K268" s="42">
        <f>'Quincy Transmission'!J76</f>
        <v>40197.934800000003</v>
      </c>
      <c r="L268" s="42">
        <f>'Quincy Transmission'!K76</f>
        <v>35417.25</v>
      </c>
      <c r="M268" s="42">
        <f>'Quincy Transmission'!L76</f>
        <v>40755.595500000003</v>
      </c>
      <c r="N268" s="42">
        <f>'Quincy Transmission'!M76</f>
        <v>36624.012300000002</v>
      </c>
      <c r="O268" s="42">
        <f t="shared" si="26"/>
        <v>441038.23859999998</v>
      </c>
      <c r="Q268" s="11"/>
    </row>
    <row r="269" spans="1:17">
      <c r="A269" s="445" t="s">
        <v>434</v>
      </c>
      <c r="B269" s="209">
        <v>456.221</v>
      </c>
      <c r="C269" s="42">
        <f>'Quincy Transmission'!B83</f>
        <v>242.06</v>
      </c>
      <c r="D269" s="42">
        <f>'Quincy Transmission'!C83</f>
        <v>302.88470940000002</v>
      </c>
      <c r="E269" s="42">
        <f>'Quincy Transmission'!D83</f>
        <v>277.28227800000002</v>
      </c>
      <c r="F269" s="42">
        <f>'Quincy Transmission'!E83</f>
        <v>248.64594299999999</v>
      </c>
      <c r="G269" s="42">
        <f>'Quincy Transmission'!F83</f>
        <v>293.73140159999997</v>
      </c>
      <c r="H269" s="42">
        <f>'Quincy Transmission'!G83</f>
        <v>352.67581439999998</v>
      </c>
      <c r="I269" s="42">
        <f>'Quincy Transmission'!H83</f>
        <v>348.63060960000001</v>
      </c>
      <c r="J269" s="42">
        <f>'Quincy Transmission'!I83</f>
        <v>242.06</v>
      </c>
      <c r="K269" s="42">
        <f>'Quincy Transmission'!J83</f>
        <v>322.08911280000001</v>
      </c>
      <c r="L269" s="42">
        <f>'Quincy Transmission'!K83</f>
        <v>283.7835</v>
      </c>
      <c r="M269" s="42">
        <f>'Quincy Transmission'!L83</f>
        <v>326.557413</v>
      </c>
      <c r="N269" s="42">
        <f>'Quincy Transmission'!M83</f>
        <v>293.45277779999998</v>
      </c>
      <c r="O269" s="42">
        <f t="shared" si="26"/>
        <v>3533.8535595999997</v>
      </c>
      <c r="Q269" s="11"/>
    </row>
    <row r="270" spans="1:17">
      <c r="A270" s="88" t="s">
        <v>14</v>
      </c>
      <c r="B270" s="209">
        <v>456.21100000000001</v>
      </c>
      <c r="C270" s="39">
        <f>'TSAS Demand Revenues (7)'!B319</f>
        <v>472319.04000000004</v>
      </c>
      <c r="D270" s="39">
        <f>'TSAS Demand Revenues (7)'!C319</f>
        <v>392819.04000000004</v>
      </c>
      <c r="E270" s="39">
        <f>'TSAS Demand Revenues (7)'!D319</f>
        <v>392819.04000000004</v>
      </c>
      <c r="F270" s="39">
        <f>'TSAS Demand Revenues (7)'!E319</f>
        <v>392819.04000000004</v>
      </c>
      <c r="G270" s="39">
        <f>'TSAS Demand Revenues (7)'!F319</f>
        <v>392819.04000000004</v>
      </c>
      <c r="H270" s="39">
        <f>'TSAS Demand Revenues (7)'!G319</f>
        <v>392819.04000000004</v>
      </c>
      <c r="I270" s="39">
        <f>'TSAS Demand Revenues (7)'!H319</f>
        <v>392819.04000000004</v>
      </c>
      <c r="J270" s="39">
        <f>'TSAS Demand Revenues (7)'!I319</f>
        <v>392819.04000000004</v>
      </c>
      <c r="K270" s="39">
        <f>'TSAS Demand Revenues (7)'!J319</f>
        <v>392819.04000000004</v>
      </c>
      <c r="L270" s="39">
        <f>'TSAS Demand Revenues (7)'!K319</f>
        <v>392819.04000000004</v>
      </c>
      <c r="M270" s="39">
        <f>'TSAS Demand Revenues (7)'!L319</f>
        <v>392819.04000000004</v>
      </c>
      <c r="N270" s="39">
        <f>'TSAS Demand Revenues (7)'!M319</f>
        <v>392819.04000000004</v>
      </c>
      <c r="O270" s="42">
        <f t="shared" ref="O270:O275" si="27">SUM(C270:N270)</f>
        <v>4793328.4800000004</v>
      </c>
    </row>
    <row r="271" spans="1:17">
      <c r="A271" s="88" t="s">
        <v>140</v>
      </c>
      <c r="B271" s="209">
        <v>456.221</v>
      </c>
      <c r="C271" s="39">
        <f>'TSAS Scheduling Revenue (1)'!B326</f>
        <v>3784.4934400000002</v>
      </c>
      <c r="D271" s="39">
        <f>'TSAS Scheduling Revenue (1)'!C326</f>
        <v>3147.4934400000002</v>
      </c>
      <c r="E271" s="39">
        <f>'TSAS Scheduling Revenue (1)'!D326</f>
        <v>3147.4934400000002</v>
      </c>
      <c r="F271" s="39">
        <f>'TSAS Scheduling Revenue (1)'!E326</f>
        <v>3147.4934400000002</v>
      </c>
      <c r="G271" s="39">
        <f>'TSAS Scheduling Revenue (1)'!F326</f>
        <v>3147.4934400000002</v>
      </c>
      <c r="H271" s="39">
        <f>'TSAS Scheduling Revenue (1)'!G326</f>
        <v>3147.4934400000002</v>
      </c>
      <c r="I271" s="39">
        <f>'TSAS Scheduling Revenue (1)'!H326</f>
        <v>3147.4934400000002</v>
      </c>
      <c r="J271" s="39">
        <f>'TSAS Scheduling Revenue (1)'!I326</f>
        <v>3147.4934400000002</v>
      </c>
      <c r="K271" s="39">
        <f>'TSAS Scheduling Revenue (1)'!J326</f>
        <v>3147.4934400000002</v>
      </c>
      <c r="L271" s="39">
        <f>'TSAS Scheduling Revenue (1)'!K326</f>
        <v>3147.4934400000002</v>
      </c>
      <c r="M271" s="39">
        <f>'TSAS Scheduling Revenue (1)'!L326</f>
        <v>3147.4934400000002</v>
      </c>
      <c r="N271" s="39">
        <f>'TSAS Scheduling Revenue (1)'!M326</f>
        <v>3147.4934400000002</v>
      </c>
      <c r="O271" s="42">
        <f t="shared" si="27"/>
        <v>38406.921279999995</v>
      </c>
    </row>
    <row r="272" spans="1:17">
      <c r="A272" s="88" t="s">
        <v>75</v>
      </c>
      <c r="B272" s="209">
        <v>456.22199999999998</v>
      </c>
      <c r="C272" s="39">
        <f>'TSAS Reactive Revenues (2)'!B320</f>
        <v>28801.919999999998</v>
      </c>
      <c r="D272" s="39">
        <f>'TSAS Reactive Revenues (2)'!C320</f>
        <v>23761.919999999998</v>
      </c>
      <c r="E272" s="39">
        <f>'TSAS Reactive Revenues (2)'!D320</f>
        <v>23761.919999999998</v>
      </c>
      <c r="F272" s="39">
        <f>'TSAS Reactive Revenues (2)'!E320</f>
        <v>23761.919999999998</v>
      </c>
      <c r="G272" s="39">
        <f>'TSAS Reactive Revenues (2)'!F320</f>
        <v>23761.919999999998</v>
      </c>
      <c r="H272" s="39">
        <f>'TSAS Reactive Revenues (2)'!G320</f>
        <v>23761.919999999998</v>
      </c>
      <c r="I272" s="39">
        <f>'TSAS Reactive Revenues (2)'!H320</f>
        <v>23761.919999999998</v>
      </c>
      <c r="J272" s="39">
        <f>'TSAS Reactive Revenues (2)'!I320</f>
        <v>23761.919999999998</v>
      </c>
      <c r="K272" s="39">
        <f>'TSAS Reactive Revenues (2)'!J320</f>
        <v>23761.919999999998</v>
      </c>
      <c r="L272" s="39">
        <f>'TSAS Reactive Revenues (2)'!K320</f>
        <v>23761.919999999998</v>
      </c>
      <c r="M272" s="39">
        <f>'TSAS Reactive Revenues (2)'!L320</f>
        <v>23761.919999999998</v>
      </c>
      <c r="N272" s="39">
        <f>'TSAS Reactive Revenues (2)'!M320</f>
        <v>23761.919999999998</v>
      </c>
      <c r="O272" s="42">
        <f t="shared" si="27"/>
        <v>290183.03999999992</v>
      </c>
    </row>
    <row r="273" spans="1:15" s="6" customFormat="1">
      <c r="A273" s="88" t="s">
        <v>119</v>
      </c>
      <c r="B273" s="209">
        <v>456.14499999999998</v>
      </c>
      <c r="C273" s="39">
        <f>Dynamic_Scheduling!B16</f>
        <v>7200</v>
      </c>
      <c r="D273" s="39">
        <f>Dynamic_Scheduling!C16</f>
        <v>7200</v>
      </c>
      <c r="E273" s="39">
        <f>Dynamic_Scheduling!D16</f>
        <v>7200</v>
      </c>
      <c r="F273" s="39">
        <f>Dynamic_Scheduling!E16</f>
        <v>7200</v>
      </c>
      <c r="G273" s="39">
        <f>Dynamic_Scheduling!F16</f>
        <v>7200</v>
      </c>
      <c r="H273" s="39">
        <f>Dynamic_Scheduling!G16</f>
        <v>7200</v>
      </c>
      <c r="I273" s="39">
        <f>Dynamic_Scheduling!H16</f>
        <v>7200</v>
      </c>
      <c r="J273" s="39">
        <f>Dynamic_Scheduling!I16</f>
        <v>7200</v>
      </c>
      <c r="K273" s="39">
        <f>Dynamic_Scheduling!J16</f>
        <v>7200</v>
      </c>
      <c r="L273" s="39">
        <f>Dynamic_Scheduling!K16</f>
        <v>7200</v>
      </c>
      <c r="M273" s="39">
        <f>Dynamic_Scheduling!L16</f>
        <v>7200</v>
      </c>
      <c r="N273" s="39">
        <f>Dynamic_Scheduling!M16</f>
        <v>7200</v>
      </c>
      <c r="O273" s="42">
        <f t="shared" si="27"/>
        <v>86400</v>
      </c>
    </row>
    <row r="274" spans="1:15" s="6" customFormat="1">
      <c r="A274" s="88" t="s">
        <v>147</v>
      </c>
      <c r="B274" s="209">
        <v>456.21300000000002</v>
      </c>
      <c r="C274" s="42">
        <f>st_nf!D9</f>
        <v>252959.05</v>
      </c>
      <c r="D274" s="42">
        <f>st_nf!E9</f>
        <v>211139.89</v>
      </c>
      <c r="E274" s="42">
        <f>st_nf!F9</f>
        <v>230869.65</v>
      </c>
      <c r="F274" s="42">
        <f>st_nf!G9</f>
        <v>165524.70000000001</v>
      </c>
      <c r="G274" s="42">
        <f>st_nf!H9</f>
        <v>230869.65</v>
      </c>
      <c r="H274" s="42">
        <f>st_nf!I9</f>
        <v>338831.64</v>
      </c>
      <c r="I274" s="42">
        <f>st_nf!J9</f>
        <v>225520.52</v>
      </c>
      <c r="J274" s="42">
        <f>st_nf!K9</f>
        <v>328491.74</v>
      </c>
      <c r="K274" s="42">
        <f>st_nf!L9</f>
        <v>320710.51</v>
      </c>
      <c r="L274" s="42">
        <f>st_nf!M9</f>
        <v>438157.95</v>
      </c>
      <c r="M274" s="42">
        <f>st_nf!N9</f>
        <v>323720.68</v>
      </c>
      <c r="N274" s="42">
        <f>st_nf!O9</f>
        <v>226700.14</v>
      </c>
      <c r="O274" s="42">
        <f t="shared" si="27"/>
        <v>3293496.1200000006</v>
      </c>
    </row>
    <row r="275" spans="1:15" s="6" customFormat="1">
      <c r="A275" s="88" t="s">
        <v>148</v>
      </c>
      <c r="B275" s="209">
        <v>456.22300000000001</v>
      </c>
      <c r="C275" s="210">
        <f>st_nf!D10</f>
        <v>31266.38</v>
      </c>
      <c r="D275" s="210">
        <f>st_nf!E10</f>
        <v>33737.19</v>
      </c>
      <c r="E275" s="210">
        <f>st_nf!F10</f>
        <v>33995.410000000003</v>
      </c>
      <c r="F275" s="210">
        <f>st_nf!G10</f>
        <v>34925.39</v>
      </c>
      <c r="G275" s="210">
        <f>st_nf!H10</f>
        <v>33923.370000000003</v>
      </c>
      <c r="H275" s="210">
        <f>st_nf!I10</f>
        <v>16500.57</v>
      </c>
      <c r="I275" s="210">
        <f>st_nf!J10</f>
        <v>25237.65</v>
      </c>
      <c r="J275" s="210">
        <f>st_nf!K10</f>
        <v>31769.99</v>
      </c>
      <c r="K275" s="210">
        <f>st_nf!L10</f>
        <v>41391.03</v>
      </c>
      <c r="L275" s="210">
        <f>st_nf!M10</f>
        <v>29168.31</v>
      </c>
      <c r="M275" s="210">
        <f>st_nf!N10</f>
        <v>28251.96</v>
      </c>
      <c r="N275" s="210">
        <f>st_nf!O10</f>
        <v>31973.599999999999</v>
      </c>
      <c r="O275" s="210">
        <f t="shared" si="27"/>
        <v>372140.85</v>
      </c>
    </row>
    <row r="276" spans="1:15" s="6" customFormat="1" ht="10.8" thickBot="1">
      <c r="A276" s="88" t="s">
        <v>149</v>
      </c>
      <c r="B276" s="88"/>
      <c r="C276" s="377">
        <f t="shared" ref="C276:O276" si="28">SUM(C234:C275)</f>
        <v>4261078.5601835381</v>
      </c>
      <c r="D276" s="377">
        <f t="shared" si="28"/>
        <v>4139542.5754217985</v>
      </c>
      <c r="E276" s="377">
        <f t="shared" si="28"/>
        <v>3788595.7504381011</v>
      </c>
      <c r="F276" s="377">
        <f t="shared" si="28"/>
        <v>3640129.2239718363</v>
      </c>
      <c r="G276" s="377">
        <f t="shared" si="28"/>
        <v>3995049.215191924</v>
      </c>
      <c r="H276" s="377">
        <f t="shared" si="28"/>
        <v>4457915.36844528</v>
      </c>
      <c r="I276" s="377">
        <f t="shared" si="28"/>
        <v>4496066.9454516983</v>
      </c>
      <c r="J276" s="377">
        <f t="shared" si="28"/>
        <v>4625182.8613290358</v>
      </c>
      <c r="K276" s="377">
        <f t="shared" si="28"/>
        <v>4562102.0152915595</v>
      </c>
      <c r="L276" s="377">
        <f t="shared" si="28"/>
        <v>4255328.6555171413</v>
      </c>
      <c r="M276" s="377">
        <f t="shared" si="28"/>
        <v>3980487.3108484331</v>
      </c>
      <c r="N276" s="377">
        <f t="shared" si="28"/>
        <v>3720707.5037832339</v>
      </c>
      <c r="O276" s="377">
        <f t="shared" si="28"/>
        <v>49922185.985873573</v>
      </c>
    </row>
    <row r="277" spans="1:15" s="6" customFormat="1" ht="10.8" thickTop="1">
      <c r="A277" s="88"/>
      <c r="B277" s="88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</row>
    <row r="278" spans="1:15" s="6" customFormat="1">
      <c r="A278" s="88"/>
      <c r="B278" s="88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39"/>
    </row>
    <row r="279" spans="1:15" s="6" customFormat="1">
      <c r="A279" s="88" t="s">
        <v>126</v>
      </c>
      <c r="B279" s="209">
        <v>456.25200000000001</v>
      </c>
      <c r="C279" s="43">
        <f>'SECI-Credit Settlement'!$B$10*(-1)</f>
        <v>-566426.91666666674</v>
      </c>
      <c r="D279" s="43">
        <f>'SECI-Credit Settlement'!$B$10*(-1)</f>
        <v>-566426.91666666674</v>
      </c>
      <c r="E279" s="43">
        <f>'SECI-Credit Settlement'!$B$10*(-1)</f>
        <v>-566426.91666666674</v>
      </c>
      <c r="F279" s="43">
        <f>'SECI-Credit Settlement'!$B$10*(-1)</f>
        <v>-566426.91666666674</v>
      </c>
      <c r="G279" s="43">
        <f>'SECI-Credit Settlement'!$B$10*(-1)</f>
        <v>-566426.91666666674</v>
      </c>
      <c r="H279" s="43">
        <f>'SECI-Credit Settlement'!$B$10*(-1)</f>
        <v>-566426.91666666674</v>
      </c>
      <c r="I279" s="43">
        <f>'SECI-Credit Settlement'!$B$10*(-1)</f>
        <v>-566426.91666666674</v>
      </c>
      <c r="J279" s="43">
        <f>'SECI-Credit Settlement'!$B$10*(-1)</f>
        <v>-566426.91666666674</v>
      </c>
      <c r="K279" s="43">
        <f>'SECI-Credit Settlement'!$B$10*(-1)</f>
        <v>-566426.91666666674</v>
      </c>
      <c r="L279" s="43">
        <f>'SECI-Credit Settlement'!$B$10*(-1)</f>
        <v>-566426.91666666674</v>
      </c>
      <c r="M279" s="43">
        <f>'SECI-Credit Settlement'!$B$10*(-1)</f>
        <v>-566426.91666666674</v>
      </c>
      <c r="N279" s="43">
        <f>'SECI-Credit Settlement'!$B$10*(-1)</f>
        <v>-566426.91666666674</v>
      </c>
      <c r="O279" s="40">
        <f>SUM(C279:N279)</f>
        <v>-6797123.0000000028</v>
      </c>
    </row>
    <row r="280" spans="1:15" s="6" customFormat="1">
      <c r="A280" s="87"/>
      <c r="B280" s="87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</row>
    <row r="281" spans="1:15" s="6" customFormat="1">
      <c r="A281" s="87" t="s">
        <v>231</v>
      </c>
      <c r="B281" s="87"/>
      <c r="C281" s="39">
        <f>C276+C279</f>
        <v>3694651.6435168711</v>
      </c>
      <c r="D281" s="39">
        <f t="shared" ref="D281:O281" si="29">D276+D279</f>
        <v>3573115.658755132</v>
      </c>
      <c r="E281" s="39">
        <f t="shared" si="29"/>
        <v>3222168.8337714346</v>
      </c>
      <c r="F281" s="39">
        <f t="shared" si="29"/>
        <v>3073702.3073051693</v>
      </c>
      <c r="G281" s="39">
        <f t="shared" si="29"/>
        <v>3428622.298525257</v>
      </c>
      <c r="H281" s="39">
        <f t="shared" si="29"/>
        <v>3891488.451778613</v>
      </c>
      <c r="I281" s="39">
        <f t="shared" si="29"/>
        <v>3929640.0287850313</v>
      </c>
      <c r="J281" s="39">
        <f t="shared" si="29"/>
        <v>4058755.9446623689</v>
      </c>
      <c r="K281" s="39">
        <f t="shared" si="29"/>
        <v>3995675.0986248925</v>
      </c>
      <c r="L281" s="39">
        <f t="shared" si="29"/>
        <v>3688901.7388504744</v>
      </c>
      <c r="M281" s="39">
        <f t="shared" si="29"/>
        <v>3414060.3941817665</v>
      </c>
      <c r="N281" s="39">
        <f t="shared" si="29"/>
        <v>3154280.5871165674</v>
      </c>
      <c r="O281" s="39">
        <f t="shared" si="29"/>
        <v>43125062.985873573</v>
      </c>
    </row>
    <row r="282" spans="1:15" s="6" customFormat="1"/>
    <row r="283" spans="1:15" s="6" customFormat="1"/>
    <row r="284" spans="1:15" s="6" customFormat="1">
      <c r="A284" s="196" t="s">
        <v>312</v>
      </c>
      <c r="B284" s="202"/>
      <c r="C284" s="194" t="s">
        <v>0</v>
      </c>
      <c r="D284" s="194" t="s">
        <v>1</v>
      </c>
      <c r="E284" s="194" t="s">
        <v>2</v>
      </c>
      <c r="F284" s="194" t="s">
        <v>3</v>
      </c>
      <c r="G284" s="194" t="s">
        <v>4</v>
      </c>
      <c r="H284" s="194" t="s">
        <v>5</v>
      </c>
      <c r="I284" s="194" t="s">
        <v>6</v>
      </c>
      <c r="J284" s="194" t="s">
        <v>7</v>
      </c>
      <c r="K284" s="194" t="s">
        <v>8</v>
      </c>
      <c r="L284" s="194" t="s">
        <v>9</v>
      </c>
      <c r="M284" s="194" t="s">
        <v>10</v>
      </c>
      <c r="N284" s="194" t="s">
        <v>11</v>
      </c>
      <c r="O284" s="195" t="s">
        <v>12</v>
      </c>
    </row>
    <row r="285" spans="1:15" s="6" customFormat="1">
      <c r="A285" s="89"/>
      <c r="B285" s="89"/>
    </row>
    <row r="286" spans="1:15" s="6" customFormat="1">
      <c r="A286" s="88" t="s">
        <v>77</v>
      </c>
      <c r="B286" s="209">
        <v>456.21100000000001</v>
      </c>
      <c r="C286" s="39">
        <f>'FMPA Network'!B140</f>
        <v>697482.12</v>
      </c>
      <c r="D286" s="39">
        <f>'FMPA Network'!C140</f>
        <v>650195.52</v>
      </c>
      <c r="E286" s="39">
        <f>'FMPA Network'!D140</f>
        <v>568576.05000000005</v>
      </c>
      <c r="F286" s="39">
        <f>'FMPA Network'!E140</f>
        <v>611005.20000000007</v>
      </c>
      <c r="G286" s="39">
        <f>'FMPA Network'!F140</f>
        <v>689384.25</v>
      </c>
      <c r="H286" s="39">
        <f>'FMPA Network'!G140</f>
        <v>749789.94000000006</v>
      </c>
      <c r="I286" s="39">
        <f>'FMPA Network'!H140</f>
        <v>775700.58000000007</v>
      </c>
      <c r="J286" s="39">
        <f>'FMPA Network'!I140</f>
        <v>788978.67</v>
      </c>
      <c r="K286" s="39">
        <f>'FMPA Network'!J140</f>
        <v>719829.57000000007</v>
      </c>
      <c r="L286" s="39">
        <f>'FMPA Network'!K140</f>
        <v>665093.82000000007</v>
      </c>
      <c r="M286" s="39">
        <f>'FMPA Network'!L140</f>
        <v>595458.18000000005</v>
      </c>
      <c r="N286" s="39">
        <f>'FMPA Network'!M140</f>
        <v>571492.11</v>
      </c>
      <c r="O286" s="39">
        <f t="shared" ref="O286:O300" si="30">SUM(C286:N286)</f>
        <v>8082986.0100000007</v>
      </c>
    </row>
    <row r="287" spans="1:15" s="6" customFormat="1">
      <c r="A287" s="88" t="s">
        <v>136</v>
      </c>
      <c r="B287" s="209">
        <v>456.221</v>
      </c>
      <c r="C287" s="39">
        <f>'FMPA Network'!B147</f>
        <v>5588.6303200000002</v>
      </c>
      <c r="D287" s="39">
        <f>'FMPA Network'!C147</f>
        <v>5209.7427200000002</v>
      </c>
      <c r="E287" s="39">
        <f>'FMPA Network'!D147</f>
        <v>4555.7602999999999</v>
      </c>
      <c r="F287" s="39">
        <f>'FMPA Network'!E147</f>
        <v>4895.7272000000003</v>
      </c>
      <c r="G287" s="39">
        <f>'FMPA Network'!F147</f>
        <v>5523.7455</v>
      </c>
      <c r="H287" s="39">
        <f>'FMPA Network'!G147</f>
        <v>6007.7508399999997</v>
      </c>
      <c r="I287" s="39">
        <f>'FMPA Network'!H147</f>
        <v>6215.3618799999995</v>
      </c>
      <c r="J287" s="39">
        <f>'FMPA Network'!I147</f>
        <v>6321.7536199999995</v>
      </c>
      <c r="K287" s="39">
        <f>'FMPA Network'!J147</f>
        <v>5767.6910200000002</v>
      </c>
      <c r="L287" s="39">
        <f>'FMPA Network'!K147</f>
        <v>5329.1165199999996</v>
      </c>
      <c r="M287" s="39">
        <f>'FMPA Network'!L147</f>
        <v>4771.1554799999994</v>
      </c>
      <c r="N287" s="39">
        <f>'FMPA Network'!M147</f>
        <v>4579.1254600000002</v>
      </c>
      <c r="O287" s="39">
        <f>SUM(C287:N287)</f>
        <v>64765.560860000005</v>
      </c>
    </row>
    <row r="288" spans="1:15" s="6" customFormat="1">
      <c r="A288" s="88" t="s">
        <v>76</v>
      </c>
      <c r="B288" s="209">
        <v>456.22199999999998</v>
      </c>
      <c r="C288" s="39">
        <f>'FMPA Network'!B154</f>
        <v>30706.760000000002</v>
      </c>
      <c r="D288" s="39">
        <f>'FMPA Network'!C154</f>
        <v>28624.960000000003</v>
      </c>
      <c r="E288" s="39">
        <f>'FMPA Network'!D154</f>
        <v>25031.65</v>
      </c>
      <c r="F288" s="39">
        <f>'FMPA Network'!E154</f>
        <v>26899.600000000002</v>
      </c>
      <c r="G288" s="39">
        <f>'FMPA Network'!F154</f>
        <v>30350.250000000004</v>
      </c>
      <c r="H288" s="39">
        <f>'FMPA Network'!G154</f>
        <v>33009.620000000003</v>
      </c>
      <c r="I288" s="39">
        <f>'FMPA Network'!H154</f>
        <v>34150.340000000004</v>
      </c>
      <c r="J288" s="39">
        <f>'FMPA Network'!I154</f>
        <v>34734.910000000003</v>
      </c>
      <c r="K288" s="39">
        <f>'FMPA Network'!J154</f>
        <v>31690.610000000004</v>
      </c>
      <c r="L288" s="39">
        <f>'FMPA Network'!K154</f>
        <v>29280.860000000004</v>
      </c>
      <c r="M288" s="39">
        <f>'FMPA Network'!L154</f>
        <v>26215.140000000003</v>
      </c>
      <c r="N288" s="39">
        <f>'FMPA Network'!M154</f>
        <v>25160.030000000002</v>
      </c>
      <c r="O288" s="39">
        <f>SUM(C288:N288)</f>
        <v>355854.73000000004</v>
      </c>
    </row>
    <row r="289" spans="1:15" s="6" customFormat="1">
      <c r="A289" s="88" t="s">
        <v>120</v>
      </c>
      <c r="B289" s="209">
        <v>456.21100000000001</v>
      </c>
      <c r="C289" s="39">
        <f>'Vero Beach Network'!B138</f>
        <v>294733.53000000003</v>
      </c>
      <c r="D289" s="39">
        <f>'Vero Beach Network'!C138</f>
        <v>255867.57</v>
      </c>
      <c r="E289" s="39">
        <f>'Vero Beach Network'!D138</f>
        <v>204046.29</v>
      </c>
      <c r="F289" s="39">
        <f>'Vero Beach Network'!E138</f>
        <v>212144.16</v>
      </c>
      <c r="G289" s="39">
        <f>'Vero Beach Network'!F138</f>
        <v>233195.76</v>
      </c>
      <c r="H289" s="39">
        <f>'Vero Beach Network'!G138</f>
        <v>255867.57</v>
      </c>
      <c r="I289" s="39">
        <f>'Vero Beach Network'!H138</f>
        <v>254248.95</v>
      </c>
      <c r="J289" s="39">
        <f>'Vero Beach Network'!I138</f>
        <v>272061.72000000003</v>
      </c>
      <c r="K289" s="39">
        <f>'Vero Beach Network'!J138</f>
        <v>257487.78</v>
      </c>
      <c r="L289" s="39">
        <f>'Vero Beach Network'!K138</f>
        <v>241293.63</v>
      </c>
      <c r="M289" s="39">
        <f>'Vero Beach Network'!L138</f>
        <v>207285.12000000002</v>
      </c>
      <c r="N289" s="39">
        <f>'Vero Beach Network'!M138</f>
        <v>231577.14</v>
      </c>
      <c r="O289" s="39">
        <f t="shared" si="30"/>
        <v>2919809.22</v>
      </c>
    </row>
    <row r="290" spans="1:15" s="6" customFormat="1">
      <c r="A290" s="88" t="s">
        <v>137</v>
      </c>
      <c r="B290" s="209">
        <v>456.221</v>
      </c>
      <c r="C290" s="39">
        <f>'Vero Beach Network'!B145</f>
        <v>2361.5755799999997</v>
      </c>
      <c r="D290" s="39">
        <f>'Vero Beach Network'!C145</f>
        <v>2050.1590200000001</v>
      </c>
      <c r="E290" s="39">
        <f>'Vero Beach Network'!D145</f>
        <v>1634.93694</v>
      </c>
      <c r="F290" s="39">
        <f>'Vero Beach Network'!E145</f>
        <v>1699.82176</v>
      </c>
      <c r="G290" s="39">
        <f>'Vero Beach Network'!F145</f>
        <v>1868.49936</v>
      </c>
      <c r="H290" s="39">
        <f>'Vero Beach Network'!G145</f>
        <v>2050.1590200000001</v>
      </c>
      <c r="I290" s="39">
        <f>'Vero Beach Network'!H145</f>
        <v>2037.1896999999999</v>
      </c>
      <c r="J290" s="39">
        <f>'Vero Beach Network'!I145</f>
        <v>2179.9159199999999</v>
      </c>
      <c r="K290" s="39">
        <f>'Vero Beach Network'!J145</f>
        <v>2063.1410799999999</v>
      </c>
      <c r="L290" s="39">
        <f>'Vero Beach Network'!K145</f>
        <v>1933.38418</v>
      </c>
      <c r="M290" s="39">
        <f>'Vero Beach Network'!L145</f>
        <v>1660.88832</v>
      </c>
      <c r="N290" s="39">
        <f>'Vero Beach Network'!M145</f>
        <v>1855.5300399999999</v>
      </c>
      <c r="O290" s="39">
        <f t="shared" si="30"/>
        <v>23395.200919999999</v>
      </c>
    </row>
    <row r="291" spans="1:15" s="6" customFormat="1">
      <c r="A291" s="88" t="s">
        <v>121</v>
      </c>
      <c r="B291" s="209">
        <v>456.22199999999998</v>
      </c>
      <c r="C291" s="39">
        <f>'Vero Beach Network'!B152</f>
        <v>18684.993600000002</v>
      </c>
      <c r="D291" s="39">
        <f>'Vero Beach Network'!C152</f>
        <v>16221.038399999999</v>
      </c>
      <c r="E291" s="39">
        <f>'Vero Beach Network'!D152</f>
        <v>12935.764800000001</v>
      </c>
      <c r="F291" s="39">
        <f>'Vero Beach Network'!E152</f>
        <v>13449.1392</v>
      </c>
      <c r="G291" s="39">
        <f>'Vero Beach Network'!F152</f>
        <v>14783.7312</v>
      </c>
      <c r="H291" s="39">
        <f>'Vero Beach Network'!G152</f>
        <v>16221.038399999999</v>
      </c>
      <c r="I291" s="39">
        <f>'Vero Beach Network'!H152</f>
        <v>16118.424000000001</v>
      </c>
      <c r="J291" s="39">
        <f>'Vero Beach Network'!I152</f>
        <v>17247.686399999999</v>
      </c>
      <c r="K291" s="39">
        <f>'Vero Beach Network'!J152</f>
        <v>16323.7536</v>
      </c>
      <c r="L291" s="39">
        <f>'Vero Beach Network'!K152</f>
        <v>15297.105600000001</v>
      </c>
      <c r="M291" s="39">
        <f>'Vero Beach Network'!L152</f>
        <v>13141.0944</v>
      </c>
      <c r="N291" s="39">
        <f>'Vero Beach Network'!M152</f>
        <v>14681.1168</v>
      </c>
      <c r="O291" s="39">
        <f t="shared" si="30"/>
        <v>185104.88639999999</v>
      </c>
    </row>
    <row r="292" spans="1:15" s="6" customFormat="1">
      <c r="A292" s="88" t="s">
        <v>78</v>
      </c>
      <c r="B292" s="209">
        <v>456.21100000000001</v>
      </c>
      <c r="C292" s="39">
        <f>'SECI Network'!B138</f>
        <v>892026.44931227714</v>
      </c>
      <c r="D292" s="39">
        <f>'SECI Network'!C138</f>
        <v>711032.12429954158</v>
      </c>
      <c r="E292" s="39">
        <f>'SECI Network'!D138</f>
        <v>653071.23790117167</v>
      </c>
      <c r="F292" s="39">
        <f>'SECI Network'!E138</f>
        <v>618925.52215995931</v>
      </c>
      <c r="G292" s="39">
        <f>'SECI Network'!F138</f>
        <v>698482.22109016811</v>
      </c>
      <c r="H292" s="39">
        <f>'SECI Network'!G138</f>
        <v>754398.70606214984</v>
      </c>
      <c r="I292" s="39">
        <f>'SECI Network'!H138</f>
        <v>748557.09628120228</v>
      </c>
      <c r="J292" s="39">
        <f>'SECI Network'!I138</f>
        <v>746143.34182373923</v>
      </c>
      <c r="K292" s="39">
        <f>'SECI Network'!J138</f>
        <v>756527.34589913406</v>
      </c>
      <c r="L292" s="39">
        <f>'SECI Network'!K138</f>
        <v>657822.60825267446</v>
      </c>
      <c r="M292" s="39">
        <f>'SECI Network'!L138</f>
        <v>633986.37799286807</v>
      </c>
      <c r="N292" s="39">
        <f>'SECI Network'!M138</f>
        <v>685989.01681100356</v>
      </c>
      <c r="O292" s="39">
        <f t="shared" si="30"/>
        <v>8556962.0478858892</v>
      </c>
    </row>
    <row r="293" spans="1:15" s="6" customFormat="1">
      <c r="A293" s="88" t="s">
        <v>138</v>
      </c>
      <c r="B293" s="209">
        <v>456.221</v>
      </c>
      <c r="C293" s="39">
        <f>'SECI Network'!B143</f>
        <v>7147.4320529801316</v>
      </c>
      <c r="D293" s="39">
        <f>'SECI Network'!C143</f>
        <v>5697.2007947019865</v>
      </c>
      <c r="E293" s="39">
        <f>'SECI Network'!D143</f>
        <v>5232.784635761589</v>
      </c>
      <c r="F293" s="39">
        <f>'SECI Network'!E143</f>
        <v>4959.1894039735098</v>
      </c>
      <c r="G293" s="39">
        <f>'SECI Network'!F143</f>
        <v>5596.643708609271</v>
      </c>
      <c r="H293" s="39">
        <f>'SECI Network'!G143</f>
        <v>6044.6789403973507</v>
      </c>
      <c r="I293" s="39">
        <f>'SECI Network'!H143</f>
        <v>5997.872582781456</v>
      </c>
      <c r="J293" s="39">
        <f>'SECI Network'!I143</f>
        <v>5978.532185430463</v>
      </c>
      <c r="K293" s="39">
        <f>'SECI Network'!J143</f>
        <v>6061.7348344370857</v>
      </c>
      <c r="L293" s="39">
        <f>'SECI Network'!K143</f>
        <v>5270.8553642384104</v>
      </c>
      <c r="M293" s="39">
        <f>'SECI Network'!L143</f>
        <v>5079.8656953642385</v>
      </c>
      <c r="N293" s="39">
        <f>'SECI Network'!M143</f>
        <v>5496.5409271523176</v>
      </c>
      <c r="O293" s="39">
        <f t="shared" si="30"/>
        <v>68563.331125827812</v>
      </c>
    </row>
    <row r="294" spans="1:15" s="6" customFormat="1">
      <c r="A294" s="88" t="s">
        <v>74</v>
      </c>
      <c r="B294" s="209">
        <v>456.22199999999998</v>
      </c>
      <c r="C294" s="39">
        <f>'SECI Network'!B148</f>
        <v>11220.458481915435</v>
      </c>
      <c r="D294" s="39">
        <f>'SECI Network'!C148</f>
        <v>8943.8003056546113</v>
      </c>
      <c r="E294" s="39">
        <f>'SECI Network'!D148</f>
        <v>8214.7325522159954</v>
      </c>
      <c r="F294" s="39">
        <f>'SECI Network'!E148</f>
        <v>7785.2266938359653</v>
      </c>
      <c r="G294" s="39">
        <f>'SECI Network'!F148</f>
        <v>8785.9398879266428</v>
      </c>
      <c r="H294" s="39">
        <f>'SECI Network'!G148</f>
        <v>9489.291900152828</v>
      </c>
      <c r="I294" s="39">
        <f>'SECI Network'!H148</f>
        <v>9415.8125318390212</v>
      </c>
      <c r="J294" s="39">
        <f>'SECI Network'!I148</f>
        <v>9385.4508405501783</v>
      </c>
      <c r="K294" s="39">
        <f>'SECI Network'!J148</f>
        <v>9516.0672440142644</v>
      </c>
      <c r="L294" s="39">
        <f>'SECI Network'!K148</f>
        <v>8274.4982170147723</v>
      </c>
      <c r="M294" s="39">
        <f>'SECI Network'!L148</f>
        <v>7974.6714212939378</v>
      </c>
      <c r="N294" s="39">
        <f>'SECI Network'!M148</f>
        <v>8628.7926642893526</v>
      </c>
      <c r="O294" s="39">
        <f t="shared" si="30"/>
        <v>107634.74274070302</v>
      </c>
    </row>
    <row r="295" spans="1:15" s="6" customFormat="1">
      <c r="A295" s="88" t="s">
        <v>56</v>
      </c>
      <c r="B295" s="209">
        <v>456.22399999999999</v>
      </c>
      <c r="C295" s="39">
        <f>SECI_Regulation_Imbalance!B91</f>
        <v>36490.614080806256</v>
      </c>
      <c r="D295" s="39">
        <f>SECI_Regulation_Imbalance!C91</f>
        <v>29086.580192879614</v>
      </c>
      <c r="E295" s="39">
        <f>SECI_Regulation_Imbalance!D91</f>
        <v>26715.542498534225</v>
      </c>
      <c r="F295" s="39">
        <f>SECI_Regulation_Imbalance!E91</f>
        <v>25318.725021203616</v>
      </c>
      <c r="G295" s="39">
        <f>SECI_Regulation_Imbalance!F91</f>
        <v>28573.194435365607</v>
      </c>
      <c r="H295" s="39">
        <f>SECI_Regulation_Imbalance!G91</f>
        <v>30860.60068192699</v>
      </c>
      <c r="I295" s="39">
        <f>SECI_Regulation_Imbalance!H91</f>
        <v>30621.634754265251</v>
      </c>
      <c r="J295" s="39">
        <f>SECI_Regulation_Imbalance!I91</f>
        <v>30522.89397994024</v>
      </c>
      <c r="K295" s="39">
        <f>SECI_Regulation_Imbalance!J91</f>
        <v>30947.678116465959</v>
      </c>
      <c r="L295" s="39">
        <f>SECI_Regulation_Imbalance!K91</f>
        <v>26909.909405309572</v>
      </c>
      <c r="M295" s="39">
        <f>SECI_Regulation_Imbalance!L91</f>
        <v>25934.827691606057</v>
      </c>
      <c r="N295" s="39">
        <f>SECI_Regulation_Imbalance!M91</f>
        <v>28062.128092013598</v>
      </c>
      <c r="O295" s="39">
        <f t="shared" si="30"/>
        <v>350044.32895031699</v>
      </c>
    </row>
    <row r="296" spans="1:15" s="6" customFormat="1">
      <c r="A296" s="88" t="s">
        <v>260</v>
      </c>
      <c r="B296" s="209">
        <v>456.24900000000002</v>
      </c>
      <c r="C296" s="43">
        <f>'Radial Facilities'!B89</f>
        <v>20405.489999999998</v>
      </c>
      <c r="D296" s="43">
        <f>'Radial Facilities'!C89</f>
        <v>20188.830000000002</v>
      </c>
      <c r="E296" s="43">
        <f>'Radial Facilities'!D89</f>
        <v>20188.830000000002</v>
      </c>
      <c r="F296" s="43">
        <f>'Radial Facilities'!E89</f>
        <v>20188.830000000002</v>
      </c>
      <c r="G296" s="43">
        <f>'Radial Facilities'!F89</f>
        <v>20188.830000000002</v>
      </c>
      <c r="H296" s="43">
        <f>'Radial Facilities'!G89</f>
        <v>20188.830000000002</v>
      </c>
      <c r="I296" s="43">
        <f>'Radial Facilities'!H89</f>
        <v>20188.830000000002</v>
      </c>
      <c r="J296" s="43">
        <f>'Radial Facilities'!I89</f>
        <v>20188.830000000002</v>
      </c>
      <c r="K296" s="43">
        <f>'Radial Facilities'!J89</f>
        <v>20188.830000000002</v>
      </c>
      <c r="L296" s="43">
        <f>'Radial Facilities'!K89</f>
        <v>20188.830000000002</v>
      </c>
      <c r="M296" s="43">
        <f>'Radial Facilities'!L89</f>
        <v>20188.830000000002</v>
      </c>
      <c r="N296" s="43">
        <f>'Radial Facilities'!M89</f>
        <v>20188.830000000002</v>
      </c>
      <c r="O296" s="40">
        <f t="shared" si="30"/>
        <v>242482.62000000011</v>
      </c>
    </row>
    <row r="297" spans="1:15" s="6" customFormat="1">
      <c r="A297" s="88" t="s">
        <v>124</v>
      </c>
      <c r="B297" s="209">
        <v>456.21100000000001</v>
      </c>
      <c r="C297" s="43">
        <f>'LCEC Network'!B102</f>
        <v>872429.04876349901</v>
      </c>
      <c r="D297" s="43">
        <f>'LCEC Network'!C102</f>
        <v>1187186.2251776557</v>
      </c>
      <c r="E297" s="43">
        <f>'LCEC Network'!D102</f>
        <v>1065753.6750583022</v>
      </c>
      <c r="F297" s="43">
        <f>'LCEC Network'!E102</f>
        <v>982317.01538648456</v>
      </c>
      <c r="G297" s="43">
        <f>'LCEC Network'!F102</f>
        <v>972347.38098185905</v>
      </c>
      <c r="H297" s="43">
        <f>'LCEC Network'!G102</f>
        <v>1124262.688234709</v>
      </c>
      <c r="I297" s="43">
        <f>'LCEC Network'!H102</f>
        <v>1230563.0696234002</v>
      </c>
      <c r="J297" s="43">
        <f>'LCEC Network'!I102</f>
        <v>1204658.8993947243</v>
      </c>
      <c r="K297" s="43">
        <f>'LCEC Network'!J102</f>
        <v>1259960.5761122229</v>
      </c>
      <c r="L297" s="43">
        <f>'LCEC Network'!K102</f>
        <v>1082032.6476545751</v>
      </c>
      <c r="M297" s="43">
        <f>'LCEC Network'!L102</f>
        <v>1134471.4608457366</v>
      </c>
      <c r="N297" s="43">
        <f>'LCEC Network'!M102</f>
        <v>929356.97649451927</v>
      </c>
      <c r="O297" s="40">
        <f t="shared" si="30"/>
        <v>13045339.663727686</v>
      </c>
    </row>
    <row r="298" spans="1:15" s="6" customFormat="1">
      <c r="A298" s="88" t="s">
        <v>139</v>
      </c>
      <c r="B298" s="209">
        <v>456.221</v>
      </c>
      <c r="C298" s="43">
        <f>'LCEC Network'!B109</f>
        <v>6990.4063404069029</v>
      </c>
      <c r="D298" s="43">
        <f>'LCEC Network'!C109</f>
        <v>9512.4229614863725</v>
      </c>
      <c r="E298" s="43">
        <f>'LCEC Network'!D109</f>
        <v>8539.4351070709236</v>
      </c>
      <c r="F298" s="43">
        <f>'LCEC Network'!E109</f>
        <v>7870.8923119646615</v>
      </c>
      <c r="G298" s="43">
        <f>'LCEC Network'!F109</f>
        <v>7791.0098325213103</v>
      </c>
      <c r="H298" s="43">
        <f>'LCEC Network'!G109</f>
        <v>9008.2431749120697</v>
      </c>
      <c r="I298" s="43">
        <f>'LCEC Network'!H109</f>
        <v>9859.9833377371815</v>
      </c>
      <c r="J298" s="43">
        <f>'LCEC Network'!I109</f>
        <v>9652.4241372885444</v>
      </c>
      <c r="K298" s="43">
        <f>'LCEC Network'!J109</f>
        <v>10095.533169603596</v>
      </c>
      <c r="L298" s="43">
        <f>'LCEC Network'!K109</f>
        <v>8669.871654792003</v>
      </c>
      <c r="M298" s="43">
        <f>'LCEC Network'!L109</f>
        <v>9090.0417680343908</v>
      </c>
      <c r="N298" s="43">
        <f>'LCEC Network'!M109</f>
        <v>7446.5458368177206</v>
      </c>
      <c r="O298" s="40">
        <f t="shared" si="30"/>
        <v>104526.80963263569</v>
      </c>
    </row>
    <row r="299" spans="1:15" s="6" customFormat="1">
      <c r="A299" s="88" t="s">
        <v>177</v>
      </c>
      <c r="B299" s="209">
        <v>456.21100000000001</v>
      </c>
      <c r="C299" s="43">
        <f>'FKEC Network'!B102</f>
        <v>186520.78464049424</v>
      </c>
      <c r="D299" s="43">
        <f>'FKEC Network'!C102</f>
        <v>182106.39503615955</v>
      </c>
      <c r="E299" s="43">
        <f>'FKEC Network'!D102</f>
        <v>193767.74081045928</v>
      </c>
      <c r="F299" s="43">
        <f>'FKEC Network'!E102</f>
        <v>183879.86770847015</v>
      </c>
      <c r="G299" s="43">
        <f>'FKEC Network'!F102</f>
        <v>218367.02832535346</v>
      </c>
      <c r="H299" s="43">
        <f>'FKEC Network'!G102</f>
        <v>232121.92124376248</v>
      </c>
      <c r="I299" s="43">
        <f>'FKEC Network'!H102</f>
        <v>238889.48304065876</v>
      </c>
      <c r="J299" s="43">
        <f>'FKEC Network'!I102</f>
        <v>258778.75169033767</v>
      </c>
      <c r="K299" s="43">
        <f>'FKEC Network'!J102</f>
        <v>252435.2668045724</v>
      </c>
      <c r="L299" s="43">
        <f>'FKEC Network'!K102</f>
        <v>232882.12602122198</v>
      </c>
      <c r="M299" s="43">
        <f>'FKEC Network'!L102</f>
        <v>222654.21880334357</v>
      </c>
      <c r="N299" s="43">
        <f>'FKEC Network'!M102</f>
        <v>197533.47287728687</v>
      </c>
      <c r="O299" s="40">
        <f t="shared" si="30"/>
        <v>2599937.0570021202</v>
      </c>
    </row>
    <row r="300" spans="1:15" s="6" customFormat="1">
      <c r="A300" s="88" t="s">
        <v>178</v>
      </c>
      <c r="B300" s="209">
        <v>456.221</v>
      </c>
      <c r="C300" s="43">
        <f>'FKEC Network'!B109</f>
        <v>1494.5124505156582</v>
      </c>
      <c r="D300" s="43">
        <f>'FKEC Network'!C109</f>
        <v>1459.1418067677184</v>
      </c>
      <c r="E300" s="43">
        <f>'FKEC Network'!D109</f>
        <v>1552.5792565567615</v>
      </c>
      <c r="F300" s="43">
        <f>'FKEC Network'!E109</f>
        <v>1473.3518959785595</v>
      </c>
      <c r="G300" s="43">
        <f>'FKEC Network'!F109</f>
        <v>1749.6829816761024</v>
      </c>
      <c r="H300" s="43">
        <f>'FKEC Network'!G109</f>
        <v>1859.8951425443609</v>
      </c>
      <c r="I300" s="43">
        <f>'FKEC Network'!H109</f>
        <v>1914.1207634830139</v>
      </c>
      <c r="J300" s="43">
        <f>'FKEC Network'!I109</f>
        <v>2073.4850921603156</v>
      </c>
      <c r="K300" s="43">
        <f>'FKEC Network'!J109</f>
        <v>2022.6574208114794</v>
      </c>
      <c r="L300" s="43">
        <f>'FKEC Network'!K109</f>
        <v>1865.9863430882815</v>
      </c>
      <c r="M300" s="43">
        <f>'FKEC Network'!L109</f>
        <v>1784.0344324242747</v>
      </c>
      <c r="N300" s="43">
        <f>'FKEC Network'!M109</f>
        <v>1582.7524807903362</v>
      </c>
      <c r="O300" s="40">
        <f t="shared" si="30"/>
        <v>20832.200066796864</v>
      </c>
    </row>
    <row r="301" spans="1:15" s="6" customFormat="1">
      <c r="A301" s="88" t="s">
        <v>191</v>
      </c>
      <c r="B301" s="209">
        <v>456.21100000000001</v>
      </c>
      <c r="C301" s="43">
        <f>'Wauchula Network'!B123</f>
        <v>0</v>
      </c>
      <c r="D301" s="43">
        <f>'Wauchula Network'!C123</f>
        <v>0</v>
      </c>
      <c r="E301" s="43">
        <f>'Wauchula Network'!D123</f>
        <v>0</v>
      </c>
      <c r="F301" s="43">
        <f>'Wauchula Network'!E123</f>
        <v>0</v>
      </c>
      <c r="G301" s="43">
        <f>'Wauchula Network'!F123</f>
        <v>0</v>
      </c>
      <c r="H301" s="43">
        <f>'Wauchula Network'!G123</f>
        <v>0</v>
      </c>
      <c r="I301" s="43">
        <f>'Wauchula Network'!H123</f>
        <v>0</v>
      </c>
      <c r="J301" s="43">
        <f>'Wauchula Network'!I123</f>
        <v>0</v>
      </c>
      <c r="K301" s="43">
        <f>'Wauchula Network'!J123</f>
        <v>0</v>
      </c>
      <c r="L301" s="43">
        <f>'Wauchula Network'!K123</f>
        <v>0</v>
      </c>
      <c r="M301" s="43">
        <f>'Wauchula Network'!L123</f>
        <v>0</v>
      </c>
      <c r="N301" s="43">
        <f>'Wauchula Network'!M123</f>
        <v>0</v>
      </c>
      <c r="O301" s="40">
        <f>SUM(C301:N301)</f>
        <v>0</v>
      </c>
    </row>
    <row r="302" spans="1:15" s="6" customFormat="1">
      <c r="A302" s="88" t="s">
        <v>192</v>
      </c>
      <c r="B302" s="209">
        <v>456.221</v>
      </c>
      <c r="C302" s="43">
        <f>'Wauchula Network'!B130</f>
        <v>0</v>
      </c>
      <c r="D302" s="43">
        <f>'Wauchula Network'!C130</f>
        <v>0</v>
      </c>
      <c r="E302" s="43">
        <f>'Wauchula Network'!D130</f>
        <v>0</v>
      </c>
      <c r="F302" s="43">
        <f>'Wauchula Network'!E130</f>
        <v>0</v>
      </c>
      <c r="G302" s="43">
        <f>'Wauchula Network'!F130</f>
        <v>0</v>
      </c>
      <c r="H302" s="43">
        <f>'Wauchula Network'!G130</f>
        <v>0</v>
      </c>
      <c r="I302" s="43">
        <f>'Wauchula Network'!H130</f>
        <v>0</v>
      </c>
      <c r="J302" s="43">
        <f>'Wauchula Network'!I130</f>
        <v>0</v>
      </c>
      <c r="K302" s="43">
        <f>'Wauchula Network'!J130</f>
        <v>0</v>
      </c>
      <c r="L302" s="43">
        <f>'Wauchula Network'!K130</f>
        <v>0</v>
      </c>
      <c r="M302" s="43">
        <f>'Wauchula Network'!L130</f>
        <v>0</v>
      </c>
      <c r="N302" s="43">
        <f>'Wauchula Network'!M130</f>
        <v>0</v>
      </c>
      <c r="O302" s="40">
        <f>SUM(C302:N302)</f>
        <v>0</v>
      </c>
    </row>
    <row r="303" spans="1:15" s="6" customFormat="1">
      <c r="A303" s="88" t="s">
        <v>285</v>
      </c>
      <c r="B303" s="209">
        <v>456.21100000000001</v>
      </c>
      <c r="C303" s="43">
        <f>'Winter Park Network'!B93</f>
        <v>100756.42697999999</v>
      </c>
      <c r="D303" s="43">
        <f>'Winter Park Network'!C93</f>
        <v>95400</v>
      </c>
      <c r="E303" s="43">
        <f>'Winter Park Network'!D93</f>
        <v>69905.737275000007</v>
      </c>
      <c r="F303" s="43">
        <f>'Winter Park Network'!E93</f>
        <v>75271.074615000005</v>
      </c>
      <c r="G303" s="43">
        <f>'Winter Park Network'!F93</f>
        <v>103439.09565</v>
      </c>
      <c r="H303" s="43">
        <f>'Winter Park Network'!G93</f>
        <v>106121.76431999999</v>
      </c>
      <c r="I303" s="43">
        <f>'Winter Park Network'!H93</f>
        <v>102097.76131499998</v>
      </c>
      <c r="J303" s="43">
        <f>'Winter Park Network'!I93</f>
        <v>114169.77032999998</v>
      </c>
      <c r="K303" s="43">
        <f>'Winter Park Network'!J93</f>
        <v>95400</v>
      </c>
      <c r="L303" s="43">
        <f>'Winter Park Network'!K93</f>
        <v>96732.423975000012</v>
      </c>
      <c r="M303" s="43">
        <f>'Winter Park Network'!L93</f>
        <v>68564.40294</v>
      </c>
      <c r="N303" s="43">
        <f>'Winter Park Network'!M93</f>
        <v>68564.40294</v>
      </c>
      <c r="O303" s="40">
        <f t="shared" ref="O303:O304" si="31">SUM(C303:N303)</f>
        <v>1096422.8603399999</v>
      </c>
    </row>
    <row r="304" spans="1:15" s="6" customFormat="1">
      <c r="A304" s="88" t="s">
        <v>416</v>
      </c>
      <c r="B304" s="209">
        <v>456.221</v>
      </c>
      <c r="C304" s="43">
        <f>'Winter Park Network'!B100</f>
        <v>807.31879227999991</v>
      </c>
      <c r="D304" s="43">
        <f>'Winter Park Network'!C100</f>
        <v>764.4</v>
      </c>
      <c r="E304" s="43">
        <f>'Winter Park Network'!D100</f>
        <v>560.12521564999997</v>
      </c>
      <c r="F304" s="43">
        <f>'Winter Park Network'!E100</f>
        <v>603.11540288999993</v>
      </c>
      <c r="G304" s="43">
        <f>'Winter Park Network'!F100</f>
        <v>828.81388589999995</v>
      </c>
      <c r="H304" s="43">
        <f>'Winter Park Network'!G100</f>
        <v>850.30897951999987</v>
      </c>
      <c r="I304" s="43">
        <f>'Winter Park Network'!H100</f>
        <v>818.06633908999981</v>
      </c>
      <c r="J304" s="43">
        <f>'Winter Park Network'!I100</f>
        <v>914.79426037999986</v>
      </c>
      <c r="K304" s="43">
        <f>'Winter Park Network'!J100</f>
        <v>764.4</v>
      </c>
      <c r="L304" s="43">
        <f>'Winter Park Network'!K100</f>
        <v>775.07615184999997</v>
      </c>
      <c r="M304" s="43">
        <f>'Winter Park Network'!L100</f>
        <v>549.37766883999996</v>
      </c>
      <c r="N304" s="43">
        <f>'Winter Park Network'!M100</f>
        <v>549.37766883999996</v>
      </c>
      <c r="O304" s="40">
        <f t="shared" si="31"/>
        <v>8785.17436524</v>
      </c>
    </row>
    <row r="305" spans="1:17">
      <c r="A305" s="88" t="s">
        <v>306</v>
      </c>
      <c r="B305" s="209">
        <v>456.21100000000001</v>
      </c>
      <c r="C305" s="43">
        <f>'New Smyrna Network'!B126</f>
        <v>0</v>
      </c>
      <c r="D305" s="43">
        <f>'New Smyrna Network'!C126</f>
        <v>0</v>
      </c>
      <c r="E305" s="43">
        <f>'New Smyrna Network'!D126</f>
        <v>0</v>
      </c>
      <c r="F305" s="43">
        <f>'New Smyrna Network'!E126</f>
        <v>0</v>
      </c>
      <c r="G305" s="43">
        <f>'New Smyrna Network'!F126</f>
        <v>0</v>
      </c>
      <c r="H305" s="43">
        <f>'New Smyrna Network'!G126</f>
        <v>0</v>
      </c>
      <c r="I305" s="43">
        <f>'New Smyrna Network'!H126</f>
        <v>0</v>
      </c>
      <c r="J305" s="43">
        <f>'New Smyrna Network'!I126</f>
        <v>0</v>
      </c>
      <c r="K305" s="43">
        <f>'New Smyrna Network'!J126</f>
        <v>0</v>
      </c>
      <c r="L305" s="43">
        <f>'New Smyrna Network'!K126</f>
        <v>0</v>
      </c>
      <c r="M305" s="43">
        <f>'New Smyrna Network'!L126</f>
        <v>0</v>
      </c>
      <c r="N305" s="43">
        <f>'New Smyrna Network'!M126</f>
        <v>0</v>
      </c>
      <c r="O305" s="40">
        <f t="shared" ref="O305:O307" si="32">SUM(C305:N305)</f>
        <v>0</v>
      </c>
    </row>
    <row r="306" spans="1:17">
      <c r="A306" s="88" t="s">
        <v>307</v>
      </c>
      <c r="B306" s="209">
        <v>456.221</v>
      </c>
      <c r="C306" s="43">
        <f>'New Smyrna Network'!B133</f>
        <v>0</v>
      </c>
      <c r="D306" s="43">
        <f>'New Smyrna Network'!C133</f>
        <v>0</v>
      </c>
      <c r="E306" s="43">
        <f>'New Smyrna Network'!D133</f>
        <v>0</v>
      </c>
      <c r="F306" s="43">
        <f>'New Smyrna Network'!E133</f>
        <v>0</v>
      </c>
      <c r="G306" s="43">
        <f>'New Smyrna Network'!F133</f>
        <v>0</v>
      </c>
      <c r="H306" s="43">
        <f>'New Smyrna Network'!G133</f>
        <v>0</v>
      </c>
      <c r="I306" s="43">
        <f>'New Smyrna Network'!H133</f>
        <v>0</v>
      </c>
      <c r="J306" s="43">
        <f>'New Smyrna Network'!I133</f>
        <v>0</v>
      </c>
      <c r="K306" s="43">
        <f>'New Smyrna Network'!J133</f>
        <v>0</v>
      </c>
      <c r="L306" s="43">
        <f>'New Smyrna Network'!K133</f>
        <v>0</v>
      </c>
      <c r="M306" s="43">
        <f>'New Smyrna Network'!L133</f>
        <v>0</v>
      </c>
      <c r="N306" s="43">
        <f>'New Smyrna Network'!M133</f>
        <v>0</v>
      </c>
      <c r="O306" s="40">
        <f t="shared" si="32"/>
        <v>0</v>
      </c>
    </row>
    <row r="307" spans="1:17">
      <c r="A307" s="88" t="s">
        <v>408</v>
      </c>
      <c r="B307" s="209">
        <v>456.22199999999998</v>
      </c>
      <c r="C307" s="43">
        <f>'New Smyrna Network'!B140</f>
        <v>0</v>
      </c>
      <c r="D307" s="43">
        <f>'New Smyrna Network'!C140</f>
        <v>0</v>
      </c>
      <c r="E307" s="43">
        <f>'New Smyrna Network'!D140</f>
        <v>0</v>
      </c>
      <c r="F307" s="43">
        <f>'New Smyrna Network'!E140</f>
        <v>0</v>
      </c>
      <c r="G307" s="43">
        <f>'New Smyrna Network'!F140</f>
        <v>0</v>
      </c>
      <c r="H307" s="43">
        <f>'New Smyrna Network'!G140</f>
        <v>0</v>
      </c>
      <c r="I307" s="43">
        <f>'New Smyrna Network'!H140</f>
        <v>0</v>
      </c>
      <c r="J307" s="43">
        <f>'New Smyrna Network'!I140</f>
        <v>0</v>
      </c>
      <c r="K307" s="43">
        <f>'New Smyrna Network'!J140</f>
        <v>0</v>
      </c>
      <c r="L307" s="43">
        <f>'New Smyrna Network'!K140</f>
        <v>0</v>
      </c>
      <c r="M307" s="43">
        <f>'New Smyrna Network'!L140</f>
        <v>0</v>
      </c>
      <c r="N307" s="43">
        <f>'New Smyrna Network'!M140</f>
        <v>0</v>
      </c>
      <c r="O307" s="40">
        <f t="shared" si="32"/>
        <v>0</v>
      </c>
    </row>
    <row r="308" spans="1:17">
      <c r="A308" s="88" t="s">
        <v>13</v>
      </c>
      <c r="B308" s="209">
        <v>456.21300000000002</v>
      </c>
      <c r="C308" s="42">
        <v>0</v>
      </c>
      <c r="D308" s="42">
        <v>0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f t="shared" ref="O308:O325" si="33">SUM(C308:N308)</f>
        <v>0</v>
      </c>
    </row>
    <row r="309" spans="1:17">
      <c r="A309" s="445" t="s">
        <v>360</v>
      </c>
      <c r="B309" s="209">
        <v>456.21100000000001</v>
      </c>
      <c r="C309" s="43">
        <f>'Georgia Trans Network'!B126</f>
        <v>41917.170000000006</v>
      </c>
      <c r="D309" s="43">
        <f>'Georgia Trans Network'!C126</f>
        <v>41917.170000000006</v>
      </c>
      <c r="E309" s="43">
        <f>'Georgia Trans Network'!D126</f>
        <v>41917.170000000006</v>
      </c>
      <c r="F309" s="43">
        <f>'Georgia Trans Network'!E126</f>
        <v>41917.170000000006</v>
      </c>
      <c r="G309" s="43">
        <f>'Georgia Trans Network'!F126</f>
        <v>41917.170000000006</v>
      </c>
      <c r="H309" s="43">
        <f>'Georgia Trans Network'!G126</f>
        <v>41915.58</v>
      </c>
      <c r="I309" s="43">
        <f>'Georgia Trans Network'!H126</f>
        <v>41915.58</v>
      </c>
      <c r="J309" s="43">
        <f>'Georgia Trans Network'!I126</f>
        <v>41915.58</v>
      </c>
      <c r="K309" s="43">
        <f>'Georgia Trans Network'!J126</f>
        <v>41915.58</v>
      </c>
      <c r="L309" s="43">
        <f>'Georgia Trans Network'!K126</f>
        <v>46750.770000000004</v>
      </c>
      <c r="M309" s="43">
        <f>'Georgia Trans Network'!L126</f>
        <v>46750.770000000004</v>
      </c>
      <c r="N309" s="43">
        <f>'Georgia Trans Network'!M126</f>
        <v>46750.770000000004</v>
      </c>
      <c r="O309" s="40">
        <f t="shared" si="33"/>
        <v>517500.48000000016</v>
      </c>
    </row>
    <row r="310" spans="1:17">
      <c r="A310" s="445" t="s">
        <v>361</v>
      </c>
      <c r="B310" s="209">
        <v>456.221</v>
      </c>
      <c r="C310" s="43">
        <f>'Georgia Trans Network'!B133</f>
        <v>335.86462</v>
      </c>
      <c r="D310" s="43">
        <f>'Georgia Trans Network'!C133</f>
        <v>335.86462</v>
      </c>
      <c r="E310" s="43">
        <f>'Georgia Trans Network'!D133</f>
        <v>335.86462</v>
      </c>
      <c r="F310" s="43">
        <f>'Georgia Trans Network'!E133</f>
        <v>335.86462</v>
      </c>
      <c r="G310" s="43">
        <f>'Georgia Trans Network'!F133</f>
        <v>335.86462</v>
      </c>
      <c r="H310" s="43">
        <f>'Georgia Trans Network'!G133</f>
        <v>335.85187999999999</v>
      </c>
      <c r="I310" s="43">
        <f>'Georgia Trans Network'!H133</f>
        <v>335.85187999999999</v>
      </c>
      <c r="J310" s="43">
        <f>'Georgia Trans Network'!I133</f>
        <v>335.85187999999999</v>
      </c>
      <c r="K310" s="43">
        <f>'Georgia Trans Network'!J133</f>
        <v>335.85187999999999</v>
      </c>
      <c r="L310" s="43">
        <f>'Georgia Trans Network'!K133</f>
        <v>374.59422000000001</v>
      </c>
      <c r="M310" s="43">
        <f>'Georgia Trans Network'!L133</f>
        <v>374.59422000000001</v>
      </c>
      <c r="N310" s="43">
        <f>'Georgia Trans Network'!M133</f>
        <v>374.59422000000001</v>
      </c>
      <c r="O310" s="40">
        <f t="shared" si="33"/>
        <v>4146.5132800000001</v>
      </c>
    </row>
    <row r="311" spans="1:17">
      <c r="A311" s="445" t="s">
        <v>405</v>
      </c>
      <c r="B311" s="209">
        <v>456.22199999999998</v>
      </c>
      <c r="C311" s="43">
        <f>'Georgia Trans Network'!B140</f>
        <v>2657.3904000000002</v>
      </c>
      <c r="D311" s="43">
        <f>'Georgia Trans Network'!C140</f>
        <v>2657.3904000000002</v>
      </c>
      <c r="E311" s="43">
        <f>'Georgia Trans Network'!D140</f>
        <v>2657.3904000000002</v>
      </c>
      <c r="F311" s="43">
        <f>'Georgia Trans Network'!E140</f>
        <v>2657.3904000000002</v>
      </c>
      <c r="G311" s="43">
        <f>'Georgia Trans Network'!F140</f>
        <v>2657.3904000000002</v>
      </c>
      <c r="H311" s="43">
        <f>'Georgia Trans Network'!G140</f>
        <v>2657.2896000000001</v>
      </c>
      <c r="I311" s="43">
        <f>'Georgia Trans Network'!H140</f>
        <v>2657.2896000000001</v>
      </c>
      <c r="J311" s="43">
        <f>'Georgia Trans Network'!I140</f>
        <v>2657.2896000000001</v>
      </c>
      <c r="K311" s="43">
        <f>'Georgia Trans Network'!J140</f>
        <v>2657.2896000000001</v>
      </c>
      <c r="L311" s="43">
        <f>'Georgia Trans Network'!K140</f>
        <v>2963.8224</v>
      </c>
      <c r="M311" s="43">
        <f>'Georgia Trans Network'!L140</f>
        <v>2963.8224</v>
      </c>
      <c r="N311" s="43">
        <f>'Georgia Trans Network'!M140</f>
        <v>2963.8224</v>
      </c>
      <c r="O311" s="40">
        <f t="shared" si="33"/>
        <v>32807.577600000004</v>
      </c>
    </row>
    <row r="312" spans="1:17">
      <c r="A312" s="88" t="s">
        <v>310</v>
      </c>
      <c r="B312" s="209">
        <v>456.21100000000001</v>
      </c>
      <c r="C312" s="42">
        <f>'Lake Worth Network Transmission'!B125</f>
        <v>113471.04866457131</v>
      </c>
      <c r="D312" s="42">
        <f>'Lake Worth Network Transmission'!C125</f>
        <v>0</v>
      </c>
      <c r="E312" s="42">
        <f>'Lake Worth Network Transmission'!D125</f>
        <v>0</v>
      </c>
      <c r="F312" s="42">
        <f>'Lake Worth Network Transmission'!E125</f>
        <v>0</v>
      </c>
      <c r="G312" s="42">
        <f>'Lake Worth Network Transmission'!F125</f>
        <v>0</v>
      </c>
      <c r="H312" s="42">
        <f>'Lake Worth Network Transmission'!G125</f>
        <v>0</v>
      </c>
      <c r="I312" s="42">
        <f>'Lake Worth Network Transmission'!H125</f>
        <v>0</v>
      </c>
      <c r="J312" s="42">
        <f>'Lake Worth Network Transmission'!I125</f>
        <v>0</v>
      </c>
      <c r="K312" s="42">
        <f>'Lake Worth Network Transmission'!J125</f>
        <v>0</v>
      </c>
      <c r="L312" s="42">
        <f>'Lake Worth Network Transmission'!K125</f>
        <v>0</v>
      </c>
      <c r="M312" s="42">
        <f>'Lake Worth Network Transmission'!L125</f>
        <v>0</v>
      </c>
      <c r="N312" s="42">
        <f>'Lake Worth Network Transmission'!M125</f>
        <v>0</v>
      </c>
      <c r="O312" s="42">
        <f t="shared" si="33"/>
        <v>113471.04866457131</v>
      </c>
      <c r="Q312" s="11"/>
    </row>
    <row r="313" spans="1:17">
      <c r="A313" s="88" t="s">
        <v>311</v>
      </c>
      <c r="B313" s="209">
        <v>456.221</v>
      </c>
      <c r="C313" s="42">
        <f>'Lake Worth Network Transmission'!B132</f>
        <v>909.19569810480402</v>
      </c>
      <c r="D313" s="42">
        <f>'Lake Worth Network Transmission'!C132</f>
        <v>0</v>
      </c>
      <c r="E313" s="42">
        <f>'Lake Worth Network Transmission'!D132</f>
        <v>0</v>
      </c>
      <c r="F313" s="42">
        <f>'Lake Worth Network Transmission'!E132</f>
        <v>0</v>
      </c>
      <c r="G313" s="42">
        <f>'Lake Worth Network Transmission'!F132</f>
        <v>0</v>
      </c>
      <c r="H313" s="42">
        <f>'Lake Worth Network Transmission'!G132</f>
        <v>0</v>
      </c>
      <c r="I313" s="42">
        <f>'Lake Worth Network Transmission'!H132</f>
        <v>0</v>
      </c>
      <c r="J313" s="42">
        <f>'Lake Worth Network Transmission'!I132</f>
        <v>0</v>
      </c>
      <c r="K313" s="42">
        <f>'Lake Worth Network Transmission'!J132</f>
        <v>0</v>
      </c>
      <c r="L313" s="42">
        <f>'Lake Worth Network Transmission'!K132</f>
        <v>0</v>
      </c>
      <c r="M313" s="42">
        <f>'Lake Worth Network Transmission'!L132</f>
        <v>0</v>
      </c>
      <c r="N313" s="42">
        <f>'Lake Worth Network Transmission'!M132</f>
        <v>0</v>
      </c>
      <c r="O313" s="42">
        <f t="shared" si="33"/>
        <v>909.19569810480402</v>
      </c>
      <c r="Q313" s="11"/>
    </row>
    <row r="314" spans="1:17">
      <c r="A314" s="88" t="s">
        <v>407</v>
      </c>
      <c r="B314" s="209">
        <v>456.22199999999998</v>
      </c>
      <c r="C314" s="42">
        <f>'Lake Worth Network Transmission'!B139</f>
        <v>7193.6362926973507</v>
      </c>
      <c r="D314" s="42">
        <f>'Lake Worth Network Transmission'!C139</f>
        <v>0</v>
      </c>
      <c r="E314" s="42">
        <f>'Lake Worth Network Transmission'!D139</f>
        <v>0</v>
      </c>
      <c r="F314" s="42">
        <f>'Lake Worth Network Transmission'!E139</f>
        <v>0</v>
      </c>
      <c r="G314" s="42">
        <f>'Lake Worth Network Transmission'!F139</f>
        <v>0</v>
      </c>
      <c r="H314" s="42">
        <f>'Lake Worth Network Transmission'!G139</f>
        <v>0</v>
      </c>
      <c r="I314" s="42">
        <f>'Lake Worth Network Transmission'!H139</f>
        <v>0</v>
      </c>
      <c r="J314" s="42">
        <f>'Lake Worth Network Transmission'!I139</f>
        <v>0</v>
      </c>
      <c r="K314" s="42">
        <f>'Lake Worth Network Transmission'!J139</f>
        <v>0</v>
      </c>
      <c r="L314" s="42">
        <f>'Lake Worth Network Transmission'!K139</f>
        <v>0</v>
      </c>
      <c r="M314" s="42">
        <f>'Lake Worth Network Transmission'!L139</f>
        <v>0</v>
      </c>
      <c r="N314" s="42">
        <f>'Lake Worth Network Transmission'!M139</f>
        <v>0</v>
      </c>
      <c r="O314" s="42">
        <f t="shared" si="33"/>
        <v>7193.6362926973507</v>
      </c>
      <c r="Q314" s="11"/>
    </row>
    <row r="315" spans="1:17">
      <c r="A315" s="445" t="s">
        <v>421</v>
      </c>
      <c r="B315" s="209">
        <v>456.21100000000001</v>
      </c>
      <c r="C315" s="42">
        <f>'Homestead Network Transmission'!B125</f>
        <v>42930</v>
      </c>
      <c r="D315" s="42">
        <f>'Homestead Network Transmission'!C125</f>
        <v>9540</v>
      </c>
      <c r="E315" s="42">
        <f>'Homestead Network Transmission'!D125</f>
        <v>0</v>
      </c>
      <c r="F315" s="42">
        <f>'Homestead Network Transmission'!E125</f>
        <v>4770</v>
      </c>
      <c r="G315" s="42">
        <f>'Homestead Network Transmission'!F125</f>
        <v>19080</v>
      </c>
      <c r="H315" s="42">
        <f>'Homestead Network Transmission'!G125</f>
        <v>31800</v>
      </c>
      <c r="I315" s="42">
        <f>'Homestead Network Transmission'!H125</f>
        <v>39750</v>
      </c>
      <c r="J315" s="42">
        <f>'Homestead Network Transmission'!I125</f>
        <v>42930</v>
      </c>
      <c r="K315" s="42">
        <f>'Homestead Network Transmission'!J125</f>
        <v>33390</v>
      </c>
      <c r="L315" s="42">
        <f>'Homestead Network Transmission'!K125</f>
        <v>12720</v>
      </c>
      <c r="M315" s="42">
        <f>'Homestead Network Transmission'!L125</f>
        <v>0</v>
      </c>
      <c r="N315" s="42">
        <f>'Homestead Network Transmission'!M125</f>
        <v>0</v>
      </c>
      <c r="O315" s="42">
        <f t="shared" si="33"/>
        <v>236910</v>
      </c>
      <c r="Q315" s="11"/>
    </row>
    <row r="316" spans="1:17">
      <c r="A316" s="445" t="s">
        <v>422</v>
      </c>
      <c r="B316" s="209">
        <v>456.221</v>
      </c>
      <c r="C316" s="42">
        <f>'Homestead Network Transmission'!B132</f>
        <v>343.97999999999996</v>
      </c>
      <c r="D316" s="42">
        <f>'Homestead Network Transmission'!C132</f>
        <v>76.44</v>
      </c>
      <c r="E316" s="42">
        <f>'Homestead Network Transmission'!D132</f>
        <v>0</v>
      </c>
      <c r="F316" s="42">
        <f>'Homestead Network Transmission'!E132</f>
        <v>38.22</v>
      </c>
      <c r="G316" s="42">
        <f>'Homestead Network Transmission'!F132</f>
        <v>152.88</v>
      </c>
      <c r="H316" s="42">
        <f>'Homestead Network Transmission'!G132</f>
        <v>254.79999999999998</v>
      </c>
      <c r="I316" s="42">
        <f>'Homestead Network Transmission'!H132</f>
        <v>318.5</v>
      </c>
      <c r="J316" s="42">
        <f>'Homestead Network Transmission'!I132</f>
        <v>343.97999999999996</v>
      </c>
      <c r="K316" s="42">
        <f>'Homestead Network Transmission'!J132</f>
        <v>267.53999999999996</v>
      </c>
      <c r="L316" s="42">
        <f>'Homestead Network Transmission'!K132</f>
        <v>101.92</v>
      </c>
      <c r="M316" s="42">
        <f>'Homestead Network Transmission'!L132</f>
        <v>0</v>
      </c>
      <c r="N316" s="42">
        <f>'Homestead Network Transmission'!M132</f>
        <v>0</v>
      </c>
      <c r="O316" s="42">
        <f t="shared" si="33"/>
        <v>1898.26</v>
      </c>
      <c r="Q316" s="11"/>
    </row>
    <row r="317" spans="1:17">
      <c r="A317" s="445" t="s">
        <v>423</v>
      </c>
      <c r="B317" s="209">
        <v>456.22199999999998</v>
      </c>
      <c r="C317" s="42">
        <f>'Homestead Network Transmission'!B139</f>
        <v>2721.6</v>
      </c>
      <c r="D317" s="42">
        <f>'Homestead Network Transmission'!C139</f>
        <v>604.79999999999995</v>
      </c>
      <c r="E317" s="42">
        <f>'Homestead Network Transmission'!D139</f>
        <v>0</v>
      </c>
      <c r="F317" s="42">
        <f>'Homestead Network Transmission'!E139</f>
        <v>302.39999999999998</v>
      </c>
      <c r="G317" s="42">
        <f>'Homestead Network Transmission'!F139</f>
        <v>1209.5999999999999</v>
      </c>
      <c r="H317" s="42">
        <f>'Homestead Network Transmission'!G139</f>
        <v>2016</v>
      </c>
      <c r="I317" s="42">
        <f>'Homestead Network Transmission'!H139</f>
        <v>2520</v>
      </c>
      <c r="J317" s="42">
        <f>'Homestead Network Transmission'!I139</f>
        <v>2721.6</v>
      </c>
      <c r="K317" s="42">
        <f>'Homestead Network Transmission'!J139</f>
        <v>2116.8000000000002</v>
      </c>
      <c r="L317" s="42">
        <f>'Homestead Network Transmission'!K139</f>
        <v>806.4</v>
      </c>
      <c r="M317" s="42">
        <f>'Homestead Network Transmission'!L139</f>
        <v>0</v>
      </c>
      <c r="N317" s="42">
        <f>'Homestead Network Transmission'!M139</f>
        <v>0</v>
      </c>
      <c r="O317" s="42">
        <f t="shared" si="33"/>
        <v>15019.199999999999</v>
      </c>
      <c r="Q317" s="11"/>
    </row>
    <row r="318" spans="1:17">
      <c r="A318" s="445" t="s">
        <v>433</v>
      </c>
      <c r="B318" s="209">
        <v>456.21100000000001</v>
      </c>
      <c r="C318" s="42">
        <f>'Quincy Transmission'!B92</f>
        <v>30210</v>
      </c>
      <c r="D318" s="42">
        <f>'Quincy Transmission'!C92</f>
        <v>37801.152900000001</v>
      </c>
      <c r="E318" s="42">
        <f>'Quincy Transmission'!D92</f>
        <v>34605.873</v>
      </c>
      <c r="F318" s="42">
        <f>'Quincy Transmission'!E92</f>
        <v>31031.950500000003</v>
      </c>
      <c r="G318" s="42">
        <f>'Quincy Transmission'!F92</f>
        <v>36658.785600000003</v>
      </c>
      <c r="H318" s="42">
        <f>'Quincy Transmission'!G92</f>
        <v>44015.270400000001</v>
      </c>
      <c r="I318" s="42">
        <f>'Quincy Transmission'!H92</f>
        <v>43510.413600000007</v>
      </c>
      <c r="J318" s="42">
        <f>'Quincy Transmission'!I92</f>
        <v>30210</v>
      </c>
      <c r="K318" s="42">
        <f>'Quincy Transmission'!J92</f>
        <v>40197.934800000003</v>
      </c>
      <c r="L318" s="42">
        <f>'Quincy Transmission'!K92</f>
        <v>35417.25</v>
      </c>
      <c r="M318" s="42">
        <f>'Quincy Transmission'!L92</f>
        <v>40755.595500000003</v>
      </c>
      <c r="N318" s="42">
        <f>'Quincy Transmission'!M92</f>
        <v>36624.012300000002</v>
      </c>
      <c r="O318" s="42">
        <f t="shared" si="33"/>
        <v>441038.23859999998</v>
      </c>
      <c r="Q318" s="11"/>
    </row>
    <row r="319" spans="1:17">
      <c r="A319" s="445" t="s">
        <v>434</v>
      </c>
      <c r="B319" s="209">
        <v>456.221</v>
      </c>
      <c r="C319" s="42">
        <f>'Quincy Transmission'!B99</f>
        <v>242.06</v>
      </c>
      <c r="D319" s="42">
        <f>'Quincy Transmission'!C99</f>
        <v>302.88470940000002</v>
      </c>
      <c r="E319" s="42">
        <f>'Quincy Transmission'!D99</f>
        <v>277.28227800000002</v>
      </c>
      <c r="F319" s="42">
        <f>'Quincy Transmission'!E99</f>
        <v>248.64594299999999</v>
      </c>
      <c r="G319" s="42">
        <f>'Quincy Transmission'!F99</f>
        <v>293.73140159999997</v>
      </c>
      <c r="H319" s="42">
        <f>'Quincy Transmission'!G99</f>
        <v>352.67581439999998</v>
      </c>
      <c r="I319" s="42">
        <f>'Quincy Transmission'!H99</f>
        <v>348.63060960000001</v>
      </c>
      <c r="J319" s="42">
        <f>'Quincy Transmission'!I99</f>
        <v>242.06</v>
      </c>
      <c r="K319" s="42">
        <f>'Quincy Transmission'!J99</f>
        <v>322.08911280000001</v>
      </c>
      <c r="L319" s="42">
        <f>'Quincy Transmission'!K99</f>
        <v>283.7835</v>
      </c>
      <c r="M319" s="42">
        <f>'Quincy Transmission'!L99</f>
        <v>326.557413</v>
      </c>
      <c r="N319" s="42">
        <f>'Quincy Transmission'!M99</f>
        <v>293.45277779999998</v>
      </c>
      <c r="O319" s="42">
        <f t="shared" si="33"/>
        <v>3533.8535595999997</v>
      </c>
      <c r="Q319" s="11"/>
    </row>
    <row r="320" spans="1:17">
      <c r="A320" s="88" t="s">
        <v>14</v>
      </c>
      <c r="B320" s="209">
        <v>456.21100000000001</v>
      </c>
      <c r="C320" s="39">
        <f>'TSAS Demand Revenues (7)'!B374</f>
        <v>392819.04000000004</v>
      </c>
      <c r="D320" s="39">
        <f>'TSAS Demand Revenues (7)'!C374</f>
        <v>392819.04000000004</v>
      </c>
      <c r="E320" s="39">
        <f>'TSAS Demand Revenues (7)'!D374</f>
        <v>392819.04000000004</v>
      </c>
      <c r="F320" s="39">
        <f>'TSAS Demand Revenues (7)'!E374</f>
        <v>392819.04000000004</v>
      </c>
      <c r="G320" s="39">
        <f>'TSAS Demand Revenues (7)'!F374</f>
        <v>392819.04000000004</v>
      </c>
      <c r="H320" s="39">
        <f>'TSAS Demand Revenues (7)'!G374</f>
        <v>392819.04000000004</v>
      </c>
      <c r="I320" s="39">
        <f>'TSAS Demand Revenues (7)'!H374</f>
        <v>392819.04000000004</v>
      </c>
      <c r="J320" s="39">
        <f>'TSAS Demand Revenues (7)'!I374</f>
        <v>392819.04000000004</v>
      </c>
      <c r="K320" s="39">
        <f>'TSAS Demand Revenues (7)'!J374</f>
        <v>392819.04000000004</v>
      </c>
      <c r="L320" s="39">
        <f>'TSAS Demand Revenues (7)'!K374</f>
        <v>392819.04000000004</v>
      </c>
      <c r="M320" s="39">
        <f>'TSAS Demand Revenues (7)'!L374</f>
        <v>392819.04000000004</v>
      </c>
      <c r="N320" s="39">
        <f>'TSAS Demand Revenues (7)'!M374</f>
        <v>392819.04000000004</v>
      </c>
      <c r="O320" s="42">
        <f t="shared" si="33"/>
        <v>4713828.4800000004</v>
      </c>
    </row>
    <row r="321" spans="1:15" s="6" customFormat="1">
      <c r="A321" s="88" t="s">
        <v>140</v>
      </c>
      <c r="B321" s="209">
        <v>456.221</v>
      </c>
      <c r="C321" s="39">
        <f>'TSAS Scheduling Revenue (1)'!B386</f>
        <v>3147.4934400000002</v>
      </c>
      <c r="D321" s="39">
        <f>'TSAS Scheduling Revenue (1)'!C386</f>
        <v>3147.4934400000002</v>
      </c>
      <c r="E321" s="39">
        <f>'TSAS Scheduling Revenue (1)'!D386</f>
        <v>3147.4934400000002</v>
      </c>
      <c r="F321" s="39">
        <f>'TSAS Scheduling Revenue (1)'!E386</f>
        <v>3147.4934400000002</v>
      </c>
      <c r="G321" s="39">
        <f>'TSAS Scheduling Revenue (1)'!F386</f>
        <v>3147.4934400000002</v>
      </c>
      <c r="H321" s="39">
        <f>'TSAS Scheduling Revenue (1)'!G386</f>
        <v>3147.4934400000002</v>
      </c>
      <c r="I321" s="39">
        <f>'TSAS Scheduling Revenue (1)'!H386</f>
        <v>3147.4934400000002</v>
      </c>
      <c r="J321" s="39">
        <f>'TSAS Scheduling Revenue (1)'!I386</f>
        <v>3147.4934400000002</v>
      </c>
      <c r="K321" s="39">
        <f>'TSAS Scheduling Revenue (1)'!J386</f>
        <v>3147.4934400000002</v>
      </c>
      <c r="L321" s="39">
        <f>'TSAS Scheduling Revenue (1)'!K386</f>
        <v>3147.4934400000002</v>
      </c>
      <c r="M321" s="39">
        <f>'TSAS Scheduling Revenue (1)'!L386</f>
        <v>3147.4934400000002</v>
      </c>
      <c r="N321" s="39">
        <f>'TSAS Scheduling Revenue (1)'!M386</f>
        <v>3147.4934400000002</v>
      </c>
      <c r="O321" s="42">
        <f t="shared" si="33"/>
        <v>37769.921279999995</v>
      </c>
    </row>
    <row r="322" spans="1:15" s="6" customFormat="1">
      <c r="A322" s="88" t="s">
        <v>75</v>
      </c>
      <c r="B322" s="209">
        <v>456.22199999999998</v>
      </c>
      <c r="C322" s="39">
        <f>'TSAS Reactive Revenues (2)'!B375</f>
        <v>23761.919999999998</v>
      </c>
      <c r="D322" s="39">
        <f>'TSAS Reactive Revenues (2)'!C375</f>
        <v>23761.919999999998</v>
      </c>
      <c r="E322" s="39">
        <f>'TSAS Reactive Revenues (2)'!D375</f>
        <v>23761.919999999998</v>
      </c>
      <c r="F322" s="39">
        <f>'TSAS Reactive Revenues (2)'!E375</f>
        <v>23761.919999999998</v>
      </c>
      <c r="G322" s="39">
        <f>'TSAS Reactive Revenues (2)'!F375</f>
        <v>23761.919999999998</v>
      </c>
      <c r="H322" s="39">
        <f>'TSAS Reactive Revenues (2)'!G375</f>
        <v>23761.919999999998</v>
      </c>
      <c r="I322" s="39">
        <f>'TSAS Reactive Revenues (2)'!H375</f>
        <v>23761.919999999998</v>
      </c>
      <c r="J322" s="39">
        <f>'TSAS Reactive Revenues (2)'!I375</f>
        <v>23761.919999999998</v>
      </c>
      <c r="K322" s="39">
        <f>'TSAS Reactive Revenues (2)'!J375</f>
        <v>23761.919999999998</v>
      </c>
      <c r="L322" s="39">
        <f>'TSAS Reactive Revenues (2)'!K375</f>
        <v>23761.919999999998</v>
      </c>
      <c r="M322" s="39">
        <f>'TSAS Reactive Revenues (2)'!L375</f>
        <v>23761.919999999998</v>
      </c>
      <c r="N322" s="39">
        <f>'TSAS Reactive Revenues (2)'!M375</f>
        <v>23761.919999999998</v>
      </c>
      <c r="O322" s="42">
        <f t="shared" si="33"/>
        <v>285143.03999999992</v>
      </c>
    </row>
    <row r="323" spans="1:15" s="6" customFormat="1">
      <c r="A323" s="88" t="s">
        <v>119</v>
      </c>
      <c r="B323" s="209">
        <v>456.14499999999998</v>
      </c>
      <c r="C323" s="39">
        <f>Dynamic_Scheduling!B16</f>
        <v>7200</v>
      </c>
      <c r="D323" s="39">
        <f>Dynamic_Scheduling!C16</f>
        <v>7200</v>
      </c>
      <c r="E323" s="39">
        <f>Dynamic_Scheduling!D16</f>
        <v>7200</v>
      </c>
      <c r="F323" s="39">
        <f>Dynamic_Scheduling!E16</f>
        <v>7200</v>
      </c>
      <c r="G323" s="39">
        <f>Dynamic_Scheduling!F16</f>
        <v>7200</v>
      </c>
      <c r="H323" s="39">
        <f>Dynamic_Scheduling!G16</f>
        <v>7200</v>
      </c>
      <c r="I323" s="39">
        <f>Dynamic_Scheduling!H16</f>
        <v>7200</v>
      </c>
      <c r="J323" s="39">
        <f>Dynamic_Scheduling!I16</f>
        <v>7200</v>
      </c>
      <c r="K323" s="39">
        <f>Dynamic_Scheduling!J16</f>
        <v>7200</v>
      </c>
      <c r="L323" s="39">
        <f>Dynamic_Scheduling!K16</f>
        <v>7200</v>
      </c>
      <c r="M323" s="39">
        <f>Dynamic_Scheduling!L16</f>
        <v>7200</v>
      </c>
      <c r="N323" s="39">
        <f>Dynamic_Scheduling!M16</f>
        <v>7200</v>
      </c>
      <c r="O323" s="42">
        <f t="shared" si="33"/>
        <v>86400</v>
      </c>
    </row>
    <row r="324" spans="1:15" s="6" customFormat="1">
      <c r="A324" s="88" t="s">
        <v>147</v>
      </c>
      <c r="B324" s="209">
        <v>456.21300000000002</v>
      </c>
      <c r="C324" s="39">
        <f>st_nf!D9</f>
        <v>252959.05</v>
      </c>
      <c r="D324" s="39">
        <f>st_nf!E9</f>
        <v>211139.89</v>
      </c>
      <c r="E324" s="39">
        <f>st_nf!F9</f>
        <v>230869.65</v>
      </c>
      <c r="F324" s="39">
        <f>st_nf!G9</f>
        <v>165524.70000000001</v>
      </c>
      <c r="G324" s="39">
        <f>st_nf!H9</f>
        <v>230869.65</v>
      </c>
      <c r="H324" s="39">
        <f>st_nf!I9</f>
        <v>338831.64</v>
      </c>
      <c r="I324" s="39">
        <f>st_nf!J9</f>
        <v>225520.52</v>
      </c>
      <c r="J324" s="39">
        <f>st_nf!K9</f>
        <v>328491.74</v>
      </c>
      <c r="K324" s="39">
        <f>st_nf!L9</f>
        <v>320710.51</v>
      </c>
      <c r="L324" s="39">
        <f>st_nf!M9</f>
        <v>438157.95</v>
      </c>
      <c r="M324" s="39">
        <f>st_nf!N9</f>
        <v>323720.68</v>
      </c>
      <c r="N324" s="39">
        <f>st_nf!O9</f>
        <v>226700.14</v>
      </c>
      <c r="O324" s="42">
        <f t="shared" si="33"/>
        <v>3293496.1200000006</v>
      </c>
    </row>
    <row r="325" spans="1:15" s="6" customFormat="1">
      <c r="A325" s="88" t="s">
        <v>148</v>
      </c>
      <c r="B325" s="209">
        <v>456.22300000000001</v>
      </c>
      <c r="C325" s="43">
        <f>st_nf!D10</f>
        <v>31266.38</v>
      </c>
      <c r="D325" s="43">
        <f>st_nf!E10</f>
        <v>33737.19</v>
      </c>
      <c r="E325" s="43">
        <f>st_nf!F10</f>
        <v>33995.410000000003</v>
      </c>
      <c r="F325" s="43">
        <f>st_nf!G10</f>
        <v>34925.39</v>
      </c>
      <c r="G325" s="43">
        <f>st_nf!H10</f>
        <v>33923.370000000003</v>
      </c>
      <c r="H325" s="43">
        <f>st_nf!I10</f>
        <v>16500.57</v>
      </c>
      <c r="I325" s="43">
        <f>st_nf!J10</f>
        <v>25237.65</v>
      </c>
      <c r="J325" s="43">
        <f>st_nf!K10</f>
        <v>31769.99</v>
      </c>
      <c r="K325" s="43">
        <f>st_nf!L10</f>
        <v>41391.03</v>
      </c>
      <c r="L325" s="43">
        <f>st_nf!M10</f>
        <v>29168.31</v>
      </c>
      <c r="M325" s="43">
        <f>st_nf!N10</f>
        <v>28251.96</v>
      </c>
      <c r="N325" s="43">
        <f>st_nf!O10</f>
        <v>31973.599999999999</v>
      </c>
      <c r="O325" s="43">
        <f t="shared" si="33"/>
        <v>372140.85</v>
      </c>
    </row>
    <row r="326" spans="1:15" s="6" customFormat="1" ht="10.8" thickBot="1">
      <c r="A326" s="88" t="s">
        <v>149</v>
      </c>
      <c r="B326" s="88"/>
      <c r="C326" s="376">
        <f t="shared" ref="C326:O326" si="34">SUM(C286:C325)</f>
        <v>4139932.3805105477</v>
      </c>
      <c r="D326" s="376">
        <f t="shared" si="34"/>
        <v>3974587.3467842466</v>
      </c>
      <c r="E326" s="376">
        <f t="shared" si="34"/>
        <v>3641869.9660887234</v>
      </c>
      <c r="F326" s="376">
        <f t="shared" si="34"/>
        <v>3507366.64366276</v>
      </c>
      <c r="G326" s="376">
        <f t="shared" si="34"/>
        <v>3835282.9723009798</v>
      </c>
      <c r="H326" s="376">
        <f t="shared" si="34"/>
        <v>4263761.1380744753</v>
      </c>
      <c r="I326" s="376">
        <f t="shared" si="34"/>
        <v>4296437.4652790567</v>
      </c>
      <c r="J326" s="376">
        <f t="shared" si="34"/>
        <v>4432538.3745945515</v>
      </c>
      <c r="K326" s="376">
        <f t="shared" si="34"/>
        <v>4387315.7141340617</v>
      </c>
      <c r="L326" s="376">
        <f t="shared" si="34"/>
        <v>4093326.0028997646</v>
      </c>
      <c r="M326" s="376">
        <f t="shared" si="34"/>
        <v>3848882.1204325105</v>
      </c>
      <c r="N326" s="376">
        <f t="shared" si="34"/>
        <v>3575352.7342305132</v>
      </c>
      <c r="O326" s="376">
        <f t="shared" si="34"/>
        <v>47996652.858992167</v>
      </c>
    </row>
    <row r="327" spans="1:15" s="6" customFormat="1" ht="10.8" thickTop="1">
      <c r="A327" s="88"/>
      <c r="B327" s="88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</row>
    <row r="328" spans="1:15" s="6" customFormat="1">
      <c r="A328" s="88"/>
      <c r="B328" s="88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39"/>
    </row>
    <row r="329" spans="1:15" s="6" customFormat="1">
      <c r="A329" s="88" t="s">
        <v>126</v>
      </c>
      <c r="B329" s="209">
        <v>456.25200000000001</v>
      </c>
      <c r="C329" s="43">
        <f>'SECI-Credit Settlement'!$B$10*(-1)</f>
        <v>-566426.91666666674</v>
      </c>
      <c r="D329" s="43">
        <f>'SECI-Credit Settlement'!$B$10*(-1)</f>
        <v>-566426.91666666674</v>
      </c>
      <c r="E329" s="43">
        <f>'SECI-Credit Settlement'!$B$10*(-1)</f>
        <v>-566426.91666666674</v>
      </c>
      <c r="F329" s="43">
        <f>'SECI-Credit Settlement'!$B$10*(-1)</f>
        <v>-566426.91666666674</v>
      </c>
      <c r="G329" s="43">
        <f>'SECI-Credit Settlement'!$B$10*(-1)</f>
        <v>-566426.91666666674</v>
      </c>
      <c r="H329" s="43">
        <f>'SECI-Credit Settlement'!$B$10*(-1)</f>
        <v>-566426.91666666674</v>
      </c>
      <c r="I329" s="43">
        <f>'SECI-Credit Settlement'!$B$10*(-1)</f>
        <v>-566426.91666666674</v>
      </c>
      <c r="J329" s="43">
        <f>'SECI-Credit Settlement'!$B$10*(-1)</f>
        <v>-566426.91666666674</v>
      </c>
      <c r="K329" s="43">
        <f>'SECI-Credit Settlement'!$B$10*(-1)</f>
        <v>-566426.91666666674</v>
      </c>
      <c r="L329" s="43">
        <f>'SECI-Credit Settlement'!$B$10*(-1)</f>
        <v>-566426.91666666674</v>
      </c>
      <c r="M329" s="43">
        <f>'SECI-Credit Settlement'!$B$10*(-1)</f>
        <v>-566426.91666666674</v>
      </c>
      <c r="N329" s="43">
        <f>'SECI-Credit Settlement'!$B$10*(-1)</f>
        <v>-566426.91666666674</v>
      </c>
      <c r="O329" s="40">
        <f>SUM(C329:N329)</f>
        <v>-6797123.0000000028</v>
      </c>
    </row>
    <row r="330" spans="1:15" s="6" customFormat="1">
      <c r="A330" s="87"/>
      <c r="B330" s="87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</row>
    <row r="331" spans="1:15" s="6" customFormat="1">
      <c r="A331" s="87" t="s">
        <v>313</v>
      </c>
      <c r="B331" s="87"/>
      <c r="C331" s="39">
        <f>C326+C329</f>
        <v>3573505.4638438812</v>
      </c>
      <c r="D331" s="39">
        <f t="shared" ref="D331:O331" si="35">D326+D329</f>
        <v>3408160.4301175801</v>
      </c>
      <c r="E331" s="39">
        <f t="shared" si="35"/>
        <v>3075443.0494220564</v>
      </c>
      <c r="F331" s="39">
        <f t="shared" si="35"/>
        <v>2940939.7269960931</v>
      </c>
      <c r="G331" s="39">
        <f t="shared" si="35"/>
        <v>3268856.0556343133</v>
      </c>
      <c r="H331" s="39">
        <f t="shared" si="35"/>
        <v>3697334.2214078084</v>
      </c>
      <c r="I331" s="39">
        <f t="shared" si="35"/>
        <v>3730010.5486123897</v>
      </c>
      <c r="J331" s="39">
        <f t="shared" si="35"/>
        <v>3866111.4579278845</v>
      </c>
      <c r="K331" s="39">
        <f t="shared" si="35"/>
        <v>3820888.7974673947</v>
      </c>
      <c r="L331" s="39">
        <f t="shared" si="35"/>
        <v>3526899.0862330981</v>
      </c>
      <c r="M331" s="39">
        <f t="shared" si="35"/>
        <v>3282455.203765844</v>
      </c>
      <c r="N331" s="39">
        <f t="shared" si="35"/>
        <v>3008925.8175638467</v>
      </c>
      <c r="O331" s="39">
        <f t="shared" si="35"/>
        <v>41199529.858992167</v>
      </c>
    </row>
    <row r="332" spans="1:15" s="6" customFormat="1"/>
    <row r="333" spans="1:15" s="6" customFormat="1"/>
    <row r="334" spans="1:15" s="6" customFormat="1">
      <c r="A334" s="196" t="s">
        <v>351</v>
      </c>
      <c r="B334" s="202"/>
      <c r="C334" s="194" t="s">
        <v>0</v>
      </c>
      <c r="D334" s="194" t="s">
        <v>1</v>
      </c>
      <c r="E334" s="194" t="s">
        <v>2</v>
      </c>
      <c r="F334" s="194" t="s">
        <v>3</v>
      </c>
      <c r="G334" s="194" t="s">
        <v>4</v>
      </c>
      <c r="H334" s="194" t="s">
        <v>5</v>
      </c>
      <c r="I334" s="194" t="s">
        <v>6</v>
      </c>
      <c r="J334" s="194" t="s">
        <v>7</v>
      </c>
      <c r="K334" s="194" t="s">
        <v>8</v>
      </c>
      <c r="L334" s="194" t="s">
        <v>9</v>
      </c>
      <c r="M334" s="194" t="s">
        <v>10</v>
      </c>
      <c r="N334" s="194" t="s">
        <v>11</v>
      </c>
      <c r="O334" s="195" t="s">
        <v>12</v>
      </c>
    </row>
    <row r="335" spans="1:15" s="6" customFormat="1">
      <c r="A335" s="89"/>
      <c r="B335" s="89"/>
    </row>
    <row r="336" spans="1:15" s="6" customFormat="1">
      <c r="A336" s="88" t="s">
        <v>77</v>
      </c>
      <c r="B336" s="209">
        <v>456.21100000000001</v>
      </c>
      <c r="C336" s="39">
        <f>'FMPA Network'!B165</f>
        <v>700720.95000000007</v>
      </c>
      <c r="D336" s="39">
        <f>'FMPA Network'!C165</f>
        <v>652138.5</v>
      </c>
      <c r="E336" s="39">
        <f>'FMPA Network'!D165</f>
        <v>570358.44000000006</v>
      </c>
      <c r="F336" s="39">
        <f>'FMPA Network'!E165</f>
        <v>612948.18000000005</v>
      </c>
      <c r="G336" s="39">
        <f>'FMPA Network'!F165</f>
        <v>691491</v>
      </c>
      <c r="H336" s="39">
        <f>'FMPA Network'!G165</f>
        <v>752055.69000000006</v>
      </c>
      <c r="I336" s="39">
        <f>'FMPA Network'!H165</f>
        <v>778128.51</v>
      </c>
      <c r="J336" s="39">
        <f>'FMPA Network'!I165</f>
        <v>791408.19000000006</v>
      </c>
      <c r="K336" s="39">
        <f>'FMPA Network'!J165</f>
        <v>722096.91</v>
      </c>
      <c r="L336" s="39">
        <f>'FMPA Network'!K165</f>
        <v>667198.98</v>
      </c>
      <c r="M336" s="39">
        <f>'FMPA Network'!L165</f>
        <v>597240.57000000007</v>
      </c>
      <c r="N336" s="39">
        <f>'FMPA Network'!M165</f>
        <v>573272.91</v>
      </c>
      <c r="O336" s="39">
        <f t="shared" ref="O336" si="36">SUM(C336:N336)</f>
        <v>8109058.8300000019</v>
      </c>
    </row>
    <row r="337" spans="1:15" s="6" customFormat="1">
      <c r="A337" s="88" t="s">
        <v>136</v>
      </c>
      <c r="B337" s="209">
        <v>456.221</v>
      </c>
      <c r="C337" s="39">
        <f>'FMPA Network'!B172</f>
        <v>5614.5816999999997</v>
      </c>
      <c r="D337" s="39">
        <f>'FMPA Network'!C172</f>
        <v>5225.3109999999997</v>
      </c>
      <c r="E337" s="39">
        <f>'FMPA Network'!D172</f>
        <v>4570.0418399999999</v>
      </c>
      <c r="F337" s="39">
        <f>'FMPA Network'!E172</f>
        <v>4911.2954799999998</v>
      </c>
      <c r="G337" s="39">
        <f>'FMPA Network'!F172</f>
        <v>5540.6260000000002</v>
      </c>
      <c r="H337" s="39">
        <f>'FMPA Network'!G172</f>
        <v>6025.9053400000003</v>
      </c>
      <c r="I337" s="39">
        <f>'FMPA Network'!H172</f>
        <v>6234.8158599999997</v>
      </c>
      <c r="J337" s="39">
        <f>'FMPA Network'!I172</f>
        <v>6341.2203399999999</v>
      </c>
      <c r="K337" s="39">
        <f>'FMPA Network'!J172</f>
        <v>5785.85826</v>
      </c>
      <c r="L337" s="39">
        <f>'FMPA Network'!K172</f>
        <v>5345.9842799999997</v>
      </c>
      <c r="M337" s="39">
        <f>'FMPA Network'!L172</f>
        <v>4785.4370199999994</v>
      </c>
      <c r="N337" s="39">
        <f>'FMPA Network'!M172</f>
        <v>4593.39426</v>
      </c>
      <c r="O337" s="39">
        <f t="shared" ref="O337:O346" si="37">SUM(C337:N337)</f>
        <v>64974.471379999995</v>
      </c>
    </row>
    <row r="338" spans="1:15" s="6" customFormat="1">
      <c r="A338" s="88" t="s">
        <v>76</v>
      </c>
      <c r="B338" s="209">
        <v>456.22199999999998</v>
      </c>
      <c r="C338" s="39">
        <f>'FMPA Network'!B179</f>
        <v>30849.350000000002</v>
      </c>
      <c r="D338" s="39">
        <f>'FMPA Network'!C179</f>
        <v>28710.500000000004</v>
      </c>
      <c r="E338" s="39">
        <f>'FMPA Network'!D179</f>
        <v>25110.120000000003</v>
      </c>
      <c r="F338" s="39">
        <f>'FMPA Network'!E179</f>
        <v>26985.140000000003</v>
      </c>
      <c r="G338" s="39">
        <f>'FMPA Network'!F179</f>
        <v>30443.000000000004</v>
      </c>
      <c r="H338" s="39">
        <f>'FMPA Network'!G179</f>
        <v>33109.370000000003</v>
      </c>
      <c r="I338" s="39">
        <f>'FMPA Network'!H179</f>
        <v>34257.230000000003</v>
      </c>
      <c r="J338" s="39">
        <f>'FMPA Network'!I179</f>
        <v>34841.870000000003</v>
      </c>
      <c r="K338" s="39">
        <f>'FMPA Network'!J179</f>
        <v>31790.430000000004</v>
      </c>
      <c r="L338" s="39">
        <f>'FMPA Network'!K179</f>
        <v>29373.540000000005</v>
      </c>
      <c r="M338" s="39">
        <f>'FMPA Network'!L179</f>
        <v>26293.610000000004</v>
      </c>
      <c r="N338" s="39">
        <f>'FMPA Network'!M179</f>
        <v>25238.430000000004</v>
      </c>
      <c r="O338" s="39">
        <f t="shared" si="37"/>
        <v>357002.58999999997</v>
      </c>
    </row>
    <row r="339" spans="1:15" s="6" customFormat="1">
      <c r="A339" s="88" t="s">
        <v>120</v>
      </c>
      <c r="B339" s="209">
        <v>456.21100000000001</v>
      </c>
      <c r="C339" s="39">
        <f>'Vero Beach Network'!B163</f>
        <v>296353.74</v>
      </c>
      <c r="D339" s="39">
        <f>'Vero Beach Network'!C163</f>
        <v>259106.40000000002</v>
      </c>
      <c r="E339" s="39">
        <f>'Vero Beach Network'!D163</f>
        <v>207285.12000000002</v>
      </c>
      <c r="F339" s="39">
        <f>'Vero Beach Network'!E163</f>
        <v>212144.16</v>
      </c>
      <c r="G339" s="39">
        <f>'Vero Beach Network'!F163</f>
        <v>234815.97</v>
      </c>
      <c r="H339" s="39">
        <f>'Vero Beach Network'!G163</f>
        <v>259106.40000000002</v>
      </c>
      <c r="I339" s="39">
        <f>'Vero Beach Network'!H163</f>
        <v>255867.57</v>
      </c>
      <c r="J339" s="39">
        <f>'Vero Beach Network'!I163</f>
        <v>273681.93</v>
      </c>
      <c r="K339" s="39">
        <f>'Vero Beach Network'!J163</f>
        <v>259106.40000000002</v>
      </c>
      <c r="L339" s="39">
        <f>'Vero Beach Network'!K163</f>
        <v>244532.46000000002</v>
      </c>
      <c r="M339" s="39">
        <f>'Vero Beach Network'!L163</f>
        <v>208905.33000000002</v>
      </c>
      <c r="N339" s="39">
        <f>'Vero Beach Network'!M163</f>
        <v>234815.97</v>
      </c>
      <c r="O339" s="39">
        <f t="shared" si="37"/>
        <v>2945721.45</v>
      </c>
    </row>
    <row r="340" spans="1:15" s="6" customFormat="1">
      <c r="A340" s="88" t="s">
        <v>137</v>
      </c>
      <c r="B340" s="209">
        <v>456.221</v>
      </c>
      <c r="C340" s="39">
        <f>'Vero Beach Network'!B170</f>
        <v>2374.55764</v>
      </c>
      <c r="D340" s="39">
        <f>'Vero Beach Network'!C170</f>
        <v>2076.1104</v>
      </c>
      <c r="E340" s="39">
        <f>'Vero Beach Network'!D170</f>
        <v>1660.88832</v>
      </c>
      <c r="F340" s="39">
        <f>'Vero Beach Network'!E170</f>
        <v>1699.82176</v>
      </c>
      <c r="G340" s="39">
        <f>'Vero Beach Network'!F170</f>
        <v>1881.4814199999998</v>
      </c>
      <c r="H340" s="39">
        <f>'Vero Beach Network'!G170</f>
        <v>2076.1104</v>
      </c>
      <c r="I340" s="39">
        <f>'Vero Beach Network'!H170</f>
        <v>2050.1590200000001</v>
      </c>
      <c r="J340" s="39">
        <f>'Vero Beach Network'!I170</f>
        <v>2192.8979799999997</v>
      </c>
      <c r="K340" s="39">
        <f>'Vero Beach Network'!J170</f>
        <v>2076.1104</v>
      </c>
      <c r="L340" s="39">
        <f>'Vero Beach Network'!K170</f>
        <v>1959.33556</v>
      </c>
      <c r="M340" s="39">
        <f>'Vero Beach Network'!L170</f>
        <v>1673.8703799999998</v>
      </c>
      <c r="N340" s="39">
        <f>'Vero Beach Network'!M170</f>
        <v>1881.4814199999998</v>
      </c>
      <c r="O340" s="39">
        <f t="shared" si="37"/>
        <v>23602.824699999997</v>
      </c>
    </row>
    <row r="341" spans="1:15" s="6" customFormat="1">
      <c r="A341" s="88" t="s">
        <v>121</v>
      </c>
      <c r="B341" s="209">
        <v>456.22199999999998</v>
      </c>
      <c r="C341" s="39">
        <f>'Vero Beach Network'!B177</f>
        <v>18787.7088</v>
      </c>
      <c r="D341" s="39">
        <f>'Vero Beach Network'!C177</f>
        <v>16426.367999999999</v>
      </c>
      <c r="E341" s="39">
        <f>'Vero Beach Network'!D177</f>
        <v>13141.0944</v>
      </c>
      <c r="F341" s="39">
        <f>'Vero Beach Network'!E177</f>
        <v>13449.1392</v>
      </c>
      <c r="G341" s="39">
        <f>'Vero Beach Network'!F177</f>
        <v>14886.446400000001</v>
      </c>
      <c r="H341" s="39">
        <f>'Vero Beach Network'!G177</f>
        <v>16426.367999999999</v>
      </c>
      <c r="I341" s="39">
        <f>'Vero Beach Network'!H177</f>
        <v>16221.038399999999</v>
      </c>
      <c r="J341" s="39">
        <f>'Vero Beach Network'!I177</f>
        <v>17350.401600000001</v>
      </c>
      <c r="K341" s="39">
        <f>'Vero Beach Network'!J177</f>
        <v>16426.367999999999</v>
      </c>
      <c r="L341" s="39">
        <f>'Vero Beach Network'!K177</f>
        <v>15502.4352</v>
      </c>
      <c r="M341" s="39">
        <f>'Vero Beach Network'!L177</f>
        <v>13243.809600000001</v>
      </c>
      <c r="N341" s="39">
        <f>'Vero Beach Network'!M177</f>
        <v>14886.446400000001</v>
      </c>
      <c r="O341" s="39">
        <f t="shared" si="37"/>
        <v>186747.62400000001</v>
      </c>
    </row>
    <row r="342" spans="1:15" s="6" customFormat="1">
      <c r="A342" s="88" t="s">
        <v>78</v>
      </c>
      <c r="B342" s="209">
        <v>456.21100000000001</v>
      </c>
      <c r="C342" s="39">
        <f>'SECI Network'!B163</f>
        <v>906113.703515028</v>
      </c>
      <c r="D342" s="39">
        <f>'SECI Network'!C163</f>
        <v>746245.3998981152</v>
      </c>
      <c r="E342" s="39">
        <f>'SECI Network'!D163</f>
        <v>663367.76362710143</v>
      </c>
      <c r="F342" s="39">
        <f>'SECI Network'!E163</f>
        <v>629035.75140091695</v>
      </c>
      <c r="G342" s="39">
        <f>'SECI Network'!F163</f>
        <v>709540.13245033112</v>
      </c>
      <c r="H342" s="39">
        <f>'SECI Network'!G163</f>
        <v>765697.99286805908</v>
      </c>
      <c r="I342" s="39">
        <f>'SECI Network'!H163</f>
        <v>759670.08660213964</v>
      </c>
      <c r="J342" s="39">
        <f>'SECI Network'!I163</f>
        <v>757165.61385634239</v>
      </c>
      <c r="K342" s="39">
        <f>'SECI Network'!J163</f>
        <v>768218.66530820169</v>
      </c>
      <c r="L342" s="39">
        <f>'SECI Network'!K163</f>
        <v>668281.13092205813</v>
      </c>
      <c r="M342" s="39">
        <f>'SECI Network'!L163</f>
        <v>643920.03056546103</v>
      </c>
      <c r="N342" s="39">
        <f>'SECI Network'!M163</f>
        <v>696745.61385634239</v>
      </c>
      <c r="O342" s="39">
        <f t="shared" si="37"/>
        <v>8714001.884870097</v>
      </c>
    </row>
    <row r="343" spans="1:15" s="6" customFormat="1">
      <c r="A343" s="88" t="s">
        <v>138</v>
      </c>
      <c r="B343" s="209">
        <v>456.221</v>
      </c>
      <c r="C343" s="39">
        <f>'SECI Network'!B168</f>
        <v>7260.3072847682115</v>
      </c>
      <c r="D343" s="39">
        <f>'SECI Network'!C168</f>
        <v>5979.3499337748344</v>
      </c>
      <c r="E343" s="39">
        <f>'SECI Network'!D168</f>
        <v>5315.2863576158934</v>
      </c>
      <c r="F343" s="39">
        <f>'SECI Network'!E168</f>
        <v>5040.1984105960264</v>
      </c>
      <c r="G343" s="39">
        <f>'SECI Network'!F168</f>
        <v>5685.2460927152315</v>
      </c>
      <c r="H343" s="39">
        <f>'SECI Network'!G168</f>
        <v>6135.2153642384101</v>
      </c>
      <c r="I343" s="39">
        <f>'SECI Network'!H168</f>
        <v>6086.9162913907285</v>
      </c>
      <c r="J343" s="39">
        <f>'SECI Network'!I168</f>
        <v>6066.8490066225158</v>
      </c>
      <c r="K343" s="39">
        <f>'SECI Network'!J168</f>
        <v>6155.412450331125</v>
      </c>
      <c r="L343" s="39">
        <f>'SECI Network'!K168</f>
        <v>5354.6550993377477</v>
      </c>
      <c r="M343" s="39">
        <f>'SECI Network'!L168</f>
        <v>5159.4598675496691</v>
      </c>
      <c r="N343" s="39">
        <f>'SECI Network'!M168</f>
        <v>5582.729006622516</v>
      </c>
      <c r="O343" s="39">
        <f t="shared" si="37"/>
        <v>69821.625165562902</v>
      </c>
    </row>
    <row r="344" spans="1:15" s="6" customFormat="1">
      <c r="A344" s="88" t="s">
        <v>74</v>
      </c>
      <c r="B344" s="209">
        <v>456.22199999999998</v>
      </c>
      <c r="C344" s="39">
        <f>'SECI Network'!B173</f>
        <v>11397.656647987773</v>
      </c>
      <c r="D344" s="39">
        <f>'SECI Network'!C173</f>
        <v>9386.7345899133979</v>
      </c>
      <c r="E344" s="39">
        <f>'SECI Network'!D173</f>
        <v>8344.2485990830355</v>
      </c>
      <c r="F344" s="39">
        <f>'SECI Network'!E173</f>
        <v>7912.3993886907792</v>
      </c>
      <c r="G344" s="39">
        <f>'SECI Network'!F173</f>
        <v>8925.0331125827815</v>
      </c>
      <c r="H344" s="39">
        <f>'SECI Network'!G173</f>
        <v>9631.4212939378504</v>
      </c>
      <c r="I344" s="39">
        <f>'SECI Network'!H173</f>
        <v>9555.5985736118182</v>
      </c>
      <c r="J344" s="39">
        <f>'SECI Network'!I173</f>
        <v>9524.0957717778911</v>
      </c>
      <c r="K344" s="39">
        <f>'SECI Network'!J173</f>
        <v>9663.1278655119713</v>
      </c>
      <c r="L344" s="39">
        <f>'SECI Network'!K173</f>
        <v>8406.0519612837488</v>
      </c>
      <c r="M344" s="39">
        <f>'SECI Network'!L173</f>
        <v>8099.6230259806416</v>
      </c>
      <c r="N344" s="39">
        <f>'SECI Network'!M173</f>
        <v>8764.0957717778911</v>
      </c>
      <c r="O344" s="39">
        <f t="shared" si="37"/>
        <v>109610.08660213958</v>
      </c>
    </row>
    <row r="345" spans="1:15" s="6" customFormat="1">
      <c r="A345" s="88" t="s">
        <v>56</v>
      </c>
      <c r="B345" s="209">
        <v>456.22399999999999</v>
      </c>
      <c r="C345" s="39">
        <f>SECI_Regulation_Imbalance!B106</f>
        <v>37066.889067753429</v>
      </c>
      <c r="D345" s="39">
        <f>SECI_Regulation_Imbalance!C106</f>
        <v>30527.068896586858</v>
      </c>
      <c r="E345" s="39">
        <f>SECI_Regulation_Imbalance!D106</f>
        <v>27136.748081507896</v>
      </c>
      <c r="F345" s="39">
        <f>SECI_Regulation_Imbalance!E106</f>
        <v>25732.309671930718</v>
      </c>
      <c r="G345" s="39">
        <f>SECI_Regulation_Imbalance!F106</f>
        <v>29025.546437086086</v>
      </c>
      <c r="H345" s="39">
        <f>SECI_Regulation_Imbalance!G106</f>
        <v>31322.826761079978</v>
      </c>
      <c r="I345" s="39">
        <f>SECI_Regulation_Imbalance!H106</f>
        <v>31076.239901171673</v>
      </c>
      <c r="J345" s="39">
        <f>SECI_Regulation_Imbalance!I106</f>
        <v>30973.788064187462</v>
      </c>
      <c r="K345" s="39">
        <f>SECI_Regulation_Imbalance!J106</f>
        <v>31425.941287824749</v>
      </c>
      <c r="L345" s="39">
        <f>SECI_Regulation_Imbalance!K106</f>
        <v>27337.74188588894</v>
      </c>
      <c r="M345" s="39">
        <f>SECI_Regulation_Imbalance!L106</f>
        <v>26341.189023942945</v>
      </c>
      <c r="N345" s="39">
        <f>SECI_Regulation_Imbalance!M106</f>
        <v>28502.154064187467</v>
      </c>
      <c r="O345" s="39">
        <f t="shared" si="37"/>
        <v>356468.44314314815</v>
      </c>
    </row>
    <row r="346" spans="1:15" s="6" customFormat="1">
      <c r="A346" s="88" t="s">
        <v>260</v>
      </c>
      <c r="B346" s="209">
        <v>456.24900000000002</v>
      </c>
      <c r="C346" s="43">
        <f>'Radial Facilities'!B101</f>
        <v>20405.489999999998</v>
      </c>
      <c r="D346" s="43">
        <f>'Radial Facilities'!C101</f>
        <v>19972.16</v>
      </c>
      <c r="E346" s="43">
        <f>'Radial Facilities'!D101</f>
        <v>19972.16</v>
      </c>
      <c r="F346" s="43">
        <f>'Radial Facilities'!E101</f>
        <v>19972.16</v>
      </c>
      <c r="G346" s="43">
        <f>'Radial Facilities'!F101</f>
        <v>19972.16</v>
      </c>
      <c r="H346" s="43">
        <f>'Radial Facilities'!G101</f>
        <v>19972.16</v>
      </c>
      <c r="I346" s="43">
        <f>'Radial Facilities'!H101</f>
        <v>19972.16</v>
      </c>
      <c r="J346" s="43">
        <f>'Radial Facilities'!I101</f>
        <v>19972.16</v>
      </c>
      <c r="K346" s="43">
        <f>'Radial Facilities'!J101</f>
        <v>19972.16</v>
      </c>
      <c r="L346" s="43">
        <f>'Radial Facilities'!K101</f>
        <v>19972.16</v>
      </c>
      <c r="M346" s="43">
        <f>'Radial Facilities'!L101</f>
        <v>19972.16</v>
      </c>
      <c r="N346" s="43">
        <f>'Radial Facilities'!M101</f>
        <v>19972.16</v>
      </c>
      <c r="O346" s="40">
        <f t="shared" si="37"/>
        <v>240099.25000000003</v>
      </c>
    </row>
    <row r="347" spans="1:15" s="6" customFormat="1">
      <c r="A347" s="88" t="s">
        <v>124</v>
      </c>
      <c r="B347" s="209">
        <v>456.21100000000001</v>
      </c>
      <c r="C347" s="43">
        <f>'LCEC Network'!B119</f>
        <v>874852.62411536078</v>
      </c>
      <c r="D347" s="43">
        <f>'LCEC Network'!C119</f>
        <v>1188375.6074278094</v>
      </c>
      <c r="E347" s="43">
        <f>'LCEC Network'!D119</f>
        <v>1066817.8096044224</v>
      </c>
      <c r="F347" s="43">
        <f>'LCEC Network'!E119</f>
        <v>983399.2491603822</v>
      </c>
      <c r="G347" s="43">
        <f>'LCEC Network'!F119</f>
        <v>978480.50280021294</v>
      </c>
      <c r="H347" s="43">
        <f>'LCEC Network'!G119</f>
        <v>1130101.5950820886</v>
      </c>
      <c r="I347" s="43">
        <f>'LCEC Network'!H119</f>
        <v>1234892.0266219655</v>
      </c>
      <c r="J347" s="43">
        <f>'LCEC Network'!I119</f>
        <v>1211502.4975728283</v>
      </c>
      <c r="K347" s="43">
        <f>'LCEC Network'!J119</f>
        <v>1267153.6733185337</v>
      </c>
      <c r="L347" s="43">
        <f>'LCEC Network'!K119</f>
        <v>1088222.9219883773</v>
      </c>
      <c r="M347" s="43">
        <f>'LCEC Network'!L119</f>
        <v>1138338.9879613845</v>
      </c>
      <c r="N347" s="43">
        <f>'LCEC Network'!M119</f>
        <v>931264.2038648437</v>
      </c>
      <c r="O347" s="40">
        <f t="shared" ref="O347:O350" si="38">SUM(C347:N347)</f>
        <v>13093401.699518209</v>
      </c>
    </row>
    <row r="348" spans="1:15" s="6" customFormat="1">
      <c r="A348" s="88" t="s">
        <v>139</v>
      </c>
      <c r="B348" s="209">
        <v>456.221</v>
      </c>
      <c r="C348" s="43">
        <f>'LCEC Network'!B126</f>
        <v>7009.8254284463501</v>
      </c>
      <c r="D348" s="43">
        <f>'LCEC Network'!C126</f>
        <v>9521.952980270622</v>
      </c>
      <c r="E348" s="43">
        <f>'LCEC Network'!D126</f>
        <v>8547.9615687800888</v>
      </c>
      <c r="F348" s="43">
        <f>'LCEC Network'!E126</f>
        <v>7879.563795159288</v>
      </c>
      <c r="G348" s="43">
        <f>'LCEC Network'!F126</f>
        <v>7840.1519532545353</v>
      </c>
      <c r="H348" s="43">
        <f>'LCEC Network'!G126</f>
        <v>9055.0278750602574</v>
      </c>
      <c r="I348" s="43">
        <f>'LCEC Network'!H126</f>
        <v>9894.6694460149938</v>
      </c>
      <c r="J348" s="43">
        <f>'LCEC Network'!I126</f>
        <v>9707.2590057093294</v>
      </c>
      <c r="K348" s="43">
        <f>'LCEC Network'!J126</f>
        <v>10153.168426464226</v>
      </c>
      <c r="L348" s="43">
        <f>'LCEC Network'!K126</f>
        <v>8719.471714548381</v>
      </c>
      <c r="M348" s="43">
        <f>'LCEC Network'!L126</f>
        <v>9121.0306330993953</v>
      </c>
      <c r="N348" s="43">
        <f>'LCEC Network'!M126</f>
        <v>7461.8276460617026</v>
      </c>
      <c r="O348" s="40">
        <f t="shared" si="38"/>
        <v>104911.91047286917</v>
      </c>
    </row>
    <row r="349" spans="1:15" s="6" customFormat="1">
      <c r="A349" s="88" t="s">
        <v>177</v>
      </c>
      <c r="B349" s="209">
        <v>456.21100000000001</v>
      </c>
      <c r="C349" s="43">
        <f>'FKEC Network'!B119</f>
        <v>188278.86000983341</v>
      </c>
      <c r="D349" s="43">
        <f>'FKEC Network'!C119</f>
        <v>183822.8620150504</v>
      </c>
      <c r="E349" s="43">
        <f>'FKEC Network'!D119</f>
        <v>195594.12328653538</v>
      </c>
      <c r="F349" s="43">
        <f>'FKEC Network'!E119</f>
        <v>185613.05077950799</v>
      </c>
      <c r="G349" s="43">
        <f>'FKEC Network'!F119</f>
        <v>220425.27451338313</v>
      </c>
      <c r="H349" s="43">
        <f>'FKEC Network'!G119</f>
        <v>234309.81592375162</v>
      </c>
      <c r="I349" s="43">
        <f>'FKEC Network'!H119</f>
        <v>241141.16623477268</v>
      </c>
      <c r="J349" s="43">
        <f>'FKEC Network'!I119</f>
        <v>261217.55634132432</v>
      </c>
      <c r="K349" s="43">
        <f>'FKEC Network'!J119</f>
        <v>254814.62750572467</v>
      </c>
      <c r="L349" s="43">
        <f>'FKEC Network'!K119</f>
        <v>235077.18610799126</v>
      </c>
      <c r="M349" s="43">
        <f>'FKEC Network'!L119</f>
        <v>224752.87445028446</v>
      </c>
      <c r="N349" s="43">
        <f>'FKEC Network'!M119</f>
        <v>199395.34973972308</v>
      </c>
      <c r="O349" s="40">
        <f t="shared" si="38"/>
        <v>2624442.7469078824</v>
      </c>
    </row>
    <row r="350" spans="1:15" s="6" customFormat="1">
      <c r="A350" s="88" t="s">
        <v>178</v>
      </c>
      <c r="B350" s="209">
        <v>456.221</v>
      </c>
      <c r="C350" s="43">
        <f>'FKEC Network'!B126</f>
        <v>1508.5991676259607</v>
      </c>
      <c r="D350" s="43">
        <f>'FKEC Network'!C126</f>
        <v>1472.8951333784541</v>
      </c>
      <c r="E350" s="43">
        <f>'FKEC Network'!D126</f>
        <v>1567.2132897298495</v>
      </c>
      <c r="F350" s="43">
        <f>'FKEC Network'!E126</f>
        <v>1487.2391615917809</v>
      </c>
      <c r="G350" s="43">
        <f>'FKEC Network'!F126</f>
        <v>1766.1748410694975</v>
      </c>
      <c r="H350" s="43">
        <f>'FKEC Network'!G126</f>
        <v>1877.4258206720726</v>
      </c>
      <c r="I350" s="43">
        <f>'FKEC Network'!H126</f>
        <v>1932.1625520949708</v>
      </c>
      <c r="J350" s="43">
        <f>'FKEC Network'!I126</f>
        <v>2093.0262061562712</v>
      </c>
      <c r="K350" s="43">
        <f>'FKEC Network'!J126</f>
        <v>2041.7222354861206</v>
      </c>
      <c r="L350" s="43">
        <f>'FKEC Network'!K126</f>
        <v>1883.5744346011372</v>
      </c>
      <c r="M350" s="43">
        <f>'FKEC Network'!L126</f>
        <v>1800.8500757840402</v>
      </c>
      <c r="N350" s="43">
        <f>'FKEC Network'!M126</f>
        <v>1597.6709155245735</v>
      </c>
      <c r="O350" s="40">
        <f t="shared" si="38"/>
        <v>21028.55383371473</v>
      </c>
    </row>
    <row r="351" spans="1:15" s="6" customFormat="1">
      <c r="A351" s="88" t="s">
        <v>191</v>
      </c>
      <c r="B351" s="209">
        <v>456.21100000000001</v>
      </c>
      <c r="C351" s="43">
        <f>'Wauchula Network'!B161</f>
        <v>0</v>
      </c>
      <c r="D351" s="43">
        <f>'Wauchula Network'!C161</f>
        <v>0</v>
      </c>
      <c r="E351" s="43">
        <f>'Wauchula Network'!D161</f>
        <v>0</v>
      </c>
      <c r="F351" s="43">
        <f>'Wauchula Network'!E161</f>
        <v>0</v>
      </c>
      <c r="G351" s="43">
        <f>'Wauchula Network'!F161</f>
        <v>0</v>
      </c>
      <c r="H351" s="43">
        <f>'Wauchula Network'!G161</f>
        <v>0</v>
      </c>
      <c r="I351" s="43">
        <f>'Wauchula Network'!H161</f>
        <v>0</v>
      </c>
      <c r="J351" s="43">
        <f>'Wauchula Network'!I161</f>
        <v>0</v>
      </c>
      <c r="K351" s="43">
        <f>'Wauchula Network'!J161</f>
        <v>0</v>
      </c>
      <c r="L351" s="43">
        <f>'Wauchula Network'!K161</f>
        <v>0</v>
      </c>
      <c r="M351" s="43">
        <f>'Wauchula Network'!L161</f>
        <v>0</v>
      </c>
      <c r="N351" s="43">
        <f>'Wauchula Network'!M161</f>
        <v>0</v>
      </c>
      <c r="O351" s="40">
        <f>SUM(C351:N351)</f>
        <v>0</v>
      </c>
    </row>
    <row r="352" spans="1:15" s="6" customFormat="1">
      <c r="A352" s="88" t="s">
        <v>192</v>
      </c>
      <c r="B352" s="209">
        <v>456.221</v>
      </c>
      <c r="C352" s="43">
        <f>'Wauchula Network'!B168</f>
        <v>0</v>
      </c>
      <c r="D352" s="43">
        <f>'Wauchula Network'!C168</f>
        <v>0</v>
      </c>
      <c r="E352" s="43">
        <f>'Wauchula Network'!D168</f>
        <v>0</v>
      </c>
      <c r="F352" s="43">
        <f>'Wauchula Network'!E168</f>
        <v>0</v>
      </c>
      <c r="G352" s="43">
        <f>'Wauchula Network'!F168</f>
        <v>0</v>
      </c>
      <c r="H352" s="43">
        <f>'Wauchula Network'!G168</f>
        <v>0</v>
      </c>
      <c r="I352" s="43">
        <f>'Wauchula Network'!H168</f>
        <v>0</v>
      </c>
      <c r="J352" s="43">
        <f>'Wauchula Network'!I168</f>
        <v>0</v>
      </c>
      <c r="K352" s="43">
        <f>'Wauchula Network'!J168</f>
        <v>0</v>
      </c>
      <c r="L352" s="43">
        <f>'Wauchula Network'!K168</f>
        <v>0</v>
      </c>
      <c r="M352" s="43">
        <f>'Wauchula Network'!L168</f>
        <v>0</v>
      </c>
      <c r="N352" s="43">
        <f>'Wauchula Network'!M168</f>
        <v>0</v>
      </c>
      <c r="O352" s="40">
        <f>SUM(C352:N352)</f>
        <v>0</v>
      </c>
    </row>
    <row r="353" spans="1:17">
      <c r="A353" s="88" t="s">
        <v>306</v>
      </c>
      <c r="B353" s="209">
        <v>456.21100000000001</v>
      </c>
      <c r="C353" s="43">
        <f>'New Smyrna Network'!B150</f>
        <v>0</v>
      </c>
      <c r="D353" s="43">
        <f>'New Smyrna Network'!C150</f>
        <v>0</v>
      </c>
      <c r="E353" s="43">
        <f>'New Smyrna Network'!D150</f>
        <v>0</v>
      </c>
      <c r="F353" s="43">
        <f>'New Smyrna Network'!E150</f>
        <v>0</v>
      </c>
      <c r="G353" s="43">
        <f>'New Smyrna Network'!F150</f>
        <v>0</v>
      </c>
      <c r="H353" s="43">
        <f>'New Smyrna Network'!G150</f>
        <v>0</v>
      </c>
      <c r="I353" s="43">
        <f>'New Smyrna Network'!H150</f>
        <v>0</v>
      </c>
      <c r="J353" s="43">
        <f>'New Smyrna Network'!I150</f>
        <v>0</v>
      </c>
      <c r="K353" s="43">
        <f>'New Smyrna Network'!J150</f>
        <v>0</v>
      </c>
      <c r="L353" s="43">
        <f>'New Smyrna Network'!K150</f>
        <v>0</v>
      </c>
      <c r="M353" s="43">
        <f>'New Smyrna Network'!L150</f>
        <v>0</v>
      </c>
      <c r="N353" s="43">
        <f>'New Smyrna Network'!M150</f>
        <v>0</v>
      </c>
      <c r="O353" s="40">
        <f t="shared" ref="O353:O366" si="39">SUM(C353:N353)</f>
        <v>0</v>
      </c>
    </row>
    <row r="354" spans="1:17">
      <c r="A354" s="88" t="s">
        <v>307</v>
      </c>
      <c r="B354" s="209">
        <v>456.221</v>
      </c>
      <c r="C354" s="43">
        <f>'New Smyrna Network'!B157</f>
        <v>0</v>
      </c>
      <c r="D354" s="43">
        <f>'New Smyrna Network'!C157</f>
        <v>0</v>
      </c>
      <c r="E354" s="43">
        <f>'New Smyrna Network'!D157</f>
        <v>0</v>
      </c>
      <c r="F354" s="43">
        <f>'New Smyrna Network'!E157</f>
        <v>0</v>
      </c>
      <c r="G354" s="43">
        <f>'New Smyrna Network'!F157</f>
        <v>0</v>
      </c>
      <c r="H354" s="43">
        <f>'New Smyrna Network'!G157</f>
        <v>0</v>
      </c>
      <c r="I354" s="43">
        <f>'New Smyrna Network'!H157</f>
        <v>0</v>
      </c>
      <c r="J354" s="43">
        <f>'New Smyrna Network'!I157</f>
        <v>0</v>
      </c>
      <c r="K354" s="43">
        <f>'New Smyrna Network'!J157</f>
        <v>0</v>
      </c>
      <c r="L354" s="43">
        <f>'New Smyrna Network'!K157</f>
        <v>0</v>
      </c>
      <c r="M354" s="43">
        <f>'New Smyrna Network'!L157</f>
        <v>0</v>
      </c>
      <c r="N354" s="43">
        <f>'New Smyrna Network'!M157</f>
        <v>0</v>
      </c>
      <c r="O354" s="40">
        <f t="shared" si="39"/>
        <v>0</v>
      </c>
    </row>
    <row r="355" spans="1:17">
      <c r="A355" s="88" t="s">
        <v>13</v>
      </c>
      <c r="B355" s="209">
        <v>456.21300000000002</v>
      </c>
      <c r="C355" s="42">
        <v>0</v>
      </c>
      <c r="D355" s="42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  <c r="O355" s="42">
        <f t="shared" si="39"/>
        <v>0</v>
      </c>
    </row>
    <row r="356" spans="1:17">
      <c r="A356" s="445" t="s">
        <v>360</v>
      </c>
      <c r="B356" s="209">
        <v>456.21100000000001</v>
      </c>
      <c r="C356" s="43">
        <f>'Georgia Trans Network'!B149</f>
        <v>46750.770000000004</v>
      </c>
      <c r="D356" s="43">
        <f>'Georgia Trans Network'!C149</f>
        <v>0</v>
      </c>
      <c r="E356" s="43">
        <f>'Georgia Trans Network'!D149</f>
        <v>0</v>
      </c>
      <c r="F356" s="43">
        <f>'Georgia Trans Network'!E149</f>
        <v>0</v>
      </c>
      <c r="G356" s="43">
        <f>'Georgia Trans Network'!F149</f>
        <v>0</v>
      </c>
      <c r="H356" s="43">
        <f>'Georgia Trans Network'!G149</f>
        <v>0</v>
      </c>
      <c r="I356" s="43">
        <f>'Georgia Trans Network'!H149</f>
        <v>0</v>
      </c>
      <c r="J356" s="43">
        <f>'Georgia Trans Network'!I149</f>
        <v>0</v>
      </c>
      <c r="K356" s="43">
        <f>'Georgia Trans Network'!J149</f>
        <v>0</v>
      </c>
      <c r="L356" s="43">
        <f>'Georgia Trans Network'!K149</f>
        <v>0</v>
      </c>
      <c r="M356" s="43">
        <f>'Georgia Trans Network'!L149</f>
        <v>0</v>
      </c>
      <c r="N356" s="43">
        <f>'Georgia Trans Network'!M149</f>
        <v>0</v>
      </c>
      <c r="O356" s="40">
        <f t="shared" si="39"/>
        <v>46750.770000000004</v>
      </c>
    </row>
    <row r="357" spans="1:17">
      <c r="A357" s="445" t="s">
        <v>361</v>
      </c>
      <c r="B357" s="209">
        <v>456.221</v>
      </c>
      <c r="C357" s="43">
        <f>'Georgia Trans Network'!B156</f>
        <v>374.59422000000001</v>
      </c>
      <c r="D357" s="43">
        <f>'Georgia Trans Network'!C156</f>
        <v>0</v>
      </c>
      <c r="E357" s="43">
        <f>'Georgia Trans Network'!D156</f>
        <v>0</v>
      </c>
      <c r="F357" s="43">
        <f>'Georgia Trans Network'!E156</f>
        <v>0</v>
      </c>
      <c r="G357" s="43">
        <f>'Georgia Trans Network'!F156</f>
        <v>0</v>
      </c>
      <c r="H357" s="43">
        <f>'Georgia Trans Network'!G156</f>
        <v>0</v>
      </c>
      <c r="I357" s="43">
        <f>'Georgia Trans Network'!H156</f>
        <v>0</v>
      </c>
      <c r="J357" s="43">
        <f>'Georgia Trans Network'!I156</f>
        <v>0</v>
      </c>
      <c r="K357" s="43">
        <f>'Georgia Trans Network'!J156</f>
        <v>0</v>
      </c>
      <c r="L357" s="43">
        <f>'Georgia Trans Network'!K156</f>
        <v>0</v>
      </c>
      <c r="M357" s="43">
        <f>'Georgia Trans Network'!L156</f>
        <v>0</v>
      </c>
      <c r="N357" s="43">
        <f>'Georgia Trans Network'!M156</f>
        <v>0</v>
      </c>
      <c r="O357" s="40">
        <f t="shared" si="39"/>
        <v>374.59422000000001</v>
      </c>
    </row>
    <row r="358" spans="1:17">
      <c r="A358" s="445" t="s">
        <v>405</v>
      </c>
      <c r="B358" s="209">
        <v>456.22199999999998</v>
      </c>
      <c r="C358" s="43">
        <f>'Georgia Trans Network'!B163</f>
        <v>2963.8224</v>
      </c>
      <c r="D358" s="43">
        <f>'Georgia Trans Network'!C163</f>
        <v>0</v>
      </c>
      <c r="E358" s="43">
        <f>'Georgia Trans Network'!D163</f>
        <v>0</v>
      </c>
      <c r="F358" s="43">
        <f>'Georgia Trans Network'!E163</f>
        <v>0</v>
      </c>
      <c r="G358" s="43">
        <f>'Georgia Trans Network'!F163</f>
        <v>0</v>
      </c>
      <c r="H358" s="43">
        <f>'Georgia Trans Network'!G163</f>
        <v>0</v>
      </c>
      <c r="I358" s="43">
        <f>'Georgia Trans Network'!H163</f>
        <v>0</v>
      </c>
      <c r="J358" s="43">
        <f>'Georgia Trans Network'!I163</f>
        <v>0</v>
      </c>
      <c r="K358" s="43">
        <f>'Georgia Trans Network'!J163</f>
        <v>0</v>
      </c>
      <c r="L358" s="43">
        <f>'Georgia Trans Network'!K163</f>
        <v>0</v>
      </c>
      <c r="M358" s="43">
        <f>'Georgia Trans Network'!L163</f>
        <v>0</v>
      </c>
      <c r="N358" s="43">
        <f>'Georgia Trans Network'!M163</f>
        <v>0</v>
      </c>
      <c r="O358" s="40">
        <f t="shared" si="39"/>
        <v>2963.8224</v>
      </c>
    </row>
    <row r="359" spans="1:17">
      <c r="A359" s="88" t="s">
        <v>310</v>
      </c>
      <c r="B359" s="209">
        <v>456.21100000000001</v>
      </c>
      <c r="C359" s="42">
        <f>'Lake Worth Network Transmission'!B148</f>
        <v>0</v>
      </c>
      <c r="D359" s="42">
        <f>'Lake Worth Network Transmission'!C148</f>
        <v>0</v>
      </c>
      <c r="E359" s="42">
        <f>'Lake Worth Network Transmission'!D148</f>
        <v>0</v>
      </c>
      <c r="F359" s="42">
        <f>'Lake Worth Network Transmission'!E148</f>
        <v>0</v>
      </c>
      <c r="G359" s="42">
        <f>'Lake Worth Network Transmission'!F148</f>
        <v>0</v>
      </c>
      <c r="H359" s="42">
        <f>'Lake Worth Network Transmission'!G148</f>
        <v>0</v>
      </c>
      <c r="I359" s="42">
        <f>'Lake Worth Network Transmission'!H148</f>
        <v>0</v>
      </c>
      <c r="J359" s="42">
        <f>'Lake Worth Network Transmission'!I148</f>
        <v>0</v>
      </c>
      <c r="K359" s="42">
        <f>'Lake Worth Network Transmission'!J148</f>
        <v>0</v>
      </c>
      <c r="L359" s="42">
        <f>'Lake Worth Network Transmission'!K148</f>
        <v>0</v>
      </c>
      <c r="M359" s="42">
        <f>'Lake Worth Network Transmission'!L148</f>
        <v>0</v>
      </c>
      <c r="N359" s="42">
        <f>'Lake Worth Network Transmission'!M148</f>
        <v>0</v>
      </c>
      <c r="O359" s="42">
        <f t="shared" si="39"/>
        <v>0</v>
      </c>
      <c r="Q359" s="11"/>
    </row>
    <row r="360" spans="1:17">
      <c r="A360" s="88" t="s">
        <v>311</v>
      </c>
      <c r="B360" s="209">
        <v>456.221</v>
      </c>
      <c r="C360" s="42">
        <f>'Lake Worth Network Transmission'!B155</f>
        <v>0</v>
      </c>
      <c r="D360" s="42">
        <f>'Lake Worth Network Transmission'!C155</f>
        <v>0</v>
      </c>
      <c r="E360" s="42">
        <f>'Lake Worth Network Transmission'!D155</f>
        <v>0</v>
      </c>
      <c r="F360" s="42">
        <f>'Lake Worth Network Transmission'!E155</f>
        <v>0</v>
      </c>
      <c r="G360" s="42">
        <f>'Lake Worth Network Transmission'!F155</f>
        <v>0</v>
      </c>
      <c r="H360" s="42">
        <f>'Lake Worth Network Transmission'!G155</f>
        <v>0</v>
      </c>
      <c r="I360" s="42">
        <f>'Lake Worth Network Transmission'!H155</f>
        <v>0</v>
      </c>
      <c r="J360" s="42">
        <f>'Lake Worth Network Transmission'!I155</f>
        <v>0</v>
      </c>
      <c r="K360" s="42">
        <f>'Lake Worth Network Transmission'!J155</f>
        <v>0</v>
      </c>
      <c r="L360" s="42">
        <f>'Lake Worth Network Transmission'!K155</f>
        <v>0</v>
      </c>
      <c r="M360" s="42">
        <f>'Lake Worth Network Transmission'!L155</f>
        <v>0</v>
      </c>
      <c r="N360" s="42">
        <f>'Lake Worth Network Transmission'!M155</f>
        <v>0</v>
      </c>
      <c r="O360" s="42">
        <f t="shared" si="39"/>
        <v>0</v>
      </c>
      <c r="Q360" s="11"/>
    </row>
    <row r="361" spans="1:17">
      <c r="A361" s="88" t="s">
        <v>407</v>
      </c>
      <c r="B361" s="209">
        <v>456.22199999999998</v>
      </c>
      <c r="C361" s="42">
        <f>'Lake Worth Network Transmission'!B162</f>
        <v>0</v>
      </c>
      <c r="D361" s="42">
        <f>'Lake Worth Network Transmission'!C162</f>
        <v>0</v>
      </c>
      <c r="E361" s="42">
        <f>'Lake Worth Network Transmission'!D162</f>
        <v>0</v>
      </c>
      <c r="F361" s="42">
        <f>'Lake Worth Network Transmission'!E162</f>
        <v>0</v>
      </c>
      <c r="G361" s="42">
        <f>'Lake Worth Network Transmission'!F162</f>
        <v>0</v>
      </c>
      <c r="H361" s="42">
        <f>'Lake Worth Network Transmission'!G162</f>
        <v>0</v>
      </c>
      <c r="I361" s="42">
        <f>'Lake Worth Network Transmission'!H162</f>
        <v>0</v>
      </c>
      <c r="J361" s="42">
        <f>'Lake Worth Network Transmission'!I162</f>
        <v>0</v>
      </c>
      <c r="K361" s="42">
        <f>'Lake Worth Network Transmission'!J162</f>
        <v>0</v>
      </c>
      <c r="L361" s="42">
        <f>'Lake Worth Network Transmission'!K162</f>
        <v>0</v>
      </c>
      <c r="M361" s="42">
        <f>'Lake Worth Network Transmission'!L162</f>
        <v>0</v>
      </c>
      <c r="N361" s="42">
        <f>'Lake Worth Network Transmission'!M162</f>
        <v>0</v>
      </c>
      <c r="O361" s="42">
        <f t="shared" si="39"/>
        <v>0</v>
      </c>
      <c r="Q361" s="11"/>
    </row>
    <row r="362" spans="1:17">
      <c r="A362" s="445" t="s">
        <v>421</v>
      </c>
      <c r="B362" s="209">
        <v>456.21100000000001</v>
      </c>
      <c r="C362" s="42">
        <f>'Homestead Network Transmission'!B148</f>
        <v>42930</v>
      </c>
      <c r="D362" s="42">
        <f>'Homestead Network Transmission'!C148</f>
        <v>75684.000000000015</v>
      </c>
      <c r="E362" s="42">
        <f>'Homestead Network Transmission'!D148</f>
        <v>47302.5</v>
      </c>
      <c r="F362" s="42">
        <f>'Homestead Network Transmission'!E148</f>
        <v>70675.5</v>
      </c>
      <c r="G362" s="42">
        <f>'Homestead Network Transmission'!F148</f>
        <v>85701.000000000015</v>
      </c>
      <c r="H362" s="42">
        <f>'Homestead Network Transmission'!G148</f>
        <v>99057</v>
      </c>
      <c r="I362" s="42">
        <f>'Homestead Network Transmission'!H148</f>
        <v>107404.5</v>
      </c>
      <c r="J362" s="42">
        <f>'Homestead Network Transmission'!I148</f>
        <v>42930</v>
      </c>
      <c r="K362" s="42">
        <f>'Homestead Network Transmission'!J148</f>
        <v>100726.50000000001</v>
      </c>
      <c r="L362" s="42">
        <f>'Homestead Network Transmission'!K148</f>
        <v>79023</v>
      </c>
      <c r="M362" s="42">
        <f>'Homestead Network Transmission'!L148</f>
        <v>63997.5</v>
      </c>
      <c r="N362" s="42">
        <f>'Homestead Network Transmission'!M148</f>
        <v>62328</v>
      </c>
      <c r="O362" s="42">
        <f t="shared" si="39"/>
        <v>877759.5</v>
      </c>
      <c r="Q362" s="11"/>
    </row>
    <row r="363" spans="1:17">
      <c r="A363" s="445" t="s">
        <v>422</v>
      </c>
      <c r="B363" s="209">
        <v>456.221</v>
      </c>
      <c r="C363" s="42">
        <f>'Homestead Network Transmission'!B155</f>
        <v>343.97999999999996</v>
      </c>
      <c r="D363" s="42">
        <f>'Homestead Network Transmission'!C155</f>
        <v>606.42400000000009</v>
      </c>
      <c r="E363" s="42">
        <f>'Homestead Network Transmission'!D155</f>
        <v>379.01499999999999</v>
      </c>
      <c r="F363" s="42">
        <f>'Homestead Network Transmission'!E155</f>
        <v>566.29300000000001</v>
      </c>
      <c r="G363" s="42">
        <f>'Homestead Network Transmission'!F155</f>
        <v>686.68600000000004</v>
      </c>
      <c r="H363" s="42">
        <f>'Homestead Network Transmission'!G155</f>
        <v>793.702</v>
      </c>
      <c r="I363" s="42">
        <f>'Homestead Network Transmission'!H155</f>
        <v>860.58699999999999</v>
      </c>
      <c r="J363" s="42">
        <f>'Homestead Network Transmission'!I155</f>
        <v>343.97999999999996</v>
      </c>
      <c r="K363" s="42">
        <f>'Homestead Network Transmission'!J155</f>
        <v>807.07900000000006</v>
      </c>
      <c r="L363" s="42">
        <f>'Homestead Network Transmission'!K155</f>
        <v>633.178</v>
      </c>
      <c r="M363" s="42">
        <f>'Homestead Network Transmission'!L155</f>
        <v>512.78499999999997</v>
      </c>
      <c r="N363" s="42">
        <f>'Homestead Network Transmission'!M155</f>
        <v>499.40799999999996</v>
      </c>
      <c r="O363" s="42">
        <f t="shared" si="39"/>
        <v>7033.1169999999993</v>
      </c>
      <c r="Q363" s="11"/>
    </row>
    <row r="364" spans="1:17">
      <c r="A364" s="445" t="s">
        <v>423</v>
      </c>
      <c r="B364" s="209">
        <v>456.22199999999998</v>
      </c>
      <c r="C364" s="42">
        <f>'Homestead Network Transmission'!B162</f>
        <v>2721.6</v>
      </c>
      <c r="D364" s="42">
        <f>'Homestead Network Transmission'!C162</f>
        <v>4798.0800000000008</v>
      </c>
      <c r="E364" s="42">
        <f>'Homestead Network Transmission'!D162</f>
        <v>2998.8</v>
      </c>
      <c r="F364" s="42">
        <f>'Homestead Network Transmission'!E162</f>
        <v>4480.5600000000004</v>
      </c>
      <c r="G364" s="42">
        <f>'Homestead Network Transmission'!F162</f>
        <v>5433.1200000000008</v>
      </c>
      <c r="H364" s="42">
        <f>'Homestead Network Transmission'!G162</f>
        <v>6279.84</v>
      </c>
      <c r="I364" s="42">
        <f>'Homestead Network Transmission'!H162</f>
        <v>6809.04</v>
      </c>
      <c r="J364" s="42">
        <f>'Homestead Network Transmission'!I162</f>
        <v>2721.6</v>
      </c>
      <c r="K364" s="42">
        <f>'Homestead Network Transmission'!J162</f>
        <v>6385.6800000000012</v>
      </c>
      <c r="L364" s="42">
        <f>'Homestead Network Transmission'!K162</f>
        <v>5009.76</v>
      </c>
      <c r="M364" s="42">
        <f>'Homestead Network Transmission'!L162</f>
        <v>4057.2</v>
      </c>
      <c r="N364" s="42">
        <f>'Homestead Network Transmission'!M162</f>
        <v>3951.36</v>
      </c>
      <c r="O364" s="42">
        <f t="shared" si="39"/>
        <v>55646.64</v>
      </c>
      <c r="Q364" s="11"/>
    </row>
    <row r="365" spans="1:17">
      <c r="A365" s="445" t="s">
        <v>433</v>
      </c>
      <c r="B365" s="209">
        <v>456.21100000000001</v>
      </c>
      <c r="C365" s="42">
        <f>'Quincy Transmission'!B107</f>
        <v>30210</v>
      </c>
      <c r="D365" s="42">
        <f>'Quincy Transmission'!C107</f>
        <v>37801.152900000001</v>
      </c>
      <c r="E365" s="42">
        <f>'Quincy Transmission'!D107</f>
        <v>34605.873</v>
      </c>
      <c r="F365" s="42">
        <f>'Quincy Transmission'!E107</f>
        <v>31031.950500000003</v>
      </c>
      <c r="G365" s="42">
        <f>'Quincy Transmission'!F107</f>
        <v>36658.785600000003</v>
      </c>
      <c r="H365" s="42">
        <f>'Quincy Transmission'!G107</f>
        <v>44015.270400000001</v>
      </c>
      <c r="I365" s="42">
        <f>'Quincy Transmission'!H107</f>
        <v>43510.413600000007</v>
      </c>
      <c r="J365" s="42">
        <f>'Quincy Transmission'!I107</f>
        <v>30210</v>
      </c>
      <c r="K365" s="42">
        <f>'Quincy Transmission'!J107</f>
        <v>40197.934800000003</v>
      </c>
      <c r="L365" s="42">
        <f>'Quincy Transmission'!K107</f>
        <v>35417.25</v>
      </c>
      <c r="M365" s="42">
        <f>'Quincy Transmission'!L107</f>
        <v>40755.595500000003</v>
      </c>
      <c r="N365" s="42">
        <f>'Quincy Transmission'!M107</f>
        <v>36624.012300000002</v>
      </c>
      <c r="O365" s="42">
        <f t="shared" si="39"/>
        <v>441038.23859999998</v>
      </c>
      <c r="Q365" s="11"/>
    </row>
    <row r="366" spans="1:17">
      <c r="A366" s="445" t="s">
        <v>434</v>
      </c>
      <c r="B366" s="209">
        <v>456.221</v>
      </c>
      <c r="C366" s="42">
        <f>'Quincy Transmission'!B114</f>
        <v>242.06</v>
      </c>
      <c r="D366" s="42">
        <f>'Quincy Transmission'!C114</f>
        <v>302.88470940000002</v>
      </c>
      <c r="E366" s="42">
        <f>'Quincy Transmission'!D114</f>
        <v>277.28227800000002</v>
      </c>
      <c r="F366" s="42">
        <f>'Quincy Transmission'!E114</f>
        <v>248.64594299999999</v>
      </c>
      <c r="G366" s="42">
        <f>'Quincy Transmission'!F114</f>
        <v>293.73140159999997</v>
      </c>
      <c r="H366" s="42">
        <f>'Quincy Transmission'!G114</f>
        <v>352.67581439999998</v>
      </c>
      <c r="I366" s="42">
        <f>'Quincy Transmission'!H114</f>
        <v>348.63060960000001</v>
      </c>
      <c r="J366" s="42">
        <f>'Quincy Transmission'!I114</f>
        <v>242.06</v>
      </c>
      <c r="K366" s="42">
        <f>'Quincy Transmission'!J114</f>
        <v>322.08911280000001</v>
      </c>
      <c r="L366" s="42">
        <f>'Quincy Transmission'!K114</f>
        <v>283.7835</v>
      </c>
      <c r="M366" s="42">
        <f>'Quincy Transmission'!L114</f>
        <v>326.557413</v>
      </c>
      <c r="N366" s="42">
        <f>'Quincy Transmission'!M114</f>
        <v>293.45277779999998</v>
      </c>
      <c r="O366" s="42">
        <f t="shared" si="39"/>
        <v>3533.8535595999997</v>
      </c>
      <c r="Q366" s="11"/>
    </row>
    <row r="367" spans="1:17">
      <c r="A367" s="88" t="s">
        <v>14</v>
      </c>
      <c r="B367" s="209">
        <v>456.21100000000001</v>
      </c>
      <c r="C367" s="39">
        <f>'TSAS Demand Revenues (7)'!B429</f>
        <v>392819.04000000004</v>
      </c>
      <c r="D367" s="39">
        <f>'TSAS Demand Revenues (7)'!C429</f>
        <v>329219.04000000004</v>
      </c>
      <c r="E367" s="39">
        <f>'TSAS Demand Revenues (7)'!D429</f>
        <v>329219.04000000004</v>
      </c>
      <c r="F367" s="39">
        <f>'TSAS Demand Revenues (7)'!E429</f>
        <v>329219.04000000004</v>
      </c>
      <c r="G367" s="39">
        <f>'TSAS Demand Revenues (7)'!F429</f>
        <v>329219.04000000004</v>
      </c>
      <c r="H367" s="39">
        <f>'TSAS Demand Revenues (7)'!G429</f>
        <v>329219.04000000004</v>
      </c>
      <c r="I367" s="39">
        <f>'TSAS Demand Revenues (7)'!H429</f>
        <v>329219.04000000004</v>
      </c>
      <c r="J367" s="39">
        <f>'TSAS Demand Revenues (7)'!I429</f>
        <v>329219.04000000004</v>
      </c>
      <c r="K367" s="39">
        <f>'TSAS Demand Revenues (7)'!J429</f>
        <v>329219.04000000004</v>
      </c>
      <c r="L367" s="39">
        <f>'TSAS Demand Revenues (7)'!K429</f>
        <v>329219.04000000004</v>
      </c>
      <c r="M367" s="39">
        <f>'TSAS Demand Revenues (7)'!L429</f>
        <v>329219.04000000004</v>
      </c>
      <c r="N367" s="39">
        <f>'TSAS Demand Revenues (7)'!M429</f>
        <v>329219.04000000004</v>
      </c>
      <c r="O367" s="42">
        <f t="shared" ref="O367:O372" si="40">SUM(C367:N367)</f>
        <v>4014228.4800000004</v>
      </c>
    </row>
    <row r="368" spans="1:17">
      <c r="A368" s="88" t="s">
        <v>140</v>
      </c>
      <c r="B368" s="209">
        <v>456.221</v>
      </c>
      <c r="C368" s="39">
        <f>'TSAS Scheduling Revenue (1)'!B446</f>
        <v>3147.4934400000002</v>
      </c>
      <c r="D368" s="39">
        <f>'TSAS Scheduling Revenue (1)'!C446</f>
        <v>2637.8934399999998</v>
      </c>
      <c r="E368" s="39">
        <f>'TSAS Scheduling Revenue (1)'!D446</f>
        <v>2637.8934399999998</v>
      </c>
      <c r="F368" s="39">
        <f>'TSAS Scheduling Revenue (1)'!E446</f>
        <v>2637.8934399999998</v>
      </c>
      <c r="G368" s="39">
        <f>'TSAS Scheduling Revenue (1)'!F446</f>
        <v>2637.8934399999998</v>
      </c>
      <c r="H368" s="39">
        <f>'TSAS Scheduling Revenue (1)'!G446</f>
        <v>2637.8934399999998</v>
      </c>
      <c r="I368" s="39">
        <f>'TSAS Scheduling Revenue (1)'!H446</f>
        <v>2637.8934399999998</v>
      </c>
      <c r="J368" s="39">
        <f>'TSAS Scheduling Revenue (1)'!I446</f>
        <v>2637.8934399999998</v>
      </c>
      <c r="K368" s="39">
        <f>'TSAS Scheduling Revenue (1)'!J446</f>
        <v>2637.8934399999998</v>
      </c>
      <c r="L368" s="39">
        <f>'TSAS Scheduling Revenue (1)'!K446</f>
        <v>2637.8934399999998</v>
      </c>
      <c r="M368" s="39">
        <f>'TSAS Scheduling Revenue (1)'!L446</f>
        <v>2637.8934399999998</v>
      </c>
      <c r="N368" s="39">
        <f>'TSAS Scheduling Revenue (1)'!M446</f>
        <v>2637.8934399999998</v>
      </c>
      <c r="O368" s="42">
        <f t="shared" si="40"/>
        <v>32164.321279999996</v>
      </c>
    </row>
    <row r="369" spans="1:15" s="6" customFormat="1">
      <c r="A369" s="88" t="s">
        <v>75</v>
      </c>
      <c r="B369" s="209">
        <v>456.22199999999998</v>
      </c>
      <c r="C369" s="39">
        <f>'TSAS Reactive Revenues (2)'!B430</f>
        <v>23761.919999999998</v>
      </c>
      <c r="D369" s="39">
        <f>'TSAS Reactive Revenues (2)'!C430</f>
        <v>19729.919999999998</v>
      </c>
      <c r="E369" s="39">
        <f>'TSAS Reactive Revenues (2)'!D430</f>
        <v>19729.919999999998</v>
      </c>
      <c r="F369" s="39">
        <f>'TSAS Reactive Revenues (2)'!E430</f>
        <v>19729.919999999998</v>
      </c>
      <c r="G369" s="39">
        <f>'TSAS Reactive Revenues (2)'!F430</f>
        <v>19729.919999999998</v>
      </c>
      <c r="H369" s="39">
        <f>'TSAS Reactive Revenues (2)'!G430</f>
        <v>19729.919999999998</v>
      </c>
      <c r="I369" s="39">
        <f>'TSAS Reactive Revenues (2)'!H430</f>
        <v>19729.919999999998</v>
      </c>
      <c r="J369" s="39">
        <f>'TSAS Reactive Revenues (2)'!I430</f>
        <v>19729.919999999998</v>
      </c>
      <c r="K369" s="39">
        <f>'TSAS Reactive Revenues (2)'!J430</f>
        <v>19729.919999999998</v>
      </c>
      <c r="L369" s="39">
        <f>'TSAS Reactive Revenues (2)'!K430</f>
        <v>19729.919999999998</v>
      </c>
      <c r="M369" s="39">
        <f>'TSAS Reactive Revenues (2)'!L430</f>
        <v>19729.919999999998</v>
      </c>
      <c r="N369" s="39">
        <f>'TSAS Reactive Revenues (2)'!M430</f>
        <v>19729.919999999998</v>
      </c>
      <c r="O369" s="42">
        <f t="shared" si="40"/>
        <v>240791.03999999992</v>
      </c>
    </row>
    <row r="370" spans="1:15" s="6" customFormat="1">
      <c r="A370" s="88" t="s">
        <v>119</v>
      </c>
      <c r="B370" s="209">
        <v>456.14499999999998</v>
      </c>
      <c r="C370" s="39">
        <f>Dynamic_Scheduling!B16</f>
        <v>7200</v>
      </c>
      <c r="D370" s="39">
        <f>Dynamic_Scheduling!C16</f>
        <v>7200</v>
      </c>
      <c r="E370" s="39">
        <f>Dynamic_Scheduling!D16</f>
        <v>7200</v>
      </c>
      <c r="F370" s="39">
        <f>Dynamic_Scheduling!E16</f>
        <v>7200</v>
      </c>
      <c r="G370" s="39">
        <f>Dynamic_Scheduling!F16</f>
        <v>7200</v>
      </c>
      <c r="H370" s="39">
        <f>Dynamic_Scheduling!G16</f>
        <v>7200</v>
      </c>
      <c r="I370" s="39">
        <f>Dynamic_Scheduling!H16</f>
        <v>7200</v>
      </c>
      <c r="J370" s="39">
        <f>Dynamic_Scheduling!I16</f>
        <v>7200</v>
      </c>
      <c r="K370" s="39">
        <f>Dynamic_Scheduling!J16</f>
        <v>7200</v>
      </c>
      <c r="L370" s="39">
        <f>Dynamic_Scheduling!K16</f>
        <v>7200</v>
      </c>
      <c r="M370" s="39">
        <f>Dynamic_Scheduling!L16</f>
        <v>7200</v>
      </c>
      <c r="N370" s="39">
        <f>Dynamic_Scheduling!M16</f>
        <v>7200</v>
      </c>
      <c r="O370" s="42">
        <f t="shared" si="40"/>
        <v>86400</v>
      </c>
    </row>
    <row r="371" spans="1:15" s="6" customFormat="1">
      <c r="A371" s="88" t="s">
        <v>147</v>
      </c>
      <c r="B371" s="209">
        <v>456.21300000000002</v>
      </c>
      <c r="C371" s="39">
        <f>st_nf!D9</f>
        <v>252959.05</v>
      </c>
      <c r="D371" s="39">
        <f>st_nf!E9</f>
        <v>211139.89</v>
      </c>
      <c r="E371" s="39">
        <f>st_nf!F9</f>
        <v>230869.65</v>
      </c>
      <c r="F371" s="39">
        <f>st_nf!G9</f>
        <v>165524.70000000001</v>
      </c>
      <c r="G371" s="39">
        <f>st_nf!H9</f>
        <v>230869.65</v>
      </c>
      <c r="H371" s="39">
        <f>st_nf!I9</f>
        <v>338831.64</v>
      </c>
      <c r="I371" s="39">
        <f>st_nf!J9</f>
        <v>225520.52</v>
      </c>
      <c r="J371" s="39">
        <f>st_nf!K9</f>
        <v>328491.74</v>
      </c>
      <c r="K371" s="39">
        <f>st_nf!L9</f>
        <v>320710.51</v>
      </c>
      <c r="L371" s="39">
        <f>st_nf!M9</f>
        <v>438157.95</v>
      </c>
      <c r="M371" s="39">
        <f>st_nf!N9</f>
        <v>323720.68</v>
      </c>
      <c r="N371" s="39">
        <f>st_nf!O9</f>
        <v>226700.14</v>
      </c>
      <c r="O371" s="42">
        <f t="shared" si="40"/>
        <v>3293496.1200000006</v>
      </c>
    </row>
    <row r="372" spans="1:15" s="6" customFormat="1">
      <c r="A372" s="88" t="s">
        <v>148</v>
      </c>
      <c r="B372" s="209">
        <v>456.22300000000001</v>
      </c>
      <c r="C372" s="43">
        <f>st_nf!D10</f>
        <v>31266.38</v>
      </c>
      <c r="D372" s="43">
        <f>st_nf!E10</f>
        <v>33737.19</v>
      </c>
      <c r="E372" s="43">
        <f>st_nf!F10</f>
        <v>33995.410000000003</v>
      </c>
      <c r="F372" s="43">
        <f>st_nf!G10</f>
        <v>34925.39</v>
      </c>
      <c r="G372" s="43">
        <f>st_nf!H10</f>
        <v>33923.370000000003</v>
      </c>
      <c r="H372" s="43">
        <f>st_nf!I10</f>
        <v>16500.57</v>
      </c>
      <c r="I372" s="43">
        <f>st_nf!J10</f>
        <v>25237.65</v>
      </c>
      <c r="J372" s="43">
        <f>st_nf!K10</f>
        <v>31769.99</v>
      </c>
      <c r="K372" s="43">
        <f>st_nf!L10</f>
        <v>41391.03</v>
      </c>
      <c r="L372" s="43">
        <f>st_nf!M10</f>
        <v>29168.31</v>
      </c>
      <c r="M372" s="43">
        <f>st_nf!N10</f>
        <v>28251.96</v>
      </c>
      <c r="N372" s="43">
        <f>st_nf!O10</f>
        <v>31973.599999999999</v>
      </c>
      <c r="O372" s="43">
        <f t="shared" si="40"/>
        <v>372140.85</v>
      </c>
    </row>
    <row r="373" spans="1:15" s="6" customFormat="1" ht="10.8" thickBot="1">
      <c r="A373" s="88" t="s">
        <v>149</v>
      </c>
      <c r="B373" s="88"/>
      <c r="C373" s="376">
        <f>SUM(C336:C372)</f>
        <v>3946285.5534368032</v>
      </c>
      <c r="D373" s="376">
        <f t="shared" ref="D373:O373" si="41">SUM(D336:D372)</f>
        <v>3881843.6953242994</v>
      </c>
      <c r="E373" s="376">
        <f t="shared" si="41"/>
        <v>3528004.4026927757</v>
      </c>
      <c r="F373" s="376">
        <f t="shared" si="41"/>
        <v>3404449.5510917753</v>
      </c>
      <c r="G373" s="376">
        <f t="shared" si="41"/>
        <v>3713071.9424622352</v>
      </c>
      <c r="H373" s="376">
        <f t="shared" si="41"/>
        <v>4141520.8763832874</v>
      </c>
      <c r="I373" s="376">
        <f t="shared" si="41"/>
        <v>4175458.5441527609</v>
      </c>
      <c r="J373" s="376">
        <f t="shared" si="41"/>
        <v>4229535.5791849485</v>
      </c>
      <c r="K373" s="376">
        <f t="shared" si="41"/>
        <v>4276208.2514108783</v>
      </c>
      <c r="L373" s="376">
        <f t="shared" si="41"/>
        <v>3973647.7140940856</v>
      </c>
      <c r="M373" s="376">
        <f t="shared" si="41"/>
        <v>3750057.9639564869</v>
      </c>
      <c r="N373" s="376">
        <f t="shared" si="41"/>
        <v>3475131.263462883</v>
      </c>
      <c r="O373" s="376">
        <f t="shared" si="41"/>
        <v>46495215.337653227</v>
      </c>
    </row>
    <row r="374" spans="1:15" s="6" customFormat="1" ht="10.8" thickTop="1">
      <c r="A374" s="88"/>
      <c r="B374" s="88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</row>
    <row r="375" spans="1:15" s="6" customFormat="1">
      <c r="A375" s="88"/>
      <c r="B375" s="88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39"/>
    </row>
    <row r="376" spans="1:15" s="6" customFormat="1">
      <c r="A376" s="88" t="s">
        <v>126</v>
      </c>
      <c r="B376" s="209">
        <v>456.25200000000001</v>
      </c>
      <c r="C376" s="43">
        <f>'SECI-Credit Settlement'!$B$10*(-1)</f>
        <v>-566426.91666666674</v>
      </c>
      <c r="D376" s="43">
        <f>'SECI-Credit Settlement'!$B$10*(-1)</f>
        <v>-566426.91666666674</v>
      </c>
      <c r="E376" s="43">
        <f>'SECI-Credit Settlement'!$B$10*(-1)</f>
        <v>-566426.91666666674</v>
      </c>
      <c r="F376" s="43">
        <f>'SECI-Credit Settlement'!$B$10*(-1)</f>
        <v>-566426.91666666674</v>
      </c>
      <c r="G376" s="43">
        <f>'SECI-Credit Settlement'!$B$10*(-1)</f>
        <v>-566426.91666666674</v>
      </c>
      <c r="H376" s="43">
        <f>'SECI-Credit Settlement'!$B$10*(-1)</f>
        <v>-566426.91666666674</v>
      </c>
      <c r="I376" s="43">
        <f>'SECI-Credit Settlement'!$B$10*(-1)</f>
        <v>-566426.91666666674</v>
      </c>
      <c r="J376" s="43">
        <f>'SECI-Credit Settlement'!$B$10*(-1)</f>
        <v>-566426.91666666674</v>
      </c>
      <c r="K376" s="43">
        <f>'SECI-Credit Settlement'!$B$10*(-1)</f>
        <v>-566426.91666666674</v>
      </c>
      <c r="L376" s="43">
        <f>'SECI-Credit Settlement'!$B$10*(-1)</f>
        <v>-566426.91666666674</v>
      </c>
      <c r="M376" s="43">
        <f>'SECI-Credit Settlement'!$B$10*(-1)</f>
        <v>-566426.91666666674</v>
      </c>
      <c r="N376" s="43">
        <f>'SECI-Credit Settlement'!$B$10*(-1)</f>
        <v>-566426.91666666674</v>
      </c>
      <c r="O376" s="40">
        <f>SUM(C376:N376)</f>
        <v>-6797123.0000000028</v>
      </c>
    </row>
    <row r="377" spans="1:15" s="6" customFormat="1">
      <c r="A377" s="87"/>
      <c r="B377" s="87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</row>
    <row r="378" spans="1:15" s="6" customFormat="1">
      <c r="A378" s="87" t="s">
        <v>352</v>
      </c>
      <c r="B378" s="87"/>
      <c r="C378" s="39">
        <f>C373+C376</f>
        <v>3379858.6367701367</v>
      </c>
      <c r="D378" s="39">
        <f t="shared" ref="D378:O378" si="42">D373+D376</f>
        <v>3315416.7786576329</v>
      </c>
      <c r="E378" s="39">
        <f t="shared" si="42"/>
        <v>2961577.4860261092</v>
      </c>
      <c r="F378" s="39">
        <f t="shared" si="42"/>
        <v>2838022.6344251083</v>
      </c>
      <c r="G378" s="39">
        <f t="shared" si="42"/>
        <v>3146645.0257955687</v>
      </c>
      <c r="H378" s="39">
        <f t="shared" si="42"/>
        <v>3575093.9597166209</v>
      </c>
      <c r="I378" s="39">
        <f t="shared" si="42"/>
        <v>3609031.6274860939</v>
      </c>
      <c r="J378" s="39">
        <f t="shared" si="42"/>
        <v>3663108.6625182815</v>
      </c>
      <c r="K378" s="39">
        <f t="shared" si="42"/>
        <v>3709781.3347442113</v>
      </c>
      <c r="L378" s="39">
        <f t="shared" si="42"/>
        <v>3407220.7974274186</v>
      </c>
      <c r="M378" s="39">
        <f t="shared" si="42"/>
        <v>3183631.0472898204</v>
      </c>
      <c r="N378" s="39">
        <f t="shared" si="42"/>
        <v>2908704.3467962164</v>
      </c>
      <c r="O378" s="39">
        <f t="shared" si="42"/>
        <v>39698092.337653227</v>
      </c>
    </row>
    <row r="379" spans="1:15" s="6" customFormat="1"/>
    <row r="380" spans="1:15" s="6" customFormat="1"/>
    <row r="381" spans="1:15" s="6" customFormat="1"/>
  </sheetData>
  <phoneticPr fontId="23" type="noConversion"/>
  <pageMargins left="0.18" right="0" top="0.24" bottom="0" header="0.48" footer="0.21"/>
  <pageSetup scale="80" fitToHeight="3" pageOrder="overThenDown" orientation="landscape" r:id="rId1"/>
  <headerFooter alignWithMargins="0">
    <oddHeader>&amp;R&amp;"Arial,Regular"&amp;8Page No. &amp;P of  &amp;N</oddHeader>
    <oddFooter>&amp;L&amp;"Times New Roman,Bold"&amp;8Note: FPL NED transmission revenues &amp;Unot&amp;U included in this transmission revenue forecast.&amp;R&amp;"Times New Roman,Bold"&amp;8&amp;D &amp;T</oddFooter>
  </headerFooter>
  <rowBreaks count="6" manualBreakCount="6">
    <brk id="41" max="16383" man="1"/>
    <brk id="81" max="16383" man="1"/>
    <brk id="127" max="16383" man="1"/>
    <brk id="178" max="16383" man="1"/>
    <brk id="229" max="16383" man="1"/>
    <brk id="282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00B050"/>
    <pageSetUpPr fitToPage="1"/>
  </sheetPr>
  <dimension ref="A1:Q38"/>
  <sheetViews>
    <sheetView zoomScale="85" workbookViewId="0">
      <pane xSplit="2" ySplit="8" topLeftCell="E9" activePane="bottomRight" state="frozen"/>
      <selection sqref="A1:XFD1428"/>
      <selection pane="topRight" sqref="A1:XFD1428"/>
      <selection pane="bottomLeft" sqref="A1:XFD1428"/>
      <selection pane="bottomRight" activeCell="A2" sqref="A1:A2"/>
    </sheetView>
  </sheetViews>
  <sheetFormatPr defaultColWidth="8" defaultRowHeight="13.2"/>
  <cols>
    <col min="1" max="1" width="48.109375" style="3" customWidth="1"/>
    <col min="2" max="2" width="11.33203125" style="3" customWidth="1"/>
    <col min="3" max="4" width="10.77734375" style="3" customWidth="1"/>
    <col min="5" max="5" width="11.6640625" style="3" customWidth="1"/>
    <col min="6" max="6" width="12.21875" style="3" customWidth="1"/>
    <col min="7" max="7" width="10" style="3" customWidth="1"/>
    <col min="8" max="8" width="9.88671875" style="3" customWidth="1"/>
    <col min="9" max="9" width="9.33203125" style="3" customWidth="1"/>
    <col min="10" max="10" width="11.88671875" style="3" customWidth="1"/>
    <col min="11" max="11" width="9.88671875" style="3" customWidth="1"/>
    <col min="12" max="12" width="10.6640625" style="3" customWidth="1"/>
    <col min="13" max="13" width="9.44140625" style="3" customWidth="1"/>
    <col min="14" max="14" width="9.6640625" style="3" customWidth="1"/>
    <col min="15" max="15" width="9.44140625" style="3" customWidth="1"/>
    <col min="16" max="16" width="10.77734375" style="3" customWidth="1"/>
    <col min="17" max="17" width="9.77734375" style="3" customWidth="1"/>
    <col min="18" max="16384" width="8" style="3"/>
  </cols>
  <sheetData>
    <row r="1" spans="1:17">
      <c r="A1" s="481" t="s">
        <v>464</v>
      </c>
    </row>
    <row r="2" spans="1:17">
      <c r="A2" s="481" t="s">
        <v>458</v>
      </c>
    </row>
    <row r="4" spans="1:17" ht="18" customHeight="1">
      <c r="A4" s="1" t="s">
        <v>34</v>
      </c>
      <c r="B4" s="2"/>
      <c r="C4" s="2"/>
      <c r="E4" s="288"/>
      <c r="M4" s="276"/>
    </row>
    <row r="5" spans="1:17">
      <c r="A5" s="12" t="s">
        <v>208</v>
      </c>
    </row>
    <row r="6" spans="1:17" s="4" customFormat="1"/>
    <row r="7" spans="1:17" s="4" customFormat="1" ht="14.25" customHeight="1">
      <c r="A7" s="12"/>
      <c r="C7" s="293" t="s">
        <v>235</v>
      </c>
      <c r="D7" s="322">
        <v>41821</v>
      </c>
      <c r="E7" s="322">
        <v>41852</v>
      </c>
      <c r="F7" s="322">
        <v>41883</v>
      </c>
      <c r="G7" s="322">
        <v>41913</v>
      </c>
      <c r="H7" s="322">
        <v>41944</v>
      </c>
      <c r="I7" s="322">
        <v>41974</v>
      </c>
      <c r="J7" s="322">
        <v>42005</v>
      </c>
      <c r="K7" s="322">
        <v>42036</v>
      </c>
      <c r="L7" s="322">
        <v>42064</v>
      </c>
      <c r="M7" s="322">
        <v>42095</v>
      </c>
      <c r="N7" s="322">
        <v>42125</v>
      </c>
      <c r="O7" s="322">
        <v>42156</v>
      </c>
    </row>
    <row r="8" spans="1:17">
      <c r="A8" s="206"/>
      <c r="B8" s="293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 t="s">
        <v>12</v>
      </c>
    </row>
    <row r="9" spans="1:17">
      <c r="A9" s="378" t="s">
        <v>295</v>
      </c>
      <c r="B9" s="151"/>
      <c r="C9" s="151">
        <v>9456213</v>
      </c>
      <c r="D9" s="294">
        <v>252959.05</v>
      </c>
      <c r="E9" s="294">
        <v>211139.89</v>
      </c>
      <c r="F9" s="294">
        <v>230869.65</v>
      </c>
      <c r="G9" s="294">
        <v>165524.70000000001</v>
      </c>
      <c r="H9" s="294">
        <v>230869.65</v>
      </c>
      <c r="I9" s="294">
        <v>338831.64</v>
      </c>
      <c r="J9" s="457">
        <v>225520.52</v>
      </c>
      <c r="K9" s="457">
        <v>328491.74</v>
      </c>
      <c r="L9" s="457">
        <v>320710.51</v>
      </c>
      <c r="M9" s="457">
        <v>438157.95</v>
      </c>
      <c r="N9" s="457">
        <v>323720.68</v>
      </c>
      <c r="O9" s="457">
        <v>226700.14</v>
      </c>
      <c r="P9" s="292">
        <f>SUM(D9:O9)</f>
        <v>3293496.1200000006</v>
      </c>
      <c r="Q9" s="165"/>
    </row>
    <row r="10" spans="1:17">
      <c r="A10" s="378" t="s">
        <v>294</v>
      </c>
      <c r="B10" s="151"/>
      <c r="C10" s="151">
        <v>945223</v>
      </c>
      <c r="D10" s="294">
        <v>31266.38</v>
      </c>
      <c r="E10" s="294">
        <v>33737.19</v>
      </c>
      <c r="F10" s="294">
        <v>33995.410000000003</v>
      </c>
      <c r="G10" s="294">
        <v>34925.39</v>
      </c>
      <c r="H10" s="294">
        <v>33923.370000000003</v>
      </c>
      <c r="I10" s="294">
        <v>16500.57</v>
      </c>
      <c r="J10" s="456">
        <v>25237.65</v>
      </c>
      <c r="K10" s="456">
        <v>31769.99</v>
      </c>
      <c r="L10" s="456">
        <v>41391.03</v>
      </c>
      <c r="M10" s="456">
        <v>29168.31</v>
      </c>
      <c r="N10" s="456">
        <v>28251.96</v>
      </c>
      <c r="O10" s="456">
        <v>31973.599999999999</v>
      </c>
      <c r="P10" s="292">
        <f>SUM(D10:O10)</f>
        <v>372140.85</v>
      </c>
    </row>
    <row r="12" spans="1:17">
      <c r="A12" s="313"/>
      <c r="B12" s="21" t="s">
        <v>331</v>
      </c>
      <c r="C12" s="21"/>
      <c r="D12" s="21"/>
      <c r="F12" s="288"/>
      <c r="G12" s="208"/>
      <c r="H12" s="208"/>
      <c r="I12" s="288"/>
    </row>
    <row r="13" spans="1:17">
      <c r="A13" s="314"/>
      <c r="B13" s="21" t="s">
        <v>373</v>
      </c>
      <c r="C13" s="21"/>
      <c r="D13" s="21"/>
      <c r="E13" s="4"/>
      <c r="F13" s="289"/>
      <c r="G13" s="290"/>
      <c r="H13" s="290"/>
      <c r="I13" s="288"/>
    </row>
    <row r="14" spans="1:17">
      <c r="D14" s="4"/>
      <c r="E14" s="208"/>
      <c r="F14" s="208"/>
      <c r="G14" s="290"/>
      <c r="H14" s="290"/>
      <c r="I14" s="288"/>
    </row>
    <row r="15" spans="1:17">
      <c r="D15" s="207"/>
      <c r="E15" s="4"/>
      <c r="F15" s="289"/>
      <c r="G15" s="290"/>
      <c r="H15" s="290"/>
      <c r="I15" s="288"/>
    </row>
    <row r="16" spans="1:17">
      <c r="D16" s="207"/>
      <c r="E16" s="4"/>
      <c r="F16" s="289"/>
      <c r="G16" s="290"/>
      <c r="H16" s="290"/>
      <c r="I16" s="288"/>
    </row>
    <row r="17" spans="1:12">
      <c r="D17" s="207"/>
      <c r="E17" s="4"/>
      <c r="F17" s="289"/>
      <c r="G17" s="290"/>
      <c r="H17" s="290"/>
      <c r="I17" s="288"/>
    </row>
    <row r="18" spans="1:12">
      <c r="D18" s="207"/>
      <c r="E18" s="4"/>
      <c r="F18" s="289"/>
      <c r="G18" s="290"/>
      <c r="H18" s="290"/>
      <c r="I18" s="288"/>
    </row>
    <row r="19" spans="1:12">
      <c r="D19" s="207"/>
      <c r="E19" s="4"/>
      <c r="F19" s="289"/>
      <c r="G19" s="290"/>
      <c r="H19" s="290"/>
      <c r="I19" s="288"/>
    </row>
    <row r="20" spans="1:12" ht="13.8" thickBot="1">
      <c r="D20" s="207"/>
      <c r="E20" s="4"/>
      <c r="F20" s="289"/>
      <c r="G20" s="290"/>
      <c r="H20" s="290"/>
      <c r="I20" s="288"/>
    </row>
    <row r="21" spans="1:12" ht="15" thickBot="1">
      <c r="D21" s="207"/>
      <c r="E21" s="4"/>
      <c r="F21" s="289"/>
      <c r="G21" s="343" t="s">
        <v>232</v>
      </c>
      <c r="H21" s="344" t="s">
        <v>233</v>
      </c>
      <c r="I21" s="344" t="s">
        <v>234</v>
      </c>
      <c r="J21" s="344" t="s">
        <v>235</v>
      </c>
      <c r="K21" s="344" t="s">
        <v>236</v>
      </c>
      <c r="L21" s="21"/>
    </row>
    <row r="22" spans="1:12" ht="14.4">
      <c r="A22" s="3" t="s">
        <v>324</v>
      </c>
      <c r="D22" s="207"/>
      <c r="E22" s="4"/>
      <c r="F22" s="289"/>
      <c r="G22" s="345">
        <v>456.14499999999998</v>
      </c>
      <c r="H22" s="345">
        <v>4172800</v>
      </c>
      <c r="I22" s="346"/>
      <c r="J22" s="345">
        <v>9456110</v>
      </c>
      <c r="K22" s="347" t="s">
        <v>237</v>
      </c>
      <c r="L22" s="21"/>
    </row>
    <row r="23" spans="1:12" ht="15" thickBot="1">
      <c r="A23" s="339" t="s">
        <v>320</v>
      </c>
      <c r="D23" s="207"/>
      <c r="E23" s="205"/>
      <c r="F23" s="288"/>
      <c r="G23" s="345">
        <v>456.20100000000002</v>
      </c>
      <c r="H23" s="345">
        <v>4172200</v>
      </c>
      <c r="I23" s="345">
        <v>6350000973</v>
      </c>
      <c r="J23" s="345">
        <v>9456201</v>
      </c>
      <c r="K23" s="347" t="s">
        <v>238</v>
      </c>
      <c r="L23" s="21"/>
    </row>
    <row r="24" spans="1:12" ht="15" thickBot="1">
      <c r="A24" s="339" t="s">
        <v>321</v>
      </c>
      <c r="E24" s="221"/>
      <c r="F24" s="291"/>
      <c r="G24" s="349">
        <v>456.21100000000001</v>
      </c>
      <c r="H24" s="349">
        <v>4172200</v>
      </c>
      <c r="I24" s="349">
        <v>6350000926</v>
      </c>
      <c r="J24" s="349">
        <v>9456211</v>
      </c>
      <c r="K24" s="350" t="s">
        <v>239</v>
      </c>
      <c r="L24" s="21"/>
    </row>
    <row r="25" spans="1:12" ht="14.4">
      <c r="A25" s="339" t="s">
        <v>320</v>
      </c>
      <c r="E25" s="205"/>
      <c r="F25" s="288"/>
      <c r="G25" s="352">
        <v>456.21300000000002</v>
      </c>
      <c r="H25" s="352">
        <v>4172200</v>
      </c>
      <c r="I25" s="352">
        <v>6350000927</v>
      </c>
      <c r="J25" s="352">
        <v>9456213</v>
      </c>
      <c r="K25" s="353" t="s">
        <v>240</v>
      </c>
      <c r="L25" s="354"/>
    </row>
    <row r="26" spans="1:12" ht="14.4">
      <c r="A26" s="339" t="s">
        <v>322</v>
      </c>
      <c r="F26" s="288"/>
      <c r="G26" s="345">
        <v>456.221</v>
      </c>
      <c r="H26" s="345">
        <v>4172200</v>
      </c>
      <c r="I26" s="345">
        <v>6350000929</v>
      </c>
      <c r="J26" s="345">
        <v>9456221</v>
      </c>
      <c r="K26" s="347" t="s">
        <v>241</v>
      </c>
      <c r="L26" s="21"/>
    </row>
    <row r="27" spans="1:12" ht="14.4">
      <c r="A27" s="339" t="s">
        <v>323</v>
      </c>
      <c r="F27" s="288"/>
      <c r="G27" s="345">
        <v>456.22199999999998</v>
      </c>
      <c r="H27" s="345">
        <v>4172200</v>
      </c>
      <c r="I27" s="345">
        <v>6350000930</v>
      </c>
      <c r="J27" s="345">
        <v>9456222</v>
      </c>
      <c r="K27" s="347" t="s">
        <v>242</v>
      </c>
      <c r="L27" s="21"/>
    </row>
    <row r="28" spans="1:12" ht="14.4">
      <c r="G28" s="352">
        <v>456.22300000000001</v>
      </c>
      <c r="H28" s="352">
        <v>4172200</v>
      </c>
      <c r="I28" s="352">
        <v>6350000931</v>
      </c>
      <c r="J28" s="352">
        <v>9456223</v>
      </c>
      <c r="K28" s="353" t="s">
        <v>243</v>
      </c>
      <c r="L28" s="354"/>
    </row>
    <row r="29" spans="1:12" ht="14.4">
      <c r="G29" s="345">
        <v>456.22399999999999</v>
      </c>
      <c r="H29" s="345">
        <v>4172200</v>
      </c>
      <c r="I29" s="345">
        <v>6350000932</v>
      </c>
      <c r="J29" s="345">
        <v>9456224</v>
      </c>
      <c r="K29" s="347" t="s">
        <v>244</v>
      </c>
      <c r="L29" s="21"/>
    </row>
    <row r="30" spans="1:12" ht="14.4">
      <c r="G30" s="349">
        <v>456.22500000000002</v>
      </c>
      <c r="H30" s="349">
        <v>4172210</v>
      </c>
      <c r="I30" s="349">
        <v>6350000933</v>
      </c>
      <c r="J30" s="349">
        <v>9456225</v>
      </c>
      <c r="K30" s="350" t="s">
        <v>245</v>
      </c>
      <c r="L30" s="21"/>
    </row>
    <row r="31" spans="1:12" ht="14.4">
      <c r="G31" s="349">
        <v>456.226</v>
      </c>
      <c r="H31" s="349">
        <v>4172200</v>
      </c>
      <c r="I31" s="349">
        <v>6350000974</v>
      </c>
      <c r="J31" s="349">
        <v>9456226</v>
      </c>
      <c r="K31" s="350" t="s">
        <v>246</v>
      </c>
      <c r="L31" s="21"/>
    </row>
    <row r="32" spans="1:12" ht="14.4">
      <c r="G32" s="349">
        <v>456.22699999999998</v>
      </c>
      <c r="H32" s="349">
        <v>4172200</v>
      </c>
      <c r="I32" s="349">
        <v>6350000975</v>
      </c>
      <c r="J32" s="349">
        <v>9456227</v>
      </c>
      <c r="K32" s="350" t="s">
        <v>247</v>
      </c>
      <c r="L32" s="21"/>
    </row>
    <row r="33" spans="7:12" ht="14.4">
      <c r="G33" s="349">
        <v>456.23</v>
      </c>
      <c r="H33" s="349">
        <v>4172210</v>
      </c>
      <c r="I33" s="349">
        <v>6350000934</v>
      </c>
      <c r="J33" s="349">
        <v>9456230</v>
      </c>
      <c r="K33" s="350" t="s">
        <v>248</v>
      </c>
      <c r="L33" s="21"/>
    </row>
    <row r="34" spans="7:12" ht="14.4">
      <c r="G34" s="349">
        <v>456.23099999999999</v>
      </c>
      <c r="H34" s="349">
        <v>4172210</v>
      </c>
      <c r="I34" s="349">
        <v>6350000935</v>
      </c>
      <c r="J34" s="349">
        <v>9456231</v>
      </c>
      <c r="K34" s="350" t="s">
        <v>249</v>
      </c>
      <c r="L34" s="21"/>
    </row>
    <row r="35" spans="7:12" ht="14.4">
      <c r="G35" s="349">
        <v>456.23200000000003</v>
      </c>
      <c r="H35" s="349">
        <v>4172200</v>
      </c>
      <c r="I35" s="349">
        <v>6350000936</v>
      </c>
      <c r="J35" s="349">
        <v>9456232</v>
      </c>
      <c r="K35" s="350" t="s">
        <v>250</v>
      </c>
      <c r="L35" s="21"/>
    </row>
    <row r="36" spans="7:12" ht="14.4">
      <c r="G36" s="349">
        <v>456.233</v>
      </c>
      <c r="H36" s="349">
        <v>4172200</v>
      </c>
      <c r="I36" s="349">
        <v>6350000937</v>
      </c>
      <c r="J36" s="349">
        <v>9456233</v>
      </c>
      <c r="K36" s="350" t="s">
        <v>251</v>
      </c>
      <c r="L36" s="21"/>
    </row>
    <row r="37" spans="7:12" ht="14.4">
      <c r="G37" s="349">
        <v>456.24900000000002</v>
      </c>
      <c r="H37" s="349">
        <v>4172200</v>
      </c>
      <c r="I37" s="349">
        <v>6350000939</v>
      </c>
      <c r="J37" s="349">
        <v>9456249</v>
      </c>
      <c r="K37" s="350" t="s">
        <v>252</v>
      </c>
      <c r="L37" s="21"/>
    </row>
    <row r="38" spans="7:12" ht="14.4">
      <c r="G38" s="351"/>
      <c r="H38" s="349">
        <v>4172200</v>
      </c>
      <c r="I38" s="349">
        <v>6350001111</v>
      </c>
      <c r="J38" s="351"/>
      <c r="K38" s="350" t="s">
        <v>253</v>
      </c>
      <c r="L38" s="21"/>
    </row>
  </sheetData>
  <phoneticPr fontId="23" type="noConversion"/>
  <printOptions horizontalCentered="1"/>
  <pageMargins left="0.18" right="0.18" top="1.1299999999999999" bottom="1" header="0.62" footer="0.5"/>
  <pageSetup scale="67" orientation="landscape" r:id="rId1"/>
  <headerFooter alignWithMargins="0">
    <oddHeader>&amp;A</oddHeader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R101"/>
  <sheetViews>
    <sheetView zoomScale="75" zoomScaleNormal="75" workbookViewId="0">
      <selection activeCell="A2" sqref="A1:A2"/>
    </sheetView>
  </sheetViews>
  <sheetFormatPr defaultColWidth="9" defaultRowHeight="13.2"/>
  <cols>
    <col min="1" max="1" width="33.44140625" style="67" customWidth="1"/>
    <col min="2" max="2" width="10.44140625" style="67" customWidth="1"/>
    <col min="3" max="3" width="11" style="67" customWidth="1"/>
    <col min="4" max="4" width="9.88671875" style="67" customWidth="1"/>
    <col min="5" max="5" width="10.21875" style="67" customWidth="1"/>
    <col min="6" max="6" width="10.109375" style="67" customWidth="1"/>
    <col min="7" max="12" width="9.77734375" style="67" customWidth="1"/>
    <col min="13" max="13" width="10" style="67" customWidth="1"/>
    <col min="14" max="14" width="9.77734375" style="67" customWidth="1"/>
    <col min="15" max="15" width="9" style="67"/>
    <col min="16" max="16" width="17.109375" style="67" customWidth="1"/>
    <col min="17" max="16384" width="9" style="67"/>
  </cols>
  <sheetData>
    <row r="1" spans="1:18">
      <c r="A1" s="481" t="s">
        <v>465</v>
      </c>
    </row>
    <row r="2" spans="1:18">
      <c r="A2" s="481" t="s">
        <v>458</v>
      </c>
    </row>
    <row r="3" spans="1:18">
      <c r="B3" s="147">
        <f ca="1">TRUNC(NOW())</f>
        <v>42476</v>
      </c>
      <c r="D3" s="310" t="s">
        <v>205</v>
      </c>
      <c r="E3" s="148"/>
      <c r="P3" s="319" t="s">
        <v>210</v>
      </c>
      <c r="Q3" s="318" t="s">
        <v>209</v>
      </c>
      <c r="R3" s="317"/>
    </row>
    <row r="4" spans="1:18">
      <c r="A4" s="146"/>
      <c r="B4" s="149">
        <f ca="1">NOW()</f>
        <v>42476.370215393516</v>
      </c>
      <c r="P4" s="316"/>
      <c r="Q4" s="318" t="s">
        <v>211</v>
      </c>
      <c r="R4" s="316"/>
    </row>
    <row r="5" spans="1:18">
      <c r="A5" s="311" t="s">
        <v>338</v>
      </c>
    </row>
    <row r="6" spans="1:18">
      <c r="A6" s="146"/>
      <c r="G6" s="150"/>
      <c r="H6" s="150"/>
      <c r="I6" s="150"/>
      <c r="J6" s="150"/>
      <c r="K6" s="150"/>
      <c r="L6" s="150"/>
      <c r="M6" s="150"/>
      <c r="N6" s="150"/>
      <c r="P6" s="311" t="s">
        <v>212</v>
      </c>
    </row>
    <row r="7" spans="1:18">
      <c r="A7" s="315">
        <v>2014</v>
      </c>
      <c r="B7" s="151" t="s">
        <v>92</v>
      </c>
      <c r="C7" s="151" t="s">
        <v>93</v>
      </c>
      <c r="D7" s="151" t="s">
        <v>94</v>
      </c>
      <c r="E7" s="151" t="s">
        <v>95</v>
      </c>
      <c r="F7" s="151" t="s">
        <v>96</v>
      </c>
      <c r="G7" s="151" t="s">
        <v>97</v>
      </c>
      <c r="H7" s="151" t="s">
        <v>98</v>
      </c>
      <c r="I7" s="151" t="s">
        <v>99</v>
      </c>
      <c r="J7" s="151" t="s">
        <v>100</v>
      </c>
      <c r="K7" s="151" t="s">
        <v>101</v>
      </c>
      <c r="L7" s="151" t="s">
        <v>102</v>
      </c>
      <c r="M7" s="151" t="s">
        <v>103</v>
      </c>
      <c r="N7" s="151" t="s">
        <v>12</v>
      </c>
      <c r="P7" s="320" t="s">
        <v>213</v>
      </c>
    </row>
    <row r="8" spans="1:18">
      <c r="A8" s="146" t="s">
        <v>186</v>
      </c>
      <c r="B8" s="152"/>
      <c r="C8" s="152"/>
      <c r="D8" s="152"/>
      <c r="E8" s="153"/>
      <c r="F8" s="153"/>
      <c r="G8" s="153"/>
      <c r="H8" s="153"/>
      <c r="I8" s="153"/>
      <c r="J8" s="152"/>
      <c r="K8" s="152"/>
      <c r="L8" s="152"/>
      <c r="M8" s="152"/>
      <c r="N8" s="152"/>
    </row>
    <row r="9" spans="1:18">
      <c r="A9" s="446" t="s">
        <v>104</v>
      </c>
      <c r="B9" s="154">
        <v>4400</v>
      </c>
      <c r="C9" s="154">
        <v>4400</v>
      </c>
      <c r="D9" s="154">
        <v>4400</v>
      </c>
      <c r="E9" s="154">
        <v>4400</v>
      </c>
      <c r="F9" s="154">
        <v>4400</v>
      </c>
      <c r="G9" s="154">
        <v>4400</v>
      </c>
      <c r="H9" s="154">
        <v>4400</v>
      </c>
      <c r="I9" s="154">
        <v>4400</v>
      </c>
      <c r="J9" s="154">
        <v>4400</v>
      </c>
      <c r="K9" s="154">
        <v>4400</v>
      </c>
      <c r="L9" s="154">
        <v>4400</v>
      </c>
      <c r="M9" s="154">
        <v>4400</v>
      </c>
      <c r="N9" s="154">
        <f>SUM(B9:M9)</f>
        <v>52800</v>
      </c>
    </row>
    <row r="10" spans="1:18">
      <c r="A10" s="446" t="s">
        <v>105</v>
      </c>
      <c r="B10" s="154">
        <v>4900</v>
      </c>
      <c r="C10" s="154">
        <v>4900</v>
      </c>
      <c r="D10" s="154">
        <v>4900</v>
      </c>
      <c r="E10" s="154">
        <v>4900</v>
      </c>
      <c r="F10" s="154">
        <v>4900</v>
      </c>
      <c r="G10" s="154">
        <v>4900</v>
      </c>
      <c r="H10" s="154">
        <v>4900</v>
      </c>
      <c r="I10" s="154">
        <v>4900</v>
      </c>
      <c r="J10" s="154">
        <v>4900</v>
      </c>
      <c r="K10" s="154">
        <v>4900</v>
      </c>
      <c r="L10" s="154">
        <v>4900</v>
      </c>
      <c r="M10" s="154">
        <v>4900</v>
      </c>
      <c r="N10" s="154">
        <f>SUM(B10:M10)</f>
        <v>58800</v>
      </c>
    </row>
    <row r="11" spans="1:18">
      <c r="A11" s="447" t="s">
        <v>327</v>
      </c>
      <c r="B11" s="154">
        <v>1514.1</v>
      </c>
      <c r="C11" s="154">
        <v>1514.1</v>
      </c>
      <c r="D11" s="154">
        <v>1514.1</v>
      </c>
      <c r="E11" s="154">
        <v>1514.1</v>
      </c>
      <c r="F11" s="154">
        <v>1514.1</v>
      </c>
      <c r="G11" s="154">
        <v>1514.1</v>
      </c>
      <c r="H11" s="154">
        <v>1514.1</v>
      </c>
      <c r="I11" s="154">
        <v>1514.1</v>
      </c>
      <c r="J11" s="154">
        <v>1514.1</v>
      </c>
      <c r="K11" s="154">
        <v>1514.1</v>
      </c>
      <c r="L11" s="154">
        <v>1514.1</v>
      </c>
      <c r="M11" s="154">
        <v>1514.1</v>
      </c>
      <c r="N11" s="154">
        <f t="shared" ref="N11:N15" si="0">SUM(B11:M11)</f>
        <v>18169.2</v>
      </c>
    </row>
    <row r="12" spans="1:18">
      <c r="A12" s="446" t="s">
        <v>176</v>
      </c>
      <c r="B12" s="274">
        <f>4280.96</f>
        <v>4280.96</v>
      </c>
      <c r="C12" s="274">
        <f t="shared" ref="C12:M12" si="1">4280.96</f>
        <v>4280.96</v>
      </c>
      <c r="D12" s="274">
        <f t="shared" si="1"/>
        <v>4280.96</v>
      </c>
      <c r="E12" s="274">
        <f t="shared" si="1"/>
        <v>4280.96</v>
      </c>
      <c r="F12" s="274">
        <f t="shared" si="1"/>
        <v>4280.96</v>
      </c>
      <c r="G12" s="274">
        <f t="shared" si="1"/>
        <v>4280.96</v>
      </c>
      <c r="H12" s="274">
        <f t="shared" si="1"/>
        <v>4280.96</v>
      </c>
      <c r="I12" s="274">
        <f t="shared" si="1"/>
        <v>4280.96</v>
      </c>
      <c r="J12" s="274">
        <f t="shared" si="1"/>
        <v>4280.96</v>
      </c>
      <c r="K12" s="274">
        <f t="shared" si="1"/>
        <v>4280.96</v>
      </c>
      <c r="L12" s="274">
        <f t="shared" si="1"/>
        <v>4280.96</v>
      </c>
      <c r="M12" s="274">
        <f t="shared" si="1"/>
        <v>4280.96</v>
      </c>
      <c r="N12" s="154">
        <f t="shared" si="0"/>
        <v>51371.519999999997</v>
      </c>
    </row>
    <row r="13" spans="1:18">
      <c r="A13" s="447" t="s">
        <v>329</v>
      </c>
      <c r="B13" s="274">
        <v>3241.7</v>
      </c>
      <c r="C13" s="274">
        <v>3241.7</v>
      </c>
      <c r="D13" s="274">
        <v>3241.7</v>
      </c>
      <c r="E13" s="274">
        <v>3241.7</v>
      </c>
      <c r="F13" s="274">
        <v>3241.7</v>
      </c>
      <c r="G13" s="274">
        <v>3241.7</v>
      </c>
      <c r="H13" s="274">
        <v>3241.7</v>
      </c>
      <c r="I13" s="274">
        <v>3241.7</v>
      </c>
      <c r="J13" s="274">
        <v>3241.7</v>
      </c>
      <c r="K13" s="274">
        <v>3241.7</v>
      </c>
      <c r="L13" s="274">
        <v>3241.7</v>
      </c>
      <c r="M13" s="274">
        <v>3241.7</v>
      </c>
      <c r="N13" s="154">
        <f t="shared" si="0"/>
        <v>38900.400000000001</v>
      </c>
    </row>
    <row r="14" spans="1:18">
      <c r="A14" s="447" t="s">
        <v>206</v>
      </c>
      <c r="B14" s="325">
        <v>17455.669999999998</v>
      </c>
      <c r="C14" s="325">
        <v>16658.169999999998</v>
      </c>
      <c r="D14" s="325">
        <v>16658.169999999998</v>
      </c>
      <c r="E14" s="325">
        <v>16658.169999999998</v>
      </c>
      <c r="F14" s="325">
        <v>16658.169999999998</v>
      </c>
      <c r="G14" s="325">
        <v>16658.169999999998</v>
      </c>
      <c r="H14" s="325">
        <v>16658.169999999998</v>
      </c>
      <c r="I14" s="325">
        <v>16658.169999999998</v>
      </c>
      <c r="J14" s="325">
        <v>16658.169999999998</v>
      </c>
      <c r="K14" s="325">
        <v>16658.169999999998</v>
      </c>
      <c r="L14" s="325">
        <v>16658.169999999998</v>
      </c>
      <c r="M14" s="325">
        <v>16658.169999999998</v>
      </c>
      <c r="N14" s="154">
        <f t="shared" si="0"/>
        <v>200695.53999999992</v>
      </c>
    </row>
    <row r="15" spans="1:18">
      <c r="A15" s="447" t="s">
        <v>207</v>
      </c>
      <c r="B15" s="324">
        <v>4666.17</v>
      </c>
      <c r="C15" s="324">
        <v>4449.5</v>
      </c>
      <c r="D15" s="324">
        <v>4449.5</v>
      </c>
      <c r="E15" s="324">
        <v>4449.5</v>
      </c>
      <c r="F15" s="324">
        <v>4449.5</v>
      </c>
      <c r="G15" s="324">
        <v>4449.5</v>
      </c>
      <c r="H15" s="324">
        <v>4449.5</v>
      </c>
      <c r="I15" s="324">
        <v>4449.5</v>
      </c>
      <c r="J15" s="324">
        <v>4449.5</v>
      </c>
      <c r="K15" s="324">
        <v>4449.5</v>
      </c>
      <c r="L15" s="324">
        <v>4449.5</v>
      </c>
      <c r="M15" s="324">
        <v>4449.5</v>
      </c>
      <c r="N15" s="154">
        <f t="shared" si="0"/>
        <v>53610.67</v>
      </c>
    </row>
    <row r="16" spans="1:18"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</row>
    <row r="19" spans="1:15">
      <c r="A19" s="311" t="s">
        <v>214</v>
      </c>
      <c r="B19" s="169">
        <f t="shared" ref="B19:N19" si="2">SUM(B9:B15)</f>
        <v>40458.6</v>
      </c>
      <c r="C19" s="169">
        <f t="shared" si="2"/>
        <v>39444.43</v>
      </c>
      <c r="D19" s="169">
        <f t="shared" si="2"/>
        <v>39444.43</v>
      </c>
      <c r="E19" s="169">
        <f t="shared" si="2"/>
        <v>39444.43</v>
      </c>
      <c r="F19" s="169">
        <f t="shared" si="2"/>
        <v>39444.43</v>
      </c>
      <c r="G19" s="169">
        <f t="shared" si="2"/>
        <v>39444.43</v>
      </c>
      <c r="H19" s="169">
        <f t="shared" si="2"/>
        <v>39444.43</v>
      </c>
      <c r="I19" s="169">
        <f t="shared" si="2"/>
        <v>39444.43</v>
      </c>
      <c r="J19" s="169">
        <f t="shared" si="2"/>
        <v>39444.43</v>
      </c>
      <c r="K19" s="169">
        <f t="shared" si="2"/>
        <v>39444.43</v>
      </c>
      <c r="L19" s="169">
        <f t="shared" si="2"/>
        <v>39444.43</v>
      </c>
      <c r="M19" s="169">
        <f t="shared" si="2"/>
        <v>39444.43</v>
      </c>
      <c r="N19" s="154">
        <f t="shared" si="2"/>
        <v>474347.3299999999</v>
      </c>
    </row>
    <row r="22" spans="1:15">
      <c r="A22" s="311"/>
      <c r="C22" s="312"/>
    </row>
    <row r="23" spans="1:15">
      <c r="A23" s="315">
        <f>A7+1</f>
        <v>2015</v>
      </c>
      <c r="B23" s="151" t="s">
        <v>92</v>
      </c>
      <c r="C23" s="151" t="s">
        <v>93</v>
      </c>
      <c r="D23" s="151" t="s">
        <v>94</v>
      </c>
      <c r="E23" s="151" t="s">
        <v>95</v>
      </c>
      <c r="F23" s="151" t="s">
        <v>96</v>
      </c>
      <c r="G23" s="151" t="s">
        <v>97</v>
      </c>
      <c r="H23" s="151" t="s">
        <v>98</v>
      </c>
      <c r="I23" s="151" t="s">
        <v>99</v>
      </c>
      <c r="J23" s="151" t="s">
        <v>100</v>
      </c>
      <c r="K23" s="151" t="s">
        <v>101</v>
      </c>
      <c r="L23" s="151" t="s">
        <v>102</v>
      </c>
      <c r="M23" s="151" t="s">
        <v>103</v>
      </c>
      <c r="N23" s="151" t="s">
        <v>12</v>
      </c>
    </row>
    <row r="24" spans="1:15">
      <c r="A24" s="146" t="s">
        <v>186</v>
      </c>
      <c r="B24" s="152"/>
      <c r="C24" s="152"/>
      <c r="D24" s="152"/>
      <c r="E24" s="153"/>
      <c r="F24" s="153"/>
      <c r="G24" s="153"/>
      <c r="H24" s="153"/>
      <c r="I24" s="153"/>
      <c r="J24" s="152"/>
      <c r="K24" s="152"/>
      <c r="L24" s="152"/>
      <c r="M24" s="152"/>
      <c r="N24" s="152"/>
    </row>
    <row r="25" spans="1:15">
      <c r="A25" s="67" t="s">
        <v>104</v>
      </c>
      <c r="B25" s="154">
        <v>4400</v>
      </c>
      <c r="C25" s="154">
        <v>4400</v>
      </c>
      <c r="D25" s="154">
        <v>4400</v>
      </c>
      <c r="E25" s="154">
        <v>4400</v>
      </c>
      <c r="F25" s="154">
        <v>4400</v>
      </c>
      <c r="G25" s="154">
        <v>4400</v>
      </c>
      <c r="H25" s="154">
        <v>4400</v>
      </c>
      <c r="I25" s="154">
        <v>4400</v>
      </c>
      <c r="J25" s="154">
        <v>4400</v>
      </c>
      <c r="K25" s="154">
        <v>4400</v>
      </c>
      <c r="L25" s="154">
        <v>4400</v>
      </c>
      <c r="M25" s="154">
        <v>4400</v>
      </c>
      <c r="N25" s="154">
        <f>SUM(B25:M25)</f>
        <v>52800</v>
      </c>
    </row>
    <row r="26" spans="1:15">
      <c r="A26" s="67" t="s">
        <v>105</v>
      </c>
      <c r="B26" s="154">
        <v>4900</v>
      </c>
      <c r="C26" s="154">
        <v>4900</v>
      </c>
      <c r="D26" s="154">
        <v>4900</v>
      </c>
      <c r="E26" s="154">
        <v>4900</v>
      </c>
      <c r="F26" s="154">
        <v>4900</v>
      </c>
      <c r="G26" s="154">
        <v>4900</v>
      </c>
      <c r="H26" s="154">
        <v>4900</v>
      </c>
      <c r="I26" s="154">
        <v>4900</v>
      </c>
      <c r="J26" s="154">
        <v>4900</v>
      </c>
      <c r="K26" s="154">
        <v>4900</v>
      </c>
      <c r="L26" s="154">
        <v>4900</v>
      </c>
      <c r="M26" s="154">
        <v>4900</v>
      </c>
      <c r="N26" s="154">
        <f t="shared" ref="N26:N31" si="3">SUM(B26:M26)</f>
        <v>58800</v>
      </c>
    </row>
    <row r="27" spans="1:15">
      <c r="A27" s="311" t="s">
        <v>327</v>
      </c>
      <c r="B27" s="154">
        <v>1514.1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>
        <f t="shared" si="3"/>
        <v>1514.1</v>
      </c>
      <c r="O27" s="323" t="s">
        <v>328</v>
      </c>
    </row>
    <row r="28" spans="1:15">
      <c r="A28" s="67" t="s">
        <v>176</v>
      </c>
      <c r="B28" s="274">
        <f>4280.96</f>
        <v>4280.96</v>
      </c>
      <c r="C28" s="274">
        <f t="shared" ref="C28:M28" si="4">4280.96</f>
        <v>4280.96</v>
      </c>
      <c r="D28" s="274">
        <f t="shared" si="4"/>
        <v>4280.96</v>
      </c>
      <c r="E28" s="274">
        <f t="shared" si="4"/>
        <v>4280.96</v>
      </c>
      <c r="F28" s="274">
        <f t="shared" si="4"/>
        <v>4280.96</v>
      </c>
      <c r="G28" s="274">
        <f t="shared" si="4"/>
        <v>4280.96</v>
      </c>
      <c r="H28" s="274">
        <f t="shared" si="4"/>
        <v>4280.96</v>
      </c>
      <c r="I28" s="274">
        <f t="shared" si="4"/>
        <v>4280.96</v>
      </c>
      <c r="J28" s="274">
        <f t="shared" si="4"/>
        <v>4280.96</v>
      </c>
      <c r="K28" s="274">
        <f t="shared" si="4"/>
        <v>4280.96</v>
      </c>
      <c r="L28" s="274">
        <f t="shared" si="4"/>
        <v>4280.96</v>
      </c>
      <c r="M28" s="274">
        <f t="shared" si="4"/>
        <v>4280.96</v>
      </c>
      <c r="N28" s="154">
        <f t="shared" si="3"/>
        <v>51371.519999999997</v>
      </c>
    </row>
    <row r="29" spans="1:15">
      <c r="A29" s="311" t="s">
        <v>329</v>
      </c>
      <c r="B29" s="274">
        <v>3241.7</v>
      </c>
      <c r="C29" s="274">
        <v>3241.7</v>
      </c>
      <c r="D29" s="274">
        <v>3241.7</v>
      </c>
      <c r="E29" s="274">
        <v>3241.7</v>
      </c>
      <c r="F29" s="274">
        <v>3241.7</v>
      </c>
      <c r="G29" s="274">
        <v>3241.7</v>
      </c>
      <c r="H29" s="274">
        <v>3241.7</v>
      </c>
      <c r="I29" s="274">
        <v>3241.7</v>
      </c>
      <c r="J29" s="274">
        <v>3241.7</v>
      </c>
      <c r="K29" s="274">
        <v>3241.7</v>
      </c>
      <c r="L29" s="274">
        <v>3241.7</v>
      </c>
      <c r="M29" s="274">
        <v>3241.7</v>
      </c>
      <c r="N29" s="154">
        <f t="shared" si="3"/>
        <v>38900.400000000001</v>
      </c>
    </row>
    <row r="30" spans="1:15">
      <c r="A30" s="311" t="s">
        <v>206</v>
      </c>
      <c r="B30" s="325">
        <v>16658.169999999998</v>
      </c>
      <c r="C30" s="325">
        <v>15860.87</v>
      </c>
      <c r="D30" s="325">
        <v>15860.87</v>
      </c>
      <c r="E30" s="325">
        <v>15860.87</v>
      </c>
      <c r="F30" s="325">
        <v>15860.87</v>
      </c>
      <c r="G30" s="325">
        <v>15860.87</v>
      </c>
      <c r="H30" s="325">
        <v>15860.87</v>
      </c>
      <c r="I30" s="325">
        <v>15860.87</v>
      </c>
      <c r="J30" s="325">
        <v>15860.87</v>
      </c>
      <c r="K30" s="325">
        <v>15860.87</v>
      </c>
      <c r="L30" s="325">
        <v>15860.87</v>
      </c>
      <c r="M30" s="325">
        <v>15860.87</v>
      </c>
      <c r="N30" s="154">
        <f t="shared" si="3"/>
        <v>191127.74</v>
      </c>
      <c r="O30" s="323" t="s">
        <v>364</v>
      </c>
    </row>
    <row r="31" spans="1:15">
      <c r="A31" s="311" t="s">
        <v>207</v>
      </c>
      <c r="B31" s="324">
        <v>4449.5</v>
      </c>
      <c r="C31" s="324">
        <v>4232.83</v>
      </c>
      <c r="D31" s="324">
        <v>4232.83</v>
      </c>
      <c r="E31" s="324">
        <v>4232.83</v>
      </c>
      <c r="F31" s="324">
        <v>4232.83</v>
      </c>
      <c r="G31" s="324">
        <v>4232.83</v>
      </c>
      <c r="H31" s="324">
        <v>4232.83</v>
      </c>
      <c r="I31" s="324">
        <v>4232.83</v>
      </c>
      <c r="J31" s="324">
        <v>4232.83</v>
      </c>
      <c r="K31" s="324">
        <v>4232.83</v>
      </c>
      <c r="L31" s="324">
        <v>4232.83</v>
      </c>
      <c r="M31" s="324">
        <v>4232.83</v>
      </c>
      <c r="N31" s="154">
        <f t="shared" si="3"/>
        <v>51010.630000000012</v>
      </c>
    </row>
    <row r="35" spans="1:14">
      <c r="A35" s="311" t="s">
        <v>214</v>
      </c>
      <c r="B35" s="169">
        <f>SUM(B25:B31)</f>
        <v>39444.43</v>
      </c>
      <c r="C35" s="169">
        <f t="shared" ref="C35:M35" si="5">SUM(C25:C31)</f>
        <v>36916.36</v>
      </c>
      <c r="D35" s="169">
        <f t="shared" si="5"/>
        <v>36916.36</v>
      </c>
      <c r="E35" s="169">
        <f t="shared" si="5"/>
        <v>36916.36</v>
      </c>
      <c r="F35" s="169">
        <f t="shared" si="5"/>
        <v>36916.36</v>
      </c>
      <c r="G35" s="169">
        <f t="shared" si="5"/>
        <v>36916.36</v>
      </c>
      <c r="H35" s="169">
        <f t="shared" si="5"/>
        <v>36916.36</v>
      </c>
      <c r="I35" s="169">
        <f t="shared" si="5"/>
        <v>36916.36</v>
      </c>
      <c r="J35" s="169">
        <f t="shared" si="5"/>
        <v>36916.36</v>
      </c>
      <c r="K35" s="169">
        <f t="shared" si="5"/>
        <v>36916.36</v>
      </c>
      <c r="L35" s="169">
        <f t="shared" si="5"/>
        <v>36916.36</v>
      </c>
      <c r="M35" s="169">
        <f t="shared" si="5"/>
        <v>36916.36</v>
      </c>
      <c r="N35" s="154">
        <f>SUM(N25:N31)</f>
        <v>445524.39</v>
      </c>
    </row>
    <row r="38" spans="1:14">
      <c r="A38" s="315">
        <f>A23+1</f>
        <v>2016</v>
      </c>
      <c r="B38" s="151" t="s">
        <v>92</v>
      </c>
      <c r="C38" s="151" t="s">
        <v>93</v>
      </c>
      <c r="D38" s="151" t="s">
        <v>94</v>
      </c>
      <c r="E38" s="151" t="s">
        <v>95</v>
      </c>
      <c r="F38" s="151" t="s">
        <v>96</v>
      </c>
      <c r="G38" s="151" t="s">
        <v>97</v>
      </c>
      <c r="H38" s="151" t="s">
        <v>98</v>
      </c>
      <c r="I38" s="151" t="s">
        <v>99</v>
      </c>
      <c r="J38" s="151" t="s">
        <v>100</v>
      </c>
      <c r="K38" s="151" t="s">
        <v>101</v>
      </c>
      <c r="L38" s="151" t="s">
        <v>102</v>
      </c>
      <c r="M38" s="151" t="s">
        <v>103</v>
      </c>
      <c r="N38" s="151" t="s">
        <v>12</v>
      </c>
    </row>
    <row r="39" spans="1:14">
      <c r="A39" s="146" t="s">
        <v>186</v>
      </c>
      <c r="B39" s="152"/>
      <c r="C39" s="152"/>
      <c r="D39" s="152"/>
      <c r="E39" s="153"/>
      <c r="F39" s="153"/>
      <c r="G39" s="153"/>
      <c r="H39" s="153"/>
      <c r="I39" s="153"/>
      <c r="J39" s="152"/>
      <c r="K39" s="152"/>
      <c r="L39" s="152"/>
      <c r="M39" s="152"/>
      <c r="N39" s="152"/>
    </row>
    <row r="40" spans="1:14">
      <c r="A40" s="67" t="s">
        <v>104</v>
      </c>
      <c r="B40" s="154">
        <v>4400</v>
      </c>
      <c r="C40" s="154">
        <v>4400</v>
      </c>
      <c r="D40" s="154">
        <v>4400</v>
      </c>
      <c r="E40" s="154">
        <v>4400</v>
      </c>
      <c r="F40" s="154">
        <v>4400</v>
      </c>
      <c r="G40" s="154">
        <v>4400</v>
      </c>
      <c r="H40" s="154">
        <v>4400</v>
      </c>
      <c r="I40" s="154">
        <v>4400</v>
      </c>
      <c r="J40" s="154">
        <v>4400</v>
      </c>
      <c r="K40" s="154">
        <v>4400</v>
      </c>
      <c r="L40" s="154">
        <v>4400</v>
      </c>
      <c r="M40" s="154">
        <v>4400</v>
      </c>
      <c r="N40" s="154">
        <f>SUM(B40:M40)</f>
        <v>52800</v>
      </c>
    </row>
    <row r="41" spans="1:14">
      <c r="A41" s="67" t="s">
        <v>105</v>
      </c>
      <c r="B41" s="154">
        <v>4900</v>
      </c>
      <c r="C41" s="154">
        <v>4900</v>
      </c>
      <c r="D41" s="154">
        <v>4900</v>
      </c>
      <c r="E41" s="154">
        <v>4900</v>
      </c>
      <c r="F41" s="154">
        <v>4900</v>
      </c>
      <c r="G41" s="154">
        <v>4900</v>
      </c>
      <c r="H41" s="154">
        <v>4900</v>
      </c>
      <c r="I41" s="154">
        <v>4900</v>
      </c>
      <c r="J41" s="154">
        <v>4900</v>
      </c>
      <c r="K41" s="154">
        <v>4900</v>
      </c>
      <c r="L41" s="154">
        <v>4900</v>
      </c>
      <c r="M41" s="154">
        <v>4900</v>
      </c>
      <c r="N41" s="154">
        <f>SUM(B41:M41)</f>
        <v>58800</v>
      </c>
    </row>
    <row r="42" spans="1:14">
      <c r="A42" s="67" t="s">
        <v>176</v>
      </c>
      <c r="B42" s="274">
        <f>4280.96</f>
        <v>4280.96</v>
      </c>
      <c r="C42" s="274">
        <f t="shared" ref="C42:M42" si="6">4280.96</f>
        <v>4280.96</v>
      </c>
      <c r="D42" s="274">
        <f t="shared" si="6"/>
        <v>4280.96</v>
      </c>
      <c r="E42" s="274">
        <f t="shared" si="6"/>
        <v>4280.96</v>
      </c>
      <c r="F42" s="274">
        <f t="shared" si="6"/>
        <v>4280.96</v>
      </c>
      <c r="G42" s="274">
        <f t="shared" si="6"/>
        <v>4280.96</v>
      </c>
      <c r="H42" s="274">
        <f t="shared" si="6"/>
        <v>4280.96</v>
      </c>
      <c r="I42" s="274">
        <f t="shared" si="6"/>
        <v>4280.96</v>
      </c>
      <c r="J42" s="274">
        <f t="shared" si="6"/>
        <v>4280.96</v>
      </c>
      <c r="K42" s="274">
        <f t="shared" si="6"/>
        <v>4280.96</v>
      </c>
      <c r="L42" s="274">
        <f t="shared" si="6"/>
        <v>4280.96</v>
      </c>
      <c r="M42" s="274">
        <f t="shared" si="6"/>
        <v>4280.96</v>
      </c>
      <c r="N42" s="154">
        <f t="shared" ref="N42:N45" si="7">SUM(B42:M42)</f>
        <v>51371.519999999997</v>
      </c>
    </row>
    <row r="43" spans="1:14">
      <c r="A43" s="311" t="s">
        <v>329</v>
      </c>
      <c r="B43" s="274">
        <v>3241.7</v>
      </c>
      <c r="C43" s="274">
        <v>3241.7</v>
      </c>
      <c r="D43" s="274">
        <v>3241.7</v>
      </c>
      <c r="E43" s="274">
        <v>3241.7</v>
      </c>
      <c r="F43" s="274">
        <v>3241.7</v>
      </c>
      <c r="G43" s="274">
        <v>3241.7</v>
      </c>
      <c r="H43" s="274">
        <v>3241.7</v>
      </c>
      <c r="I43" s="274">
        <v>3241.7</v>
      </c>
      <c r="J43" s="274">
        <v>3241.7</v>
      </c>
      <c r="K43" s="274">
        <v>3241.7</v>
      </c>
      <c r="L43" s="274">
        <v>3241.7</v>
      </c>
      <c r="M43" s="274">
        <v>3241.7</v>
      </c>
      <c r="N43" s="154">
        <f t="shared" si="7"/>
        <v>38900.400000000001</v>
      </c>
    </row>
    <row r="44" spans="1:14">
      <c r="A44" s="311" t="s">
        <v>206</v>
      </c>
      <c r="B44" s="274">
        <v>15860.67</v>
      </c>
      <c r="C44" s="274">
        <v>0</v>
      </c>
      <c r="D44" s="274">
        <v>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154">
        <f t="shared" si="7"/>
        <v>15860.67</v>
      </c>
    </row>
    <row r="45" spans="1:14">
      <c r="A45" s="311" t="s">
        <v>207</v>
      </c>
      <c r="B45" s="324">
        <v>4232.83</v>
      </c>
      <c r="C45" s="324">
        <v>4016.17</v>
      </c>
      <c r="D45" s="324">
        <v>4016.17</v>
      </c>
      <c r="E45" s="324">
        <v>4016.17</v>
      </c>
      <c r="F45" s="324">
        <v>4016.17</v>
      </c>
      <c r="G45" s="324">
        <v>4016.17</v>
      </c>
      <c r="H45" s="324">
        <v>4016.17</v>
      </c>
      <c r="I45" s="324">
        <v>4016.17</v>
      </c>
      <c r="J45" s="324">
        <v>4016.17</v>
      </c>
      <c r="K45" s="324">
        <v>4016.17</v>
      </c>
      <c r="L45" s="324">
        <v>4016.17</v>
      </c>
      <c r="M45" s="324">
        <v>4016.17</v>
      </c>
      <c r="N45" s="154">
        <f t="shared" si="7"/>
        <v>48410.69999999999</v>
      </c>
    </row>
    <row r="49" spans="1:15">
      <c r="A49" s="311" t="s">
        <v>215</v>
      </c>
      <c r="B49" s="169">
        <f t="shared" ref="B49:N49" si="8">SUM(B40:B45)</f>
        <v>36916.160000000003</v>
      </c>
      <c r="C49" s="169">
        <f t="shared" si="8"/>
        <v>20838.830000000002</v>
      </c>
      <c r="D49" s="169">
        <f t="shared" si="8"/>
        <v>20838.830000000002</v>
      </c>
      <c r="E49" s="169">
        <f t="shared" si="8"/>
        <v>20838.830000000002</v>
      </c>
      <c r="F49" s="169">
        <f t="shared" si="8"/>
        <v>20838.830000000002</v>
      </c>
      <c r="G49" s="169">
        <f t="shared" si="8"/>
        <v>20838.830000000002</v>
      </c>
      <c r="H49" s="169">
        <f t="shared" si="8"/>
        <v>20838.830000000002</v>
      </c>
      <c r="I49" s="169">
        <f t="shared" si="8"/>
        <v>20838.830000000002</v>
      </c>
      <c r="J49" s="169">
        <f t="shared" si="8"/>
        <v>20838.830000000002</v>
      </c>
      <c r="K49" s="169">
        <f t="shared" si="8"/>
        <v>20838.830000000002</v>
      </c>
      <c r="L49" s="169">
        <f t="shared" si="8"/>
        <v>20838.830000000002</v>
      </c>
      <c r="M49" s="169">
        <f t="shared" si="8"/>
        <v>20838.830000000002</v>
      </c>
      <c r="N49" s="154">
        <f t="shared" si="8"/>
        <v>266143.28999999998</v>
      </c>
    </row>
    <row r="52" spans="1:15">
      <c r="A52" s="315">
        <f>A38+1</f>
        <v>2017</v>
      </c>
      <c r="B52" s="151" t="s">
        <v>92</v>
      </c>
      <c r="C52" s="151" t="s">
        <v>93</v>
      </c>
      <c r="D52" s="151" t="s">
        <v>94</v>
      </c>
      <c r="E52" s="151" t="s">
        <v>95</v>
      </c>
      <c r="F52" s="151" t="s">
        <v>96</v>
      </c>
      <c r="G52" s="151" t="s">
        <v>97</v>
      </c>
      <c r="H52" s="151" t="s">
        <v>98</v>
      </c>
      <c r="I52" s="151" t="s">
        <v>99</v>
      </c>
      <c r="J52" s="151" t="s">
        <v>100</v>
      </c>
      <c r="K52" s="151" t="s">
        <v>101</v>
      </c>
      <c r="L52" s="151" t="s">
        <v>102</v>
      </c>
      <c r="M52" s="151" t="s">
        <v>103</v>
      </c>
      <c r="N52" s="151" t="s">
        <v>12</v>
      </c>
    </row>
    <row r="53" spans="1:15">
      <c r="A53" s="146" t="s">
        <v>186</v>
      </c>
      <c r="B53" s="152"/>
      <c r="C53" s="152"/>
      <c r="D53" s="152"/>
      <c r="E53" s="153"/>
      <c r="F53" s="153"/>
      <c r="G53" s="153"/>
      <c r="H53" s="153"/>
      <c r="I53" s="153"/>
      <c r="J53" s="152"/>
      <c r="K53" s="152"/>
      <c r="L53" s="152"/>
      <c r="M53" s="152"/>
      <c r="N53" s="152"/>
    </row>
    <row r="54" spans="1:15">
      <c r="A54" s="67" t="s">
        <v>104</v>
      </c>
      <c r="B54" s="154">
        <v>4400</v>
      </c>
      <c r="C54" s="154">
        <v>4400</v>
      </c>
      <c r="D54" s="154">
        <v>4400</v>
      </c>
      <c r="E54" s="154">
        <v>4400</v>
      </c>
      <c r="F54" s="154">
        <v>4400</v>
      </c>
      <c r="G54" s="154">
        <v>4400</v>
      </c>
      <c r="H54" s="154">
        <v>4400</v>
      </c>
      <c r="I54" s="154">
        <v>4400</v>
      </c>
      <c r="J54" s="154">
        <v>4400</v>
      </c>
      <c r="K54" s="154">
        <v>4400</v>
      </c>
      <c r="L54" s="154">
        <v>4400</v>
      </c>
      <c r="M54" s="154">
        <v>4400</v>
      </c>
      <c r="N54" s="154">
        <f>SUM(B54:M54)</f>
        <v>52800</v>
      </c>
    </row>
    <row r="55" spans="1:15">
      <c r="A55" s="67" t="s">
        <v>105</v>
      </c>
      <c r="B55" s="154">
        <v>4900</v>
      </c>
      <c r="C55" s="154">
        <v>4900</v>
      </c>
      <c r="D55" s="154">
        <v>4900</v>
      </c>
      <c r="E55" s="154">
        <v>4900</v>
      </c>
      <c r="F55" s="154">
        <v>4900</v>
      </c>
      <c r="G55" s="154">
        <v>4900</v>
      </c>
      <c r="H55" s="154">
        <v>4900</v>
      </c>
      <c r="I55" s="154">
        <v>4900</v>
      </c>
      <c r="J55" s="154">
        <v>4900</v>
      </c>
      <c r="K55" s="154">
        <v>4900</v>
      </c>
      <c r="L55" s="154">
        <v>4900</v>
      </c>
      <c r="M55" s="154">
        <v>4900</v>
      </c>
      <c r="N55" s="154">
        <f>SUM(B55:M55)</f>
        <v>58800</v>
      </c>
    </row>
    <row r="56" spans="1:15">
      <c r="A56" s="67" t="s">
        <v>176</v>
      </c>
      <c r="B56" s="274">
        <f>4280.96</f>
        <v>4280.96</v>
      </c>
      <c r="C56" s="274">
        <f t="shared" ref="C56:M56" si="9">4280.96</f>
        <v>4280.96</v>
      </c>
      <c r="D56" s="274">
        <f t="shared" si="9"/>
        <v>4280.96</v>
      </c>
      <c r="E56" s="274">
        <f t="shared" si="9"/>
        <v>4280.96</v>
      </c>
      <c r="F56" s="274">
        <f t="shared" si="9"/>
        <v>4280.96</v>
      </c>
      <c r="G56" s="274">
        <f t="shared" si="9"/>
        <v>4280.96</v>
      </c>
      <c r="H56" s="274">
        <f t="shared" si="9"/>
        <v>4280.96</v>
      </c>
      <c r="I56" s="274">
        <f t="shared" si="9"/>
        <v>4280.96</v>
      </c>
      <c r="J56" s="274">
        <f t="shared" si="9"/>
        <v>4280.96</v>
      </c>
      <c r="K56" s="274">
        <f t="shared" si="9"/>
        <v>4280.96</v>
      </c>
      <c r="L56" s="274">
        <f t="shared" si="9"/>
        <v>4280.96</v>
      </c>
      <c r="M56" s="274">
        <f t="shared" si="9"/>
        <v>4280.96</v>
      </c>
      <c r="N56" s="154">
        <f t="shared" ref="N56:N59" si="10">SUM(B56:M56)</f>
        <v>51371.519999999997</v>
      </c>
    </row>
    <row r="57" spans="1:15">
      <c r="A57" s="311" t="s">
        <v>329</v>
      </c>
      <c r="B57" s="274">
        <v>3241.7</v>
      </c>
      <c r="C57" s="274">
        <v>3241.7</v>
      </c>
      <c r="D57" s="274">
        <v>3241.7</v>
      </c>
      <c r="E57" s="274">
        <v>3241.7</v>
      </c>
      <c r="F57" s="274">
        <v>3241.7</v>
      </c>
      <c r="G57" s="274">
        <v>3241.7</v>
      </c>
      <c r="H57" s="274">
        <v>3241.7</v>
      </c>
      <c r="I57" s="274">
        <v>3241.7</v>
      </c>
      <c r="J57" s="274">
        <v>3241.7</v>
      </c>
      <c r="K57" s="274">
        <v>3241.7</v>
      </c>
      <c r="L57" s="274">
        <v>3241.7</v>
      </c>
      <c r="M57" s="274">
        <v>3241.7</v>
      </c>
      <c r="N57" s="154">
        <f t="shared" si="10"/>
        <v>38900.400000000001</v>
      </c>
    </row>
    <row r="58" spans="1:15">
      <c r="A58" s="311" t="s">
        <v>206</v>
      </c>
      <c r="B58" s="274">
        <v>0</v>
      </c>
      <c r="C58" s="274">
        <v>0</v>
      </c>
      <c r="D58" s="274">
        <v>0</v>
      </c>
      <c r="E58" s="274">
        <v>0</v>
      </c>
      <c r="F58" s="274">
        <v>0</v>
      </c>
      <c r="G58" s="274">
        <v>0</v>
      </c>
      <c r="H58" s="274">
        <v>0</v>
      </c>
      <c r="I58" s="274">
        <v>0</v>
      </c>
      <c r="J58" s="274">
        <v>0</v>
      </c>
      <c r="K58" s="274">
        <v>0</v>
      </c>
      <c r="L58" s="274">
        <v>0</v>
      </c>
      <c r="M58" s="274">
        <v>0</v>
      </c>
      <c r="N58" s="154">
        <f t="shared" si="10"/>
        <v>0</v>
      </c>
    </row>
    <row r="59" spans="1:15">
      <c r="A59" s="311" t="s">
        <v>207</v>
      </c>
      <c r="B59" s="324">
        <v>4016.17</v>
      </c>
      <c r="C59" s="324">
        <v>3799.5</v>
      </c>
      <c r="D59" s="324">
        <v>3799.5</v>
      </c>
      <c r="E59" s="324">
        <v>3799.5</v>
      </c>
      <c r="F59" s="324">
        <v>3799.5</v>
      </c>
      <c r="G59" s="324">
        <v>3799.5</v>
      </c>
      <c r="H59" s="324">
        <v>3799.5</v>
      </c>
      <c r="I59" s="324">
        <v>3799.5</v>
      </c>
      <c r="J59" s="324">
        <v>3799.5</v>
      </c>
      <c r="K59" s="324">
        <v>3799.5</v>
      </c>
      <c r="L59" s="324">
        <v>3799.5</v>
      </c>
      <c r="M59" s="324">
        <v>3799.5</v>
      </c>
      <c r="N59" s="154">
        <f t="shared" si="10"/>
        <v>45810.67</v>
      </c>
      <c r="O59" s="323"/>
    </row>
    <row r="63" spans="1:15">
      <c r="A63" s="311" t="s">
        <v>325</v>
      </c>
      <c r="B63" s="169">
        <f t="shared" ref="B63:N63" si="11">SUM(B54:B59)</f>
        <v>20838.830000000002</v>
      </c>
      <c r="C63" s="169">
        <f t="shared" si="11"/>
        <v>20622.16</v>
      </c>
      <c r="D63" s="169">
        <f t="shared" si="11"/>
        <v>20622.16</v>
      </c>
      <c r="E63" s="169">
        <f t="shared" si="11"/>
        <v>20622.16</v>
      </c>
      <c r="F63" s="169">
        <f t="shared" si="11"/>
        <v>20622.16</v>
      </c>
      <c r="G63" s="169">
        <f t="shared" si="11"/>
        <v>20622.16</v>
      </c>
      <c r="H63" s="169">
        <f t="shared" si="11"/>
        <v>20622.16</v>
      </c>
      <c r="I63" s="169">
        <f t="shared" si="11"/>
        <v>20622.16</v>
      </c>
      <c r="J63" s="169">
        <f t="shared" si="11"/>
        <v>20622.16</v>
      </c>
      <c r="K63" s="169">
        <f t="shared" si="11"/>
        <v>20622.16</v>
      </c>
      <c r="L63" s="169">
        <f t="shared" si="11"/>
        <v>20622.16</v>
      </c>
      <c r="M63" s="169">
        <f t="shared" si="11"/>
        <v>20622.16</v>
      </c>
      <c r="N63" s="154">
        <f t="shared" si="11"/>
        <v>247682.58999999997</v>
      </c>
    </row>
    <row r="66" spans="1:14">
      <c r="A66" s="315">
        <f>A52+1</f>
        <v>2018</v>
      </c>
      <c r="B66" s="151" t="s">
        <v>92</v>
      </c>
      <c r="C66" s="151" t="s">
        <v>93</v>
      </c>
      <c r="D66" s="151" t="s">
        <v>94</v>
      </c>
      <c r="E66" s="151" t="s">
        <v>95</v>
      </c>
      <c r="F66" s="151" t="s">
        <v>96</v>
      </c>
      <c r="G66" s="151" t="s">
        <v>97</v>
      </c>
      <c r="H66" s="151" t="s">
        <v>98</v>
      </c>
      <c r="I66" s="151" t="s">
        <v>99</v>
      </c>
      <c r="J66" s="151" t="s">
        <v>100</v>
      </c>
      <c r="K66" s="151" t="s">
        <v>101</v>
      </c>
      <c r="L66" s="151" t="s">
        <v>102</v>
      </c>
      <c r="M66" s="151" t="s">
        <v>103</v>
      </c>
      <c r="N66" s="151" t="s">
        <v>12</v>
      </c>
    </row>
    <row r="67" spans="1:14">
      <c r="A67" s="146" t="s">
        <v>186</v>
      </c>
      <c r="B67" s="152"/>
      <c r="C67" s="152"/>
      <c r="D67" s="152"/>
      <c r="E67" s="153"/>
      <c r="F67" s="153"/>
      <c r="G67" s="153"/>
      <c r="H67" s="153"/>
      <c r="I67" s="153"/>
      <c r="J67" s="152"/>
      <c r="K67" s="152"/>
      <c r="L67" s="152"/>
      <c r="M67" s="152"/>
      <c r="N67" s="152"/>
    </row>
    <row r="68" spans="1:14">
      <c r="A68" s="67" t="s">
        <v>104</v>
      </c>
      <c r="B68" s="154">
        <v>4400</v>
      </c>
      <c r="C68" s="154">
        <v>4400</v>
      </c>
      <c r="D68" s="154">
        <v>4400</v>
      </c>
      <c r="E68" s="154">
        <v>4400</v>
      </c>
      <c r="F68" s="154">
        <v>4400</v>
      </c>
      <c r="G68" s="154">
        <v>4400</v>
      </c>
      <c r="H68" s="154">
        <v>4400</v>
      </c>
      <c r="I68" s="154">
        <v>4400</v>
      </c>
      <c r="J68" s="154">
        <v>4400</v>
      </c>
      <c r="K68" s="154">
        <v>4400</v>
      </c>
      <c r="L68" s="154">
        <v>4400</v>
      </c>
      <c r="M68" s="154">
        <v>4400</v>
      </c>
      <c r="N68" s="154">
        <f>SUM(B68:M68)</f>
        <v>52800</v>
      </c>
    </row>
    <row r="69" spans="1:14">
      <c r="A69" s="67" t="s">
        <v>105</v>
      </c>
      <c r="B69" s="154">
        <v>4900</v>
      </c>
      <c r="C69" s="154">
        <v>4900</v>
      </c>
      <c r="D69" s="154">
        <v>4900</v>
      </c>
      <c r="E69" s="154">
        <v>4900</v>
      </c>
      <c r="F69" s="154">
        <v>4900</v>
      </c>
      <c r="G69" s="154">
        <v>4900</v>
      </c>
      <c r="H69" s="154">
        <v>4900</v>
      </c>
      <c r="I69" s="154">
        <v>4900</v>
      </c>
      <c r="J69" s="154">
        <v>4900</v>
      </c>
      <c r="K69" s="154">
        <v>4900</v>
      </c>
      <c r="L69" s="154">
        <v>4900</v>
      </c>
      <c r="M69" s="154">
        <v>4900</v>
      </c>
      <c r="N69" s="154">
        <f>SUM(B69:M69)</f>
        <v>58800</v>
      </c>
    </row>
    <row r="70" spans="1:14">
      <c r="A70" s="67" t="s">
        <v>176</v>
      </c>
      <c r="B70" s="274">
        <f>4280.96</f>
        <v>4280.96</v>
      </c>
      <c r="C70" s="274">
        <f t="shared" ref="C70:M70" si="12">4280.96</f>
        <v>4280.96</v>
      </c>
      <c r="D70" s="274">
        <f t="shared" si="12"/>
        <v>4280.96</v>
      </c>
      <c r="E70" s="274">
        <f t="shared" si="12"/>
        <v>4280.96</v>
      </c>
      <c r="F70" s="274">
        <f t="shared" si="12"/>
        <v>4280.96</v>
      </c>
      <c r="G70" s="274">
        <f t="shared" si="12"/>
        <v>4280.96</v>
      </c>
      <c r="H70" s="274">
        <f t="shared" si="12"/>
        <v>4280.96</v>
      </c>
      <c r="I70" s="274">
        <f t="shared" si="12"/>
        <v>4280.96</v>
      </c>
      <c r="J70" s="274">
        <f t="shared" si="12"/>
        <v>4280.96</v>
      </c>
      <c r="K70" s="274">
        <f t="shared" si="12"/>
        <v>4280.96</v>
      </c>
      <c r="L70" s="274">
        <f t="shared" si="12"/>
        <v>4280.96</v>
      </c>
      <c r="M70" s="274">
        <f t="shared" si="12"/>
        <v>4280.96</v>
      </c>
      <c r="N70" s="154">
        <f t="shared" ref="N70:N73" si="13">SUM(B70:M70)</f>
        <v>51371.519999999997</v>
      </c>
    </row>
    <row r="71" spans="1:14">
      <c r="A71" s="311" t="s">
        <v>329</v>
      </c>
      <c r="B71" s="274">
        <v>3241.7</v>
      </c>
      <c r="C71" s="274">
        <v>3241.7</v>
      </c>
      <c r="D71" s="274">
        <v>3241.7</v>
      </c>
      <c r="E71" s="274">
        <v>3241.7</v>
      </c>
      <c r="F71" s="274">
        <v>3241.7</v>
      </c>
      <c r="G71" s="274">
        <v>3241.7</v>
      </c>
      <c r="H71" s="274">
        <v>3241.7</v>
      </c>
      <c r="I71" s="274">
        <v>3241.7</v>
      </c>
      <c r="J71" s="274">
        <v>3241.7</v>
      </c>
      <c r="K71" s="274">
        <v>3241.7</v>
      </c>
      <c r="L71" s="274">
        <v>3241.7</v>
      </c>
      <c r="M71" s="274">
        <v>3241.7</v>
      </c>
      <c r="N71" s="154">
        <f t="shared" si="13"/>
        <v>38900.400000000001</v>
      </c>
    </row>
    <row r="72" spans="1:14">
      <c r="A72" s="311" t="s">
        <v>206</v>
      </c>
      <c r="B72" s="274">
        <v>0</v>
      </c>
      <c r="C72" s="274">
        <v>0</v>
      </c>
      <c r="D72" s="274">
        <v>0</v>
      </c>
      <c r="E72" s="274">
        <v>0</v>
      </c>
      <c r="F72" s="274">
        <v>0</v>
      </c>
      <c r="G72" s="274">
        <v>0</v>
      </c>
      <c r="H72" s="274">
        <v>0</v>
      </c>
      <c r="I72" s="274">
        <v>0</v>
      </c>
      <c r="J72" s="274">
        <v>0</v>
      </c>
      <c r="K72" s="274">
        <v>0</v>
      </c>
      <c r="L72" s="274">
        <v>0</v>
      </c>
      <c r="M72" s="274">
        <v>0</v>
      </c>
      <c r="N72" s="154">
        <f t="shared" si="13"/>
        <v>0</v>
      </c>
    </row>
    <row r="73" spans="1:14">
      <c r="A73" s="311" t="s">
        <v>207</v>
      </c>
      <c r="B73" s="324">
        <v>3799.5</v>
      </c>
      <c r="C73" s="375">
        <v>3582.83</v>
      </c>
      <c r="D73" s="375">
        <v>3582.83</v>
      </c>
      <c r="E73" s="375">
        <v>3582.83</v>
      </c>
      <c r="F73" s="375">
        <v>3582.83</v>
      </c>
      <c r="G73" s="375">
        <v>3582.83</v>
      </c>
      <c r="H73" s="375">
        <v>3582.83</v>
      </c>
      <c r="I73" s="375">
        <v>3582.83</v>
      </c>
      <c r="J73" s="375">
        <v>3582.83</v>
      </c>
      <c r="K73" s="375">
        <v>3582.83</v>
      </c>
      <c r="L73" s="375">
        <v>3582.83</v>
      </c>
      <c r="M73" s="375">
        <v>3582.83</v>
      </c>
      <c r="N73" s="154">
        <f t="shared" si="13"/>
        <v>43210.630000000012</v>
      </c>
    </row>
    <row r="77" spans="1:14">
      <c r="A77" s="311" t="s">
        <v>216</v>
      </c>
      <c r="B77" s="169">
        <f t="shared" ref="B77:N77" si="14">SUM(B68:B73)</f>
        <v>20622.16</v>
      </c>
      <c r="C77" s="169">
        <f t="shared" si="14"/>
        <v>20405.489999999998</v>
      </c>
      <c r="D77" s="169">
        <f t="shared" si="14"/>
        <v>20405.489999999998</v>
      </c>
      <c r="E77" s="169">
        <f t="shared" si="14"/>
        <v>20405.489999999998</v>
      </c>
      <c r="F77" s="169">
        <f t="shared" si="14"/>
        <v>20405.489999999998</v>
      </c>
      <c r="G77" s="169">
        <f t="shared" si="14"/>
        <v>20405.489999999998</v>
      </c>
      <c r="H77" s="169">
        <f t="shared" si="14"/>
        <v>20405.489999999998</v>
      </c>
      <c r="I77" s="169">
        <f t="shared" si="14"/>
        <v>20405.489999999998</v>
      </c>
      <c r="J77" s="169">
        <f t="shared" si="14"/>
        <v>20405.489999999998</v>
      </c>
      <c r="K77" s="169">
        <f t="shared" si="14"/>
        <v>20405.489999999998</v>
      </c>
      <c r="L77" s="169">
        <f t="shared" si="14"/>
        <v>20405.489999999998</v>
      </c>
      <c r="M77" s="169">
        <f t="shared" si="14"/>
        <v>20405.489999999998</v>
      </c>
      <c r="N77" s="154">
        <f t="shared" si="14"/>
        <v>245082.55</v>
      </c>
    </row>
    <row r="79" spans="1:14">
      <c r="A79" s="315">
        <f>A66+1</f>
        <v>2019</v>
      </c>
      <c r="B79" s="151" t="s">
        <v>92</v>
      </c>
      <c r="C79" s="151" t="s">
        <v>93</v>
      </c>
      <c r="D79" s="151" t="s">
        <v>94</v>
      </c>
      <c r="E79" s="151" t="s">
        <v>95</v>
      </c>
      <c r="F79" s="151" t="s">
        <v>96</v>
      </c>
      <c r="G79" s="151" t="s">
        <v>97</v>
      </c>
      <c r="H79" s="151" t="s">
        <v>98</v>
      </c>
      <c r="I79" s="151" t="s">
        <v>99</v>
      </c>
      <c r="J79" s="151" t="s">
        <v>100</v>
      </c>
      <c r="K79" s="151" t="s">
        <v>101</v>
      </c>
      <c r="L79" s="151" t="s">
        <v>102</v>
      </c>
      <c r="M79" s="151" t="s">
        <v>103</v>
      </c>
      <c r="N79" s="151" t="s">
        <v>12</v>
      </c>
    </row>
    <row r="80" spans="1:14">
      <c r="A80" s="146" t="s">
        <v>186</v>
      </c>
      <c r="B80" s="152"/>
      <c r="C80" s="152"/>
      <c r="D80" s="152"/>
      <c r="E80" s="153"/>
      <c r="F80" s="153"/>
      <c r="G80" s="153"/>
      <c r="H80" s="153"/>
      <c r="I80" s="153"/>
      <c r="J80" s="152"/>
      <c r="K80" s="152"/>
      <c r="L80" s="152"/>
      <c r="M80" s="152"/>
      <c r="N80" s="152"/>
    </row>
    <row r="81" spans="1:14">
      <c r="A81" s="67" t="s">
        <v>104</v>
      </c>
      <c r="B81" s="154">
        <v>4400</v>
      </c>
      <c r="C81" s="154">
        <v>4400</v>
      </c>
      <c r="D81" s="154">
        <v>4400</v>
      </c>
      <c r="E81" s="154">
        <v>4400</v>
      </c>
      <c r="F81" s="154">
        <v>4400</v>
      </c>
      <c r="G81" s="154">
        <v>4400</v>
      </c>
      <c r="H81" s="154">
        <v>4400</v>
      </c>
      <c r="I81" s="154">
        <v>4400</v>
      </c>
      <c r="J81" s="154">
        <v>4400</v>
      </c>
      <c r="K81" s="154">
        <v>4400</v>
      </c>
      <c r="L81" s="154">
        <v>4400</v>
      </c>
      <c r="M81" s="154">
        <v>4400</v>
      </c>
      <c r="N81" s="154">
        <f>SUM(B81:M81)</f>
        <v>52800</v>
      </c>
    </row>
    <row r="82" spans="1:14">
      <c r="A82" s="67" t="s">
        <v>105</v>
      </c>
      <c r="B82" s="154">
        <v>4900</v>
      </c>
      <c r="C82" s="154">
        <v>4900</v>
      </c>
      <c r="D82" s="154">
        <v>4900</v>
      </c>
      <c r="E82" s="154">
        <v>4900</v>
      </c>
      <c r="F82" s="154">
        <v>4900</v>
      </c>
      <c r="G82" s="154">
        <v>4900</v>
      </c>
      <c r="H82" s="154">
        <v>4900</v>
      </c>
      <c r="I82" s="154">
        <v>4900</v>
      </c>
      <c r="J82" s="154">
        <v>4900</v>
      </c>
      <c r="K82" s="154">
        <v>4900</v>
      </c>
      <c r="L82" s="154">
        <v>4900</v>
      </c>
      <c r="M82" s="154">
        <v>4900</v>
      </c>
      <c r="N82" s="154">
        <f>SUM(B82:M82)</f>
        <v>58800</v>
      </c>
    </row>
    <row r="83" spans="1:14">
      <c r="A83" s="67" t="s">
        <v>176</v>
      </c>
      <c r="B83" s="274">
        <f>4280.96</f>
        <v>4280.96</v>
      </c>
      <c r="C83" s="274">
        <f t="shared" ref="C83:M83" si="15">4280.96</f>
        <v>4280.96</v>
      </c>
      <c r="D83" s="274">
        <f t="shared" si="15"/>
        <v>4280.96</v>
      </c>
      <c r="E83" s="274">
        <f t="shared" si="15"/>
        <v>4280.96</v>
      </c>
      <c r="F83" s="274">
        <f t="shared" si="15"/>
        <v>4280.96</v>
      </c>
      <c r="G83" s="274">
        <f t="shared" si="15"/>
        <v>4280.96</v>
      </c>
      <c r="H83" s="274">
        <f t="shared" si="15"/>
        <v>4280.96</v>
      </c>
      <c r="I83" s="274">
        <f t="shared" si="15"/>
        <v>4280.96</v>
      </c>
      <c r="J83" s="274">
        <f t="shared" si="15"/>
        <v>4280.96</v>
      </c>
      <c r="K83" s="274">
        <f t="shared" si="15"/>
        <v>4280.96</v>
      </c>
      <c r="L83" s="274">
        <f t="shared" si="15"/>
        <v>4280.96</v>
      </c>
      <c r="M83" s="274">
        <f t="shared" si="15"/>
        <v>4280.96</v>
      </c>
      <c r="N83" s="154">
        <f t="shared" ref="N83:N86" si="16">SUM(B83:M83)</f>
        <v>51371.519999999997</v>
      </c>
    </row>
    <row r="84" spans="1:14">
      <c r="A84" s="311" t="s">
        <v>329</v>
      </c>
      <c r="B84" s="274">
        <v>3241.7</v>
      </c>
      <c r="C84" s="274">
        <v>3241.7</v>
      </c>
      <c r="D84" s="274">
        <v>3241.7</v>
      </c>
      <c r="E84" s="274">
        <v>3241.7</v>
      </c>
      <c r="F84" s="274">
        <v>3241.7</v>
      </c>
      <c r="G84" s="274">
        <v>3241.7</v>
      </c>
      <c r="H84" s="274">
        <v>3241.7</v>
      </c>
      <c r="I84" s="274">
        <v>3241.7</v>
      </c>
      <c r="J84" s="274">
        <v>3241.7</v>
      </c>
      <c r="K84" s="274">
        <v>3241.7</v>
      </c>
      <c r="L84" s="274">
        <v>3241.7</v>
      </c>
      <c r="M84" s="274">
        <v>3241.7</v>
      </c>
      <c r="N84" s="154">
        <f t="shared" si="16"/>
        <v>38900.400000000001</v>
      </c>
    </row>
    <row r="85" spans="1:14">
      <c r="A85" s="311" t="s">
        <v>206</v>
      </c>
      <c r="B85" s="274">
        <v>0</v>
      </c>
      <c r="C85" s="274">
        <v>0</v>
      </c>
      <c r="D85" s="274">
        <v>0</v>
      </c>
      <c r="E85" s="274">
        <v>0</v>
      </c>
      <c r="F85" s="274">
        <v>0</v>
      </c>
      <c r="G85" s="274">
        <v>0</v>
      </c>
      <c r="H85" s="274">
        <v>0</v>
      </c>
      <c r="I85" s="274">
        <v>0</v>
      </c>
      <c r="J85" s="274">
        <v>0</v>
      </c>
      <c r="K85" s="274">
        <v>0</v>
      </c>
      <c r="L85" s="274">
        <v>0</v>
      </c>
      <c r="M85" s="274">
        <v>0</v>
      </c>
      <c r="N85" s="154">
        <f t="shared" si="16"/>
        <v>0</v>
      </c>
    </row>
    <row r="86" spans="1:14">
      <c r="A86" s="311" t="s">
        <v>207</v>
      </c>
      <c r="B86" s="375">
        <v>3582.83</v>
      </c>
      <c r="C86" s="374">
        <v>3366.17</v>
      </c>
      <c r="D86" s="374">
        <v>3366.17</v>
      </c>
      <c r="E86" s="374">
        <v>3366.17</v>
      </c>
      <c r="F86" s="374">
        <v>3366.17</v>
      </c>
      <c r="G86" s="374">
        <v>3366.17</v>
      </c>
      <c r="H86" s="374">
        <v>3366.17</v>
      </c>
      <c r="I86" s="374">
        <v>3366.17</v>
      </c>
      <c r="J86" s="374">
        <v>3366.17</v>
      </c>
      <c r="K86" s="374">
        <v>3366.17</v>
      </c>
      <c r="L86" s="374">
        <v>3366.17</v>
      </c>
      <c r="M86" s="374">
        <v>3366.17</v>
      </c>
      <c r="N86" s="154">
        <f t="shared" si="16"/>
        <v>40610.69999999999</v>
      </c>
    </row>
    <row r="89" spans="1:14">
      <c r="A89" s="311" t="s">
        <v>326</v>
      </c>
      <c r="B89" s="169">
        <f>SUM(B81:B86)</f>
        <v>20405.489999999998</v>
      </c>
      <c r="C89" s="169">
        <f t="shared" ref="C89:N89" si="17">SUM(C81:C86)</f>
        <v>20188.830000000002</v>
      </c>
      <c r="D89" s="169">
        <f t="shared" si="17"/>
        <v>20188.830000000002</v>
      </c>
      <c r="E89" s="169">
        <f t="shared" si="17"/>
        <v>20188.830000000002</v>
      </c>
      <c r="F89" s="169">
        <f t="shared" si="17"/>
        <v>20188.830000000002</v>
      </c>
      <c r="G89" s="169">
        <f t="shared" si="17"/>
        <v>20188.830000000002</v>
      </c>
      <c r="H89" s="169">
        <f t="shared" si="17"/>
        <v>20188.830000000002</v>
      </c>
      <c r="I89" s="169">
        <f t="shared" si="17"/>
        <v>20188.830000000002</v>
      </c>
      <c r="J89" s="169">
        <f t="shared" si="17"/>
        <v>20188.830000000002</v>
      </c>
      <c r="K89" s="169">
        <f t="shared" si="17"/>
        <v>20188.830000000002</v>
      </c>
      <c r="L89" s="169">
        <f t="shared" si="17"/>
        <v>20188.830000000002</v>
      </c>
      <c r="M89" s="169">
        <f t="shared" si="17"/>
        <v>20188.830000000002</v>
      </c>
      <c r="N89" s="154">
        <f t="shared" si="17"/>
        <v>242482.61999999997</v>
      </c>
    </row>
    <row r="91" spans="1:14">
      <c r="A91" s="315">
        <f>A79+1</f>
        <v>2020</v>
      </c>
      <c r="B91" s="151" t="s">
        <v>92</v>
      </c>
      <c r="C91" s="151" t="s">
        <v>93</v>
      </c>
      <c r="D91" s="151" t="s">
        <v>94</v>
      </c>
      <c r="E91" s="151" t="s">
        <v>95</v>
      </c>
      <c r="F91" s="151" t="s">
        <v>96</v>
      </c>
      <c r="G91" s="151" t="s">
        <v>97</v>
      </c>
      <c r="H91" s="151" t="s">
        <v>98</v>
      </c>
      <c r="I91" s="151" t="s">
        <v>99</v>
      </c>
      <c r="J91" s="151" t="s">
        <v>100</v>
      </c>
      <c r="K91" s="151" t="s">
        <v>101</v>
      </c>
      <c r="L91" s="151" t="s">
        <v>102</v>
      </c>
      <c r="M91" s="151" t="s">
        <v>103</v>
      </c>
      <c r="N91" s="151" t="s">
        <v>12</v>
      </c>
    </row>
    <row r="92" spans="1:14">
      <c r="A92" s="146" t="s">
        <v>186</v>
      </c>
      <c r="B92" s="152"/>
      <c r="C92" s="152"/>
      <c r="D92" s="152"/>
      <c r="E92" s="153"/>
      <c r="F92" s="153"/>
      <c r="G92" s="153"/>
      <c r="H92" s="153"/>
      <c r="I92" s="153"/>
      <c r="J92" s="152"/>
      <c r="K92" s="152"/>
      <c r="L92" s="152"/>
      <c r="M92" s="152"/>
      <c r="N92" s="152"/>
    </row>
    <row r="93" spans="1:14">
      <c r="A93" s="67" t="s">
        <v>104</v>
      </c>
      <c r="B93" s="154">
        <v>4400</v>
      </c>
      <c r="C93" s="154">
        <v>4400</v>
      </c>
      <c r="D93" s="154">
        <v>4400</v>
      </c>
      <c r="E93" s="154">
        <v>4400</v>
      </c>
      <c r="F93" s="154">
        <v>4400</v>
      </c>
      <c r="G93" s="154">
        <v>4400</v>
      </c>
      <c r="H93" s="154">
        <v>4400</v>
      </c>
      <c r="I93" s="154">
        <v>4400</v>
      </c>
      <c r="J93" s="154">
        <v>4400</v>
      </c>
      <c r="K93" s="154">
        <v>4400</v>
      </c>
      <c r="L93" s="154">
        <v>4400</v>
      </c>
      <c r="M93" s="154">
        <v>4400</v>
      </c>
      <c r="N93" s="154">
        <f>SUM(B93:M93)</f>
        <v>52800</v>
      </c>
    </row>
    <row r="94" spans="1:14">
      <c r="A94" s="67" t="s">
        <v>105</v>
      </c>
      <c r="B94" s="154">
        <v>4900</v>
      </c>
      <c r="C94" s="154">
        <v>4900</v>
      </c>
      <c r="D94" s="154">
        <v>4900</v>
      </c>
      <c r="E94" s="154">
        <v>4900</v>
      </c>
      <c r="F94" s="154">
        <v>4900</v>
      </c>
      <c r="G94" s="154">
        <v>4900</v>
      </c>
      <c r="H94" s="154">
        <v>4900</v>
      </c>
      <c r="I94" s="154">
        <v>4900</v>
      </c>
      <c r="J94" s="154">
        <v>4900</v>
      </c>
      <c r="K94" s="154">
        <v>4900</v>
      </c>
      <c r="L94" s="154">
        <v>4900</v>
      </c>
      <c r="M94" s="154">
        <v>4900</v>
      </c>
      <c r="N94" s="154">
        <f>SUM(B94:M94)</f>
        <v>58800</v>
      </c>
    </row>
    <row r="95" spans="1:14">
      <c r="A95" s="67" t="s">
        <v>176</v>
      </c>
      <c r="B95" s="274">
        <f>4280.96</f>
        <v>4280.96</v>
      </c>
      <c r="C95" s="274">
        <f t="shared" ref="C95:M95" si="18">4280.96</f>
        <v>4280.96</v>
      </c>
      <c r="D95" s="274">
        <f t="shared" si="18"/>
        <v>4280.96</v>
      </c>
      <c r="E95" s="274">
        <f t="shared" si="18"/>
        <v>4280.96</v>
      </c>
      <c r="F95" s="274">
        <f t="shared" si="18"/>
        <v>4280.96</v>
      </c>
      <c r="G95" s="274">
        <f t="shared" si="18"/>
        <v>4280.96</v>
      </c>
      <c r="H95" s="274">
        <f t="shared" si="18"/>
        <v>4280.96</v>
      </c>
      <c r="I95" s="274">
        <f t="shared" si="18"/>
        <v>4280.96</v>
      </c>
      <c r="J95" s="274">
        <f t="shared" si="18"/>
        <v>4280.96</v>
      </c>
      <c r="K95" s="274">
        <f t="shared" si="18"/>
        <v>4280.96</v>
      </c>
      <c r="L95" s="274">
        <f t="shared" si="18"/>
        <v>4280.96</v>
      </c>
      <c r="M95" s="274">
        <f t="shared" si="18"/>
        <v>4280.96</v>
      </c>
      <c r="N95" s="154">
        <f t="shared" ref="N95:N98" si="19">SUM(B95:M95)</f>
        <v>51371.519999999997</v>
      </c>
    </row>
    <row r="96" spans="1:14">
      <c r="A96" s="311" t="s">
        <v>329</v>
      </c>
      <c r="B96" s="274">
        <v>3241.7</v>
      </c>
      <c r="C96" s="274">
        <v>3241.7</v>
      </c>
      <c r="D96" s="274">
        <v>3241.7</v>
      </c>
      <c r="E96" s="274">
        <v>3241.7</v>
      </c>
      <c r="F96" s="274">
        <v>3241.7</v>
      </c>
      <c r="G96" s="274">
        <v>3241.7</v>
      </c>
      <c r="H96" s="274">
        <v>3241.7</v>
      </c>
      <c r="I96" s="274">
        <v>3241.7</v>
      </c>
      <c r="J96" s="274">
        <v>3241.7</v>
      </c>
      <c r="K96" s="274">
        <v>3241.7</v>
      </c>
      <c r="L96" s="274">
        <v>3241.7</v>
      </c>
      <c r="M96" s="274">
        <v>3241.7</v>
      </c>
      <c r="N96" s="154">
        <f t="shared" si="19"/>
        <v>38900.400000000001</v>
      </c>
    </row>
    <row r="97" spans="1:14">
      <c r="A97" s="311" t="s">
        <v>206</v>
      </c>
      <c r="B97" s="274">
        <v>0</v>
      </c>
      <c r="C97" s="274">
        <v>0</v>
      </c>
      <c r="D97" s="274">
        <v>0</v>
      </c>
      <c r="E97" s="274">
        <v>0</v>
      </c>
      <c r="F97" s="274">
        <v>0</v>
      </c>
      <c r="G97" s="274">
        <v>0</v>
      </c>
      <c r="H97" s="274">
        <v>0</v>
      </c>
      <c r="I97" s="274">
        <v>0</v>
      </c>
      <c r="J97" s="274">
        <v>0</v>
      </c>
      <c r="K97" s="274">
        <v>0</v>
      </c>
      <c r="L97" s="274">
        <v>0</v>
      </c>
      <c r="M97" s="274">
        <v>0</v>
      </c>
      <c r="N97" s="154">
        <f t="shared" si="19"/>
        <v>0</v>
      </c>
    </row>
    <row r="98" spans="1:14">
      <c r="A98" s="311" t="s">
        <v>207</v>
      </c>
      <c r="B98" s="375">
        <v>3582.83</v>
      </c>
      <c r="C98" s="374">
        <v>3149.5</v>
      </c>
      <c r="D98" s="374">
        <v>3149.5</v>
      </c>
      <c r="E98" s="374">
        <v>3149.5</v>
      </c>
      <c r="F98" s="374">
        <v>3149.5</v>
      </c>
      <c r="G98" s="374">
        <v>3149.5</v>
      </c>
      <c r="H98" s="374">
        <v>3149.5</v>
      </c>
      <c r="I98" s="374">
        <v>3149.5</v>
      </c>
      <c r="J98" s="374">
        <v>3149.5</v>
      </c>
      <c r="K98" s="374">
        <v>3149.5</v>
      </c>
      <c r="L98" s="374">
        <v>3149.5</v>
      </c>
      <c r="M98" s="374">
        <v>3149.5</v>
      </c>
      <c r="N98" s="154">
        <f t="shared" si="19"/>
        <v>38227.33</v>
      </c>
    </row>
    <row r="101" spans="1:14">
      <c r="A101" s="311" t="s">
        <v>356</v>
      </c>
      <c r="B101" s="169">
        <f>SUM(B93:B98)</f>
        <v>20405.489999999998</v>
      </c>
      <c r="C101" s="169">
        <f t="shared" ref="C101:N101" si="20">SUM(C93:C98)</f>
        <v>19972.16</v>
      </c>
      <c r="D101" s="169">
        <f t="shared" si="20"/>
        <v>19972.16</v>
      </c>
      <c r="E101" s="169">
        <f t="shared" si="20"/>
        <v>19972.16</v>
      </c>
      <c r="F101" s="169">
        <f t="shared" si="20"/>
        <v>19972.16</v>
      </c>
      <c r="G101" s="169">
        <f t="shared" si="20"/>
        <v>19972.16</v>
      </c>
      <c r="H101" s="169">
        <f t="shared" si="20"/>
        <v>19972.16</v>
      </c>
      <c r="I101" s="169">
        <f t="shared" si="20"/>
        <v>19972.16</v>
      </c>
      <c r="J101" s="169">
        <f t="shared" si="20"/>
        <v>19972.16</v>
      </c>
      <c r="K101" s="169">
        <f t="shared" si="20"/>
        <v>19972.16</v>
      </c>
      <c r="L101" s="169">
        <f t="shared" si="20"/>
        <v>19972.16</v>
      </c>
      <c r="M101" s="169">
        <f t="shared" si="20"/>
        <v>19972.16</v>
      </c>
      <c r="N101" s="154">
        <f t="shared" si="20"/>
        <v>240099.25</v>
      </c>
    </row>
  </sheetData>
  <phoneticPr fontId="23" type="noConversion"/>
  <hyperlinks>
    <hyperlink ref="Q3" r:id="rId1"/>
    <hyperlink ref="Q4" r:id="rId2"/>
  </hyperlinks>
  <pageMargins left="0.32" right="0.2" top="0.95" bottom="0.46" header="0.64" footer="0.18"/>
  <pageSetup scale="88" pageOrder="overThenDown" orientation="landscape" r:id="rId3"/>
  <headerFooter alignWithMargins="0">
    <oddHeader>&amp;A</oddHeader>
    <oddFooter>&amp;Z&amp;F</oddFooter>
  </headerFooter>
  <rowBreaks count="3" manualBreakCount="3">
    <brk id="125" max="65535" man="1"/>
    <brk id="155" max="65535" man="1"/>
    <brk id="203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O16"/>
  <sheetViews>
    <sheetView workbookViewId="0">
      <selection activeCell="A2" sqref="A1:A2"/>
    </sheetView>
  </sheetViews>
  <sheetFormatPr defaultColWidth="9" defaultRowHeight="13.2"/>
  <cols>
    <col min="1" max="1" width="23.88671875" style="67" customWidth="1"/>
    <col min="2" max="3" width="9.6640625" style="67" customWidth="1"/>
    <col min="4" max="4" width="8.77734375" style="67" customWidth="1"/>
    <col min="5" max="5" width="8.44140625" style="67" customWidth="1"/>
    <col min="6" max="6" width="8.109375" style="67" customWidth="1"/>
    <col min="7" max="7" width="8" style="67" customWidth="1"/>
    <col min="8" max="9" width="8.21875" style="67" customWidth="1"/>
    <col min="10" max="10" width="8" style="67" customWidth="1"/>
    <col min="11" max="11" width="8.109375" style="67" customWidth="1"/>
    <col min="12" max="12" width="8.21875" style="67" customWidth="1"/>
    <col min="13" max="13" width="8.6640625" style="67" customWidth="1"/>
    <col min="14" max="14" width="9.77734375" style="67" customWidth="1"/>
    <col min="15" max="16384" width="9" style="67"/>
  </cols>
  <sheetData>
    <row r="1" spans="1:15">
      <c r="A1" s="481" t="s">
        <v>466</v>
      </c>
    </row>
    <row r="2" spans="1:15">
      <c r="A2" s="481" t="s">
        <v>458</v>
      </c>
    </row>
    <row r="4" spans="1:15">
      <c r="A4" s="311" t="s">
        <v>314</v>
      </c>
      <c r="B4" s="147"/>
      <c r="D4" s="146" t="s">
        <v>15</v>
      </c>
      <c r="E4" s="148"/>
    </row>
    <row r="5" spans="1:15">
      <c r="A5" s="146"/>
      <c r="B5" s="149"/>
    </row>
    <row r="7" spans="1:15">
      <c r="A7" s="146"/>
      <c r="G7" s="150"/>
      <c r="H7" s="150"/>
      <c r="I7" s="150"/>
      <c r="J7" s="150"/>
      <c r="K7" s="150"/>
      <c r="L7" s="150"/>
      <c r="M7" s="150"/>
      <c r="N7" s="150"/>
    </row>
    <row r="8" spans="1:15">
      <c r="A8" s="311" t="s">
        <v>357</v>
      </c>
      <c r="B8" s="151" t="s">
        <v>92</v>
      </c>
      <c r="C8" s="151" t="s">
        <v>93</v>
      </c>
      <c r="D8" s="151" t="s">
        <v>94</v>
      </c>
      <c r="E8" s="151" t="s">
        <v>95</v>
      </c>
      <c r="F8" s="151" t="s">
        <v>96</v>
      </c>
      <c r="G8" s="151" t="s">
        <v>97</v>
      </c>
      <c r="H8" s="151" t="s">
        <v>98</v>
      </c>
      <c r="I8" s="151" t="s">
        <v>99</v>
      </c>
      <c r="J8" s="151" t="s">
        <v>100</v>
      </c>
      <c r="K8" s="151" t="s">
        <v>101</v>
      </c>
      <c r="L8" s="151" t="s">
        <v>102</v>
      </c>
      <c r="M8" s="151" t="s">
        <v>103</v>
      </c>
      <c r="N8" s="151" t="s">
        <v>12</v>
      </c>
    </row>
    <row r="9" spans="1:15">
      <c r="A9" s="170" t="s">
        <v>113</v>
      </c>
      <c r="B9" s="152"/>
      <c r="C9" s="152"/>
      <c r="D9" s="152"/>
      <c r="E9" s="153"/>
      <c r="F9" s="153"/>
      <c r="G9" s="153"/>
      <c r="H9" s="153"/>
      <c r="I9" s="153"/>
      <c r="J9" s="152"/>
      <c r="K9" s="152"/>
      <c r="L9" s="152"/>
      <c r="M9" s="152"/>
      <c r="N9" s="152"/>
    </row>
    <row r="10" spans="1:15">
      <c r="A10" s="67" t="s">
        <v>114</v>
      </c>
      <c r="B10" s="154">
        <v>2400</v>
      </c>
      <c r="C10" s="154">
        <f>B10</f>
        <v>2400</v>
      </c>
      <c r="D10" s="154">
        <f t="shared" ref="D10:M10" si="0">C10</f>
        <v>2400</v>
      </c>
      <c r="E10" s="154">
        <f t="shared" si="0"/>
        <v>2400</v>
      </c>
      <c r="F10" s="154">
        <f t="shared" si="0"/>
        <v>2400</v>
      </c>
      <c r="G10" s="154">
        <f t="shared" si="0"/>
        <v>2400</v>
      </c>
      <c r="H10" s="154">
        <f t="shared" si="0"/>
        <v>2400</v>
      </c>
      <c r="I10" s="154">
        <f t="shared" si="0"/>
        <v>2400</v>
      </c>
      <c r="J10" s="154">
        <f t="shared" si="0"/>
        <v>2400</v>
      </c>
      <c r="K10" s="154">
        <f t="shared" si="0"/>
        <v>2400</v>
      </c>
      <c r="L10" s="154">
        <f t="shared" si="0"/>
        <v>2400</v>
      </c>
      <c r="M10" s="154">
        <f t="shared" si="0"/>
        <v>2400</v>
      </c>
      <c r="N10" s="154">
        <f t="shared" ref="N10:N14" si="1">SUM(B10:M10)</f>
        <v>28800</v>
      </c>
    </row>
    <row r="11" spans="1:15">
      <c r="A11" s="67" t="s">
        <v>182</v>
      </c>
      <c r="B11" s="154">
        <v>1200</v>
      </c>
      <c r="C11" s="154">
        <f>B11</f>
        <v>1200</v>
      </c>
      <c r="D11" s="154">
        <f t="shared" ref="D11:M11" si="2">C11</f>
        <v>1200</v>
      </c>
      <c r="E11" s="154">
        <f t="shared" si="2"/>
        <v>1200</v>
      </c>
      <c r="F11" s="154">
        <f t="shared" si="2"/>
        <v>1200</v>
      </c>
      <c r="G11" s="154">
        <f t="shared" si="2"/>
        <v>1200</v>
      </c>
      <c r="H11" s="154">
        <f t="shared" si="2"/>
        <v>1200</v>
      </c>
      <c r="I11" s="154">
        <f t="shared" si="2"/>
        <v>1200</v>
      </c>
      <c r="J11" s="154">
        <f t="shared" si="2"/>
        <v>1200</v>
      </c>
      <c r="K11" s="154">
        <f t="shared" si="2"/>
        <v>1200</v>
      </c>
      <c r="L11" s="154">
        <f t="shared" si="2"/>
        <v>1200</v>
      </c>
      <c r="M11" s="154">
        <f t="shared" si="2"/>
        <v>1200</v>
      </c>
      <c r="N11" s="154">
        <f t="shared" si="1"/>
        <v>14400</v>
      </c>
      <c r="O11" s="323" t="s">
        <v>220</v>
      </c>
    </row>
    <row r="12" spans="1:15">
      <c r="A12" s="67" t="s">
        <v>115</v>
      </c>
      <c r="B12" s="154">
        <v>1200</v>
      </c>
      <c r="C12" s="154">
        <f>B12</f>
        <v>1200</v>
      </c>
      <c r="D12" s="154">
        <f t="shared" ref="D12:M12" si="3">C12</f>
        <v>1200</v>
      </c>
      <c r="E12" s="154">
        <f t="shared" si="3"/>
        <v>1200</v>
      </c>
      <c r="F12" s="154">
        <f t="shared" si="3"/>
        <v>1200</v>
      </c>
      <c r="G12" s="154">
        <f t="shared" si="3"/>
        <v>1200</v>
      </c>
      <c r="H12" s="154">
        <f t="shared" si="3"/>
        <v>1200</v>
      </c>
      <c r="I12" s="154">
        <f t="shared" si="3"/>
        <v>1200</v>
      </c>
      <c r="J12" s="154">
        <f t="shared" si="3"/>
        <v>1200</v>
      </c>
      <c r="K12" s="154">
        <f t="shared" si="3"/>
        <v>1200</v>
      </c>
      <c r="L12" s="154">
        <f t="shared" si="3"/>
        <v>1200</v>
      </c>
      <c r="M12" s="154">
        <f t="shared" si="3"/>
        <v>1200</v>
      </c>
      <c r="N12" s="154">
        <f t="shared" si="1"/>
        <v>14400</v>
      </c>
    </row>
    <row r="13" spans="1:15">
      <c r="A13" s="67" t="s">
        <v>116</v>
      </c>
      <c r="B13" s="154">
        <v>1200</v>
      </c>
      <c r="C13" s="154">
        <f t="shared" ref="C13:M13" si="4">B13</f>
        <v>1200</v>
      </c>
      <c r="D13" s="154">
        <f t="shared" si="4"/>
        <v>1200</v>
      </c>
      <c r="E13" s="154">
        <f t="shared" si="4"/>
        <v>1200</v>
      </c>
      <c r="F13" s="154">
        <f t="shared" si="4"/>
        <v>1200</v>
      </c>
      <c r="G13" s="154">
        <f t="shared" si="4"/>
        <v>1200</v>
      </c>
      <c r="H13" s="154">
        <f t="shared" si="4"/>
        <v>1200</v>
      </c>
      <c r="I13" s="154">
        <f t="shared" si="4"/>
        <v>1200</v>
      </c>
      <c r="J13" s="154">
        <f t="shared" si="4"/>
        <v>1200</v>
      </c>
      <c r="K13" s="154">
        <f t="shared" si="4"/>
        <v>1200</v>
      </c>
      <c r="L13" s="154">
        <f t="shared" si="4"/>
        <v>1200</v>
      </c>
      <c r="M13" s="154">
        <f t="shared" si="4"/>
        <v>1200</v>
      </c>
      <c r="N13" s="154">
        <f t="shared" si="1"/>
        <v>14400</v>
      </c>
    </row>
    <row r="14" spans="1:15">
      <c r="A14" s="67" t="s">
        <v>117</v>
      </c>
      <c r="B14" s="154">
        <v>1200</v>
      </c>
      <c r="C14" s="154">
        <f t="shared" ref="C14:M14" si="5">B14</f>
        <v>1200</v>
      </c>
      <c r="D14" s="154">
        <f t="shared" si="5"/>
        <v>1200</v>
      </c>
      <c r="E14" s="154">
        <f t="shared" si="5"/>
        <v>1200</v>
      </c>
      <c r="F14" s="154">
        <f t="shared" si="5"/>
        <v>1200</v>
      </c>
      <c r="G14" s="154">
        <f t="shared" si="5"/>
        <v>1200</v>
      </c>
      <c r="H14" s="154">
        <f t="shared" si="5"/>
        <v>1200</v>
      </c>
      <c r="I14" s="154">
        <f t="shared" si="5"/>
        <v>1200</v>
      </c>
      <c r="J14" s="154">
        <f t="shared" si="5"/>
        <v>1200</v>
      </c>
      <c r="K14" s="154">
        <f t="shared" si="5"/>
        <v>1200</v>
      </c>
      <c r="L14" s="154">
        <f t="shared" si="5"/>
        <v>1200</v>
      </c>
      <c r="M14" s="154">
        <f t="shared" si="5"/>
        <v>1200</v>
      </c>
      <c r="N14" s="154">
        <f t="shared" si="1"/>
        <v>14400</v>
      </c>
    </row>
    <row r="15" spans="1:15"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5">
      <c r="A16" s="168" t="s">
        <v>118</v>
      </c>
      <c r="B16" s="169">
        <f>SUM(B10:B14)</f>
        <v>7200</v>
      </c>
      <c r="C16" s="169">
        <f t="shared" ref="C16:N16" si="6">SUM(C10:C14)</f>
        <v>7200</v>
      </c>
      <c r="D16" s="169">
        <f t="shared" si="6"/>
        <v>7200</v>
      </c>
      <c r="E16" s="169">
        <f t="shared" si="6"/>
        <v>7200</v>
      </c>
      <c r="F16" s="169">
        <f t="shared" si="6"/>
        <v>7200</v>
      </c>
      <c r="G16" s="169">
        <f t="shared" si="6"/>
        <v>7200</v>
      </c>
      <c r="H16" s="169">
        <f t="shared" si="6"/>
        <v>7200</v>
      </c>
      <c r="I16" s="169">
        <f t="shared" si="6"/>
        <v>7200</v>
      </c>
      <c r="J16" s="169">
        <f t="shared" si="6"/>
        <v>7200</v>
      </c>
      <c r="K16" s="169">
        <f t="shared" si="6"/>
        <v>7200</v>
      </c>
      <c r="L16" s="169">
        <f t="shared" si="6"/>
        <v>7200</v>
      </c>
      <c r="M16" s="169">
        <f t="shared" si="6"/>
        <v>7200</v>
      </c>
      <c r="N16" s="169">
        <f t="shared" si="6"/>
        <v>86400</v>
      </c>
    </row>
  </sheetData>
  <phoneticPr fontId="23" type="noConversion"/>
  <pageMargins left="0.32" right="0.2" top="0.95" bottom="0.46" header="0.64" footer="0.18"/>
  <pageSetup scale="90" pageOrder="overThenDown" orientation="landscape" horizontalDpi="4294967292" verticalDpi="300" r:id="rId1"/>
  <headerFooter alignWithMargins="0">
    <oddHeader>&amp;A</oddHeader>
    <oddFooter>&amp;Z&amp;F</oddFooter>
  </headerFooter>
  <rowBreaks count="3" manualBreakCount="3">
    <brk id="125" max="65535" man="1"/>
    <brk id="155" max="65535" man="1"/>
    <brk id="203" max="6553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004FBB-3C42-44A3-AA50-BB345EB89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9BE632-4616-4FE7-961D-0AB3290E3CC2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85253b9-0a55-49a1-98ad-b5b6252d707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FE64CD-574A-455E-B4F1-D3146CD785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36</vt:i4>
      </vt:variant>
    </vt:vector>
  </HeadingPairs>
  <TitlesOfParts>
    <vt:vector size="79" baseType="lpstr">
      <vt:lpstr>2015 Transmission Load Forecast</vt:lpstr>
      <vt:lpstr>2016 Transmission Load Forecast</vt:lpstr>
      <vt:lpstr>2017 Transmission Load Forecast</vt:lpstr>
      <vt:lpstr>2018 Transmission Load Forecast</vt:lpstr>
      <vt:lpstr>Revenue_Variance.</vt:lpstr>
      <vt:lpstr>Transmission_Revenues</vt:lpstr>
      <vt:lpstr>st_nf</vt:lpstr>
      <vt:lpstr>Radial Facilities</vt:lpstr>
      <vt:lpstr>Dynamic_Scheduling</vt:lpstr>
      <vt:lpstr>Georgia Trans Network</vt:lpstr>
      <vt:lpstr>Lake Worth Network Transmission</vt:lpstr>
      <vt:lpstr>Lake Worth Forecast</vt:lpstr>
      <vt:lpstr>Homestead Network Transmission</vt:lpstr>
      <vt:lpstr>Homestead Forecast</vt:lpstr>
      <vt:lpstr>New Smyrna Network</vt:lpstr>
      <vt:lpstr>Blountstown Network</vt:lpstr>
      <vt:lpstr>Blountstown Forecast</vt:lpstr>
      <vt:lpstr>Winter Park Network</vt:lpstr>
      <vt:lpstr>Winter Park Forecast</vt:lpstr>
      <vt:lpstr>Quincy Transmission</vt:lpstr>
      <vt:lpstr>Quincy Forecast</vt:lpstr>
      <vt:lpstr>LCEC Network</vt:lpstr>
      <vt:lpstr>LCEC Forecast</vt:lpstr>
      <vt:lpstr>FKEC Network</vt:lpstr>
      <vt:lpstr>FKEC Forecast</vt:lpstr>
      <vt:lpstr>Wauchula Network</vt:lpstr>
      <vt:lpstr>Wauchula Forecast</vt:lpstr>
      <vt:lpstr>New Smyrna Beach</vt:lpstr>
      <vt:lpstr>Vero Beach Network</vt:lpstr>
      <vt:lpstr>FMPA Network</vt:lpstr>
      <vt:lpstr>FMPA Network Forecast</vt:lpstr>
      <vt:lpstr>SECI_Network_Forecast</vt:lpstr>
      <vt:lpstr>SECI_Regulation_Imbalance</vt:lpstr>
      <vt:lpstr>SECI Network</vt:lpstr>
      <vt:lpstr>SECI-Credit Settlement</vt:lpstr>
      <vt:lpstr>charges (1 &amp; 2)</vt:lpstr>
      <vt:lpstr>Transmission Formula Rate (7)</vt:lpstr>
      <vt:lpstr>TSAS Demand Revenues (7)</vt:lpstr>
      <vt:lpstr>TSAS Scheduling Revenue (1)</vt:lpstr>
      <vt:lpstr>TSAS Reactive Revenues (2)</vt:lpstr>
      <vt:lpstr>2019 Transmission Load Forecast</vt:lpstr>
      <vt:lpstr>2020 Transmission Load Forecast</vt:lpstr>
      <vt:lpstr>Lake Worth Network</vt:lpstr>
      <vt:lpstr>'Blountstown Network'!Print_Area</vt:lpstr>
      <vt:lpstr>'charges (1 &amp; 2)'!Print_Area</vt:lpstr>
      <vt:lpstr>Dynamic_Scheduling!Print_Area</vt:lpstr>
      <vt:lpstr>'FMPA Network'!Print_Area</vt:lpstr>
      <vt:lpstr>'FMPA Network Forecast'!Print_Area</vt:lpstr>
      <vt:lpstr>'Georgia Trans Network'!Print_Area</vt:lpstr>
      <vt:lpstr>'Homestead Network Transmission'!Print_Area</vt:lpstr>
      <vt:lpstr>'Lake Worth Network'!Print_Area</vt:lpstr>
      <vt:lpstr>'Lake Worth Network Transmission'!Print_Area</vt:lpstr>
      <vt:lpstr>'LCEC Network'!Print_Area</vt:lpstr>
      <vt:lpstr>'New Smyrna Network'!Print_Area</vt:lpstr>
      <vt:lpstr>'Quincy Transmission'!Print_Area</vt:lpstr>
      <vt:lpstr>'Radial Facilities'!Print_Area</vt:lpstr>
      <vt:lpstr>Revenue_Variance.!Print_Area</vt:lpstr>
      <vt:lpstr>'SECI Network'!Print_Area</vt:lpstr>
      <vt:lpstr>SECI_Network_Forecast!Print_Area</vt:lpstr>
      <vt:lpstr>SECI_Regulation_Imbalance!Print_Area</vt:lpstr>
      <vt:lpstr>st_nf!Print_Area</vt:lpstr>
      <vt:lpstr>Transmission_Revenues!Print_Area</vt:lpstr>
      <vt:lpstr>'TSAS Demand Revenues (7)'!Print_Area</vt:lpstr>
      <vt:lpstr>'TSAS Reactive Revenues (2)'!Print_Area</vt:lpstr>
      <vt:lpstr>'TSAS Scheduling Revenue (1)'!Print_Area</vt:lpstr>
      <vt:lpstr>'Vero Beach Network'!Print_Area</vt:lpstr>
      <vt:lpstr>'Wauchula Network'!Print_Area</vt:lpstr>
      <vt:lpstr>'Winter Park Network'!Print_Area</vt:lpstr>
      <vt:lpstr>'charges (1 &amp; 2)'!Print_Titles</vt:lpstr>
      <vt:lpstr>'FMPA Network'!Print_Titles</vt:lpstr>
      <vt:lpstr>'LCEC Network'!Print_Titles</vt:lpstr>
      <vt:lpstr>'SECI Network'!Print_Titles</vt:lpstr>
      <vt:lpstr>SECI_Regulation_Imbalance!Print_Titles</vt:lpstr>
      <vt:lpstr>Transmission_Revenues!Print_Titles</vt:lpstr>
      <vt:lpstr>'TSAS Demand Revenues (7)'!Print_Titles</vt:lpstr>
      <vt:lpstr>'TSAS Reactive Revenues (2)'!Print_Titles</vt:lpstr>
      <vt:lpstr>'TSAS Scheduling Revenue (1)'!Print_Titles</vt:lpstr>
      <vt:lpstr>'Vero Beach Network'!Print_Titles</vt:lpstr>
      <vt:lpstr>Transmission_Revenues!SUMREV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Fernandez</dc:creator>
  <cp:lastModifiedBy>FPL_User</cp:lastModifiedBy>
  <cp:lastPrinted>2015-11-04T18:38:12Z</cp:lastPrinted>
  <dcterms:created xsi:type="dcterms:W3CDTF">1997-09-30T13:05:51Z</dcterms:created>
  <dcterms:modified xsi:type="dcterms:W3CDTF">2016-04-16T12:53:31Z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